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  <fileRecoveryPr repairLoad="1"/>
</workbook>
</file>

<file path=xl/calcChain.xml><?xml version="1.0" encoding="utf-8"?>
<calcChain xmlns="http://schemas.openxmlformats.org/spreadsheetml/2006/main">
  <c r="N775" i="1" l="1"/>
  <c r="N768" i="1"/>
  <c r="N767" i="1"/>
  <c r="N763" i="1"/>
  <c r="N761" i="1"/>
  <c r="N760" i="1"/>
  <c r="N756" i="1"/>
  <c r="N749" i="1"/>
  <c r="N743" i="1"/>
  <c r="N742" i="1"/>
  <c r="AE630" i="1" l="1"/>
  <c r="N704" i="1" l="1"/>
  <c r="B4" i="1" l="1"/>
  <c r="B6" i="1"/>
  <c r="B8" i="1"/>
  <c r="B10" i="1"/>
  <c r="B11" i="1"/>
  <c r="B12" i="1"/>
  <c r="B13" i="1"/>
  <c r="B14" i="1"/>
  <c r="B15" i="1"/>
  <c r="B16" i="1"/>
  <c r="B17" i="1"/>
  <c r="B18" i="1"/>
  <c r="B20" i="1"/>
  <c r="B22" i="1"/>
  <c r="B24" i="1"/>
  <c r="B25" i="1"/>
  <c r="B26" i="1"/>
  <c r="B27" i="1"/>
  <c r="B28" i="1"/>
  <c r="B30" i="1"/>
  <c r="B32" i="1"/>
  <c r="B33" i="1"/>
  <c r="B34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50" i="1"/>
  <c r="B52" i="1"/>
  <c r="B53" i="1"/>
  <c r="B55" i="1"/>
  <c r="B56" i="1"/>
  <c r="B57" i="1"/>
  <c r="B58" i="1"/>
  <c r="B59" i="1"/>
  <c r="B60" i="1"/>
  <c r="B61" i="1"/>
  <c r="B62" i="1"/>
  <c r="B63" i="1"/>
  <c r="B65" i="1"/>
  <c r="B67" i="1"/>
  <c r="B68" i="1"/>
  <c r="B69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8" i="1"/>
  <c r="B89" i="1"/>
  <c r="B91" i="1"/>
  <c r="B92" i="1"/>
  <c r="B94" i="1"/>
  <c r="B95" i="1"/>
  <c r="B96" i="1"/>
  <c r="B98" i="1"/>
  <c r="B100" i="1"/>
  <c r="B102" i="1"/>
  <c r="B104" i="1"/>
  <c r="B106" i="1"/>
  <c r="B107" i="1"/>
  <c r="B109" i="1"/>
  <c r="B111" i="1"/>
  <c r="B112" i="1"/>
  <c r="B114" i="1"/>
  <c r="B115" i="1"/>
  <c r="B116" i="1"/>
  <c r="B117" i="1"/>
  <c r="B118" i="1"/>
  <c r="B119" i="1"/>
  <c r="B120" i="1"/>
  <c r="B121" i="1"/>
  <c r="B122" i="1"/>
  <c r="B124" i="1"/>
  <c r="B125" i="1"/>
  <c r="B127" i="1"/>
  <c r="B128" i="1"/>
  <c r="B129" i="1"/>
  <c r="B130" i="1"/>
  <c r="B132" i="1"/>
  <c r="B134" i="1"/>
  <c r="B136" i="1"/>
  <c r="B138" i="1"/>
  <c r="B139" i="1"/>
  <c r="B140" i="1"/>
  <c r="B141" i="1"/>
  <c r="B143" i="1"/>
  <c r="B145" i="1"/>
  <c r="B146" i="1"/>
  <c r="B147" i="1"/>
  <c r="B148" i="1"/>
  <c r="B150" i="1"/>
  <c r="B151" i="1"/>
  <c r="B152" i="1"/>
  <c r="B153" i="1"/>
  <c r="B154" i="1"/>
  <c r="B155" i="1"/>
  <c r="B156" i="1"/>
  <c r="B157" i="1"/>
  <c r="B159" i="1"/>
  <c r="B160" i="1"/>
  <c r="B161" i="1"/>
  <c r="B162" i="1"/>
  <c r="B164" i="1"/>
  <c r="B166" i="1"/>
  <c r="B168" i="1"/>
  <c r="B170" i="1"/>
  <c r="B172" i="1"/>
  <c r="B173" i="1"/>
  <c r="B174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200" i="1"/>
  <c r="B201" i="1"/>
  <c r="B202" i="1"/>
  <c r="B203" i="1"/>
  <c r="B204" i="1"/>
  <c r="B205" i="1"/>
  <c r="B206" i="1"/>
  <c r="B207" i="1"/>
  <c r="B208" i="1"/>
  <c r="B209" i="1"/>
  <c r="B211" i="1"/>
  <c r="B212" i="1"/>
  <c r="B213" i="1"/>
  <c r="B215" i="1"/>
  <c r="B216" i="1"/>
  <c r="B217" i="1"/>
  <c r="B218" i="1"/>
  <c r="B219" i="1"/>
  <c r="B220" i="1"/>
  <c r="B221" i="1"/>
  <c r="B222" i="1"/>
  <c r="B223" i="1"/>
  <c r="B225" i="1"/>
  <c r="B227" i="1"/>
  <c r="B228" i="1"/>
  <c r="B229" i="1"/>
  <c r="B230" i="1"/>
  <c r="B231" i="1"/>
  <c r="B232" i="1"/>
  <c r="B233" i="1"/>
  <c r="B235" i="1"/>
  <c r="B236" i="1"/>
  <c r="B237" i="1"/>
  <c r="B238" i="1"/>
  <c r="B240" i="1"/>
  <c r="B241" i="1"/>
  <c r="B242" i="1"/>
  <c r="B243" i="1"/>
  <c r="B244" i="1"/>
  <c r="B245" i="1"/>
  <c r="B246" i="1"/>
  <c r="B247" i="1"/>
  <c r="B248" i="1"/>
  <c r="B249" i="1"/>
  <c r="B251" i="1"/>
  <c r="B252" i="1"/>
  <c r="B253" i="1"/>
  <c r="B254" i="1"/>
  <c r="B255" i="1"/>
  <c r="B256" i="1"/>
  <c r="B257" i="1"/>
  <c r="B258" i="1"/>
  <c r="B260" i="1"/>
  <c r="B261" i="1"/>
  <c r="B262" i="1"/>
  <c r="B263" i="1"/>
  <c r="B264" i="1"/>
  <c r="B265" i="1"/>
  <c r="B266" i="1"/>
  <c r="B267" i="1"/>
  <c r="B268" i="1"/>
  <c r="B269" i="1"/>
  <c r="B271" i="1"/>
  <c r="B272" i="1"/>
  <c r="B273" i="1"/>
  <c r="B274" i="1"/>
  <c r="B275" i="1"/>
  <c r="B276" i="1"/>
  <c r="B277" i="1"/>
  <c r="B278" i="1"/>
  <c r="B279" i="1"/>
  <c r="B280" i="1"/>
  <c r="B281" i="1"/>
  <c r="B283" i="1"/>
  <c r="B284" i="1"/>
  <c r="B285" i="1"/>
  <c r="B287" i="1"/>
  <c r="B288" i="1"/>
  <c r="B289" i="1"/>
  <c r="B290" i="1"/>
  <c r="B291" i="1"/>
  <c r="B292" i="1"/>
  <c r="B293" i="1"/>
  <c r="B295" i="1"/>
  <c r="B296" i="1"/>
  <c r="B297" i="1"/>
  <c r="B298" i="1"/>
  <c r="B299" i="1"/>
  <c r="B300" i="1"/>
  <c r="B301" i="1"/>
  <c r="B302" i="1"/>
  <c r="B303" i="1"/>
  <c r="B305" i="1"/>
  <c r="B306" i="1"/>
  <c r="B308" i="1"/>
  <c r="B310" i="1"/>
  <c r="B312" i="1"/>
  <c r="B314" i="1"/>
  <c r="B316" i="1"/>
  <c r="B317" i="1"/>
  <c r="B319" i="1"/>
  <c r="B321" i="1"/>
  <c r="B322" i="1"/>
  <c r="B323" i="1"/>
  <c r="B324" i="1"/>
  <c r="B325" i="1"/>
  <c r="B326" i="1"/>
  <c r="B327" i="1"/>
  <c r="B328" i="1"/>
  <c r="B329" i="1"/>
  <c r="B330" i="1"/>
  <c r="B331" i="1"/>
  <c r="B333" i="1"/>
  <c r="B334" i="1"/>
  <c r="B335" i="1"/>
  <c r="B336" i="1"/>
  <c r="B337" i="1"/>
  <c r="B338" i="1"/>
  <c r="B339" i="1"/>
  <c r="B340" i="1"/>
  <c r="B341" i="1"/>
  <c r="B343" i="1"/>
  <c r="B344" i="1"/>
  <c r="B345" i="1"/>
  <c r="B346" i="1"/>
  <c r="B347" i="1"/>
  <c r="B348" i="1"/>
  <c r="B349" i="1"/>
  <c r="B350" i="1"/>
  <c r="B351" i="1"/>
  <c r="B352" i="1"/>
  <c r="B353" i="1"/>
  <c r="B355" i="1"/>
  <c r="B357" i="1"/>
  <c r="B358" i="1"/>
  <c r="B359" i="1"/>
  <c r="B360" i="1"/>
  <c r="B361" i="1"/>
  <c r="B362" i="1"/>
  <c r="B363" i="1"/>
  <c r="B364" i="1"/>
  <c r="B365" i="1"/>
  <c r="B366" i="1"/>
  <c r="B368" i="1"/>
  <c r="B369" i="1"/>
  <c r="B371" i="1"/>
  <c r="B373" i="1"/>
  <c r="B374" i="1"/>
  <c r="B375" i="1"/>
  <c r="B376" i="1"/>
  <c r="B378" i="1"/>
  <c r="B379" i="1"/>
  <c r="B380" i="1"/>
  <c r="B381" i="1"/>
  <c r="B383" i="1"/>
  <c r="B385" i="1"/>
  <c r="B386" i="1"/>
  <c r="B387" i="1"/>
  <c r="B388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6" i="1"/>
  <c r="B427" i="1"/>
  <c r="B429" i="1"/>
  <c r="B430" i="1"/>
  <c r="B432" i="1"/>
  <c r="B434" i="1"/>
  <c r="B435" i="1"/>
  <c r="B437" i="1"/>
  <c r="B438" i="1"/>
  <c r="B439" i="1"/>
  <c r="B440" i="1"/>
  <c r="B442" i="1"/>
  <c r="B443" i="1"/>
  <c r="B444" i="1"/>
  <c r="B445" i="1"/>
  <c r="B447" i="1"/>
  <c r="B448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5" i="1"/>
  <c r="B466" i="1"/>
  <c r="B468" i="1"/>
  <c r="B469" i="1"/>
  <c r="B471" i="1"/>
  <c r="B473" i="1"/>
  <c r="B474" i="1"/>
  <c r="B475" i="1"/>
  <c r="B476" i="1"/>
  <c r="B477" i="1"/>
  <c r="B478" i="1"/>
  <c r="B479" i="1"/>
  <c r="B480" i="1"/>
  <c r="B481" i="1"/>
  <c r="B482" i="1"/>
  <c r="B483" i="1"/>
  <c r="B485" i="1"/>
  <c r="B486" i="1"/>
  <c r="B487" i="1"/>
  <c r="B488" i="1"/>
  <c r="B489" i="1"/>
  <c r="B490" i="1"/>
  <c r="B491" i="1"/>
  <c r="B492" i="1"/>
  <c r="B493" i="1"/>
  <c r="B494" i="1"/>
  <c r="B496" i="1"/>
  <c r="B497" i="1"/>
  <c r="B498" i="1"/>
  <c r="B499" i="1"/>
  <c r="B500" i="1"/>
  <c r="B502" i="1"/>
  <c r="B503" i="1"/>
  <c r="B504" i="1"/>
  <c r="B505" i="1"/>
  <c r="B506" i="1"/>
  <c r="B507" i="1"/>
  <c r="B508" i="1"/>
  <c r="B510" i="1"/>
  <c r="B511" i="1"/>
  <c r="B512" i="1"/>
  <c r="B513" i="1"/>
  <c r="B515" i="1"/>
  <c r="B516" i="1"/>
  <c r="B517" i="1"/>
  <c r="B518" i="1"/>
  <c r="B519" i="1"/>
  <c r="B520" i="1"/>
  <c r="B521" i="1"/>
  <c r="B522" i="1"/>
  <c r="B524" i="1"/>
  <c r="B525" i="1"/>
  <c r="B527" i="1"/>
  <c r="B529" i="1"/>
  <c r="B531" i="1"/>
  <c r="B533" i="1"/>
  <c r="B534" i="1"/>
  <c r="B535" i="1"/>
  <c r="B537" i="1"/>
  <c r="B538" i="1"/>
  <c r="B540" i="1"/>
  <c r="B541" i="1"/>
  <c r="B542" i="1"/>
  <c r="B544" i="1"/>
  <c r="B546" i="1"/>
  <c r="B547" i="1"/>
  <c r="B548" i="1"/>
  <c r="B549" i="1"/>
  <c r="B550" i="1"/>
  <c r="B551" i="1"/>
  <c r="B552" i="1"/>
  <c r="B553" i="1"/>
  <c r="B555" i="1"/>
  <c r="B556" i="1"/>
  <c r="B557" i="1"/>
  <c r="B558" i="1"/>
  <c r="B559" i="1"/>
  <c r="B560" i="1"/>
  <c r="B562" i="1"/>
  <c r="B563" i="1"/>
  <c r="B565" i="1"/>
  <c r="B566" i="1"/>
  <c r="B567" i="1"/>
  <c r="B568" i="1"/>
  <c r="B569" i="1"/>
  <c r="B570" i="1"/>
  <c r="B571" i="1"/>
  <c r="B572" i="1"/>
  <c r="B574" i="1"/>
  <c r="B575" i="1"/>
  <c r="B576" i="1"/>
  <c r="B577" i="1"/>
  <c r="B578" i="1"/>
  <c r="B579" i="1"/>
  <c r="B580" i="1"/>
  <c r="B581" i="1"/>
  <c r="B582" i="1"/>
  <c r="B583" i="1"/>
  <c r="B584" i="1"/>
  <c r="B586" i="1"/>
  <c r="B587" i="1"/>
  <c r="B588" i="1"/>
  <c r="B589" i="1"/>
  <c r="B590" i="1"/>
  <c r="B592" i="1"/>
  <c r="B593" i="1"/>
  <c r="B594" i="1"/>
  <c r="B596" i="1"/>
  <c r="B597" i="1"/>
  <c r="B598" i="1"/>
  <c r="B600" i="1"/>
  <c r="B601" i="1"/>
  <c r="B603" i="1"/>
  <c r="B604" i="1"/>
  <c r="B606" i="1"/>
  <c r="B608" i="1"/>
  <c r="B609" i="1"/>
  <c r="B611" i="1"/>
  <c r="B612" i="1"/>
  <c r="B613" i="1"/>
  <c r="B615" i="1"/>
  <c r="B617" i="1"/>
  <c r="B619" i="1"/>
  <c r="B620" i="1"/>
  <c r="B621" i="1"/>
  <c r="B623" i="1"/>
  <c r="B625" i="1"/>
  <c r="B627" i="1"/>
  <c r="B628" i="1"/>
  <c r="B629" i="1"/>
  <c r="B631" i="1"/>
  <c r="B633" i="1"/>
  <c r="B634" i="1"/>
  <c r="B635" i="1"/>
  <c r="B636" i="1"/>
  <c r="B637" i="1"/>
  <c r="B638" i="1"/>
  <c r="B639" i="1"/>
  <c r="B640" i="1"/>
  <c r="B642" i="1"/>
  <c r="B643" i="1"/>
  <c r="B644" i="1"/>
  <c r="B645" i="1"/>
  <c r="B646" i="1"/>
  <c r="B648" i="1"/>
  <c r="B649" i="1"/>
  <c r="B650" i="1"/>
  <c r="B651" i="1"/>
  <c r="B652" i="1"/>
  <c r="B653" i="1"/>
  <c r="B655" i="1"/>
  <c r="B656" i="1"/>
  <c r="B657" i="1"/>
  <c r="B658" i="1"/>
  <c r="B659" i="1"/>
  <c r="B660" i="1"/>
  <c r="B661" i="1"/>
  <c r="B662" i="1"/>
  <c r="B663" i="1"/>
  <c r="B664" i="1"/>
  <c r="B665" i="1"/>
  <c r="B667" i="1"/>
  <c r="B668" i="1"/>
  <c r="B669" i="1"/>
  <c r="B670" i="1"/>
  <c r="B671" i="1"/>
  <c r="B672" i="1"/>
  <c r="B673" i="1"/>
  <c r="B674" i="1"/>
  <c r="B675" i="1"/>
  <c r="B676" i="1"/>
  <c r="B678" i="1"/>
  <c r="B679" i="1"/>
  <c r="B680" i="1"/>
  <c r="B681" i="1"/>
  <c r="B682" i="1"/>
  <c r="B684" i="1"/>
  <c r="B685" i="1"/>
  <c r="B686" i="1"/>
  <c r="B687" i="1"/>
  <c r="B688" i="1"/>
  <c r="B689" i="1"/>
  <c r="B690" i="1"/>
  <c r="B692" i="1"/>
  <c r="B693" i="1"/>
  <c r="B694" i="1"/>
  <c r="B695" i="1"/>
  <c r="B696" i="1"/>
  <c r="B698" i="1"/>
  <c r="B699" i="1"/>
  <c r="B700" i="1"/>
  <c r="B701" i="1"/>
  <c r="B702" i="1"/>
  <c r="B703" i="1"/>
  <c r="B705" i="1"/>
  <c r="B707" i="1"/>
  <c r="B709" i="1"/>
  <c r="B710" i="1"/>
  <c r="B712" i="1"/>
  <c r="B739" i="1"/>
  <c r="B740" i="1"/>
  <c r="B741" i="1"/>
  <c r="B714" i="1"/>
  <c r="B715" i="1"/>
  <c r="B717" i="1"/>
  <c r="B718" i="1"/>
  <c r="B719" i="1"/>
  <c r="B720" i="1"/>
  <c r="B722" i="1"/>
  <c r="B723" i="1"/>
  <c r="B725" i="1"/>
  <c r="B726" i="1"/>
  <c r="B727" i="1"/>
  <c r="B729" i="1"/>
  <c r="B730" i="1"/>
  <c r="B731" i="1"/>
  <c r="B732" i="1"/>
  <c r="B733" i="1"/>
  <c r="B734" i="1"/>
  <c r="B735" i="1"/>
  <c r="B737" i="1"/>
  <c r="B743" i="1"/>
  <c r="B744" i="1"/>
  <c r="B745" i="1"/>
  <c r="B747" i="1"/>
  <c r="B748" i="1"/>
  <c r="B749" i="1"/>
  <c r="B750" i="1"/>
  <c r="B751" i="1"/>
  <c r="B753" i="1"/>
  <c r="B754" i="1"/>
  <c r="B755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2" i="1"/>
  <c r="B774" i="1"/>
  <c r="B776" i="1"/>
  <c r="B777" i="1"/>
  <c r="B778" i="1"/>
  <c r="B779" i="1"/>
  <c r="B780" i="1"/>
  <c r="B781" i="1"/>
  <c r="B783" i="1"/>
  <c r="B784" i="1"/>
  <c r="B785" i="1"/>
  <c r="B786" i="1"/>
  <c r="B787" i="1"/>
  <c r="B788" i="1"/>
  <c r="B789" i="1"/>
  <c r="B790" i="1"/>
  <c r="B791" i="1"/>
  <c r="B792" i="1"/>
  <c r="B794" i="1"/>
  <c r="B796" i="1"/>
  <c r="B797" i="1"/>
  <c r="B798" i="1"/>
  <c r="B799" i="1"/>
  <c r="B800" i="1"/>
  <c r="B801" i="1"/>
  <c r="B803" i="1"/>
  <c r="B804" i="1"/>
  <c r="B805" i="1"/>
  <c r="B806" i="1"/>
  <c r="B807" i="1"/>
  <c r="B808" i="1"/>
  <c r="B809" i="1"/>
  <c r="B810" i="1"/>
  <c r="B811" i="1"/>
  <c r="B812" i="1"/>
  <c r="B814" i="1"/>
  <c r="B816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C820" i="1"/>
  <c r="D820" i="1"/>
  <c r="AB820" i="1" s="1"/>
  <c r="AD820" i="1"/>
  <c r="AE820" i="1"/>
  <c r="W820" i="1" s="1"/>
  <c r="AG820" i="1"/>
  <c r="AJ820" i="1" s="1"/>
  <c r="AK820" i="1"/>
  <c r="AL820" i="1" s="1"/>
  <c r="AC820" i="1" l="1"/>
  <c r="AH820" i="1"/>
  <c r="AF820" i="1"/>
  <c r="X820" i="1"/>
  <c r="Z820" i="1"/>
  <c r="Y820" i="1"/>
  <c r="AA820" i="1"/>
  <c r="AM820" i="1"/>
  <c r="C821" i="1"/>
  <c r="D821" i="1"/>
  <c r="AC821" i="1" s="1"/>
  <c r="AD821" i="1"/>
  <c r="AE821" i="1"/>
  <c r="W821" i="1" s="1"/>
  <c r="AG821" i="1"/>
  <c r="AJ821" i="1" s="1"/>
  <c r="AK821" i="1"/>
  <c r="AL821" i="1" s="1"/>
  <c r="AM821" i="1" l="1"/>
  <c r="AH821" i="1"/>
  <c r="AF821" i="1"/>
  <c r="AB821" i="1"/>
  <c r="Y821" i="1"/>
  <c r="AA821" i="1"/>
  <c r="X821" i="1"/>
  <c r="Z821" i="1"/>
  <c r="C822" i="1"/>
  <c r="D822" i="1"/>
  <c r="AB822" i="1" s="1"/>
  <c r="AD822" i="1"/>
  <c r="AE822" i="1"/>
  <c r="W822" i="1" s="1"/>
  <c r="AG822" i="1"/>
  <c r="AJ822" i="1" s="1"/>
  <c r="AK822" i="1"/>
  <c r="AL822" i="1" s="1"/>
  <c r="AC822" i="1" l="1"/>
  <c r="AH822" i="1"/>
  <c r="AF822" i="1"/>
  <c r="X822" i="1"/>
  <c r="Z822" i="1"/>
  <c r="Y822" i="1"/>
  <c r="AA822" i="1"/>
  <c r="AM822" i="1"/>
  <c r="C823" i="1"/>
  <c r="D823" i="1"/>
  <c r="AB823" i="1" s="1"/>
  <c r="AD823" i="1"/>
  <c r="AE823" i="1"/>
  <c r="W823" i="1" s="1"/>
  <c r="AG823" i="1"/>
  <c r="AJ823" i="1" s="1"/>
  <c r="AK823" i="1"/>
  <c r="AM823" i="1" s="1"/>
  <c r="AC823" i="1" l="1"/>
  <c r="AH823" i="1"/>
  <c r="AF823" i="1"/>
  <c r="Y823" i="1"/>
  <c r="AA823" i="1"/>
  <c r="X823" i="1"/>
  <c r="Z823" i="1"/>
  <c r="AL823" i="1"/>
  <c r="C824" i="1"/>
  <c r="D824" i="1"/>
  <c r="AB824" i="1" s="1"/>
  <c r="AD824" i="1"/>
  <c r="AE824" i="1"/>
  <c r="W824" i="1" s="1"/>
  <c r="AG824" i="1"/>
  <c r="AJ824" i="1" s="1"/>
  <c r="AK824" i="1"/>
  <c r="AM824" i="1" s="1"/>
  <c r="AC824" i="1" l="1"/>
  <c r="AH824" i="1"/>
  <c r="AF824" i="1"/>
  <c r="Y824" i="1"/>
  <c r="AA824" i="1"/>
  <c r="X824" i="1"/>
  <c r="Z824" i="1"/>
  <c r="AL824" i="1"/>
  <c r="C825" i="1"/>
  <c r="D825" i="1"/>
  <c r="AC825" i="1" s="1"/>
  <c r="AD825" i="1"/>
  <c r="AE825" i="1"/>
  <c r="W825" i="1" s="1"/>
  <c r="AG825" i="1"/>
  <c r="AJ825" i="1" s="1"/>
  <c r="AK825" i="1"/>
  <c r="AL825" i="1" s="1"/>
  <c r="AM825" i="1" l="1"/>
  <c r="AH825" i="1"/>
  <c r="AF825" i="1"/>
  <c r="AB825" i="1"/>
  <c r="Y825" i="1"/>
  <c r="AA825" i="1"/>
  <c r="X825" i="1"/>
  <c r="Z825" i="1"/>
  <c r="C826" i="1"/>
  <c r="D826" i="1"/>
  <c r="AB826" i="1" s="1"/>
  <c r="AD826" i="1"/>
  <c r="AE826" i="1"/>
  <c r="W826" i="1" s="1"/>
  <c r="AG826" i="1"/>
  <c r="AJ826" i="1" s="1"/>
  <c r="AK826" i="1"/>
  <c r="AL826" i="1" s="1"/>
  <c r="AC826" i="1" l="1"/>
  <c r="AH826" i="1"/>
  <c r="AF826" i="1"/>
  <c r="X826" i="1"/>
  <c r="Z826" i="1"/>
  <c r="Y826" i="1"/>
  <c r="AA826" i="1"/>
  <c r="AM826" i="1"/>
  <c r="C827" i="1"/>
  <c r="D827" i="1"/>
  <c r="AC827" i="1" s="1"/>
  <c r="AD827" i="1"/>
  <c r="AE827" i="1"/>
  <c r="W827" i="1" s="1"/>
  <c r="AG827" i="1"/>
  <c r="AJ827" i="1" s="1"/>
  <c r="AK827" i="1"/>
  <c r="AL827" i="1" s="1"/>
  <c r="AM827" i="1" l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s="1"/>
  <c r="AC828" i="1" l="1"/>
  <c r="AH828" i="1"/>
  <c r="AF828" i="1"/>
  <c r="X828" i="1"/>
  <c r="Z828" i="1"/>
  <c r="Y828" i="1"/>
  <c r="AA828" i="1"/>
  <c r="AM828" i="1"/>
  <c r="C829" i="1"/>
  <c r="D829" i="1"/>
  <c r="AC829" i="1" s="1"/>
  <c r="AD829" i="1"/>
  <c r="AE829" i="1"/>
  <c r="W829" i="1" s="1"/>
  <c r="AG829" i="1"/>
  <c r="AJ829" i="1" s="1"/>
  <c r="AK829" i="1"/>
  <c r="AL829" i="1" s="1"/>
  <c r="AM829" i="1" l="1"/>
  <c r="AH829" i="1"/>
  <c r="AF829" i="1"/>
  <c r="AB829" i="1"/>
  <c r="Y829" i="1"/>
  <c r="AA829" i="1"/>
  <c r="X829" i="1"/>
  <c r="Z829" i="1"/>
  <c r="C830" i="1"/>
  <c r="D830" i="1"/>
  <c r="AB830" i="1" s="1"/>
  <c r="AD830" i="1"/>
  <c r="AE830" i="1"/>
  <c r="W830" i="1" s="1"/>
  <c r="AG830" i="1"/>
  <c r="AJ830" i="1" s="1"/>
  <c r="AK830" i="1"/>
  <c r="AL830" i="1" s="1"/>
  <c r="AC830" i="1" l="1"/>
  <c r="AH830" i="1"/>
  <c r="AF830" i="1"/>
  <c r="X830" i="1"/>
  <c r="Z830" i="1"/>
  <c r="Y830" i="1"/>
  <c r="AA830" i="1"/>
  <c r="AM830" i="1"/>
  <c r="C831" i="1"/>
  <c r="D831" i="1"/>
  <c r="AC831" i="1" s="1"/>
  <c r="AD831" i="1"/>
  <c r="AE831" i="1"/>
  <c r="W831" i="1" s="1"/>
  <c r="AG831" i="1"/>
  <c r="AJ831" i="1" s="1"/>
  <c r="AK831" i="1"/>
  <c r="AL831" i="1" s="1"/>
  <c r="AM831" i="1" l="1"/>
  <c r="AH831" i="1"/>
  <c r="AF831" i="1"/>
  <c r="AB831" i="1"/>
  <c r="Y831" i="1"/>
  <c r="AA831" i="1"/>
  <c r="X831" i="1"/>
  <c r="Z831" i="1"/>
  <c r="C832" i="1"/>
  <c r="D832" i="1"/>
  <c r="AB832" i="1" s="1"/>
  <c r="AD832" i="1"/>
  <c r="AE832" i="1"/>
  <c r="W832" i="1" s="1"/>
  <c r="AG832" i="1"/>
  <c r="AJ832" i="1" s="1"/>
  <c r="AK832" i="1"/>
  <c r="AL832" i="1" s="1"/>
  <c r="AC832" i="1" l="1"/>
  <c r="AH832" i="1"/>
  <c r="AF832" i="1"/>
  <c r="X832" i="1"/>
  <c r="Z832" i="1"/>
  <c r="Y832" i="1"/>
  <c r="AA832" i="1"/>
  <c r="AM832" i="1"/>
  <c r="C833" i="1"/>
  <c r="D833" i="1"/>
  <c r="AC833" i="1" s="1"/>
  <c r="AD833" i="1"/>
  <c r="AE833" i="1"/>
  <c r="W833" i="1" s="1"/>
  <c r="AG833" i="1"/>
  <c r="AJ833" i="1" s="1"/>
  <c r="AK833" i="1"/>
  <c r="AL833" i="1" s="1"/>
  <c r="AH833" i="1" l="1"/>
  <c r="AF833" i="1"/>
  <c r="AB833" i="1"/>
  <c r="Y833" i="1"/>
  <c r="AA833" i="1"/>
  <c r="X833" i="1"/>
  <c r="Z833" i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AH834" i="1" l="1"/>
  <c r="AF834" i="1"/>
  <c r="AB834" i="1"/>
  <c r="Y834" i="1"/>
  <c r="AA834" i="1"/>
  <c r="X834" i="1"/>
  <c r="Z834" i="1"/>
  <c r="AM834" i="1"/>
  <c r="C835" i="1"/>
  <c r="D835" i="1"/>
  <c r="AC835" i="1" s="1"/>
  <c r="AD835" i="1"/>
  <c r="AE835" i="1"/>
  <c r="W835" i="1" s="1"/>
  <c r="AG835" i="1"/>
  <c r="AJ835" i="1" s="1"/>
  <c r="AK835" i="1"/>
  <c r="AL835" i="1" s="1"/>
  <c r="AM835" i="1" l="1"/>
  <c r="AH835" i="1"/>
  <c r="AF835" i="1"/>
  <c r="AB835" i="1"/>
  <c r="Y835" i="1"/>
  <c r="AA835" i="1"/>
  <c r="X835" i="1"/>
  <c r="Z835" i="1"/>
  <c r="C836" i="1"/>
  <c r="D836" i="1"/>
  <c r="AB836" i="1" s="1"/>
  <c r="AD836" i="1"/>
  <c r="AE836" i="1"/>
  <c r="W836" i="1" s="1"/>
  <c r="AG836" i="1"/>
  <c r="AJ836" i="1" s="1"/>
  <c r="AK836" i="1"/>
  <c r="AL836" i="1" s="1"/>
  <c r="AC836" i="1" l="1"/>
  <c r="AH836" i="1"/>
  <c r="AF836" i="1"/>
  <c r="X836" i="1"/>
  <c r="Z836" i="1"/>
  <c r="Y836" i="1"/>
  <c r="AA836" i="1"/>
  <c r="AM836" i="1"/>
  <c r="C837" i="1"/>
  <c r="D837" i="1"/>
  <c r="AC837" i="1" s="1"/>
  <c r="AD837" i="1"/>
  <c r="AE837" i="1"/>
  <c r="W837" i="1" s="1"/>
  <c r="AG837" i="1"/>
  <c r="AJ837" i="1" s="1"/>
  <c r="AK837" i="1"/>
  <c r="AL837" i="1" s="1"/>
  <c r="AM837" i="1" l="1"/>
  <c r="AH837" i="1"/>
  <c r="AF837" i="1"/>
  <c r="AB837" i="1"/>
  <c r="Y837" i="1"/>
  <c r="AA837" i="1"/>
  <c r="X837" i="1"/>
  <c r="Z837" i="1"/>
  <c r="C838" i="1"/>
  <c r="D838" i="1"/>
  <c r="AB838" i="1" s="1"/>
  <c r="AD838" i="1"/>
  <c r="AE838" i="1"/>
  <c r="W838" i="1" s="1"/>
  <c r="AG838" i="1"/>
  <c r="AJ838" i="1" s="1"/>
  <c r="AK838" i="1"/>
  <c r="AL838" i="1" s="1"/>
  <c r="AC838" i="1" l="1"/>
  <c r="AH838" i="1"/>
  <c r="AF838" i="1"/>
  <c r="X838" i="1"/>
  <c r="Z838" i="1"/>
  <c r="Y838" i="1"/>
  <c r="AA838" i="1"/>
  <c r="AM838" i="1"/>
  <c r="C839" i="1"/>
  <c r="D839" i="1"/>
  <c r="AC839" i="1" s="1"/>
  <c r="AD839" i="1"/>
  <c r="AE839" i="1"/>
  <c r="W839" i="1" s="1"/>
  <c r="AG839" i="1"/>
  <c r="AJ839" i="1" s="1"/>
  <c r="AK839" i="1"/>
  <c r="AL839" i="1" s="1"/>
  <c r="AM839" i="1" l="1"/>
  <c r="AH839" i="1"/>
  <c r="AF839" i="1"/>
  <c r="AB839" i="1"/>
  <c r="Y839" i="1"/>
  <c r="AA839" i="1"/>
  <c r="X839" i="1"/>
  <c r="Z839" i="1"/>
  <c r="C840" i="1"/>
  <c r="D840" i="1"/>
  <c r="AB840" i="1" s="1"/>
  <c r="AD840" i="1"/>
  <c r="AE840" i="1"/>
  <c r="W840" i="1" s="1"/>
  <c r="AG840" i="1"/>
  <c r="AJ840" i="1" s="1"/>
  <c r="AK840" i="1"/>
  <c r="AL840" i="1" s="1"/>
  <c r="AC840" i="1" l="1"/>
  <c r="AH840" i="1"/>
  <c r="AF840" i="1"/>
  <c r="X840" i="1"/>
  <c r="Z840" i="1"/>
  <c r="Y840" i="1"/>
  <c r="AA840" i="1"/>
  <c r="AM840" i="1"/>
  <c r="C841" i="1"/>
  <c r="D841" i="1"/>
  <c r="AC841" i="1" s="1"/>
  <c r="AD841" i="1"/>
  <c r="AE841" i="1"/>
  <c r="W841" i="1" s="1"/>
  <c r="AG841" i="1"/>
  <c r="AJ841" i="1" s="1"/>
  <c r="AK841" i="1"/>
  <c r="AL841" i="1" s="1"/>
  <c r="AM841" i="1" l="1"/>
  <c r="AH841" i="1"/>
  <c r="AF841" i="1"/>
  <c r="AB841" i="1"/>
  <c r="Y841" i="1"/>
  <c r="AA841" i="1"/>
  <c r="X841" i="1"/>
  <c r="Z841" i="1"/>
  <c r="C842" i="1"/>
  <c r="D842" i="1"/>
  <c r="AB842" i="1" s="1"/>
  <c r="AD842" i="1"/>
  <c r="AE842" i="1"/>
  <c r="W842" i="1" s="1"/>
  <c r="AG842" i="1"/>
  <c r="AJ842" i="1" s="1"/>
  <c r="AK842" i="1"/>
  <c r="AL842" i="1" s="1"/>
  <c r="AC842" i="1" l="1"/>
  <c r="AH842" i="1"/>
  <c r="AF842" i="1"/>
  <c r="X842" i="1"/>
  <c r="Z842" i="1"/>
  <c r="Y842" i="1"/>
  <c r="AA842" i="1"/>
  <c r="AM842" i="1"/>
  <c r="C843" i="1"/>
  <c r="D843" i="1"/>
  <c r="AC843" i="1" s="1"/>
  <c r="AD843" i="1"/>
  <c r="AE843" i="1"/>
  <c r="W843" i="1" s="1"/>
  <c r="AG843" i="1"/>
  <c r="AJ843" i="1" s="1"/>
  <c r="AK843" i="1"/>
  <c r="AL843" i="1" s="1"/>
  <c r="AM843" i="1" l="1"/>
  <c r="AH843" i="1"/>
  <c r="AF843" i="1"/>
  <c r="AB843" i="1"/>
  <c r="Y843" i="1"/>
  <c r="AA843" i="1"/>
  <c r="X843" i="1"/>
  <c r="Z843" i="1"/>
  <c r="C844" i="1"/>
  <c r="D844" i="1"/>
  <c r="AB844" i="1" s="1"/>
  <c r="AD844" i="1"/>
  <c r="AE844" i="1"/>
  <c r="W844" i="1" s="1"/>
  <c r="AG844" i="1"/>
  <c r="AJ844" i="1" s="1"/>
  <c r="AK844" i="1"/>
  <c r="AL844" i="1" s="1"/>
  <c r="AC844" i="1" l="1"/>
  <c r="AH844" i="1"/>
  <c r="AF844" i="1"/>
  <c r="X844" i="1"/>
  <c r="Z844" i="1"/>
  <c r="Y844" i="1"/>
  <c r="AA844" i="1"/>
  <c r="AM844" i="1"/>
  <c r="C845" i="1"/>
  <c r="D845" i="1"/>
  <c r="AC845" i="1" s="1"/>
  <c r="AD845" i="1"/>
  <c r="AE845" i="1"/>
  <c r="W845" i="1" s="1"/>
  <c r="AG845" i="1"/>
  <c r="AJ845" i="1" s="1"/>
  <c r="AK845" i="1"/>
  <c r="AL845" i="1" s="1"/>
  <c r="AH845" i="1" l="1"/>
  <c r="AF845" i="1"/>
  <c r="AB845" i="1"/>
  <c r="Y845" i="1"/>
  <c r="AA845" i="1"/>
  <c r="X845" i="1"/>
  <c r="Z845" i="1"/>
  <c r="AM845" i="1"/>
  <c r="C846" i="1"/>
  <c r="D846" i="1"/>
  <c r="AC846" i="1" s="1"/>
  <c r="AD846" i="1"/>
  <c r="AE846" i="1"/>
  <c r="W846" i="1" s="1"/>
  <c r="AG846" i="1"/>
  <c r="AJ846" i="1" s="1"/>
  <c r="AK846" i="1"/>
  <c r="AL846" i="1" s="1"/>
  <c r="AM846" i="1" l="1"/>
  <c r="AH846" i="1"/>
  <c r="AF846" i="1"/>
  <c r="AB846" i="1"/>
  <c r="Y846" i="1"/>
  <c r="AA846" i="1"/>
  <c r="X846" i="1"/>
  <c r="Z846" i="1"/>
  <c r="C847" i="1"/>
  <c r="D847" i="1"/>
  <c r="AB847" i="1" s="1"/>
  <c r="AD847" i="1"/>
  <c r="AE847" i="1"/>
  <c r="W847" i="1" s="1"/>
  <c r="AG847" i="1"/>
  <c r="AJ847" i="1" s="1"/>
  <c r="AK847" i="1"/>
  <c r="AL847" i="1" s="1"/>
  <c r="AC847" i="1" l="1"/>
  <c r="AH847" i="1"/>
  <c r="AF847" i="1"/>
  <c r="X847" i="1"/>
  <c r="Z847" i="1"/>
  <c r="Y847" i="1"/>
  <c r="AA847" i="1"/>
  <c r="AM847" i="1"/>
  <c r="C848" i="1"/>
  <c r="D848" i="1"/>
  <c r="AC848" i="1" s="1"/>
  <c r="AD848" i="1"/>
  <c r="AE848" i="1"/>
  <c r="W848" i="1" s="1"/>
  <c r="AG848" i="1"/>
  <c r="AJ848" i="1" s="1"/>
  <c r="AK848" i="1"/>
  <c r="AL848" i="1" s="1"/>
  <c r="AH848" i="1" l="1"/>
  <c r="AF848" i="1"/>
  <c r="AB848" i="1"/>
  <c r="Y848" i="1"/>
  <c r="AA848" i="1"/>
  <c r="X848" i="1"/>
  <c r="Z848" i="1"/>
  <c r="AM848" i="1"/>
  <c r="C849" i="1"/>
  <c r="D849" i="1"/>
  <c r="AC849" i="1" s="1"/>
  <c r="AD849" i="1"/>
  <c r="AE849" i="1"/>
  <c r="W849" i="1" s="1"/>
  <c r="AG849" i="1"/>
  <c r="AJ849" i="1" s="1"/>
  <c r="AK849" i="1"/>
  <c r="AL849" i="1" s="1"/>
  <c r="AH849" i="1" l="1"/>
  <c r="AF849" i="1"/>
  <c r="AB849" i="1"/>
  <c r="Y849" i="1"/>
  <c r="AA849" i="1"/>
  <c r="X849" i="1"/>
  <c r="Z849" i="1"/>
  <c r="AM849" i="1"/>
  <c r="C850" i="1"/>
  <c r="D850" i="1"/>
  <c r="AC850" i="1" s="1"/>
  <c r="AD850" i="1"/>
  <c r="AE850" i="1"/>
  <c r="W850" i="1" s="1"/>
  <c r="AG850" i="1"/>
  <c r="AJ850" i="1" s="1"/>
  <c r="AK850" i="1"/>
  <c r="AL850" i="1" s="1"/>
  <c r="AM850" i="1" l="1"/>
  <c r="AH850" i="1"/>
  <c r="AF850" i="1"/>
  <c r="AB850" i="1"/>
  <c r="Y850" i="1"/>
  <c r="AA850" i="1"/>
  <c r="X850" i="1"/>
  <c r="Z850" i="1"/>
  <c r="C851" i="1"/>
  <c r="D851" i="1"/>
  <c r="AB851" i="1" s="1"/>
  <c r="AD851" i="1"/>
  <c r="AE851" i="1"/>
  <c r="W851" i="1" s="1"/>
  <c r="AG851" i="1"/>
  <c r="AJ851" i="1" s="1"/>
  <c r="AK851" i="1"/>
  <c r="AL851" i="1" s="1"/>
  <c r="AC851" i="1" l="1"/>
  <c r="AH851" i="1"/>
  <c r="AF851" i="1"/>
  <c r="X851" i="1"/>
  <c r="Z851" i="1"/>
  <c r="Y851" i="1"/>
  <c r="AA851" i="1"/>
  <c r="AM851" i="1"/>
  <c r="C852" i="1"/>
  <c r="D852" i="1"/>
  <c r="AC852" i="1" s="1"/>
  <c r="AD852" i="1"/>
  <c r="AE852" i="1"/>
  <c r="W852" i="1" s="1"/>
  <c r="AG852" i="1"/>
  <c r="AJ852" i="1" s="1"/>
  <c r="AK852" i="1"/>
  <c r="AL852" i="1" s="1"/>
  <c r="AM852" i="1" l="1"/>
  <c r="AH852" i="1"/>
  <c r="AF852" i="1"/>
  <c r="AB852" i="1"/>
  <c r="Y852" i="1"/>
  <c r="AA852" i="1"/>
  <c r="X852" i="1"/>
  <c r="Z852" i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C854" i="1"/>
  <c r="D854" i="1"/>
  <c r="AC854" i="1" s="1"/>
  <c r="AD854" i="1"/>
  <c r="AE854" i="1"/>
  <c r="W854" i="1" s="1"/>
  <c r="AG854" i="1"/>
  <c r="AJ854" i="1" s="1"/>
  <c r="AK854" i="1"/>
  <c r="AL854" i="1" s="1"/>
  <c r="AM854" i="1" l="1"/>
  <c r="AH854" i="1"/>
  <c r="AF854" i="1"/>
  <c r="AB854" i="1"/>
  <c r="Y854" i="1"/>
  <c r="AA854" i="1"/>
  <c r="X854" i="1"/>
  <c r="Z854" i="1"/>
  <c r="C855" i="1"/>
  <c r="D855" i="1"/>
  <c r="AB855" i="1" s="1"/>
  <c r="AD855" i="1"/>
  <c r="AE855" i="1"/>
  <c r="W855" i="1" s="1"/>
  <c r="AG855" i="1"/>
  <c r="AJ855" i="1" s="1"/>
  <c r="AK855" i="1"/>
  <c r="AL855" i="1" s="1"/>
  <c r="AC855" i="1" l="1"/>
  <c r="AH855" i="1"/>
  <c r="AF855" i="1"/>
  <c r="X855" i="1"/>
  <c r="Z855" i="1"/>
  <c r="Y855" i="1"/>
  <c r="AA855" i="1"/>
  <c r="AM855" i="1"/>
  <c r="C856" i="1"/>
  <c r="D856" i="1"/>
  <c r="AC856" i="1" s="1"/>
  <c r="AD856" i="1"/>
  <c r="AE856" i="1"/>
  <c r="W856" i="1" s="1"/>
  <c r="AG856" i="1"/>
  <c r="AJ856" i="1" s="1"/>
  <c r="AK856" i="1"/>
  <c r="AL856" i="1" s="1"/>
  <c r="AH856" i="1" l="1"/>
  <c r="AF856" i="1"/>
  <c r="AB856" i="1"/>
  <c r="Y856" i="1"/>
  <c r="AA856" i="1"/>
  <c r="X856" i="1"/>
  <c r="Z856" i="1"/>
  <c r="AM856" i="1"/>
  <c r="C857" i="1"/>
  <c r="D857" i="1"/>
  <c r="AC857" i="1" s="1"/>
  <c r="AD857" i="1"/>
  <c r="AE857" i="1"/>
  <c r="W857" i="1" s="1"/>
  <c r="AG857" i="1"/>
  <c r="AJ857" i="1" s="1"/>
  <c r="AK857" i="1"/>
  <c r="AL857" i="1" s="1"/>
  <c r="AM857" i="1" l="1"/>
  <c r="AH857" i="1"/>
  <c r="AF857" i="1"/>
  <c r="AB857" i="1"/>
  <c r="Y857" i="1"/>
  <c r="AA857" i="1"/>
  <c r="X857" i="1"/>
  <c r="Z857" i="1"/>
  <c r="C858" i="1"/>
  <c r="D858" i="1"/>
  <c r="AB858" i="1" s="1"/>
  <c r="AD858" i="1"/>
  <c r="AE858" i="1"/>
  <c r="W858" i="1" s="1"/>
  <c r="AG858" i="1"/>
  <c r="AJ858" i="1" s="1"/>
  <c r="AK858" i="1"/>
  <c r="AL858" i="1" s="1"/>
  <c r="AC858" i="1" l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P313" i="1" l="1"/>
  <c r="N313" i="1"/>
  <c r="P21" i="1" l="1"/>
  <c r="W208" i="1" l="1"/>
  <c r="X208" i="1" s="1"/>
  <c r="Y208" i="1" s="1"/>
  <c r="Z208" i="1" s="1"/>
  <c r="AA208" i="1" s="1"/>
  <c r="AE208" i="1"/>
  <c r="AD208" i="1" s="1"/>
  <c r="AK208" i="1"/>
  <c r="C208" i="1"/>
  <c r="AK358" i="1"/>
  <c r="AL208" i="1" l="1"/>
  <c r="AK3" i="1"/>
  <c r="AK4" i="1"/>
  <c r="AL4" i="1" s="1"/>
  <c r="AK5" i="1"/>
  <c r="AK6" i="1"/>
  <c r="AL6" i="1" s="1"/>
  <c r="AK7" i="1"/>
  <c r="AK8" i="1"/>
  <c r="AL8" i="1" s="1"/>
  <c r="AK9" i="1"/>
  <c r="AK10" i="1"/>
  <c r="AK11" i="1"/>
  <c r="AK12" i="1"/>
  <c r="AK13" i="1"/>
  <c r="AK14" i="1"/>
  <c r="AK15" i="1"/>
  <c r="AK16" i="1"/>
  <c r="AK17" i="1"/>
  <c r="AK18" i="1"/>
  <c r="AL18" i="1" s="1"/>
  <c r="AK19" i="1"/>
  <c r="AK20" i="1"/>
  <c r="AL20" i="1" s="1"/>
  <c r="AK21" i="1"/>
  <c r="AK22" i="1"/>
  <c r="AL22" i="1" s="1"/>
  <c r="AK23" i="1"/>
  <c r="AK24" i="1"/>
  <c r="AK25" i="1"/>
  <c r="AK26" i="1"/>
  <c r="AK27" i="1"/>
  <c r="AL27" i="1" s="1"/>
  <c r="AK28" i="1"/>
  <c r="AL28" i="1" s="1"/>
  <c r="AK29" i="1"/>
  <c r="AK30" i="1"/>
  <c r="AL30" i="1" s="1"/>
  <c r="AK31" i="1"/>
  <c r="AK32" i="1"/>
  <c r="AK33" i="1"/>
  <c r="AK34" i="1"/>
  <c r="AK35" i="1"/>
  <c r="AK36" i="1"/>
  <c r="AK37" i="1"/>
  <c r="AK38" i="1"/>
  <c r="AK39" i="1"/>
  <c r="AK40" i="1"/>
  <c r="AK41" i="1"/>
  <c r="AL41" i="1" s="1"/>
  <c r="AK42" i="1"/>
  <c r="AK43" i="1"/>
  <c r="AK44" i="1"/>
  <c r="AK45" i="1"/>
  <c r="AK46" i="1"/>
  <c r="AK47" i="1"/>
  <c r="AK48" i="1"/>
  <c r="AK49" i="1"/>
  <c r="AK50" i="1"/>
  <c r="AL50" i="1" s="1"/>
  <c r="AK51" i="1"/>
  <c r="AK52" i="1"/>
  <c r="AK53" i="1"/>
  <c r="AL53" i="1" s="1"/>
  <c r="AK54" i="1"/>
  <c r="AK55" i="1"/>
  <c r="AK56" i="1"/>
  <c r="AK57" i="1"/>
  <c r="AK58" i="1"/>
  <c r="AK59" i="1"/>
  <c r="AK60" i="1"/>
  <c r="AK61" i="1"/>
  <c r="AK62" i="1"/>
  <c r="AK63" i="1"/>
  <c r="AL63" i="1" s="1"/>
  <c r="AK64" i="1"/>
  <c r="AK65" i="1"/>
  <c r="AL65" i="1" s="1"/>
  <c r="AK66" i="1"/>
  <c r="AK67" i="1"/>
  <c r="AK68" i="1"/>
  <c r="AK69" i="1"/>
  <c r="AL69" i="1" s="1"/>
  <c r="AK70" i="1"/>
  <c r="AL70" i="1" s="1"/>
  <c r="AK71" i="1"/>
  <c r="AL71" i="1" s="1"/>
  <c r="AK72" i="1"/>
  <c r="AL72" i="1" s="1"/>
  <c r="AK73" i="1"/>
  <c r="AL73" i="1" s="1"/>
  <c r="AK74" i="1"/>
  <c r="AL74" i="1" s="1"/>
  <c r="AK75" i="1"/>
  <c r="AL75" i="1" s="1"/>
  <c r="AK76" i="1"/>
  <c r="AL76" i="1" s="1"/>
  <c r="AK77" i="1"/>
  <c r="AL77" i="1" s="1"/>
  <c r="AK78" i="1"/>
  <c r="AL78" i="1" s="1"/>
  <c r="AK79" i="1"/>
  <c r="AL79" i="1" s="1"/>
  <c r="AK80" i="1"/>
  <c r="AL80" i="1" s="1"/>
  <c r="AK81" i="1"/>
  <c r="AL81" i="1" s="1"/>
  <c r="AK82" i="1"/>
  <c r="AL82" i="1" s="1"/>
  <c r="AK83" i="1"/>
  <c r="AL83" i="1" s="1"/>
  <c r="AK84" i="1"/>
  <c r="AL84" i="1" s="1"/>
  <c r="AK85" i="1"/>
  <c r="AL85" i="1" s="1"/>
  <c r="AK86" i="1"/>
  <c r="AL86" i="1" s="1"/>
  <c r="AK87" i="1"/>
  <c r="AL87" i="1" s="1"/>
  <c r="AK88" i="1"/>
  <c r="AL88" i="1" s="1"/>
  <c r="AK89" i="1"/>
  <c r="AL89" i="1" s="1"/>
  <c r="AK90" i="1"/>
  <c r="AK91" i="1"/>
  <c r="AK92" i="1"/>
  <c r="AL92" i="1" s="1"/>
  <c r="AK93" i="1"/>
  <c r="AK94" i="1"/>
  <c r="AK95" i="1"/>
  <c r="AK96" i="1"/>
  <c r="AL96" i="1" s="1"/>
  <c r="AK97" i="1"/>
  <c r="AK98" i="1"/>
  <c r="AL98" i="1" s="1"/>
  <c r="AK99" i="1"/>
  <c r="AK100" i="1"/>
  <c r="AL100" i="1" s="1"/>
  <c r="AK101" i="1"/>
  <c r="AK102" i="1"/>
  <c r="AL102" i="1" s="1"/>
  <c r="AK103" i="1"/>
  <c r="AK104" i="1"/>
  <c r="AL104" i="1" s="1"/>
  <c r="AK105" i="1"/>
  <c r="AK106" i="1"/>
  <c r="AK107" i="1"/>
  <c r="AL107" i="1" s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L121" i="1" s="1"/>
  <c r="AK122" i="1"/>
  <c r="AL122" i="1" s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L141" i="1" s="1"/>
  <c r="AK142" i="1"/>
  <c r="AK143" i="1"/>
  <c r="AL143" i="1" s="1"/>
  <c r="AK144" i="1"/>
  <c r="AK145" i="1"/>
  <c r="AK146" i="1"/>
  <c r="AK147" i="1"/>
  <c r="AK148" i="1"/>
  <c r="AL148" i="1" s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L162" i="1" s="1"/>
  <c r="AK163" i="1"/>
  <c r="AK164" i="1"/>
  <c r="AL164" i="1" s="1"/>
  <c r="AK165" i="1"/>
  <c r="AK166" i="1"/>
  <c r="AL166" i="1" s="1"/>
  <c r="AK167" i="1"/>
  <c r="AK168" i="1"/>
  <c r="AL168" i="1" s="1"/>
  <c r="AK169" i="1"/>
  <c r="AK170" i="1"/>
  <c r="AL170" i="1" s="1"/>
  <c r="AK171" i="1"/>
  <c r="AK172" i="1"/>
  <c r="AK173" i="1"/>
  <c r="AK174" i="1"/>
  <c r="AK175" i="1"/>
  <c r="AK176" i="1"/>
  <c r="AK177" i="1"/>
  <c r="AL177" i="1" s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L198" i="1" s="1"/>
  <c r="AK199" i="1"/>
  <c r="AK200" i="1"/>
  <c r="AK201" i="1"/>
  <c r="AK202" i="1"/>
  <c r="AK203" i="1"/>
  <c r="AK204" i="1"/>
  <c r="AK205" i="1"/>
  <c r="AK206" i="1"/>
  <c r="AK207" i="1"/>
  <c r="AK209" i="1"/>
  <c r="AL209" i="1" s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L223" i="1" s="1"/>
  <c r="AK224" i="1"/>
  <c r="AK225" i="1"/>
  <c r="AL225" i="1" s="1"/>
  <c r="AK226" i="1"/>
  <c r="AK227" i="1"/>
  <c r="AK228" i="1"/>
  <c r="AK229" i="1"/>
  <c r="AK230" i="1"/>
  <c r="AK231" i="1"/>
  <c r="AK232" i="1"/>
  <c r="AK233" i="1"/>
  <c r="AL233" i="1" s="1"/>
  <c r="AK234" i="1"/>
  <c r="AK235" i="1"/>
  <c r="AK236" i="1"/>
  <c r="AK237" i="1"/>
  <c r="AK238" i="1"/>
  <c r="AL238" i="1" s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92" i="1"/>
  <c r="AM86" i="1"/>
  <c r="AM50" i="1"/>
  <c r="AM30" i="1"/>
  <c r="AM28" i="1"/>
  <c r="AM22" i="1"/>
  <c r="AM20" i="1"/>
  <c r="AM18" i="1"/>
  <c r="AM8" i="1"/>
  <c r="AM6" i="1"/>
  <c r="AM4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89" i="1"/>
  <c r="AM69" i="1"/>
  <c r="AM65" i="1"/>
  <c r="AM63" i="1"/>
  <c r="AM53" i="1"/>
  <c r="AM41" i="1"/>
  <c r="N110" i="1" l="1"/>
  <c r="N111" i="1"/>
  <c r="AE19" i="1" l="1"/>
  <c r="W19" i="1" s="1"/>
  <c r="AJ19" i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C222" i="1"/>
  <c r="AE221" i="1"/>
  <c r="AE220" i="1"/>
  <c r="C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C206" i="1"/>
  <c r="AE205" i="1"/>
  <c r="AD205" i="1" s="1"/>
  <c r="AL205" i="1" s="1"/>
  <c r="C205" i="1"/>
  <c r="AE204" i="1"/>
  <c r="C204" i="1"/>
  <c r="AE203" i="1"/>
  <c r="W203" i="1" s="1"/>
  <c r="C203" i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C197" i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C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C160" i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C145" i="1"/>
  <c r="AE144" i="1"/>
  <c r="AE143" i="1"/>
  <c r="W143" i="1" s="1"/>
  <c r="C143" i="1"/>
  <c r="AE142" i="1"/>
  <c r="W142" i="1" s="1"/>
  <c r="AE141" i="1"/>
  <c r="AD141" i="1"/>
  <c r="C141" i="1"/>
  <c r="AE140" i="1"/>
  <c r="C140" i="1"/>
  <c r="AE139" i="1"/>
  <c r="W139" i="1" s="1"/>
  <c r="X139" i="1" s="1"/>
  <c r="C139" i="1"/>
  <c r="AE138" i="1"/>
  <c r="W138" i="1" s="1"/>
  <c r="C138" i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C120" i="1"/>
  <c r="AE119" i="1"/>
  <c r="C119" i="1"/>
  <c r="AE118" i="1"/>
  <c r="AE117" i="1"/>
  <c r="W117" i="1" s="1"/>
  <c r="C117" i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C102" i="1"/>
  <c r="AE101" i="1"/>
  <c r="AE100" i="1"/>
  <c r="AE99" i="1"/>
  <c r="AE98" i="1"/>
  <c r="W98" i="1" s="1"/>
  <c r="AE97" i="1"/>
  <c r="AE96" i="1"/>
  <c r="AE95" i="1"/>
  <c r="C95" i="1"/>
  <c r="AE94" i="1"/>
  <c r="C94" i="1"/>
  <c r="AE93" i="1"/>
  <c r="W93" i="1" s="1"/>
  <c r="X93" i="1" s="1"/>
  <c r="AE92" i="1"/>
  <c r="C92" i="1"/>
  <c r="AE91" i="1"/>
  <c r="AD91" i="1" s="1"/>
  <c r="AL91" i="1" s="1"/>
  <c r="AE90" i="1"/>
  <c r="W90" i="1" s="1"/>
  <c r="AE89" i="1"/>
  <c r="AE88" i="1"/>
  <c r="C88" i="1"/>
  <c r="AE87" i="1"/>
  <c r="AE86" i="1"/>
  <c r="C86" i="1"/>
  <c r="AE85" i="1"/>
  <c r="AD85" i="1" s="1"/>
  <c r="C85" i="1"/>
  <c r="AE84" i="1"/>
  <c r="AE83" i="1"/>
  <c r="W83" i="1" s="1"/>
  <c r="C83" i="1"/>
  <c r="AE82" i="1"/>
  <c r="C82" i="1"/>
  <c r="AE81" i="1"/>
  <c r="C81" i="1"/>
  <c r="AE80" i="1"/>
  <c r="AE79" i="1"/>
  <c r="C79" i="1"/>
  <c r="AE78" i="1"/>
  <c r="C78" i="1"/>
  <c r="AE77" i="1"/>
  <c r="W77" i="1" s="1"/>
  <c r="X77" i="1" s="1"/>
  <c r="C77" i="1"/>
  <c r="AE76" i="1"/>
  <c r="C76" i="1"/>
  <c r="AE75" i="1"/>
  <c r="AE74" i="1"/>
  <c r="W74" i="1" s="1"/>
  <c r="AE73" i="1"/>
  <c r="C73" i="1"/>
  <c r="AE72" i="1"/>
  <c r="C72" i="1"/>
  <c r="AE71" i="1"/>
  <c r="C71" i="1"/>
  <c r="AE70" i="1"/>
  <c r="W70" i="1" s="1"/>
  <c r="AE69" i="1"/>
  <c r="C69" i="1"/>
  <c r="AE68" i="1"/>
  <c r="C68" i="1"/>
  <c r="AE67" i="1"/>
  <c r="AE66" i="1"/>
  <c r="W66" i="1" s="1"/>
  <c r="AE65" i="1"/>
  <c r="C65" i="1"/>
  <c r="AE64" i="1"/>
  <c r="AE63" i="1"/>
  <c r="AD63" i="1"/>
  <c r="C63" i="1"/>
  <c r="AE62" i="1"/>
  <c r="C62" i="1"/>
  <c r="AE61" i="1"/>
  <c r="C61" i="1"/>
  <c r="AE60" i="1"/>
  <c r="C60" i="1"/>
  <c r="AE59" i="1"/>
  <c r="C59" i="1"/>
  <c r="AE58" i="1"/>
  <c r="C58" i="1"/>
  <c r="AE57" i="1"/>
  <c r="C57" i="1"/>
  <c r="AE56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C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C36" i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C25" i="1"/>
  <c r="AE24" i="1"/>
  <c r="AE23" i="1"/>
  <c r="AE22" i="1"/>
  <c r="AE21" i="1"/>
  <c r="AE20" i="1"/>
  <c r="C20" i="1"/>
  <c r="AG18" i="1"/>
  <c r="AJ18" i="1" s="1"/>
  <c r="AE18" i="1"/>
  <c r="W18" i="1" s="1"/>
  <c r="AD18" i="1"/>
  <c r="D18" i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C11" i="1"/>
  <c r="AE10" i="1"/>
  <c r="C10" i="1"/>
  <c r="AE9" i="1"/>
  <c r="AE8" i="1"/>
  <c r="AE7" i="1"/>
  <c r="AE6" i="1"/>
  <c r="AE5" i="1"/>
  <c r="W5" i="1" s="1"/>
  <c r="AE4" i="1"/>
  <c r="C4" i="1"/>
  <c r="AE3" i="1"/>
  <c r="H1" i="1"/>
  <c r="AD605" i="1" l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18" i="1"/>
  <c r="AH308" i="1"/>
  <c r="AH341" i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18" i="1"/>
  <c r="AF308" i="1"/>
  <c r="AF341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93" i="1"/>
  <c r="AL93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W50" i="1"/>
  <c r="X50" i="1" s="1"/>
  <c r="W63" i="1"/>
  <c r="X63" i="1" s="1"/>
  <c r="AD68" i="1"/>
  <c r="AL68" i="1" s="1"/>
  <c r="W68" i="1"/>
  <c r="X68" i="1" s="1"/>
  <c r="AD164" i="1"/>
  <c r="W164" i="1"/>
  <c r="AD166" i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AD291" i="1"/>
  <c r="AL291" i="1" s="1"/>
  <c r="W291" i="1"/>
  <c r="X291" i="1" s="1"/>
  <c r="Y291" i="1" s="1"/>
  <c r="AD22" i="1"/>
  <c r="W22" i="1"/>
  <c r="X22" i="1" s="1"/>
  <c r="Y22" i="1" s="1"/>
  <c r="Z22" i="1" s="1"/>
  <c r="AA22" i="1" s="1"/>
  <c r="W25" i="1"/>
  <c r="W27" i="1"/>
  <c r="AD30" i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67" i="1"/>
  <c r="X67" i="1" s="1"/>
  <c r="AD69" i="1"/>
  <c r="W69" i="1"/>
  <c r="X69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56" i="1"/>
  <c r="AL56" i="1" s="1"/>
  <c r="W56" i="1"/>
  <c r="W57" i="1"/>
  <c r="X57" i="1" s="1"/>
  <c r="AD58" i="1"/>
  <c r="AL58" i="1" s="1"/>
  <c r="W58" i="1"/>
  <c r="X58" i="1" s="1"/>
  <c r="W59" i="1"/>
  <c r="X59" i="1" s="1"/>
  <c r="AD60" i="1"/>
  <c r="AL60" i="1" s="1"/>
  <c r="W60" i="1"/>
  <c r="X60" i="1" s="1"/>
  <c r="Y60" i="1" s="1"/>
  <c r="W61" i="1"/>
  <c r="X61" i="1" s="1"/>
  <c r="AD62" i="1"/>
  <c r="AL62" i="1" s="1"/>
  <c r="W62" i="1"/>
  <c r="AD64" i="1"/>
  <c r="AL64" i="1" s="1"/>
  <c r="W64" i="1"/>
  <c r="X64" i="1" s="1"/>
  <c r="W65" i="1"/>
  <c r="X65" i="1" s="1"/>
  <c r="AD71" i="1"/>
  <c r="W71" i="1"/>
  <c r="AD72" i="1"/>
  <c r="W72" i="1"/>
  <c r="X72" i="1" s="1"/>
  <c r="Y72" i="1" s="1"/>
  <c r="Z72" i="1" s="1"/>
  <c r="AA72" i="1" s="1"/>
  <c r="AD73" i="1"/>
  <c r="W73" i="1"/>
  <c r="X73" i="1" s="1"/>
  <c r="W127" i="1"/>
  <c r="W129" i="1"/>
  <c r="AD163" i="1"/>
  <c r="AL163" i="1" s="1"/>
  <c r="W163" i="1"/>
  <c r="X163" i="1" s="1"/>
  <c r="AD168" i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AD223" i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W249" i="1"/>
  <c r="X249" i="1" s="1"/>
  <c r="W254" i="1"/>
  <c r="X254" i="1" s="1"/>
  <c r="W256" i="1"/>
  <c r="AD257" i="1"/>
  <c r="W257" i="1"/>
  <c r="AD258" i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75" i="1"/>
  <c r="X75" i="1" s="1"/>
  <c r="Y75" i="1" s="1"/>
  <c r="Z75" i="1" s="1"/>
  <c r="AA75" i="1" s="1"/>
  <c r="AD76" i="1"/>
  <c r="W76" i="1"/>
  <c r="AD78" i="1"/>
  <c r="W78" i="1"/>
  <c r="X78" i="1" s="1"/>
  <c r="W79" i="1"/>
  <c r="X79" i="1" s="1"/>
  <c r="Y79" i="1" s="1"/>
  <c r="Z79" i="1" s="1"/>
  <c r="AA79" i="1" s="1"/>
  <c r="AD81" i="1"/>
  <c r="W81" i="1"/>
  <c r="X81" i="1" s="1"/>
  <c r="AD82" i="1"/>
  <c r="W82" i="1"/>
  <c r="X82" i="1" s="1"/>
  <c r="AD86" i="1"/>
  <c r="W86" i="1"/>
  <c r="AD88" i="1"/>
  <c r="W88" i="1"/>
  <c r="X88" i="1" s="1"/>
  <c r="Y88" i="1" s="1"/>
  <c r="AD100" i="1"/>
  <c r="W100" i="1"/>
  <c r="X100" i="1" s="1"/>
  <c r="Y100" i="1" s="1"/>
  <c r="Z100" i="1" s="1"/>
  <c r="AA100" i="1" s="1"/>
  <c r="AD102" i="1"/>
  <c r="W102" i="1"/>
  <c r="AD104" i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W4" i="1"/>
  <c r="AD7" i="1"/>
  <c r="AL7" i="1" s="1"/>
  <c r="W7" i="1"/>
  <c r="W9" i="1"/>
  <c r="X9" i="1" s="1"/>
  <c r="AD10" i="1"/>
  <c r="AL10" i="1" s="1"/>
  <c r="W10" i="1"/>
  <c r="AD15" i="1"/>
  <c r="AL15" i="1" s="1"/>
  <c r="W15" i="1"/>
  <c r="X15" i="1" s="1"/>
  <c r="AD16" i="1"/>
  <c r="AL16" i="1" s="1"/>
  <c r="W16" i="1"/>
  <c r="X16" i="1" s="1"/>
  <c r="AD20" i="1"/>
  <c r="W20" i="1"/>
  <c r="AD23" i="1"/>
  <c r="AL23" i="1" s="1"/>
  <c r="AD29" i="1"/>
  <c r="AL29" i="1" s="1"/>
  <c r="AD47" i="1"/>
  <c r="AL47" i="1" s="1"/>
  <c r="AD59" i="1"/>
  <c r="AL59" i="1" s="1"/>
  <c r="AD67" i="1"/>
  <c r="AL67" i="1" s="1"/>
  <c r="AD75" i="1"/>
  <c r="AD77" i="1"/>
  <c r="AD80" i="1"/>
  <c r="W80" i="1"/>
  <c r="X80" i="1" s="1"/>
  <c r="AD84" i="1"/>
  <c r="W84" i="1"/>
  <c r="X84" i="1" s="1"/>
  <c r="Y84" i="1" s="1"/>
  <c r="W89" i="1"/>
  <c r="X89" i="1" s="1"/>
  <c r="Y89" i="1" s="1"/>
  <c r="Z89" i="1" s="1"/>
  <c r="AA89" i="1" s="1"/>
  <c r="W91" i="1"/>
  <c r="X91" i="1" s="1"/>
  <c r="Y91" i="1" s="1"/>
  <c r="Z91" i="1" s="1"/>
  <c r="AA91" i="1" s="1"/>
  <c r="AD92" i="1"/>
  <c r="W92" i="1"/>
  <c r="X92" i="1" s="1"/>
  <c r="Y92" i="1" s="1"/>
  <c r="Z92" i="1" s="1"/>
  <c r="AA92" i="1" s="1"/>
  <c r="AD94" i="1"/>
  <c r="AL94" i="1" s="1"/>
  <c r="W94" i="1"/>
  <c r="X94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AD121" i="1"/>
  <c r="AD122" i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W6" i="1"/>
  <c r="X6" i="1" s="1"/>
  <c r="W85" i="1"/>
  <c r="AD87" i="1"/>
  <c r="W8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W198" i="1"/>
  <c r="X198" i="1" s="1"/>
  <c r="AD200" i="1"/>
  <c r="AL200" i="1" s="1"/>
  <c r="W200" i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W427" i="1"/>
  <c r="X427" i="1" s="1"/>
  <c r="AD434" i="1"/>
  <c r="AL434" i="1" s="1"/>
  <c r="W434" i="1"/>
  <c r="X434" i="1" s="1"/>
  <c r="AD436" i="1"/>
  <c r="AL436" i="1" s="1"/>
  <c r="W436" i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74" i="1"/>
  <c r="AD79" i="1"/>
  <c r="AD83" i="1"/>
  <c r="AD89" i="1"/>
  <c r="AD90" i="1"/>
  <c r="AL90" i="1" s="1"/>
  <c r="AD101" i="1"/>
  <c r="AL101" i="1" s="1"/>
  <c r="AD103" i="1"/>
  <c r="AL103" i="1" s="1"/>
  <c r="AD107" i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AD177" i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65" i="1"/>
  <c r="AD66" i="1"/>
  <c r="AL66" i="1" s="1"/>
  <c r="AD57" i="1"/>
  <c r="AL57" i="1" s="1"/>
  <c r="AD61" i="1"/>
  <c r="AL61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70" i="1"/>
  <c r="X70" i="1"/>
  <c r="Y70" i="1" s="1"/>
  <c r="Z70" i="1" s="1"/>
  <c r="AA70" i="1" s="1"/>
  <c r="AD98" i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83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62" i="1"/>
  <c r="Y62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76" i="1"/>
  <c r="X192" i="1"/>
  <c r="X200" i="1"/>
  <c r="X273" i="1"/>
  <c r="X296" i="1"/>
  <c r="Y296" i="1" s="1"/>
  <c r="Z296" i="1" s="1"/>
  <c r="AA296" i="1" s="1"/>
  <c r="X320" i="1"/>
  <c r="X381" i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10" i="1"/>
  <c r="Y10" i="1" s="1"/>
  <c r="Z10" i="1" s="1"/>
  <c r="AA10" i="1" s="1"/>
  <c r="X71" i="1"/>
  <c r="X86" i="1"/>
  <c r="Y86" i="1" s="1"/>
  <c r="Z86" i="1" s="1"/>
  <c r="AA8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X162" i="1"/>
  <c r="X341" i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75" i="1"/>
  <c r="Y175" i="1" s="1"/>
  <c r="Z175" i="1" s="1"/>
  <c r="AA175" i="1" s="1"/>
  <c r="X182" i="1"/>
  <c r="X199" i="1"/>
  <c r="X209" i="1"/>
  <c r="X210" i="1"/>
  <c r="Y210" i="1" s="1"/>
  <c r="X214" i="1"/>
  <c r="Y214" i="1" s="1"/>
  <c r="Z214" i="1" s="1"/>
  <c r="AA214" i="1" s="1"/>
  <c r="X221" i="1"/>
  <c r="Y221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18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257" i="1"/>
  <c r="Y257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1" i="1"/>
  <c r="Z11" i="1" s="1"/>
  <c r="AA11" i="1" s="1"/>
  <c r="Y13" i="1"/>
  <c r="X14" i="1"/>
  <c r="Y15" i="1"/>
  <c r="Z15" i="1" s="1"/>
  <c r="AA15" i="1" s="1"/>
  <c r="X18" i="1"/>
  <c r="AB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56" i="1"/>
  <c r="Y56" i="1" s="1"/>
  <c r="Y57" i="1"/>
  <c r="Z57" i="1" s="1"/>
  <c r="AA57" i="1" s="1"/>
  <c r="Y59" i="1"/>
  <c r="Z59" i="1" s="1"/>
  <c r="AA59" i="1" s="1"/>
  <c r="Y63" i="1"/>
  <c r="Z63" i="1" s="1"/>
  <c r="AA63" i="1" s="1"/>
  <c r="X66" i="1"/>
  <c r="Y69" i="1"/>
  <c r="Z69" i="1" s="1"/>
  <c r="AA69" i="1" s="1"/>
  <c r="X74" i="1"/>
  <c r="X76" i="1"/>
  <c r="Y76" i="1" s="1"/>
  <c r="Y77" i="1"/>
  <c r="Z77" i="1" s="1"/>
  <c r="AA77" i="1" s="1"/>
  <c r="Y81" i="1"/>
  <c r="Z81" i="1" s="1"/>
  <c r="AA81" i="1" s="1"/>
  <c r="Y83" i="1"/>
  <c r="Z83" i="1" s="1"/>
  <c r="AA83" i="1" s="1"/>
  <c r="X90" i="1"/>
  <c r="Y93" i="1"/>
  <c r="Z93" i="1" s="1"/>
  <c r="AA93" i="1" s="1"/>
  <c r="X96" i="1"/>
  <c r="Y96" i="1" s="1"/>
  <c r="Z96" i="1" s="1"/>
  <c r="AA96" i="1" s="1"/>
  <c r="X98" i="1"/>
  <c r="Y99" i="1"/>
  <c r="Z99" i="1" s="1"/>
  <c r="AA99" i="1" s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X120" i="1"/>
  <c r="Y120" i="1" s="1"/>
  <c r="Z120" i="1" s="1"/>
  <c r="AA120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Y163" i="1"/>
  <c r="X164" i="1"/>
  <c r="Y165" i="1"/>
  <c r="Z165" i="1" s="1"/>
  <c r="AA165" i="1" s="1"/>
  <c r="X166" i="1"/>
  <c r="X168" i="1"/>
  <c r="Y173" i="1"/>
  <c r="Z173" i="1" s="1"/>
  <c r="AA173" i="1" s="1"/>
  <c r="X174" i="1"/>
  <c r="Y177" i="1"/>
  <c r="Z177" i="1" s="1"/>
  <c r="AA177" i="1" s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X222" i="1"/>
  <c r="Y222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19" i="1"/>
  <c r="Z219" i="1" s="1"/>
  <c r="AA219" i="1" s="1"/>
  <c r="Y230" i="1"/>
  <c r="Z230" i="1" s="1"/>
  <c r="Y236" i="1"/>
  <c r="Z236" i="1" s="1"/>
  <c r="AA236" i="1" s="1"/>
  <c r="Y239" i="1"/>
  <c r="Z239" i="1" s="1"/>
  <c r="AA239" i="1" s="1"/>
  <c r="Y245" i="1"/>
  <c r="Z245" i="1" s="1"/>
  <c r="AA245" i="1" s="1"/>
  <c r="Y250" i="1"/>
  <c r="Z250" i="1" s="1"/>
  <c r="AA250" i="1" s="1"/>
  <c r="Y262" i="1"/>
  <c r="Z262" i="1" s="1"/>
  <c r="AA262" i="1" s="1"/>
  <c r="Y272" i="1"/>
  <c r="Z272" i="1" s="1"/>
  <c r="AA272" i="1" s="1"/>
  <c r="X285" i="1"/>
  <c r="Y285" i="1" s="1"/>
  <c r="X287" i="1"/>
  <c r="Y287" i="1" s="1"/>
  <c r="Y294" i="1"/>
  <c r="Z294" i="1" s="1"/>
  <c r="AA294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Y436" i="1"/>
  <c r="Z436" i="1" s="1"/>
  <c r="AA436" i="1" s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X492" i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4" i="1"/>
  <c r="Z544" i="1" s="1"/>
  <c r="AA544" i="1" s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X559" i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AB308" i="1"/>
  <c r="Y313" i="1"/>
  <c r="Z313" i="1" s="1"/>
  <c r="AA313" i="1" s="1"/>
  <c r="Y315" i="1"/>
  <c r="Y317" i="1"/>
  <c r="Y319" i="1"/>
  <c r="Y336" i="1"/>
  <c r="AB341" i="1"/>
  <c r="Y344" i="1"/>
  <c r="Z344" i="1" s="1"/>
  <c r="AA344" i="1" s="1"/>
  <c r="Y360" i="1"/>
  <c r="Z360" i="1" s="1"/>
  <c r="AA360" i="1" s="1"/>
  <c r="Y376" i="1"/>
  <c r="Z376" i="1" s="1"/>
  <c r="AA376" i="1" s="1"/>
  <c r="AB381" i="1"/>
  <c r="Y392" i="1"/>
  <c r="Z392" i="1" s="1"/>
  <c r="AA392" i="1" s="1"/>
  <c r="Y396" i="1"/>
  <c r="Z396" i="1" s="1"/>
  <c r="AA396" i="1" s="1"/>
  <c r="Y400" i="1"/>
  <c r="Z400" i="1" s="1"/>
  <c r="AA400" i="1" s="1"/>
  <c r="Y404" i="1"/>
  <c r="Z404" i="1" s="1"/>
  <c r="AA404" i="1" s="1"/>
  <c r="AB406" i="1"/>
  <c r="Y409" i="1"/>
  <c r="Z409" i="1" s="1"/>
  <c r="AA409" i="1" s="1"/>
  <c r="Y427" i="1"/>
  <c r="Z427" i="1" s="1"/>
  <c r="AA427" i="1" s="1"/>
  <c r="AB432" i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45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293" i="1" l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67" i="1"/>
  <c r="Z67" i="1" s="1"/>
  <c r="AA67" i="1" s="1"/>
  <c r="Y65" i="1"/>
  <c r="Z65" i="1" s="1"/>
  <c r="AA65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Z303" i="1" s="1"/>
  <c r="AA303" i="1" s="1"/>
  <c r="Y195" i="1"/>
  <c r="Z195" i="1" s="1"/>
  <c r="AA195" i="1" s="1"/>
  <c r="Y198" i="1"/>
  <c r="Z198" i="1" s="1"/>
  <c r="AA198" i="1" s="1"/>
  <c r="Y135" i="1"/>
  <c r="Z135" i="1" s="1"/>
  <c r="AA135" i="1" s="1"/>
  <c r="Y61" i="1"/>
  <c r="Z61" i="1" s="1"/>
  <c r="AA61" i="1" s="1"/>
  <c r="Y31" i="1"/>
  <c r="Z31" i="1" s="1"/>
  <c r="AA31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Y47" i="1"/>
  <c r="Z47" i="1" s="1"/>
  <c r="AA47" i="1" s="1"/>
  <c r="X101" i="1"/>
  <c r="Y101" i="1" s="1"/>
  <c r="Z101" i="1" s="1"/>
  <c r="AA101" i="1" s="1"/>
  <c r="X95" i="1"/>
  <c r="Y95" i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87" i="1"/>
  <c r="Y87" i="1" s="1"/>
  <c r="Z87" i="1" s="1"/>
  <c r="AA87" i="1" s="1"/>
  <c r="X85" i="1"/>
  <c r="Y85" i="1" s="1"/>
  <c r="Z85" i="1" s="1"/>
  <c r="AA85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0" i="1"/>
  <c r="Z90" i="1" s="1"/>
  <c r="AA90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Z163" i="1"/>
  <c r="AA163" i="1" s="1"/>
  <c r="Y148" i="1"/>
  <c r="Z148" i="1" s="1"/>
  <c r="AA148" i="1" s="1"/>
  <c r="Y74" i="1"/>
  <c r="Z74" i="1" s="1"/>
  <c r="AA74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68" i="1"/>
  <c r="Z68" i="1" s="1"/>
  <c r="AA68" i="1" s="1"/>
  <c r="Y66" i="1"/>
  <c r="Z66" i="1" s="1"/>
  <c r="AA66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73" i="1"/>
  <c r="Z73" i="1" s="1"/>
  <c r="AA73" i="1" s="1"/>
  <c r="Y71" i="1"/>
  <c r="Z71" i="1" s="1"/>
  <c r="AA71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2" i="5"/>
  <c r="G32" i="5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58" i="1"/>
  <c r="Z58" i="1" s="1"/>
  <c r="AA58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78" i="1"/>
  <c r="Z78" i="1" s="1"/>
  <c r="AA78" i="1" s="1"/>
  <c r="Y64" i="1"/>
  <c r="Z64" i="1" s="1"/>
  <c r="AA64" i="1" s="1"/>
  <c r="Y34" i="1"/>
  <c r="Z34" i="1" s="1"/>
  <c r="AA34" i="1" s="1"/>
  <c r="Z134" i="1"/>
  <c r="AA134" i="1" s="1"/>
  <c r="Z60" i="1"/>
  <c r="AA60" i="1" s="1"/>
  <c r="Z88" i="1"/>
  <c r="AA88" i="1" s="1"/>
  <c r="Z56" i="1"/>
  <c r="AA56" i="1" s="1"/>
  <c r="Z180" i="1"/>
  <c r="AA180" i="1" s="1"/>
  <c r="Z84" i="1"/>
  <c r="AA84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82" i="1"/>
  <c r="Z82" i="1" s="1"/>
  <c r="AA82" i="1" s="1"/>
  <c r="Y176" i="1"/>
  <c r="Z176" i="1" s="1"/>
  <c r="AA176" i="1" s="1"/>
  <c r="X158" i="1"/>
  <c r="Y158" i="1" s="1"/>
  <c r="Y54" i="1"/>
  <c r="Z54" i="1" s="1"/>
  <c r="AA54" i="1" s="1"/>
  <c r="Z76" i="1"/>
  <c r="AA76" i="1" s="1"/>
  <c r="Z62" i="1"/>
  <c r="AA62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94" i="1"/>
  <c r="Z94" i="1" s="1"/>
  <c r="AA94" i="1" s="1"/>
  <c r="Y80" i="1"/>
  <c r="Z80" i="1" s="1"/>
  <c r="AA80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32" i="1" l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F32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E32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J32" i="5"/>
  <c r="I32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D32" i="5"/>
  <c r="H32" i="5"/>
  <c r="C32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4" i="1"/>
  <c r="AG4" i="1"/>
  <c r="AG6" i="1"/>
  <c r="D6" i="1"/>
  <c r="D8" i="1"/>
  <c r="AG8" i="1"/>
  <c r="D20" i="1"/>
  <c r="AG20" i="1"/>
  <c r="D293" i="1"/>
  <c r="AG293" i="1"/>
  <c r="AG303" i="1"/>
  <c r="D303" i="1"/>
  <c r="AG306" i="1"/>
  <c r="D306" i="1"/>
  <c r="AG310" i="1"/>
  <c r="D310" i="1"/>
  <c r="AG312" i="1"/>
  <c r="D312" i="1"/>
  <c r="AG314" i="1"/>
  <c r="D314" i="1"/>
  <c r="AG317" i="1"/>
  <c r="D317" i="1"/>
  <c r="D319" i="1"/>
  <c r="AG319" i="1"/>
  <c r="AG331" i="1"/>
  <c r="D331" i="1"/>
  <c r="AG353" i="1"/>
  <c r="D353" i="1"/>
  <c r="AG355" i="1"/>
  <c r="D355" i="1"/>
  <c r="AG366" i="1"/>
  <c r="D366" i="1"/>
  <c r="AG369" i="1"/>
  <c r="D369" i="1"/>
  <c r="AG371" i="1"/>
  <c r="D371" i="1"/>
  <c r="AG376" i="1"/>
  <c r="D376" i="1"/>
  <c r="AG383" i="1"/>
  <c r="D383" i="1"/>
  <c r="D388" i="1"/>
  <c r="AG388" i="1"/>
  <c r="D424" i="1"/>
  <c r="AG424" i="1"/>
  <c r="AG427" i="1"/>
  <c r="D427" i="1"/>
  <c r="D430" i="1"/>
  <c r="AG430" i="1"/>
  <c r="AG435" i="1"/>
  <c r="D435" i="1"/>
  <c r="D445" i="1"/>
  <c r="AG445" i="1"/>
  <c r="D448" i="1"/>
  <c r="AG448" i="1"/>
  <c r="AG459" i="1"/>
  <c r="D459" i="1"/>
  <c r="D463" i="1"/>
  <c r="AG463" i="1"/>
  <c r="D466" i="1"/>
  <c r="AG466" i="1"/>
  <c r="AG469" i="1"/>
  <c r="D469" i="1"/>
  <c r="D471" i="1"/>
  <c r="AG471" i="1"/>
  <c r="D483" i="1"/>
  <c r="AG483" i="1"/>
  <c r="D494" i="1"/>
  <c r="AG494" i="1"/>
  <c r="AG500" i="1"/>
  <c r="D500" i="1"/>
  <c r="D508" i="1"/>
  <c r="AG508" i="1"/>
  <c r="D513" i="1"/>
  <c r="AG513" i="1"/>
  <c r="D522" i="1"/>
  <c r="AG522" i="1"/>
  <c r="AG525" i="1"/>
  <c r="D525" i="1"/>
  <c r="D527" i="1"/>
  <c r="AG527" i="1"/>
  <c r="D529" i="1"/>
  <c r="AG529" i="1"/>
  <c r="AG531" i="1"/>
  <c r="D531" i="1"/>
  <c r="D535" i="1"/>
  <c r="AG535" i="1"/>
  <c r="AG538" i="1"/>
  <c r="D538" i="1"/>
  <c r="AG542" i="1"/>
  <c r="D542" i="1"/>
  <c r="AG544" i="1"/>
  <c r="D544" i="1"/>
  <c r="D553" i="1"/>
  <c r="AG553" i="1"/>
  <c r="D563" i="1"/>
  <c r="AG563" i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6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AH319" i="1"/>
  <c r="AH293" i="1"/>
  <c r="AH20" i="1"/>
  <c r="AH8" i="1"/>
  <c r="AH4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AJ563" i="1"/>
  <c r="AJ561" i="1"/>
  <c r="AJ544" i="1"/>
  <c r="AJ531" i="1"/>
  <c r="AJ513" i="1"/>
  <c r="AJ463" i="1"/>
  <c r="AJ441" i="1"/>
  <c r="AJ427" i="1"/>
  <c r="AJ407" i="1"/>
  <c r="AJ382" i="1"/>
  <c r="AJ342" i="1"/>
  <c r="AJ309" i="1"/>
  <c r="AJ8" i="1"/>
  <c r="AJ6" i="1"/>
  <c r="AJ3" i="1"/>
  <c r="AJ564" i="1"/>
  <c r="AJ553" i="1"/>
  <c r="AJ545" i="1"/>
  <c r="AJ535" i="1"/>
  <c r="AJ536" i="1" s="1"/>
  <c r="AJ532" i="1"/>
  <c r="AJ508" i="1"/>
  <c r="AJ509" i="1" s="1"/>
  <c r="AJ464" i="1"/>
  <c r="AJ435" i="1"/>
  <c r="AJ436" i="1" s="1"/>
  <c r="AJ428" i="1"/>
  <c r="AJ383" i="1"/>
  <c r="AJ384" i="1" s="1"/>
  <c r="AJ369" i="1"/>
  <c r="AJ370" i="1" s="1"/>
  <c r="AJ371" i="1" s="1"/>
  <c r="AJ310" i="1"/>
  <c r="AJ311" i="1" s="1"/>
  <c r="AJ312" i="1" s="1"/>
  <c r="AJ313" i="1" s="1"/>
  <c r="AJ314" i="1" s="1"/>
  <c r="AJ315" i="1" s="1"/>
  <c r="AJ9" i="1"/>
  <c r="AJ4" i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32" i="5"/>
  <c r="L32" i="5" s="1"/>
  <c r="M32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B20" i="1"/>
  <c r="AF20" i="1"/>
  <c r="AF8" i="1"/>
  <c r="AC8" i="1"/>
  <c r="AB6" i="1"/>
  <c r="AB4" i="1"/>
  <c r="AF4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AC20" i="1"/>
  <c r="AB8" i="1"/>
  <c r="AC6" i="1"/>
  <c r="AF6" i="1"/>
  <c r="AC4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1" i="1"/>
  <c r="C104" i="1"/>
  <c r="C122" i="1"/>
  <c r="C168" i="1"/>
  <c r="C6" i="1"/>
  <c r="C22" i="1"/>
  <c r="C67" i="1"/>
  <c r="C162" i="1"/>
  <c r="C170" i="1"/>
  <c r="C200" i="1"/>
  <c r="C231" i="1"/>
  <c r="C248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84" i="1"/>
  <c r="C98" i="1"/>
  <c r="C116" i="1"/>
  <c r="C151" i="1"/>
  <c r="C188" i="1"/>
  <c r="C221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AJ7" i="1" l="1"/>
  <c r="AJ5" i="1"/>
  <c r="B4" i="1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AJ20" i="1" l="1"/>
  <c r="I5" i="11" l="1"/>
  <c r="K5" i="11" s="1"/>
  <c r="L5" i="11" s="1"/>
  <c r="M5" i="11" s="1"/>
  <c r="A71" i="2" l="1"/>
  <c r="C71" i="2" s="1"/>
  <c r="A70" i="2"/>
  <c r="H70" i="2" s="1"/>
  <c r="A72" i="2"/>
  <c r="B72" i="2" s="1"/>
  <c r="A73" i="2"/>
  <c r="F73" i="2" s="1"/>
  <c r="A75" i="2"/>
  <c r="I75" i="2" s="1"/>
  <c r="A76" i="2"/>
  <c r="I76" i="2" s="1"/>
  <c r="A74" i="2"/>
  <c r="B74" i="2" s="1"/>
  <c r="A69" i="2"/>
  <c r="H69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3" i="1"/>
  <c r="A4" i="1"/>
  <c r="J92" i="2"/>
  <c r="J72" i="2"/>
  <c r="AG3" i="1"/>
  <c r="A2" i="2"/>
  <c r="D3" i="1"/>
  <c r="F72" i="2" l="1"/>
  <c r="C76" i="2"/>
  <c r="AH3" i="1"/>
  <c r="F82" i="2"/>
  <c r="C77" i="2"/>
  <c r="C89" i="2"/>
  <c r="F91" i="2"/>
  <c r="I69" i="2"/>
  <c r="I74" i="2"/>
  <c r="F85" i="2"/>
  <c r="I73" i="2"/>
  <c r="F69" i="2"/>
  <c r="C80" i="2"/>
  <c r="I92" i="2"/>
  <c r="B83" i="2"/>
  <c r="C92" i="2"/>
  <c r="B92" i="2"/>
  <c r="E92" i="2" s="1"/>
  <c r="H92" i="2"/>
  <c r="I89" i="2"/>
  <c r="I84" i="2"/>
  <c r="C83" i="2"/>
  <c r="AI4" i="1"/>
  <c r="A47" i="5"/>
  <c r="A48" i="5"/>
  <c r="A40" i="5"/>
  <c r="A14" i="9"/>
  <c r="A16" i="8"/>
  <c r="A48" i="4"/>
  <c r="A47" i="4"/>
  <c r="A10" i="9"/>
  <c r="A49" i="5"/>
  <c r="A5" i="8"/>
  <c r="A14" i="8"/>
  <c r="A13" i="9"/>
  <c r="A20" i="8"/>
  <c r="A42" i="5"/>
  <c r="A22" i="9"/>
  <c r="A23" i="9"/>
  <c r="A20" i="6"/>
  <c r="A51" i="4"/>
  <c r="A12" i="7"/>
  <c r="A23" i="8"/>
  <c r="A9" i="6"/>
  <c r="A9" i="7"/>
  <c r="A11" i="8"/>
  <c r="A25" i="7"/>
  <c r="A24" i="8"/>
  <c r="A18" i="9"/>
  <c r="A10" i="8"/>
  <c r="A35" i="4"/>
  <c r="A17" i="7"/>
  <c r="A32" i="5"/>
  <c r="A14" i="7"/>
  <c r="A16" i="7"/>
  <c r="A5" i="11"/>
  <c r="A11" i="9"/>
  <c r="A6" i="11"/>
  <c r="A5" i="9"/>
  <c r="A24" i="9"/>
  <c r="A15" i="6"/>
  <c r="A8" i="12"/>
  <c r="A49" i="4"/>
  <c r="A25" i="9"/>
  <c r="A4" i="12"/>
  <c r="A4" i="8"/>
  <c r="A5" i="6"/>
  <c r="A21" i="7"/>
  <c r="A24" i="7"/>
  <c r="A14" i="6"/>
  <c r="A43" i="5"/>
  <c r="A8" i="9"/>
  <c r="A26" i="7"/>
  <c r="A45" i="4"/>
  <c r="A10" i="6"/>
  <c r="A6" i="12"/>
  <c r="A38" i="4"/>
  <c r="A16" i="6"/>
  <c r="A19" i="7"/>
  <c r="A17" i="8"/>
  <c r="A13" i="6"/>
  <c r="A19" i="6"/>
  <c r="A12" i="8"/>
  <c r="A29" i="7"/>
  <c r="A46" i="4"/>
  <c r="A7" i="9"/>
  <c r="A20" i="7"/>
  <c r="A11" i="6"/>
  <c r="A35" i="5"/>
  <c r="A25" i="8"/>
  <c r="A44" i="5"/>
  <c r="A46" i="5"/>
  <c r="A20" i="9"/>
  <c r="A50" i="4"/>
  <c r="A13" i="8"/>
  <c r="A39" i="5"/>
  <c r="A44" i="4"/>
  <c r="A15" i="9"/>
  <c r="A18" i="7"/>
  <c r="A18" i="8"/>
  <c r="A18" i="6"/>
  <c r="A22" i="7"/>
  <c r="A32" i="7"/>
  <c r="A15" i="7"/>
  <c r="A34" i="4"/>
  <c r="A16" i="9"/>
  <c r="A36" i="4"/>
  <c r="A34" i="5"/>
  <c r="A17" i="6"/>
  <c r="A12" i="9"/>
  <c r="A23" i="7"/>
  <c r="A12" i="6"/>
  <c r="A5" i="12"/>
  <c r="A33" i="5"/>
  <c r="A40" i="4"/>
  <c r="A37" i="4"/>
  <c r="A41" i="5"/>
  <c r="A41" i="4"/>
  <c r="A30" i="7"/>
  <c r="A22" i="8"/>
  <c r="A45" i="5"/>
  <c r="A52" i="4"/>
  <c r="A38" i="5"/>
  <c r="A21" i="6"/>
  <c r="A22" i="6"/>
  <c r="A28" i="7"/>
  <c r="A43" i="4"/>
  <c r="A13" i="7"/>
  <c r="A42" i="4"/>
  <c r="A11" i="7"/>
  <c r="A15" i="8"/>
  <c r="A3" i="12"/>
  <c r="A7" i="12"/>
  <c r="A7" i="8"/>
  <c r="A39" i="4"/>
  <c r="A17" i="9"/>
  <c r="A6" i="8"/>
  <c r="A50" i="5"/>
  <c r="A8" i="8"/>
  <c r="A9" i="9"/>
  <c r="A8" i="6"/>
  <c r="A19" i="9"/>
  <c r="A21" i="9"/>
  <c r="A8" i="7"/>
  <c r="A7" i="6"/>
  <c r="A10" i="7"/>
  <c r="A6" i="6"/>
  <c r="A37" i="5"/>
  <c r="A4" i="11"/>
  <c r="A19" i="8"/>
  <c r="A9" i="8"/>
  <c r="A6" i="9"/>
  <c r="A4" i="9"/>
  <c r="A21" i="8"/>
  <c r="A36" i="5"/>
  <c r="A27" i="7"/>
  <c r="A31" i="7"/>
  <c r="F83" i="2"/>
  <c r="H83" i="2"/>
  <c r="B81" i="2"/>
  <c r="E81" i="2" s="1"/>
  <c r="H80" i="2"/>
  <c r="C69" i="2"/>
  <c r="F74" i="2"/>
  <c r="C74" i="2"/>
  <c r="C73" i="2"/>
  <c r="I70" i="2"/>
  <c r="H85" i="2"/>
  <c r="H73" i="2"/>
  <c r="B91" i="2"/>
  <c r="E91" i="2" s="1"/>
  <c r="B85" i="2"/>
  <c r="H81" i="2"/>
  <c r="F77" i="2"/>
  <c r="I78" i="2"/>
  <c r="B69" i="2"/>
  <c r="E69" i="2" s="1"/>
  <c r="B76" i="2"/>
  <c r="E76" i="2" s="1"/>
  <c r="B73" i="2"/>
  <c r="F70" i="2"/>
  <c r="H71" i="2"/>
  <c r="B88" i="2"/>
  <c r="E88" i="2" s="1"/>
  <c r="B90" i="2"/>
  <c r="E90" i="2" s="1"/>
  <c r="C85" i="2"/>
  <c r="F88" i="2"/>
  <c r="I87" i="2"/>
  <c r="H86" i="2"/>
  <c r="I80" i="2"/>
  <c r="B80" i="2"/>
  <c r="E80" i="2" s="1"/>
  <c r="I77" i="2"/>
  <c r="B77" i="2"/>
  <c r="F78" i="2"/>
  <c r="B78" i="2"/>
  <c r="C79" i="2"/>
  <c r="H76" i="2"/>
  <c r="F75" i="2"/>
  <c r="H72" i="2"/>
  <c r="F90" i="2"/>
  <c r="I90" i="2"/>
  <c r="C86" i="2"/>
  <c r="F86" i="2"/>
  <c r="C72" i="2"/>
  <c r="B93" i="2"/>
  <c r="C90" i="2"/>
  <c r="I93" i="2"/>
  <c r="C88" i="2"/>
  <c r="I88" i="2"/>
  <c r="B87" i="2"/>
  <c r="E87" i="2" s="1"/>
  <c r="B86" i="2"/>
  <c r="F84" i="2"/>
  <c r="I82" i="2"/>
  <c r="F76" i="2"/>
  <c r="B75" i="2"/>
  <c r="I72" i="2"/>
  <c r="C70" i="2"/>
  <c r="B70" i="2"/>
  <c r="B71" i="2"/>
  <c r="E71" i="2" s="1"/>
  <c r="H91" i="2"/>
  <c r="C91" i="2"/>
  <c r="B89" i="2"/>
  <c r="E89" i="2" s="1"/>
  <c r="H89" i="2"/>
  <c r="C93" i="2"/>
  <c r="F93" i="2"/>
  <c r="F87" i="2"/>
  <c r="H87" i="2"/>
  <c r="B84" i="2"/>
  <c r="H84" i="2"/>
  <c r="B82" i="2"/>
  <c r="E82" i="2" s="1"/>
  <c r="H82" i="2"/>
  <c r="C81" i="2"/>
  <c r="I81" i="2"/>
  <c r="C78" i="2"/>
  <c r="F79" i="2"/>
  <c r="B79" i="2"/>
  <c r="I79" i="2"/>
  <c r="H74" i="2"/>
  <c r="C75" i="2"/>
  <c r="H75" i="2"/>
  <c r="I71" i="2"/>
  <c r="F71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K69" i="2"/>
  <c r="L69" i="2"/>
  <c r="R69" i="2"/>
  <c r="G69" i="2"/>
  <c r="R74" i="2"/>
  <c r="K74" i="2"/>
  <c r="G74" i="2"/>
  <c r="L74" i="2"/>
  <c r="G76" i="2"/>
  <c r="K76" i="2"/>
  <c r="R76" i="2"/>
  <c r="L76" i="2"/>
  <c r="L75" i="2"/>
  <c r="R75" i="2"/>
  <c r="K75" i="2"/>
  <c r="G75" i="2"/>
  <c r="E72" i="2"/>
  <c r="G73" i="2"/>
  <c r="L73" i="2"/>
  <c r="R73" i="2"/>
  <c r="K73" i="2"/>
  <c r="G72" i="2"/>
  <c r="K72" i="2"/>
  <c r="R72" i="2"/>
  <c r="L72" i="2"/>
  <c r="G70" i="2"/>
  <c r="R70" i="2"/>
  <c r="K70" i="2"/>
  <c r="L70" i="2"/>
  <c r="G71" i="2"/>
  <c r="R71" i="2"/>
  <c r="K71" i="2"/>
  <c r="L71" i="2"/>
  <c r="N92" i="2"/>
  <c r="N91" i="2"/>
  <c r="N90" i="2"/>
  <c r="N89" i="2"/>
  <c r="N84" i="2"/>
  <c r="N83" i="2"/>
  <c r="N82" i="2"/>
  <c r="N81" i="2"/>
  <c r="N80" i="2"/>
  <c r="N69" i="2"/>
  <c r="N75" i="2"/>
  <c r="N73" i="2"/>
  <c r="N71" i="2"/>
  <c r="N72" i="2"/>
  <c r="N85" i="2"/>
  <c r="N93" i="2"/>
  <c r="N88" i="2"/>
  <c r="N87" i="2"/>
  <c r="N86" i="2"/>
  <c r="N77" i="2"/>
  <c r="N78" i="2"/>
  <c r="N79" i="2"/>
  <c r="N74" i="2"/>
  <c r="N76" i="2"/>
  <c r="N70" i="2"/>
  <c r="AG22" i="1"/>
  <c r="D22" i="1"/>
  <c r="D28" i="1"/>
  <c r="AG28" i="1"/>
  <c r="AG30" i="1"/>
  <c r="D30" i="1"/>
  <c r="AG41" i="1"/>
  <c r="D41" i="1"/>
  <c r="D50" i="1"/>
  <c r="AG50" i="1"/>
  <c r="AG53" i="1"/>
  <c r="D53" i="1"/>
  <c r="AG63" i="1"/>
  <c r="D63" i="1"/>
  <c r="AG65" i="1"/>
  <c r="D65" i="1"/>
  <c r="D69" i="1"/>
  <c r="AG69" i="1"/>
  <c r="D86" i="1"/>
  <c r="AG86" i="1"/>
  <c r="AG89" i="1"/>
  <c r="D89" i="1"/>
  <c r="AG92" i="1"/>
  <c r="D92" i="1"/>
  <c r="D96" i="1"/>
  <c r="AG96" i="1"/>
  <c r="D98" i="1"/>
  <c r="AG98" i="1"/>
  <c r="AG100" i="1"/>
  <c r="D100" i="1"/>
  <c r="D102" i="1"/>
  <c r="AG102" i="1"/>
  <c r="AG104" i="1"/>
  <c r="D104" i="1"/>
  <c r="D107" i="1"/>
  <c r="AG107" i="1"/>
  <c r="AG109" i="1"/>
  <c r="D109" i="1"/>
  <c r="D112" i="1"/>
  <c r="AG112" i="1"/>
  <c r="D122" i="1"/>
  <c r="AG122" i="1"/>
  <c r="AG125" i="1"/>
  <c r="D125" i="1"/>
  <c r="D130" i="1"/>
  <c r="AG130" i="1"/>
  <c r="AG132" i="1"/>
  <c r="D132" i="1"/>
  <c r="D134" i="1"/>
  <c r="AG134" i="1"/>
  <c r="D136" i="1"/>
  <c r="AG136" i="1"/>
  <c r="D141" i="1"/>
  <c r="AG141" i="1"/>
  <c r="AG143" i="1"/>
  <c r="D143" i="1"/>
  <c r="AG148" i="1"/>
  <c r="D148" i="1"/>
  <c r="AG157" i="1"/>
  <c r="D157" i="1"/>
  <c r="AG162" i="1"/>
  <c r="D162" i="1"/>
  <c r="AG164" i="1"/>
  <c r="D164" i="1"/>
  <c r="D166" i="1"/>
  <c r="AG166" i="1"/>
  <c r="D170" i="1"/>
  <c r="AG170" i="1"/>
  <c r="D177" i="1"/>
  <c r="AG177" i="1"/>
  <c r="D188" i="1"/>
  <c r="AG188" i="1"/>
  <c r="AG198" i="1"/>
  <c r="D198" i="1"/>
  <c r="AG209" i="1"/>
  <c r="D209" i="1"/>
  <c r="AG213" i="1"/>
  <c r="D213" i="1"/>
  <c r="AG223" i="1"/>
  <c r="D223" i="1"/>
  <c r="D225" i="1"/>
  <c r="AG225" i="1"/>
  <c r="D233" i="1"/>
  <c r="AG233" i="1"/>
  <c r="AG238" i="1"/>
  <c r="D238" i="1"/>
  <c r="AG249" i="1"/>
  <c r="D249" i="1"/>
  <c r="D258" i="1"/>
  <c r="AG258" i="1"/>
  <c r="AG269" i="1"/>
  <c r="D269" i="1"/>
  <c r="AG281" i="1"/>
  <c r="D281" i="1"/>
  <c r="AG285" i="1"/>
  <c r="D285" i="1"/>
  <c r="J87" i="2"/>
  <c r="J78" i="2"/>
  <c r="J91" i="2"/>
  <c r="A5" i="1"/>
  <c r="J81" i="2"/>
  <c r="D5" i="1"/>
  <c r="J77" i="2"/>
  <c r="J73" i="2"/>
  <c r="J84" i="2"/>
  <c r="J83" i="2"/>
  <c r="J85" i="2"/>
  <c r="J80" i="2"/>
  <c r="J75" i="2"/>
  <c r="J69" i="2"/>
  <c r="J74" i="2"/>
  <c r="AH5" i="1" l="1"/>
  <c r="AH285" i="1"/>
  <c r="AH281" i="1"/>
  <c r="AH258" i="1"/>
  <c r="AH233" i="1"/>
  <c r="AH225" i="1"/>
  <c r="AH188" i="1"/>
  <c r="AH177" i="1"/>
  <c r="AH170" i="1"/>
  <c r="AH166" i="1"/>
  <c r="AH141" i="1"/>
  <c r="AH136" i="1"/>
  <c r="AH134" i="1"/>
  <c r="AH130" i="1"/>
  <c r="AH122" i="1"/>
  <c r="AH112" i="1"/>
  <c r="AH107" i="1"/>
  <c r="AH102" i="1"/>
  <c r="AH98" i="1"/>
  <c r="AH96" i="1"/>
  <c r="AH86" i="1"/>
  <c r="AH69" i="1"/>
  <c r="AH50" i="1"/>
  <c r="AH28" i="1"/>
  <c r="AH269" i="1"/>
  <c r="AH249" i="1"/>
  <c r="AH238" i="1"/>
  <c r="AH223" i="1"/>
  <c r="AH213" i="1"/>
  <c r="AH209" i="1"/>
  <c r="AH198" i="1"/>
  <c r="AH164" i="1"/>
  <c r="AH162" i="1"/>
  <c r="AH157" i="1"/>
  <c r="AH148" i="1"/>
  <c r="AH143" i="1"/>
  <c r="AH132" i="1"/>
  <c r="AH125" i="1"/>
  <c r="AH109" i="1"/>
  <c r="AH104" i="1"/>
  <c r="AH100" i="1"/>
  <c r="AH92" i="1"/>
  <c r="AH89" i="1"/>
  <c r="AH65" i="1"/>
  <c r="AH63" i="1"/>
  <c r="AH53" i="1"/>
  <c r="AH41" i="1"/>
  <c r="AH30" i="1"/>
  <c r="AH22" i="1"/>
  <c r="M87" i="2"/>
  <c r="O87" i="2" s="1"/>
  <c r="P87" i="2" s="1"/>
  <c r="Q87" i="2" s="1"/>
  <c r="E75" i="2"/>
  <c r="E78" i="2"/>
  <c r="E85" i="2"/>
  <c r="E73" i="2"/>
  <c r="E83" i="2"/>
  <c r="E77" i="2"/>
  <c r="E93" i="2"/>
  <c r="E70" i="2"/>
  <c r="E86" i="2"/>
  <c r="E79" i="2"/>
  <c r="E84" i="2"/>
  <c r="AJ239" i="1"/>
  <c r="AJ238" i="1"/>
  <c r="AJ233" i="1"/>
  <c r="AJ225" i="1"/>
  <c r="AJ209" i="1"/>
  <c r="AJ171" i="1"/>
  <c r="AJ148" i="1"/>
  <c r="AJ103" i="1"/>
  <c r="AJ97" i="1"/>
  <c r="AJ96" i="1"/>
  <c r="AJ70" i="1"/>
  <c r="AJ28" i="1"/>
  <c r="AJ23" i="1"/>
  <c r="AJ21" i="1"/>
  <c r="AJ234" i="1"/>
  <c r="AJ226" i="1"/>
  <c r="AJ213" i="1"/>
  <c r="AJ214" i="1" s="1"/>
  <c r="AJ177" i="1"/>
  <c r="AJ178" i="1" s="1"/>
  <c r="AJ162" i="1"/>
  <c r="AJ163" i="1" s="1"/>
  <c r="AJ164" i="1" s="1"/>
  <c r="AJ165" i="1" s="1"/>
  <c r="AJ166" i="1" s="1"/>
  <c r="AJ167" i="1" s="1"/>
  <c r="AJ149" i="1"/>
  <c r="AJ104" i="1"/>
  <c r="AJ105" i="1" s="1"/>
  <c r="AJ98" i="1"/>
  <c r="AJ99" i="1" s="1"/>
  <c r="AJ100" i="1" s="1"/>
  <c r="AJ101" i="1" s="1"/>
  <c r="AJ102" i="1" s="1"/>
  <c r="AJ50" i="1"/>
  <c r="AJ51" i="1" s="1"/>
  <c r="AJ29" i="1"/>
  <c r="AJ30" i="1" s="1"/>
  <c r="AJ31" i="1" s="1"/>
  <c r="AJ22" i="1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71" i="2"/>
  <c r="O71" i="2" s="1"/>
  <c r="P71" i="2" s="1"/>
  <c r="Q71" i="2" s="1"/>
  <c r="M70" i="2"/>
  <c r="O70" i="2" s="1"/>
  <c r="P70" i="2" s="1"/>
  <c r="Q7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2" i="2"/>
  <c r="M76" i="2"/>
  <c r="M69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38" i="1"/>
  <c r="AB233" i="1"/>
  <c r="AC233" i="1"/>
  <c r="AB225" i="1"/>
  <c r="AC223" i="1"/>
  <c r="AC213" i="1"/>
  <c r="AB209" i="1"/>
  <c r="AF198" i="1"/>
  <c r="AB198" i="1"/>
  <c r="AC188" i="1"/>
  <c r="AF188" i="1"/>
  <c r="AF177" i="1"/>
  <c r="AB170" i="1"/>
  <c r="AC170" i="1"/>
  <c r="AF166" i="1"/>
  <c r="AC166" i="1"/>
  <c r="AF164" i="1"/>
  <c r="AC164" i="1"/>
  <c r="AF162" i="1"/>
  <c r="AC162" i="1"/>
  <c r="AF157" i="1"/>
  <c r="AB148" i="1"/>
  <c r="AC143" i="1"/>
  <c r="AB141" i="1"/>
  <c r="AF136" i="1"/>
  <c r="AC134" i="1"/>
  <c r="AC132" i="1"/>
  <c r="AF130" i="1"/>
  <c r="AB130" i="1"/>
  <c r="AB125" i="1"/>
  <c r="AF125" i="1"/>
  <c r="AB122" i="1"/>
  <c r="AC122" i="1"/>
  <c r="AB112" i="1"/>
  <c r="AB109" i="1"/>
  <c r="AC107" i="1"/>
  <c r="AB104" i="1"/>
  <c r="AB102" i="1"/>
  <c r="AF102" i="1"/>
  <c r="AF100" i="1"/>
  <c r="AB100" i="1"/>
  <c r="AB98" i="1"/>
  <c r="AB96" i="1"/>
  <c r="AB92" i="1"/>
  <c r="AF89" i="1"/>
  <c r="AB86" i="1"/>
  <c r="AC69" i="1"/>
  <c r="AC65" i="1"/>
  <c r="AC63" i="1"/>
  <c r="AC53" i="1"/>
  <c r="AF53" i="1"/>
  <c r="AB50" i="1"/>
  <c r="AB41" i="1"/>
  <c r="AF41" i="1"/>
  <c r="AC30" i="1"/>
  <c r="AC28" i="1"/>
  <c r="AF28" i="1"/>
  <c r="AB22" i="1"/>
  <c r="AB28" i="1"/>
  <c r="AF22" i="1"/>
  <c r="AF285" i="1"/>
  <c r="AC285" i="1"/>
  <c r="AC281" i="1"/>
  <c r="AB281" i="1"/>
  <c r="AF269" i="1"/>
  <c r="AB269" i="1"/>
  <c r="AB258" i="1"/>
  <c r="AF258" i="1"/>
  <c r="AC249" i="1"/>
  <c r="AB249" i="1"/>
  <c r="AB238" i="1"/>
  <c r="AF238" i="1"/>
  <c r="AF233" i="1"/>
  <c r="AF225" i="1"/>
  <c r="AC225" i="1"/>
  <c r="AB223" i="1"/>
  <c r="AF223" i="1"/>
  <c r="AB213" i="1"/>
  <c r="AF213" i="1"/>
  <c r="AC209" i="1"/>
  <c r="AF209" i="1"/>
  <c r="AC198" i="1"/>
  <c r="AB188" i="1"/>
  <c r="AC177" i="1"/>
  <c r="AB177" i="1"/>
  <c r="AF170" i="1"/>
  <c r="AB166" i="1"/>
  <c r="AB164" i="1"/>
  <c r="AB162" i="1"/>
  <c r="AB157" i="1"/>
  <c r="AC157" i="1"/>
  <c r="AF148" i="1"/>
  <c r="AC148" i="1"/>
  <c r="AF143" i="1"/>
  <c r="AB143" i="1"/>
  <c r="AF141" i="1"/>
  <c r="AC141" i="1"/>
  <c r="AC136" i="1"/>
  <c r="AB136" i="1"/>
  <c r="AB134" i="1"/>
  <c r="AF134" i="1"/>
  <c r="AF132" i="1"/>
  <c r="AB132" i="1"/>
  <c r="AC130" i="1"/>
  <c r="AC125" i="1"/>
  <c r="AF122" i="1"/>
  <c r="AC112" i="1"/>
  <c r="AF112" i="1"/>
  <c r="AC109" i="1"/>
  <c r="AF109" i="1"/>
  <c r="AB107" i="1"/>
  <c r="AF107" i="1"/>
  <c r="AF104" i="1"/>
  <c r="AC104" i="1"/>
  <c r="AC102" i="1"/>
  <c r="AC100" i="1"/>
  <c r="AF98" i="1"/>
  <c r="AC98" i="1"/>
  <c r="AF96" i="1"/>
  <c r="AC96" i="1"/>
  <c r="AF92" i="1"/>
  <c r="AC92" i="1"/>
  <c r="AC89" i="1"/>
  <c r="AB89" i="1"/>
  <c r="AF86" i="1"/>
  <c r="AC86" i="1"/>
  <c r="AF69" i="1"/>
  <c r="AB69" i="1"/>
  <c r="AB65" i="1"/>
  <c r="AF65" i="1"/>
  <c r="AB63" i="1"/>
  <c r="AF63" i="1"/>
  <c r="AB53" i="1"/>
  <c r="AC50" i="1"/>
  <c r="AF50" i="1"/>
  <c r="AC41" i="1"/>
  <c r="AB30" i="1"/>
  <c r="AF30" i="1"/>
  <c r="AC22" i="1"/>
  <c r="AG5" i="1"/>
  <c r="A6" i="1"/>
  <c r="A7" i="1"/>
  <c r="AG7" i="1"/>
  <c r="D7" i="1"/>
  <c r="AH7" i="1" l="1"/>
  <c r="AI6" i="1"/>
  <c r="C24" i="1"/>
  <c r="C35" i="1"/>
  <c r="C43" i="1"/>
  <c r="C49" i="1"/>
  <c r="C80" i="1"/>
  <c r="C96" i="1"/>
  <c r="C148" i="1"/>
  <c r="C154" i="1"/>
  <c r="C161" i="1"/>
  <c r="C209" i="1"/>
  <c r="C225" i="1"/>
  <c r="C233" i="1"/>
  <c r="C238" i="1"/>
  <c r="C240" i="1"/>
  <c r="C252" i="1"/>
  <c r="C263" i="1"/>
  <c r="C266" i="1"/>
  <c r="C269" i="1"/>
  <c r="C275" i="1"/>
  <c r="C278" i="1"/>
  <c r="C292" i="1"/>
  <c r="C27" i="1"/>
  <c r="C28" i="1"/>
  <c r="C56" i="1"/>
  <c r="C74" i="1"/>
  <c r="C75" i="1"/>
  <c r="C89" i="1"/>
  <c r="C100" i="1"/>
  <c r="C114" i="1"/>
  <c r="C125" i="1"/>
  <c r="C176" i="1"/>
  <c r="C183" i="1"/>
  <c r="C191" i="1"/>
  <c r="C202" i="1"/>
  <c r="C212" i="1"/>
  <c r="C219" i="1"/>
  <c r="C242" i="1"/>
  <c r="C254" i="1"/>
  <c r="C268" i="1"/>
  <c r="C284" i="1"/>
  <c r="O79" i="2"/>
  <c r="P79" i="2" s="1"/>
  <c r="Q79" i="2" s="1"/>
  <c r="O69" i="2"/>
  <c r="P69" i="2" s="1"/>
  <c r="Q69" i="2" s="1"/>
  <c r="O76" i="2"/>
  <c r="P76" i="2" s="1"/>
  <c r="Q76" i="2" s="1"/>
  <c r="O74" i="2"/>
  <c r="P74" i="2" s="1"/>
  <c r="Q74" i="2" s="1"/>
  <c r="O78" i="2"/>
  <c r="P78" i="2" s="1"/>
  <c r="Q78" i="2" s="1"/>
  <c r="O72" i="2"/>
  <c r="P72" i="2" s="1"/>
  <c r="Q72" i="2" s="1"/>
  <c r="O86" i="2"/>
  <c r="P86" i="2" s="1"/>
  <c r="Q86" i="2" s="1"/>
  <c r="AG168" i="1"/>
  <c r="D168" i="1"/>
  <c r="J71" i="2"/>
  <c r="J93" i="2"/>
  <c r="AF7" i="1"/>
  <c r="AF3" i="1"/>
  <c r="J2" i="2"/>
  <c r="J70" i="2"/>
  <c r="I2" i="2"/>
  <c r="J89" i="2"/>
  <c r="J79" i="2"/>
  <c r="J90" i="2"/>
  <c r="J82" i="2"/>
  <c r="A8" i="1"/>
  <c r="H2" i="2"/>
  <c r="J88" i="2"/>
  <c r="J86" i="2"/>
  <c r="AF5" i="1"/>
  <c r="A9" i="1"/>
  <c r="F2" i="2"/>
  <c r="J76" i="2"/>
  <c r="D9" i="1"/>
  <c r="AH9" i="1" l="1"/>
  <c r="AI8" i="1"/>
  <c r="AJ168" i="1"/>
  <c r="AJ169" i="1" s="1"/>
  <c r="AJ170" i="1" s="1"/>
  <c r="AH168" i="1"/>
  <c r="AB168" i="1"/>
  <c r="AC168" i="1"/>
  <c r="AF168" i="1"/>
  <c r="AG9" i="1"/>
  <c r="A10" i="1"/>
  <c r="A11" i="1"/>
  <c r="A12" i="1"/>
  <c r="AG12" i="1" s="1"/>
  <c r="D11" i="1"/>
  <c r="A13" i="1"/>
  <c r="AF9" i="1"/>
  <c r="AG10" i="1"/>
  <c r="AG11" i="1"/>
  <c r="D10" i="1"/>
  <c r="D12" i="1"/>
  <c r="AI12" i="1" l="1"/>
  <c r="AI11" i="1"/>
  <c r="AJ10" i="1"/>
  <c r="AJ11" i="1" s="1"/>
  <c r="AJ12" i="1" s="1"/>
  <c r="AI10" i="1"/>
  <c r="AI13" i="1"/>
  <c r="AF10" i="1"/>
  <c r="AF11" i="1"/>
  <c r="AH10" i="1"/>
  <c r="D13" i="1"/>
  <c r="AG13" i="1"/>
  <c r="A14" i="1"/>
  <c r="A15" i="1"/>
  <c r="A16" i="1" s="1"/>
  <c r="AF12" i="1"/>
  <c r="AG14" i="1"/>
  <c r="D15" i="1"/>
  <c r="D14" i="1"/>
  <c r="AI14" i="1" l="1"/>
  <c r="AJ13" i="1"/>
  <c r="AJ14" i="1" s="1"/>
  <c r="AI16" i="1"/>
  <c r="AI15" i="1"/>
  <c r="AH11" i="1"/>
  <c r="AF14" i="1"/>
  <c r="AF13" i="1"/>
  <c r="AG15" i="1"/>
  <c r="D16" i="1"/>
  <c r="AG16" i="1"/>
  <c r="AJ15" i="1" l="1"/>
  <c r="AJ16" i="1" s="1"/>
  <c r="AJ210" i="1"/>
  <c r="AH12" i="1"/>
  <c r="AH13" i="1" s="1"/>
  <c r="AJ367" i="1" l="1"/>
  <c r="AJ356" i="1"/>
  <c r="AJ320" i="1"/>
  <c r="B31" i="4" l="1"/>
  <c r="G31" i="4" l="1"/>
  <c r="J31" i="4"/>
  <c r="C31" i="4"/>
  <c r="I31" i="4"/>
  <c r="E31" i="4"/>
  <c r="D31" i="4"/>
  <c r="H31" i="4"/>
  <c r="F31" i="4"/>
  <c r="B33" i="4"/>
  <c r="B32" i="4"/>
  <c r="K31" i="4" l="1"/>
  <c r="L31" i="4" s="1"/>
  <c r="M31" i="4" s="1"/>
  <c r="A31" i="4"/>
  <c r="C33" i="4"/>
  <c r="J33" i="4"/>
  <c r="D33" i="4"/>
  <c r="H33" i="4"/>
  <c r="D32" i="4"/>
  <c r="I32" i="4"/>
  <c r="C32" i="4"/>
  <c r="H32" i="4"/>
  <c r="E33" i="4"/>
  <c r="F33" i="4"/>
  <c r="G33" i="4"/>
  <c r="I33" i="4"/>
  <c r="G32" i="4"/>
  <c r="E32" i="4"/>
  <c r="F32" i="4"/>
  <c r="J32" i="4"/>
  <c r="AF15" i="1"/>
  <c r="A17" i="1"/>
  <c r="AG17" i="1"/>
  <c r="B3" i="11"/>
  <c r="AF16" i="1"/>
  <c r="AH14" i="1"/>
  <c r="A18" i="1"/>
  <c r="D17" i="1"/>
  <c r="AH15" i="1"/>
  <c r="A19" i="1"/>
  <c r="AG19" i="1"/>
  <c r="A20" i="1"/>
  <c r="D19" i="1"/>
  <c r="A21" i="1"/>
  <c r="D21" i="1"/>
  <c r="AG21" i="1"/>
  <c r="B2" i="2"/>
  <c r="A22" i="1"/>
  <c r="A23" i="1"/>
  <c r="AG23" i="1"/>
  <c r="D23" i="1"/>
  <c r="A24" i="1"/>
  <c r="D24" i="1"/>
  <c r="AG24" i="1"/>
  <c r="A25" i="1"/>
  <c r="AG25" i="1"/>
  <c r="D25" i="1"/>
  <c r="A26" i="1"/>
  <c r="AG26" i="1"/>
  <c r="D26" i="1"/>
  <c r="A27" i="1"/>
  <c r="AG27" i="1"/>
  <c r="D27" i="1"/>
  <c r="A28" i="1"/>
  <c r="A29" i="1"/>
  <c r="D29" i="1"/>
  <c r="AG29" i="1"/>
  <c r="A30" i="1"/>
  <c r="A31" i="1"/>
  <c r="D31" i="1"/>
  <c r="AG31" i="1"/>
  <c r="A32" i="1"/>
  <c r="D32" i="1"/>
  <c r="AG32" i="1"/>
  <c r="A33" i="1"/>
  <c r="D33" i="1"/>
  <c r="AG33" i="1"/>
  <c r="A34" i="1"/>
  <c r="AG34" i="1"/>
  <c r="D34" i="1"/>
  <c r="A35" i="1"/>
  <c r="AG35" i="1"/>
  <c r="D35" i="1"/>
  <c r="A36" i="1"/>
  <c r="D36" i="1"/>
  <c r="AG36" i="1"/>
  <c r="A37" i="1"/>
  <c r="AG37" i="1"/>
  <c r="D37" i="1"/>
  <c r="A38" i="1"/>
  <c r="D38" i="1"/>
  <c r="AG38" i="1"/>
  <c r="A39" i="1"/>
  <c r="D39" i="1"/>
  <c r="AG39" i="1"/>
  <c r="A40" i="1"/>
  <c r="AG40" i="1"/>
  <c r="D40" i="1"/>
  <c r="A41" i="1"/>
  <c r="A42" i="1"/>
  <c r="D42" i="1"/>
  <c r="AG42" i="1"/>
  <c r="A43" i="1"/>
  <c r="D43" i="1"/>
  <c r="AG43" i="1"/>
  <c r="A44" i="1"/>
  <c r="D44" i="1"/>
  <c r="AG44" i="1"/>
  <c r="A45" i="1"/>
  <c r="AG45" i="1"/>
  <c r="D45" i="1"/>
  <c r="A46" i="1"/>
  <c r="AG46" i="1"/>
  <c r="D46" i="1"/>
  <c r="A47" i="1"/>
  <c r="D47" i="1"/>
  <c r="AG47" i="1"/>
  <c r="A48" i="1"/>
  <c r="AG48" i="1"/>
  <c r="D48" i="1"/>
  <c r="A49" i="1"/>
  <c r="AG49" i="1"/>
  <c r="D49" i="1"/>
  <c r="A50" i="1"/>
  <c r="A51" i="1"/>
  <c r="AG51" i="1"/>
  <c r="D51" i="1"/>
  <c r="A52" i="1"/>
  <c r="D52" i="1"/>
  <c r="AG52" i="1"/>
  <c r="A53" i="1"/>
  <c r="A54" i="1"/>
  <c r="AG54" i="1"/>
  <c r="D54" i="1"/>
  <c r="A55" i="1"/>
  <c r="AG55" i="1"/>
  <c r="D55" i="1"/>
  <c r="A56" i="1"/>
  <c r="D56" i="1"/>
  <c r="AG56" i="1"/>
  <c r="A57" i="1"/>
  <c r="AG57" i="1"/>
  <c r="D57" i="1"/>
  <c r="A58" i="1"/>
  <c r="D58" i="1"/>
  <c r="AG58" i="1"/>
  <c r="A59" i="1"/>
  <c r="D59" i="1"/>
  <c r="AG59" i="1"/>
  <c r="A60" i="1"/>
  <c r="AG60" i="1"/>
  <c r="D60" i="1"/>
  <c r="A61" i="1"/>
  <c r="AG61" i="1"/>
  <c r="D61" i="1"/>
  <c r="A62" i="1"/>
  <c r="AG62" i="1"/>
  <c r="D62" i="1"/>
  <c r="A63" i="1"/>
  <c r="A64" i="1"/>
  <c r="AG64" i="1"/>
  <c r="D64" i="1"/>
  <c r="A65" i="1"/>
  <c r="A66" i="1"/>
  <c r="AG66" i="1"/>
  <c r="D66" i="1"/>
  <c r="A67" i="1"/>
  <c r="D67" i="1"/>
  <c r="AG67" i="1"/>
  <c r="A68" i="1"/>
  <c r="AG68" i="1"/>
  <c r="D68" i="1"/>
  <c r="A69" i="1"/>
  <c r="A70" i="1"/>
  <c r="D70" i="1"/>
  <c r="AG70" i="1"/>
  <c r="A71" i="1"/>
  <c r="D71" i="1"/>
  <c r="AG71" i="1"/>
  <c r="A72" i="1"/>
  <c r="D72" i="1"/>
  <c r="AG72" i="1"/>
  <c r="A73" i="1"/>
  <c r="AG73" i="1"/>
  <c r="D73" i="1"/>
  <c r="A74" i="1"/>
  <c r="AG74" i="1"/>
  <c r="D74" i="1"/>
  <c r="A75" i="1"/>
  <c r="D75" i="1"/>
  <c r="AG75" i="1"/>
  <c r="A76" i="1"/>
  <c r="D76" i="1"/>
  <c r="AG76" i="1"/>
  <c r="A77" i="1"/>
  <c r="D77" i="1"/>
  <c r="AG77" i="1"/>
  <c r="A78" i="1"/>
  <c r="AG78" i="1"/>
  <c r="D78" i="1"/>
  <c r="A79" i="1"/>
  <c r="D79" i="1"/>
  <c r="AG79" i="1"/>
  <c r="A80" i="1"/>
  <c r="D80" i="1"/>
  <c r="AG80" i="1"/>
  <c r="A81" i="1"/>
  <c r="D81" i="1"/>
  <c r="AG81" i="1"/>
  <c r="A82" i="1"/>
  <c r="AG82" i="1"/>
  <c r="D82" i="1"/>
  <c r="A83" i="1"/>
  <c r="D83" i="1"/>
  <c r="AG83" i="1"/>
  <c r="A84" i="1"/>
  <c r="D84" i="1"/>
  <c r="AG84" i="1"/>
  <c r="A85" i="1"/>
  <c r="AG85" i="1"/>
  <c r="D85" i="1"/>
  <c r="A86" i="1"/>
  <c r="A87" i="1"/>
  <c r="AG87" i="1"/>
  <c r="D87" i="1"/>
  <c r="A88" i="1"/>
  <c r="AG88" i="1"/>
  <c r="D88" i="1"/>
  <c r="A89" i="1"/>
  <c r="A90" i="1"/>
  <c r="AG90" i="1"/>
  <c r="D90" i="1"/>
  <c r="A91" i="1"/>
  <c r="D91" i="1"/>
  <c r="AG91" i="1"/>
  <c r="A92" i="1"/>
  <c r="A93" i="1"/>
  <c r="D93" i="1"/>
  <c r="AG93" i="1"/>
  <c r="A94" i="1"/>
  <c r="D94" i="1"/>
  <c r="AG94" i="1"/>
  <c r="A95" i="1"/>
  <c r="AG95" i="1"/>
  <c r="D95" i="1"/>
  <c r="A96" i="1"/>
  <c r="A97" i="1"/>
  <c r="AG97" i="1"/>
  <c r="D97" i="1"/>
  <c r="A98" i="1"/>
  <c r="A99" i="1"/>
  <c r="AG99" i="1"/>
  <c r="D99" i="1"/>
  <c r="A100" i="1"/>
  <c r="A101" i="1"/>
  <c r="D101" i="1"/>
  <c r="AG101" i="1"/>
  <c r="A102" i="1"/>
  <c r="A103" i="1"/>
  <c r="AG103" i="1"/>
  <c r="D103" i="1"/>
  <c r="A104" i="1"/>
  <c r="A105" i="1"/>
  <c r="AG105" i="1"/>
  <c r="D105" i="1"/>
  <c r="A106" i="1"/>
  <c r="D106" i="1"/>
  <c r="AG106" i="1"/>
  <c r="A107" i="1"/>
  <c r="A108" i="1"/>
  <c r="D108" i="1"/>
  <c r="AG108" i="1"/>
  <c r="A109" i="1"/>
  <c r="A110" i="1"/>
  <c r="D110" i="1"/>
  <c r="AG110" i="1"/>
  <c r="A111" i="1"/>
  <c r="D111" i="1"/>
  <c r="AG111" i="1"/>
  <c r="A112" i="1"/>
  <c r="A113" i="1"/>
  <c r="AG113" i="1"/>
  <c r="D113" i="1"/>
  <c r="A114" i="1"/>
  <c r="AG114" i="1"/>
  <c r="D114" i="1"/>
  <c r="A115" i="1"/>
  <c r="D115" i="1"/>
  <c r="AG115" i="1"/>
  <c r="A116" i="1"/>
  <c r="D116" i="1"/>
  <c r="AG116" i="1"/>
  <c r="A117" i="1"/>
  <c r="D117" i="1"/>
  <c r="AG117" i="1"/>
  <c r="A118" i="1"/>
  <c r="AG118" i="1"/>
  <c r="D118" i="1"/>
  <c r="A119" i="1"/>
  <c r="AG119" i="1"/>
  <c r="D119" i="1"/>
  <c r="A120" i="1"/>
  <c r="D120" i="1"/>
  <c r="AG120" i="1"/>
  <c r="A121" i="1"/>
  <c r="D121" i="1"/>
  <c r="AG121" i="1"/>
  <c r="A122" i="1"/>
  <c r="A123" i="1"/>
  <c r="D123" i="1"/>
  <c r="AG123" i="1"/>
  <c r="A124" i="1"/>
  <c r="AG124" i="1"/>
  <c r="D124" i="1"/>
  <c r="A125" i="1"/>
  <c r="A126" i="1"/>
  <c r="D126" i="1"/>
  <c r="AG126" i="1"/>
  <c r="A127" i="1"/>
  <c r="D127" i="1"/>
  <c r="AG127" i="1"/>
  <c r="A128" i="1"/>
  <c r="D128" i="1"/>
  <c r="AG128" i="1"/>
  <c r="A129" i="1"/>
  <c r="AG129" i="1"/>
  <c r="D129" i="1"/>
  <c r="A130" i="1"/>
  <c r="A131" i="1"/>
  <c r="D131" i="1"/>
  <c r="AG131" i="1"/>
  <c r="A132" i="1"/>
  <c r="A133" i="1"/>
  <c r="AG133" i="1"/>
  <c r="D133" i="1"/>
  <c r="A134" i="1"/>
  <c r="A135" i="1"/>
  <c r="AG135" i="1"/>
  <c r="D135" i="1"/>
  <c r="A136" i="1"/>
  <c r="A137" i="1"/>
  <c r="D137" i="1"/>
  <c r="AG137" i="1"/>
  <c r="A138" i="1"/>
  <c r="D138" i="1"/>
  <c r="AG138" i="1"/>
  <c r="A139" i="1"/>
  <c r="D139" i="1"/>
  <c r="AG139" i="1"/>
  <c r="A140" i="1"/>
  <c r="AG140" i="1"/>
  <c r="D140" i="1"/>
  <c r="A141" i="1"/>
  <c r="A142" i="1"/>
  <c r="D142" i="1"/>
  <c r="AG142" i="1"/>
  <c r="A143" i="1"/>
  <c r="A144" i="1"/>
  <c r="D144" i="1"/>
  <c r="AG144" i="1"/>
  <c r="A145" i="1"/>
  <c r="AG145" i="1"/>
  <c r="D145" i="1"/>
  <c r="A146" i="1"/>
  <c r="D146" i="1"/>
  <c r="AG146" i="1"/>
  <c r="A147" i="1"/>
  <c r="D147" i="1"/>
  <c r="AG147" i="1"/>
  <c r="A148" i="1"/>
  <c r="A149" i="1"/>
  <c r="AG149" i="1"/>
  <c r="D149" i="1"/>
  <c r="A150" i="1"/>
  <c r="AG150" i="1"/>
  <c r="D150" i="1"/>
  <c r="A151" i="1"/>
  <c r="D151" i="1"/>
  <c r="AG151" i="1"/>
  <c r="A152" i="1"/>
  <c r="AG152" i="1"/>
  <c r="D152" i="1"/>
  <c r="A153" i="1"/>
  <c r="AG153" i="1"/>
  <c r="D153" i="1"/>
  <c r="A154" i="1"/>
  <c r="D154" i="1"/>
  <c r="AG154" i="1"/>
  <c r="A155" i="1"/>
  <c r="D155" i="1"/>
  <c r="AG155" i="1"/>
  <c r="A156" i="1"/>
  <c r="D156" i="1"/>
  <c r="AG156" i="1"/>
  <c r="A157" i="1"/>
  <c r="A158" i="1"/>
  <c r="D158" i="1"/>
  <c r="AG158" i="1"/>
  <c r="A159" i="1"/>
  <c r="D159" i="1"/>
  <c r="AG159" i="1"/>
  <c r="A160" i="1"/>
  <c r="AG160" i="1"/>
  <c r="D160" i="1"/>
  <c r="A161" i="1"/>
  <c r="D161" i="1"/>
  <c r="AG161" i="1"/>
  <c r="A162" i="1"/>
  <c r="A163" i="1"/>
  <c r="AG163" i="1"/>
  <c r="D163" i="1"/>
  <c r="A164" i="1"/>
  <c r="A165" i="1"/>
  <c r="AG165" i="1"/>
  <c r="D165" i="1"/>
  <c r="A166" i="1"/>
  <c r="A167" i="1"/>
  <c r="AG167" i="1"/>
  <c r="D167" i="1"/>
  <c r="A168" i="1"/>
  <c r="A169" i="1"/>
  <c r="D169" i="1"/>
  <c r="AG169" i="1"/>
  <c r="A170" i="1"/>
  <c r="A171" i="1"/>
  <c r="D171" i="1"/>
  <c r="AG171" i="1"/>
  <c r="A172" i="1"/>
  <c r="D172" i="1"/>
  <c r="AG172" i="1"/>
  <c r="A173" i="1"/>
  <c r="AG173" i="1"/>
  <c r="D173" i="1"/>
  <c r="A174" i="1"/>
  <c r="AG174" i="1"/>
  <c r="D174" i="1"/>
  <c r="A175" i="1"/>
  <c r="AG175" i="1"/>
  <c r="D175" i="1"/>
  <c r="A176" i="1"/>
  <c r="D176" i="1"/>
  <c r="AG176" i="1"/>
  <c r="A177" i="1"/>
  <c r="A178" i="1"/>
  <c r="D178" i="1"/>
  <c r="AG178" i="1"/>
  <c r="A179" i="1"/>
  <c r="D179" i="1"/>
  <c r="AG179" i="1"/>
  <c r="A180" i="1"/>
  <c r="AG180" i="1"/>
  <c r="D180" i="1"/>
  <c r="A181" i="1"/>
  <c r="AG181" i="1"/>
  <c r="D181" i="1"/>
  <c r="A182" i="1"/>
  <c r="AG182" i="1"/>
  <c r="D182" i="1"/>
  <c r="A183" i="1"/>
  <c r="AG183" i="1"/>
  <c r="D183" i="1"/>
  <c r="A184" i="1"/>
  <c r="D184" i="1"/>
  <c r="AG184" i="1"/>
  <c r="A185" i="1"/>
  <c r="AG185" i="1"/>
  <c r="D185" i="1"/>
  <c r="A186" i="1"/>
  <c r="D186" i="1"/>
  <c r="AG186" i="1"/>
  <c r="A187" i="1"/>
  <c r="AG187" i="1"/>
  <c r="D187" i="1"/>
  <c r="A188" i="1"/>
  <c r="A189" i="1"/>
  <c r="AG189" i="1"/>
  <c r="D189" i="1"/>
  <c r="A190" i="1"/>
  <c r="AG190" i="1"/>
  <c r="D190" i="1"/>
  <c r="A191" i="1"/>
  <c r="AG191" i="1"/>
  <c r="D191" i="1"/>
  <c r="A192" i="1"/>
  <c r="D192" i="1"/>
  <c r="AG192" i="1"/>
  <c r="A193" i="1"/>
  <c r="AG193" i="1"/>
  <c r="D193" i="1"/>
  <c r="A194" i="1"/>
  <c r="D194" i="1"/>
  <c r="AG194" i="1"/>
  <c r="A195" i="1"/>
  <c r="AG195" i="1"/>
  <c r="D195" i="1"/>
  <c r="A196" i="1"/>
  <c r="AG196" i="1"/>
  <c r="D196" i="1"/>
  <c r="A197" i="1"/>
  <c r="AG197" i="1"/>
  <c r="D197" i="1"/>
  <c r="A198" i="1"/>
  <c r="A199" i="1"/>
  <c r="AG199" i="1"/>
  <c r="D199" i="1"/>
  <c r="A200" i="1"/>
  <c r="AG200" i="1"/>
  <c r="D200" i="1"/>
  <c r="A201" i="1"/>
  <c r="D201" i="1"/>
  <c r="AG201" i="1"/>
  <c r="A202" i="1"/>
  <c r="AG202" i="1"/>
  <c r="D202" i="1"/>
  <c r="A203" i="1"/>
  <c r="D203" i="1"/>
  <c r="AG203" i="1"/>
  <c r="A204" i="1"/>
  <c r="D204" i="1"/>
  <c r="AG204" i="1"/>
  <c r="A205" i="1"/>
  <c r="D205" i="1"/>
  <c r="AG205" i="1"/>
  <c r="A206" i="1"/>
  <c r="AG206" i="1"/>
  <c r="D206" i="1"/>
  <c r="A207" i="1"/>
  <c r="AG207" i="1"/>
  <c r="D207" i="1"/>
  <c r="A208" i="1"/>
  <c r="D208" i="1"/>
  <c r="AG208" i="1"/>
  <c r="AI208" i="1" l="1"/>
  <c r="AI207" i="1"/>
  <c r="AI206" i="1"/>
  <c r="AI205" i="1"/>
  <c r="AI204" i="1"/>
  <c r="AI203" i="1"/>
  <c r="AI202" i="1"/>
  <c r="AI201" i="1"/>
  <c r="AI200" i="1"/>
  <c r="AH199" i="1"/>
  <c r="AI198" i="1"/>
  <c r="AI197" i="1"/>
  <c r="AI196" i="1"/>
  <c r="AI195" i="1"/>
  <c r="AI194" i="1"/>
  <c r="AI193" i="1"/>
  <c r="AI192" i="1"/>
  <c r="AI191" i="1"/>
  <c r="AI190" i="1"/>
  <c r="AH189" i="1"/>
  <c r="AI188" i="1"/>
  <c r="AI187" i="1"/>
  <c r="AI186" i="1"/>
  <c r="AI185" i="1"/>
  <c r="AI184" i="1"/>
  <c r="AI183" i="1"/>
  <c r="AI182" i="1"/>
  <c r="AI181" i="1"/>
  <c r="AI180" i="1"/>
  <c r="AJ179" i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I179" i="1"/>
  <c r="AH178" i="1"/>
  <c r="AI177" i="1"/>
  <c r="AI176" i="1"/>
  <c r="AI175" i="1"/>
  <c r="AI174" i="1"/>
  <c r="AI173" i="1"/>
  <c r="AJ172" i="1"/>
  <c r="AJ173" i="1" s="1"/>
  <c r="AJ174" i="1" s="1"/>
  <c r="AJ175" i="1" s="1"/>
  <c r="AJ176" i="1" s="1"/>
  <c r="AI172" i="1"/>
  <c r="AH171" i="1"/>
  <c r="AI170" i="1"/>
  <c r="AH169" i="1"/>
  <c r="AI168" i="1"/>
  <c r="AH167" i="1"/>
  <c r="AI166" i="1"/>
  <c r="AH165" i="1"/>
  <c r="AI164" i="1"/>
  <c r="AH163" i="1"/>
  <c r="AI162" i="1"/>
  <c r="AI161" i="1"/>
  <c r="AI160" i="1"/>
  <c r="AI159" i="1"/>
  <c r="AH158" i="1"/>
  <c r="AI157" i="1"/>
  <c r="AI156" i="1"/>
  <c r="AI155" i="1"/>
  <c r="AI154" i="1"/>
  <c r="AI153" i="1"/>
  <c r="AI152" i="1"/>
  <c r="AI151" i="1"/>
  <c r="AJ150" i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I150" i="1"/>
  <c r="AH149" i="1"/>
  <c r="AI148" i="1"/>
  <c r="AI147" i="1"/>
  <c r="AI146" i="1"/>
  <c r="AI145" i="1"/>
  <c r="AH144" i="1"/>
  <c r="AI143" i="1"/>
  <c r="AH142" i="1"/>
  <c r="AI141" i="1"/>
  <c r="AI140" i="1"/>
  <c r="AI139" i="1"/>
  <c r="AI138" i="1"/>
  <c r="AH137" i="1"/>
  <c r="AI136" i="1"/>
  <c r="AH135" i="1"/>
  <c r="AI134" i="1"/>
  <c r="AH133" i="1"/>
  <c r="AI132" i="1"/>
  <c r="AH131" i="1"/>
  <c r="AI130" i="1"/>
  <c r="AI129" i="1"/>
  <c r="AI128" i="1"/>
  <c r="AI127" i="1"/>
  <c r="AH126" i="1"/>
  <c r="AI125" i="1"/>
  <c r="AI124" i="1"/>
  <c r="AH123" i="1"/>
  <c r="AI122" i="1"/>
  <c r="AI121" i="1"/>
  <c r="AI120" i="1"/>
  <c r="AI119" i="1"/>
  <c r="AI118" i="1"/>
  <c r="AI117" i="1"/>
  <c r="AI116" i="1"/>
  <c r="AI115" i="1"/>
  <c r="AI114" i="1"/>
  <c r="AH113" i="1"/>
  <c r="AI112" i="1"/>
  <c r="AI111" i="1"/>
  <c r="AH110" i="1"/>
  <c r="AI109" i="1"/>
  <c r="AH108" i="1"/>
  <c r="AI107" i="1"/>
  <c r="AJ106" i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I106" i="1"/>
  <c r="AH105" i="1"/>
  <c r="AI104" i="1"/>
  <c r="AH103" i="1"/>
  <c r="AI102" i="1"/>
  <c r="AH101" i="1"/>
  <c r="AI100" i="1"/>
  <c r="AH99" i="1"/>
  <c r="AI98" i="1"/>
  <c r="AH97" i="1"/>
  <c r="AI96" i="1"/>
  <c r="AI95" i="1"/>
  <c r="AI94" i="1"/>
  <c r="AH93" i="1"/>
  <c r="AI92" i="1"/>
  <c r="AI91" i="1"/>
  <c r="AH90" i="1"/>
  <c r="AI89" i="1"/>
  <c r="AI88" i="1"/>
  <c r="AH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J71" i="1"/>
  <c r="AJ72" i="1" s="1"/>
  <c r="AJ73" i="1" s="1"/>
  <c r="AJ74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I71" i="1"/>
  <c r="AH70" i="1"/>
  <c r="AI69" i="1"/>
  <c r="AI68" i="1"/>
  <c r="AI67" i="1"/>
  <c r="AH66" i="1"/>
  <c r="AI65" i="1"/>
  <c r="AH64" i="1"/>
  <c r="AI63" i="1"/>
  <c r="AI62" i="1"/>
  <c r="AI61" i="1"/>
  <c r="AI60" i="1"/>
  <c r="AI59" i="1"/>
  <c r="AI58" i="1"/>
  <c r="AI57" i="1"/>
  <c r="AI56" i="1"/>
  <c r="AI55" i="1"/>
  <c r="AH54" i="1"/>
  <c r="AI53" i="1"/>
  <c r="AJ52" i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I52" i="1"/>
  <c r="AH51" i="1"/>
  <c r="AI50" i="1"/>
  <c r="AI49" i="1"/>
  <c r="AI48" i="1"/>
  <c r="AI47" i="1"/>
  <c r="AI46" i="1"/>
  <c r="AI45" i="1"/>
  <c r="AI44" i="1"/>
  <c r="AI43" i="1"/>
  <c r="AH42" i="1"/>
  <c r="AI41" i="1"/>
  <c r="AI40" i="1"/>
  <c r="AI39" i="1"/>
  <c r="AI38" i="1"/>
  <c r="AI37" i="1"/>
  <c r="AI36" i="1"/>
  <c r="AI35" i="1"/>
  <c r="AI34" i="1"/>
  <c r="AI33" i="1"/>
  <c r="AJ32" i="1"/>
  <c r="AJ33" i="1" s="1"/>
  <c r="AJ34" i="1" s="1"/>
  <c r="AJ35" i="1" s="1"/>
  <c r="AJ36" i="1" s="1"/>
  <c r="AJ67" i="1" s="1"/>
  <c r="AJ68" i="1" s="1"/>
  <c r="AJ69" i="1" s="1"/>
  <c r="AI32" i="1"/>
  <c r="AH31" i="1"/>
  <c r="AI30" i="1"/>
  <c r="AH29" i="1"/>
  <c r="AI28" i="1"/>
  <c r="AI27" i="1"/>
  <c r="AI26" i="1"/>
  <c r="AI25" i="1"/>
  <c r="AJ24" i="1"/>
  <c r="AJ25" i="1" s="1"/>
  <c r="AJ26" i="1" s="1"/>
  <c r="AJ27" i="1" s="1"/>
  <c r="AI24" i="1"/>
  <c r="AH23" i="1"/>
  <c r="AI22" i="1"/>
  <c r="AH21" i="1"/>
  <c r="AH19" i="1"/>
  <c r="AI20" i="1"/>
  <c r="AI18" i="1"/>
  <c r="AJ17" i="1"/>
  <c r="AI17" i="1"/>
  <c r="K33" i="4"/>
  <c r="L33" i="4" s="1"/>
  <c r="M33" i="4" s="1"/>
  <c r="A32" i="4"/>
  <c r="K32" i="4"/>
  <c r="L32" i="4" s="1"/>
  <c r="M32" i="4" s="1"/>
  <c r="A33" i="4"/>
  <c r="AF208" i="1"/>
  <c r="AF207" i="1"/>
  <c r="AF206" i="1"/>
  <c r="AF205" i="1"/>
  <c r="AF204" i="1"/>
  <c r="AF203" i="1"/>
  <c r="AF202" i="1"/>
  <c r="AF201" i="1"/>
  <c r="AF200" i="1"/>
  <c r="AF190" i="1"/>
  <c r="AF189" i="1"/>
  <c r="AF187" i="1"/>
  <c r="AF186" i="1"/>
  <c r="AF185" i="1"/>
  <c r="AF184" i="1"/>
  <c r="AF183" i="1"/>
  <c r="AF182" i="1"/>
  <c r="AF181" i="1"/>
  <c r="AF180" i="1"/>
  <c r="AH179" i="1"/>
  <c r="AH172" i="1"/>
  <c r="AF171" i="1"/>
  <c r="AF167" i="1"/>
  <c r="AF163" i="1"/>
  <c r="AF161" i="1"/>
  <c r="AF160" i="1"/>
  <c r="AH159" i="1"/>
  <c r="AF150" i="1"/>
  <c r="AH145" i="1"/>
  <c r="AF142" i="1"/>
  <c r="AF140" i="1"/>
  <c r="AF139" i="1"/>
  <c r="AF138" i="1"/>
  <c r="AF137" i="1"/>
  <c r="AF133" i="1"/>
  <c r="AF127" i="1"/>
  <c r="AF126" i="1"/>
  <c r="AF124" i="1"/>
  <c r="AF123" i="1"/>
  <c r="AF121" i="1"/>
  <c r="AF120" i="1"/>
  <c r="AF119" i="1"/>
  <c r="AF118" i="1"/>
  <c r="AF117" i="1"/>
  <c r="AF116" i="1"/>
  <c r="AF115" i="1"/>
  <c r="AF114" i="1"/>
  <c r="AH111" i="1"/>
  <c r="AF108" i="1"/>
  <c r="AH106" i="1"/>
  <c r="AF103" i="1"/>
  <c r="AF99" i="1"/>
  <c r="AF94" i="1"/>
  <c r="AH91" i="1"/>
  <c r="AF88" i="1"/>
  <c r="AF71" i="1"/>
  <c r="AF68" i="1"/>
  <c r="AH67" i="1"/>
  <c r="AF66" i="1"/>
  <c r="AH55" i="1"/>
  <c r="AH52" i="1"/>
  <c r="AF51" i="1"/>
  <c r="AF49" i="1"/>
  <c r="AF48" i="1"/>
  <c r="AF47" i="1"/>
  <c r="AF46" i="1"/>
  <c r="AF45" i="1"/>
  <c r="AF44" i="1"/>
  <c r="AH43" i="1"/>
  <c r="AF31" i="1"/>
  <c r="AF24" i="1"/>
  <c r="AF17" i="1"/>
  <c r="F3" i="11"/>
  <c r="AH146" i="1"/>
  <c r="AH200" i="1"/>
  <c r="AH201" i="1" s="1"/>
  <c r="AF199" i="1"/>
  <c r="AF197" i="1"/>
  <c r="AF196" i="1"/>
  <c r="AF195" i="1"/>
  <c r="AF194" i="1"/>
  <c r="AF193" i="1"/>
  <c r="AF192" i="1"/>
  <c r="AF191" i="1"/>
  <c r="AH190" i="1"/>
  <c r="AH191" i="1" s="1"/>
  <c r="AH192" i="1" s="1"/>
  <c r="AF179" i="1"/>
  <c r="AF178" i="1"/>
  <c r="AF176" i="1"/>
  <c r="AF175" i="1"/>
  <c r="AF174" i="1"/>
  <c r="AF173" i="1"/>
  <c r="AF172" i="1"/>
  <c r="AF169" i="1"/>
  <c r="AF165" i="1"/>
  <c r="AH160" i="1"/>
  <c r="AF159" i="1"/>
  <c r="AF158" i="1"/>
  <c r="AF156" i="1"/>
  <c r="AF155" i="1"/>
  <c r="AF154" i="1"/>
  <c r="AF153" i="1"/>
  <c r="AF152" i="1"/>
  <c r="AF151" i="1"/>
  <c r="AH150" i="1"/>
  <c r="AH151" i="1" s="1"/>
  <c r="AF149" i="1"/>
  <c r="AF147" i="1"/>
  <c r="AF146" i="1"/>
  <c r="AF145" i="1"/>
  <c r="AF144" i="1"/>
  <c r="AH138" i="1"/>
  <c r="AF135" i="1"/>
  <c r="AF131" i="1"/>
  <c r="AF129" i="1"/>
  <c r="AF128" i="1"/>
  <c r="AH127" i="1"/>
  <c r="AH128" i="1" s="1"/>
  <c r="AH124" i="1"/>
  <c r="AH114" i="1"/>
  <c r="AH115" i="1" s="1"/>
  <c r="AF113" i="1"/>
  <c r="AF111" i="1"/>
  <c r="AF110" i="1"/>
  <c r="AF106" i="1"/>
  <c r="AF105" i="1"/>
  <c r="AF101" i="1"/>
  <c r="AF97" i="1"/>
  <c r="AF95" i="1"/>
  <c r="AH94" i="1"/>
  <c r="AF93" i="1"/>
  <c r="AF91" i="1"/>
  <c r="AF90" i="1"/>
  <c r="AH88" i="1"/>
  <c r="AF87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H71" i="1"/>
  <c r="AH72" i="1" s="1"/>
  <c r="AF70" i="1"/>
  <c r="AH68" i="1"/>
  <c r="AF67" i="1"/>
  <c r="AF64" i="1"/>
  <c r="AF62" i="1"/>
  <c r="AF61" i="1"/>
  <c r="AF60" i="1"/>
  <c r="AF59" i="1"/>
  <c r="AF58" i="1"/>
  <c r="AF57" i="1"/>
  <c r="AF56" i="1"/>
  <c r="AF55" i="1"/>
  <c r="AF54" i="1"/>
  <c r="AF52" i="1"/>
  <c r="AH44" i="1"/>
  <c r="AF43" i="1"/>
  <c r="AF42" i="1"/>
  <c r="AF40" i="1"/>
  <c r="AF39" i="1"/>
  <c r="AF38" i="1"/>
  <c r="AF37" i="1"/>
  <c r="AF36" i="1"/>
  <c r="AF35" i="1"/>
  <c r="AF34" i="1"/>
  <c r="AF33" i="1"/>
  <c r="AH32" i="1"/>
  <c r="AF29" i="1"/>
  <c r="AF27" i="1"/>
  <c r="AF26" i="1"/>
  <c r="AF25" i="1"/>
  <c r="AH24" i="1"/>
  <c r="AF21" i="1"/>
  <c r="AF19" i="1"/>
  <c r="AH16" i="1"/>
  <c r="H3" i="11"/>
  <c r="D3" i="11"/>
  <c r="AH73" i="1"/>
  <c r="AH45" i="1"/>
  <c r="AH116" i="1"/>
  <c r="AH33" i="1"/>
  <c r="AH180" i="1"/>
  <c r="AH117" i="1"/>
  <c r="AH173" i="1"/>
  <c r="AH161" i="1"/>
  <c r="AF32" i="1"/>
  <c r="AF23" i="1"/>
  <c r="C3" i="11"/>
  <c r="G3" i="11"/>
  <c r="AH152" i="1"/>
  <c r="AH25" i="1"/>
  <c r="AH202" i="1"/>
  <c r="A3" i="11" l="1"/>
  <c r="G2" i="2"/>
  <c r="AJ223" i="1"/>
  <c r="AJ224" i="1"/>
  <c r="AJ249" i="1"/>
  <c r="AJ250" i="1"/>
  <c r="AJ258" i="1"/>
  <c r="AJ259" i="1"/>
  <c r="AJ269" i="1"/>
  <c r="AJ270" i="1"/>
  <c r="AJ281" i="1"/>
  <c r="AJ282" i="1"/>
  <c r="AJ285" i="1"/>
  <c r="AJ286" i="1"/>
  <c r="AJ293" i="1"/>
  <c r="AJ294" i="1"/>
  <c r="AJ303" i="1"/>
  <c r="AJ304" i="1"/>
  <c r="AJ306" i="1"/>
  <c r="AJ307" i="1"/>
  <c r="AJ353" i="1"/>
  <c r="AJ354" i="1"/>
  <c r="AJ355" i="1"/>
  <c r="AJ317" i="1"/>
  <c r="AJ318" i="1"/>
  <c r="AJ319" i="1"/>
  <c r="AJ331" i="1"/>
  <c r="AJ332" i="1"/>
  <c r="AJ366" i="1"/>
  <c r="AH26" i="1"/>
  <c r="AH34" i="1"/>
  <c r="AH17" i="1"/>
  <c r="AH95" i="1"/>
  <c r="AH139" i="1"/>
  <c r="AH140" i="1" s="1"/>
  <c r="AH56" i="1"/>
  <c r="AH57" i="1" s="1"/>
  <c r="AH58" i="1"/>
  <c r="AH153" i="1"/>
  <c r="AH154" i="1" s="1"/>
  <c r="AH181" i="1"/>
  <c r="AH46" i="1"/>
  <c r="AH47" i="1" s="1"/>
  <c r="E3" i="11"/>
  <c r="AH129" i="1"/>
  <c r="AH147" i="1"/>
  <c r="AH174" i="1"/>
  <c r="AH74" i="1"/>
  <c r="AH118" i="1"/>
  <c r="AH155" i="1"/>
  <c r="AH35" i="1"/>
  <c r="AH203" i="1"/>
  <c r="AH193" i="1"/>
  <c r="AH48" i="1"/>
  <c r="B4" i="6" l="1"/>
  <c r="AH36" i="1"/>
  <c r="AH75" i="1"/>
  <c r="AH182" i="1"/>
  <c r="AH183" i="1" s="1"/>
  <c r="AH184" i="1" s="1"/>
  <c r="AH27" i="1"/>
  <c r="AH156" i="1"/>
  <c r="AH37" i="1"/>
  <c r="AH185" i="1"/>
  <c r="AH49" i="1"/>
  <c r="AH119" i="1"/>
  <c r="AH175" i="1"/>
  <c r="AH59" i="1"/>
  <c r="AH194" i="1"/>
  <c r="AH204" i="1"/>
  <c r="AH120" i="1"/>
  <c r="E4" i="6" l="1"/>
  <c r="F4" i="6"/>
  <c r="D4" i="6"/>
  <c r="I4" i="6"/>
  <c r="H4" i="6"/>
  <c r="G4" i="6"/>
  <c r="C4" i="6"/>
  <c r="A4" i="6" s="1"/>
  <c r="J4" i="6"/>
  <c r="AH195" i="1"/>
  <c r="AH176" i="1"/>
  <c r="AH76" i="1"/>
  <c r="AH121" i="1"/>
  <c r="AH205" i="1"/>
  <c r="AH60" i="1"/>
  <c r="AH61" i="1" s="1"/>
  <c r="AH62" i="1" s="1"/>
  <c r="AH38" i="1"/>
  <c r="AH186" i="1"/>
  <c r="K4" i="6" l="1"/>
  <c r="L4" i="6" s="1"/>
  <c r="M4" i="6" s="1"/>
  <c r="AH187" i="1"/>
  <c r="AH206" i="1"/>
  <c r="AH196" i="1"/>
  <c r="AH197" i="1" s="1"/>
  <c r="AH207" i="1"/>
  <c r="AH39" i="1"/>
  <c r="AH40" i="1" s="1"/>
  <c r="AH77" i="1"/>
  <c r="AH78" i="1" s="1"/>
  <c r="AH79" i="1" s="1"/>
  <c r="AH80" i="1" s="1"/>
  <c r="AH81" i="1" s="1"/>
  <c r="AJ484" i="1" l="1"/>
  <c r="AH208" i="1"/>
  <c r="AJ514" i="1" l="1"/>
  <c r="AJ530" i="1" l="1"/>
  <c r="AJ543" i="1" l="1"/>
  <c r="AJ554" i="1" l="1"/>
  <c r="A209" i="1"/>
  <c r="AH82" i="1"/>
  <c r="AH83" i="1" s="1"/>
  <c r="A210" i="1"/>
  <c r="AG210" i="1"/>
  <c r="D210" i="1"/>
  <c r="AH210" i="1" l="1"/>
  <c r="AI209" i="1"/>
  <c r="A211" i="1"/>
  <c r="AF210" i="1"/>
  <c r="AH84" i="1"/>
  <c r="AH85" i="1" s="1"/>
  <c r="AG211" i="1"/>
  <c r="D211" i="1"/>
  <c r="A212" i="1"/>
  <c r="D212" i="1"/>
  <c r="AG212" i="1"/>
  <c r="A213" i="1"/>
  <c r="A214" i="1"/>
  <c r="AG214" i="1"/>
  <c r="D214" i="1"/>
  <c r="A215" i="1"/>
  <c r="D215" i="1"/>
  <c r="AG215" i="1"/>
  <c r="A216" i="1"/>
  <c r="AG216" i="1"/>
  <c r="D216" i="1"/>
  <c r="A217" i="1"/>
  <c r="D217" i="1"/>
  <c r="AG217" i="1"/>
  <c r="A218" i="1"/>
  <c r="AG218" i="1"/>
  <c r="D218" i="1"/>
  <c r="A219" i="1"/>
  <c r="D219" i="1"/>
  <c r="AG219" i="1"/>
  <c r="A220" i="1"/>
  <c r="AG220" i="1"/>
  <c r="D220" i="1"/>
  <c r="A221" i="1"/>
  <c r="D221" i="1"/>
  <c r="AG221" i="1"/>
  <c r="A222" i="1"/>
  <c r="AG222" i="1"/>
  <c r="D222" i="1"/>
  <c r="A223" i="1"/>
  <c r="A224" i="1"/>
  <c r="D224" i="1"/>
  <c r="AG224" i="1"/>
  <c r="A225" i="1"/>
  <c r="A226" i="1"/>
  <c r="D226" i="1"/>
  <c r="AG226" i="1"/>
  <c r="A227" i="1"/>
  <c r="D227" i="1"/>
  <c r="AG227" i="1"/>
  <c r="A228" i="1"/>
  <c r="AG228" i="1"/>
  <c r="D228" i="1"/>
  <c r="A229" i="1"/>
  <c r="D229" i="1"/>
  <c r="AG229" i="1"/>
  <c r="A230" i="1"/>
  <c r="AG230" i="1"/>
  <c r="D230" i="1"/>
  <c r="A231" i="1"/>
  <c r="D231" i="1"/>
  <c r="AG231" i="1"/>
  <c r="A232" i="1"/>
  <c r="AG232" i="1"/>
  <c r="D232" i="1"/>
  <c r="A233" i="1"/>
  <c r="A234" i="1"/>
  <c r="AG234" i="1"/>
  <c r="D234" i="1"/>
  <c r="A235" i="1"/>
  <c r="D235" i="1"/>
  <c r="AG235" i="1"/>
  <c r="A236" i="1"/>
  <c r="AG236" i="1"/>
  <c r="D236" i="1"/>
  <c r="A237" i="1"/>
  <c r="D237" i="1"/>
  <c r="AG237" i="1"/>
  <c r="A238" i="1"/>
  <c r="A239" i="1"/>
  <c r="D239" i="1"/>
  <c r="AG239" i="1"/>
  <c r="A240" i="1"/>
  <c r="AG240" i="1"/>
  <c r="D240" i="1"/>
  <c r="A241" i="1"/>
  <c r="D241" i="1"/>
  <c r="AG241" i="1"/>
  <c r="A242" i="1"/>
  <c r="AG242" i="1"/>
  <c r="D242" i="1"/>
  <c r="A243" i="1"/>
  <c r="D243" i="1"/>
  <c r="AG243" i="1"/>
  <c r="A244" i="1"/>
  <c r="AG244" i="1"/>
  <c r="D244" i="1"/>
  <c r="A245" i="1"/>
  <c r="D245" i="1"/>
  <c r="AG245" i="1"/>
  <c r="A246" i="1"/>
  <c r="AG246" i="1"/>
  <c r="D246" i="1"/>
  <c r="A247" i="1"/>
  <c r="D247" i="1"/>
  <c r="AG247" i="1"/>
  <c r="A248" i="1"/>
  <c r="AG248" i="1"/>
  <c r="D248" i="1"/>
  <c r="A249" i="1"/>
  <c r="A250" i="1"/>
  <c r="AG250" i="1"/>
  <c r="D250" i="1"/>
  <c r="A251" i="1"/>
  <c r="D251" i="1"/>
  <c r="AG251" i="1"/>
  <c r="A252" i="1"/>
  <c r="AG252" i="1"/>
  <c r="D252" i="1"/>
  <c r="A253" i="1"/>
  <c r="D253" i="1"/>
  <c r="AG253" i="1"/>
  <c r="A254" i="1"/>
  <c r="AG254" i="1"/>
  <c r="D254" i="1"/>
  <c r="A255" i="1"/>
  <c r="D255" i="1"/>
  <c r="AG255" i="1"/>
  <c r="A256" i="1"/>
  <c r="AG256" i="1"/>
  <c r="D256" i="1"/>
  <c r="A257" i="1"/>
  <c r="D257" i="1"/>
  <c r="AG257" i="1"/>
  <c r="A258" i="1"/>
  <c r="A259" i="1"/>
  <c r="D259" i="1"/>
  <c r="AG259" i="1"/>
  <c r="A260" i="1"/>
  <c r="AG260" i="1"/>
  <c r="D260" i="1"/>
  <c r="A261" i="1"/>
  <c r="D261" i="1"/>
  <c r="AG261" i="1"/>
  <c r="A262" i="1"/>
  <c r="AG262" i="1"/>
  <c r="D262" i="1"/>
  <c r="A263" i="1"/>
  <c r="D263" i="1"/>
  <c r="AG263" i="1"/>
  <c r="A264" i="1"/>
  <c r="AG264" i="1"/>
  <c r="D264" i="1"/>
  <c r="A265" i="1"/>
  <c r="D265" i="1"/>
  <c r="AG265" i="1"/>
  <c r="A266" i="1"/>
  <c r="AG266" i="1"/>
  <c r="D266" i="1"/>
  <c r="A267" i="1"/>
  <c r="D267" i="1"/>
  <c r="AG267" i="1"/>
  <c r="A268" i="1"/>
  <c r="AG268" i="1"/>
  <c r="D268" i="1"/>
  <c r="A269" i="1"/>
  <c r="A270" i="1"/>
  <c r="AG270" i="1"/>
  <c r="D270" i="1"/>
  <c r="A271" i="1"/>
  <c r="D271" i="1"/>
  <c r="AG271" i="1"/>
  <c r="A272" i="1"/>
  <c r="AG272" i="1"/>
  <c r="D272" i="1"/>
  <c r="A273" i="1"/>
  <c r="D273" i="1"/>
  <c r="AG273" i="1"/>
  <c r="A274" i="1"/>
  <c r="AG274" i="1"/>
  <c r="D274" i="1"/>
  <c r="A275" i="1"/>
  <c r="D275" i="1"/>
  <c r="AG275" i="1"/>
  <c r="A276" i="1"/>
  <c r="AG276" i="1"/>
  <c r="D276" i="1"/>
  <c r="A277" i="1"/>
  <c r="D277" i="1"/>
  <c r="AG277" i="1"/>
  <c r="A278" i="1"/>
  <c r="AG278" i="1"/>
  <c r="D278" i="1"/>
  <c r="A279" i="1"/>
  <c r="D279" i="1"/>
  <c r="AG279" i="1"/>
  <c r="A280" i="1"/>
  <c r="AG280" i="1"/>
  <c r="D280" i="1"/>
  <c r="A281" i="1"/>
  <c r="A282" i="1"/>
  <c r="D282" i="1"/>
  <c r="AG282" i="1"/>
  <c r="A283" i="1"/>
  <c r="D283" i="1"/>
  <c r="AG283" i="1"/>
  <c r="A284" i="1"/>
  <c r="AG284" i="1"/>
  <c r="D284" i="1"/>
  <c r="A285" i="1"/>
  <c r="A286" i="1"/>
  <c r="AG286" i="1"/>
  <c r="D286" i="1"/>
  <c r="A287" i="1"/>
  <c r="D287" i="1"/>
  <c r="AG287" i="1"/>
  <c r="A288" i="1"/>
  <c r="AG288" i="1"/>
  <c r="D288" i="1"/>
  <c r="A289" i="1"/>
  <c r="D289" i="1"/>
  <c r="AG289" i="1"/>
  <c r="A290" i="1"/>
  <c r="AG290" i="1"/>
  <c r="D290" i="1"/>
  <c r="A291" i="1"/>
  <c r="D291" i="1"/>
  <c r="AG291" i="1"/>
  <c r="A292" i="1"/>
  <c r="AG292" i="1"/>
  <c r="D292" i="1"/>
  <c r="A293" i="1"/>
  <c r="A294" i="1"/>
  <c r="AG294" i="1"/>
  <c r="D294" i="1"/>
  <c r="A295" i="1"/>
  <c r="D295" i="1"/>
  <c r="AG295" i="1"/>
  <c r="A296" i="1"/>
  <c r="AG296" i="1"/>
  <c r="D296" i="1"/>
  <c r="A297" i="1"/>
  <c r="D297" i="1"/>
  <c r="AG297" i="1"/>
  <c r="A298" i="1"/>
  <c r="AG298" i="1"/>
  <c r="D298" i="1"/>
  <c r="A299" i="1"/>
  <c r="D299" i="1"/>
  <c r="AG299" i="1"/>
  <c r="A300" i="1"/>
  <c r="AG300" i="1"/>
  <c r="D300" i="1"/>
  <c r="A301" i="1"/>
  <c r="D301" i="1"/>
  <c r="AG301" i="1"/>
  <c r="A302" i="1"/>
  <c r="AG302" i="1"/>
  <c r="D302" i="1"/>
  <c r="A303" i="1"/>
  <c r="A304" i="1"/>
  <c r="D304" i="1"/>
  <c r="AG304" i="1"/>
  <c r="A305" i="1"/>
  <c r="D305" i="1"/>
  <c r="AG305" i="1"/>
  <c r="A306" i="1"/>
  <c r="A307" i="1"/>
  <c r="D307" i="1"/>
  <c r="AG307" i="1"/>
  <c r="A308" i="1"/>
  <c r="A309" i="1"/>
  <c r="D309" i="1"/>
  <c r="AG309" i="1"/>
  <c r="A310" i="1"/>
  <c r="A311" i="1"/>
  <c r="D311" i="1"/>
  <c r="AG311" i="1"/>
  <c r="A312" i="1"/>
  <c r="A313" i="1"/>
  <c r="D313" i="1"/>
  <c r="AG313" i="1"/>
  <c r="A314" i="1"/>
  <c r="A315" i="1"/>
  <c r="D315" i="1"/>
  <c r="AG315" i="1"/>
  <c r="A316" i="1"/>
  <c r="AG316" i="1"/>
  <c r="D316" i="1"/>
  <c r="A317" i="1"/>
  <c r="A318" i="1"/>
  <c r="AG318" i="1"/>
  <c r="D318" i="1"/>
  <c r="A319" i="1"/>
  <c r="A320" i="1"/>
  <c r="AG320" i="1"/>
  <c r="D320" i="1"/>
  <c r="A321" i="1"/>
  <c r="D321" i="1"/>
  <c r="AG321" i="1"/>
  <c r="A322" i="1"/>
  <c r="AG322" i="1"/>
  <c r="D322" i="1"/>
  <c r="A323" i="1"/>
  <c r="D323" i="1"/>
  <c r="AG323" i="1"/>
  <c r="A324" i="1"/>
  <c r="AG324" i="1"/>
  <c r="D324" i="1"/>
  <c r="A325" i="1"/>
  <c r="D325" i="1"/>
  <c r="AG325" i="1"/>
  <c r="A326" i="1"/>
  <c r="AG326" i="1"/>
  <c r="D326" i="1"/>
  <c r="A327" i="1"/>
  <c r="D327" i="1"/>
  <c r="AG327" i="1"/>
  <c r="A328" i="1"/>
  <c r="AG328" i="1"/>
  <c r="D328" i="1"/>
  <c r="A329" i="1"/>
  <c r="D329" i="1"/>
  <c r="AG329" i="1"/>
  <c r="A330" i="1"/>
  <c r="AG330" i="1"/>
  <c r="D330" i="1"/>
  <c r="A331" i="1"/>
  <c r="A332" i="1"/>
  <c r="AG332" i="1"/>
  <c r="D332" i="1"/>
  <c r="A333" i="1"/>
  <c r="D333" i="1"/>
  <c r="AG333" i="1"/>
  <c r="A334" i="1"/>
  <c r="AG334" i="1"/>
  <c r="D334" i="1"/>
  <c r="A335" i="1"/>
  <c r="D335" i="1"/>
  <c r="AG335" i="1"/>
  <c r="A336" i="1"/>
  <c r="AG336" i="1"/>
  <c r="D336" i="1"/>
  <c r="A337" i="1"/>
  <c r="D337" i="1"/>
  <c r="AG337" i="1"/>
  <c r="A338" i="1"/>
  <c r="AG338" i="1"/>
  <c r="D338" i="1"/>
  <c r="A339" i="1"/>
  <c r="D339" i="1"/>
  <c r="AG339" i="1"/>
  <c r="A340" i="1"/>
  <c r="AG340" i="1"/>
  <c r="D340" i="1"/>
  <c r="A341" i="1"/>
  <c r="A342" i="1"/>
  <c r="D342" i="1"/>
  <c r="AG342" i="1"/>
  <c r="A343" i="1"/>
  <c r="D343" i="1"/>
  <c r="AG343" i="1"/>
  <c r="A344" i="1"/>
  <c r="AG344" i="1"/>
  <c r="D344" i="1"/>
  <c r="A345" i="1"/>
  <c r="D345" i="1"/>
  <c r="AG345" i="1"/>
  <c r="A346" i="1"/>
  <c r="AG346" i="1"/>
  <c r="D346" i="1"/>
  <c r="A347" i="1"/>
  <c r="D347" i="1"/>
  <c r="AG347" i="1"/>
  <c r="A348" i="1"/>
  <c r="AG348" i="1"/>
  <c r="D348" i="1"/>
  <c r="A349" i="1"/>
  <c r="D349" i="1"/>
  <c r="AG349" i="1"/>
  <c r="A350" i="1"/>
  <c r="AG350" i="1"/>
  <c r="D350" i="1"/>
  <c r="A351" i="1"/>
  <c r="D351" i="1"/>
  <c r="AG351" i="1"/>
  <c r="A352" i="1"/>
  <c r="AG352" i="1"/>
  <c r="D352" i="1"/>
  <c r="A353" i="1"/>
  <c r="A354" i="1"/>
  <c r="AG354" i="1"/>
  <c r="D354" i="1"/>
  <c r="A355" i="1"/>
  <c r="A356" i="1"/>
  <c r="AG356" i="1"/>
  <c r="D356" i="1"/>
  <c r="A357" i="1"/>
  <c r="D357" i="1"/>
  <c r="AG357" i="1"/>
  <c r="A358" i="1"/>
  <c r="AG358" i="1"/>
  <c r="D358" i="1"/>
  <c r="A359" i="1"/>
  <c r="D359" i="1"/>
  <c r="AG359" i="1"/>
  <c r="A360" i="1"/>
  <c r="AG360" i="1"/>
  <c r="D360" i="1"/>
  <c r="A361" i="1"/>
  <c r="D361" i="1"/>
  <c r="AG361" i="1"/>
  <c r="A362" i="1"/>
  <c r="AG362" i="1"/>
  <c r="D362" i="1"/>
  <c r="A363" i="1"/>
  <c r="D363" i="1"/>
  <c r="AG363" i="1"/>
  <c r="A364" i="1"/>
  <c r="AG364" i="1"/>
  <c r="D364" i="1"/>
  <c r="A365" i="1"/>
  <c r="D365" i="1"/>
  <c r="AG365" i="1"/>
  <c r="A366" i="1"/>
  <c r="A367" i="1"/>
  <c r="D367" i="1"/>
  <c r="AG367" i="1"/>
  <c r="A368" i="1"/>
  <c r="AG368" i="1"/>
  <c r="D368" i="1"/>
  <c r="A369" i="1"/>
  <c r="A370" i="1"/>
  <c r="AG370" i="1"/>
  <c r="D370" i="1"/>
  <c r="A371" i="1"/>
  <c r="A372" i="1"/>
  <c r="AG372" i="1"/>
  <c r="D372" i="1"/>
  <c r="A373" i="1"/>
  <c r="D373" i="1"/>
  <c r="AG373" i="1"/>
  <c r="A374" i="1"/>
  <c r="D374" i="1"/>
  <c r="AG374" i="1"/>
  <c r="A375" i="1"/>
  <c r="D375" i="1"/>
  <c r="AG375" i="1"/>
  <c r="A376" i="1"/>
  <c r="A377" i="1"/>
  <c r="D377" i="1"/>
  <c r="AG377" i="1"/>
  <c r="A378" i="1"/>
  <c r="D378" i="1"/>
  <c r="AG378" i="1"/>
  <c r="A379" i="1"/>
  <c r="AG379" i="1"/>
  <c r="D379" i="1"/>
  <c r="A380" i="1"/>
  <c r="D380" i="1"/>
  <c r="AG380" i="1"/>
  <c r="A381" i="1"/>
  <c r="A382" i="1"/>
  <c r="D382" i="1"/>
  <c r="AG382" i="1"/>
  <c r="A383" i="1"/>
  <c r="A384" i="1"/>
  <c r="D384" i="1"/>
  <c r="AG384" i="1"/>
  <c r="A385" i="1"/>
  <c r="AG385" i="1"/>
  <c r="D385" i="1"/>
  <c r="A386" i="1"/>
  <c r="AG386" i="1"/>
  <c r="D386" i="1"/>
  <c r="A387" i="1"/>
  <c r="AG387" i="1"/>
  <c r="D387" i="1"/>
  <c r="A388" i="1"/>
  <c r="A389" i="1"/>
  <c r="AG389" i="1"/>
  <c r="D389" i="1"/>
  <c r="A390" i="1"/>
  <c r="D390" i="1"/>
  <c r="AG390" i="1"/>
  <c r="A391" i="1"/>
  <c r="D391" i="1"/>
  <c r="AG391" i="1"/>
  <c r="A392" i="1"/>
  <c r="AG392" i="1"/>
  <c r="D392" i="1"/>
  <c r="A393" i="1"/>
  <c r="AG393" i="1"/>
  <c r="D393" i="1"/>
  <c r="A394" i="1"/>
  <c r="D394" i="1"/>
  <c r="AG394" i="1"/>
  <c r="A395" i="1"/>
  <c r="D395" i="1"/>
  <c r="AG395" i="1"/>
  <c r="A396" i="1"/>
  <c r="AG396" i="1"/>
  <c r="D396" i="1"/>
  <c r="A397" i="1"/>
  <c r="D397" i="1"/>
  <c r="AG397" i="1"/>
  <c r="A398" i="1"/>
  <c r="D398" i="1"/>
  <c r="AG398" i="1"/>
  <c r="A399" i="1"/>
  <c r="D399" i="1"/>
  <c r="AG399" i="1"/>
  <c r="A400" i="1"/>
  <c r="AG400" i="1"/>
  <c r="D400" i="1"/>
  <c r="A401" i="1"/>
  <c r="AG401" i="1"/>
  <c r="D401" i="1"/>
  <c r="A402" i="1"/>
  <c r="AG402" i="1"/>
  <c r="D402" i="1"/>
  <c r="A403" i="1"/>
  <c r="D403" i="1"/>
  <c r="AG403" i="1"/>
  <c r="A404" i="1"/>
  <c r="D404" i="1"/>
  <c r="AG404" i="1"/>
  <c r="A405" i="1"/>
  <c r="AG405" i="1"/>
  <c r="D405" i="1"/>
  <c r="A406" i="1"/>
  <c r="A407" i="1"/>
  <c r="D407" i="1"/>
  <c r="AG407" i="1"/>
  <c r="A408" i="1"/>
  <c r="AG408" i="1"/>
  <c r="D408" i="1"/>
  <c r="A409" i="1"/>
  <c r="D409" i="1"/>
  <c r="AG409" i="1"/>
  <c r="A410" i="1"/>
  <c r="AG410" i="1"/>
  <c r="D410" i="1"/>
  <c r="A411" i="1"/>
  <c r="D411" i="1"/>
  <c r="AG411" i="1"/>
  <c r="A412" i="1"/>
  <c r="AG412" i="1"/>
  <c r="D412" i="1"/>
  <c r="A413" i="1"/>
  <c r="D413" i="1"/>
  <c r="AG413" i="1"/>
  <c r="A414" i="1"/>
  <c r="D414" i="1"/>
  <c r="AG414" i="1"/>
  <c r="A415" i="1"/>
  <c r="AG415" i="1"/>
  <c r="D415" i="1"/>
  <c r="A416" i="1"/>
  <c r="D416" i="1"/>
  <c r="AG416" i="1"/>
  <c r="A417" i="1"/>
  <c r="AG417" i="1"/>
  <c r="D417" i="1"/>
  <c r="A418" i="1"/>
  <c r="D418" i="1"/>
  <c r="AG418" i="1"/>
  <c r="A419" i="1"/>
  <c r="AG419" i="1"/>
  <c r="D419" i="1"/>
  <c r="A420" i="1"/>
  <c r="AG420" i="1"/>
  <c r="D420" i="1"/>
  <c r="A421" i="1"/>
  <c r="AG421" i="1"/>
  <c r="D421" i="1"/>
  <c r="A422" i="1"/>
  <c r="AG422" i="1"/>
  <c r="D422" i="1"/>
  <c r="A423" i="1"/>
  <c r="D423" i="1"/>
  <c r="AG423" i="1"/>
  <c r="A424" i="1"/>
  <c r="A425" i="1"/>
  <c r="AG425" i="1"/>
  <c r="D425" i="1"/>
  <c r="A426" i="1"/>
  <c r="D426" i="1"/>
  <c r="AG426" i="1"/>
  <c r="A427" i="1"/>
  <c r="A428" i="1"/>
  <c r="D428" i="1"/>
  <c r="AG428" i="1"/>
  <c r="A429" i="1"/>
  <c r="AG429" i="1"/>
  <c r="D429" i="1"/>
  <c r="A430" i="1"/>
  <c r="A431" i="1"/>
  <c r="D431" i="1"/>
  <c r="AG431" i="1"/>
  <c r="A432" i="1"/>
  <c r="A433" i="1"/>
  <c r="AG433" i="1"/>
  <c r="D433" i="1"/>
  <c r="A434" i="1"/>
  <c r="D434" i="1"/>
  <c r="AG434" i="1"/>
  <c r="A435" i="1"/>
  <c r="A436" i="1"/>
  <c r="D436" i="1"/>
  <c r="AG436" i="1"/>
  <c r="A437" i="1"/>
  <c r="D437" i="1"/>
  <c r="AG437" i="1"/>
  <c r="A438" i="1"/>
  <c r="D438" i="1"/>
  <c r="AG438" i="1"/>
  <c r="A439" i="1"/>
  <c r="D439" i="1"/>
  <c r="AG439" i="1"/>
  <c r="A440" i="1"/>
  <c r="A441" i="1"/>
  <c r="AG441" i="1"/>
  <c r="D441" i="1"/>
  <c r="A442" i="1"/>
  <c r="D442" i="1"/>
  <c r="AG442" i="1"/>
  <c r="A443" i="1"/>
  <c r="AG443" i="1"/>
  <c r="D443" i="1"/>
  <c r="A444" i="1"/>
  <c r="AG444" i="1"/>
  <c r="D444" i="1"/>
  <c r="A445" i="1"/>
  <c r="A446" i="1"/>
  <c r="AG446" i="1"/>
  <c r="D446" i="1"/>
  <c r="A447" i="1"/>
  <c r="D447" i="1"/>
  <c r="AG447" i="1"/>
  <c r="A448" i="1"/>
  <c r="A449" i="1"/>
  <c r="D449" i="1"/>
  <c r="AG449" i="1"/>
  <c r="A450" i="1"/>
  <c r="AG450" i="1"/>
  <c r="D450" i="1"/>
  <c r="A451" i="1"/>
  <c r="D451" i="1"/>
  <c r="AG451" i="1"/>
  <c r="A452" i="1"/>
  <c r="AG452" i="1"/>
  <c r="D452" i="1"/>
  <c r="A453" i="1"/>
  <c r="AG453" i="1"/>
  <c r="D453" i="1"/>
  <c r="A454" i="1"/>
  <c r="D454" i="1"/>
  <c r="AG454" i="1"/>
  <c r="A455" i="1"/>
  <c r="AG455" i="1"/>
  <c r="D455" i="1"/>
  <c r="A456" i="1"/>
  <c r="D456" i="1"/>
  <c r="AG456" i="1"/>
  <c r="A457" i="1"/>
  <c r="D457" i="1"/>
  <c r="AG457" i="1"/>
  <c r="A458" i="1"/>
  <c r="AG458" i="1"/>
  <c r="D458" i="1"/>
  <c r="A459" i="1"/>
  <c r="A460" i="1"/>
  <c r="AG460" i="1"/>
  <c r="D460" i="1"/>
  <c r="A461" i="1"/>
  <c r="AG461" i="1"/>
  <c r="D461" i="1"/>
  <c r="A462" i="1"/>
  <c r="D462" i="1"/>
  <c r="AG462" i="1"/>
  <c r="A463" i="1"/>
  <c r="A464" i="1"/>
  <c r="AG464" i="1"/>
  <c r="D464" i="1"/>
  <c r="A465" i="1"/>
  <c r="D465" i="1"/>
  <c r="AG465" i="1"/>
  <c r="A466" i="1"/>
  <c r="A467" i="1"/>
  <c r="D467" i="1"/>
  <c r="AG467" i="1"/>
  <c r="A468" i="1"/>
  <c r="D468" i="1"/>
  <c r="AG468" i="1"/>
  <c r="A469" i="1"/>
  <c r="A470" i="1"/>
  <c r="D470" i="1"/>
  <c r="AG470" i="1"/>
  <c r="A471" i="1"/>
  <c r="A472" i="1"/>
  <c r="D472" i="1"/>
  <c r="AG472" i="1"/>
  <c r="A473" i="1"/>
  <c r="AG473" i="1"/>
  <c r="D473" i="1"/>
  <c r="A474" i="1"/>
  <c r="D474" i="1"/>
  <c r="AG474" i="1"/>
  <c r="A475" i="1"/>
  <c r="AG475" i="1"/>
  <c r="D475" i="1"/>
  <c r="A476" i="1"/>
  <c r="AG476" i="1"/>
  <c r="D476" i="1"/>
  <c r="A477" i="1"/>
  <c r="AG477" i="1"/>
  <c r="D477" i="1"/>
  <c r="A478" i="1"/>
  <c r="AG478" i="1"/>
  <c r="D478" i="1"/>
  <c r="A479" i="1"/>
  <c r="AG479" i="1"/>
  <c r="D479" i="1"/>
  <c r="A480" i="1"/>
  <c r="AG480" i="1"/>
  <c r="D480" i="1"/>
  <c r="A481" i="1"/>
  <c r="D481" i="1"/>
  <c r="AG481" i="1"/>
  <c r="A482" i="1"/>
  <c r="AG482" i="1"/>
  <c r="D482" i="1"/>
  <c r="A483" i="1"/>
  <c r="A484" i="1"/>
  <c r="D484" i="1"/>
  <c r="AG484" i="1"/>
  <c r="A485" i="1"/>
  <c r="AG485" i="1"/>
  <c r="D485" i="1"/>
  <c r="A486" i="1"/>
  <c r="D486" i="1"/>
  <c r="AG486" i="1"/>
  <c r="A487" i="1"/>
  <c r="D487" i="1"/>
  <c r="AG487" i="1"/>
  <c r="A488" i="1"/>
  <c r="D488" i="1"/>
  <c r="AG488" i="1"/>
  <c r="A489" i="1"/>
  <c r="AG489" i="1"/>
  <c r="D489" i="1"/>
  <c r="A490" i="1"/>
  <c r="D490" i="1"/>
  <c r="AG490" i="1"/>
  <c r="A491" i="1"/>
  <c r="AG491" i="1"/>
  <c r="D491" i="1"/>
  <c r="A492" i="1"/>
  <c r="AG492" i="1"/>
  <c r="D492" i="1"/>
  <c r="A493" i="1"/>
  <c r="AG493" i="1"/>
  <c r="D493" i="1"/>
  <c r="A494" i="1"/>
  <c r="A495" i="1"/>
  <c r="AG495" i="1"/>
  <c r="D495" i="1"/>
  <c r="A496" i="1"/>
  <c r="D496" i="1"/>
  <c r="AG496" i="1"/>
  <c r="A497" i="1"/>
  <c r="D497" i="1"/>
  <c r="AG497" i="1"/>
  <c r="A498" i="1"/>
  <c r="D498" i="1"/>
  <c r="AG498" i="1"/>
  <c r="A499" i="1"/>
  <c r="AG499" i="1"/>
  <c r="D499" i="1"/>
  <c r="A500" i="1"/>
  <c r="A501" i="1"/>
  <c r="D501" i="1"/>
  <c r="AG501" i="1"/>
  <c r="A502" i="1"/>
  <c r="AG502" i="1"/>
  <c r="D502" i="1"/>
  <c r="A503" i="1"/>
  <c r="D503" i="1"/>
  <c r="AG503" i="1"/>
  <c r="A504" i="1"/>
  <c r="D504" i="1"/>
  <c r="AG504" i="1"/>
  <c r="A505" i="1"/>
  <c r="AG505" i="1"/>
  <c r="D505" i="1"/>
  <c r="A506" i="1"/>
  <c r="D506" i="1"/>
  <c r="AG506" i="1"/>
  <c r="A507" i="1"/>
  <c r="D507" i="1"/>
  <c r="AG507" i="1"/>
  <c r="A508" i="1"/>
  <c r="A509" i="1"/>
  <c r="AG509" i="1"/>
  <c r="D509" i="1"/>
  <c r="A510" i="1"/>
  <c r="AG510" i="1"/>
  <c r="D510" i="1"/>
  <c r="A511" i="1"/>
  <c r="D511" i="1"/>
  <c r="AG511" i="1"/>
  <c r="A512" i="1"/>
  <c r="AG512" i="1"/>
  <c r="D512" i="1"/>
  <c r="A513" i="1"/>
  <c r="A514" i="1"/>
  <c r="AG514" i="1"/>
  <c r="D514" i="1"/>
  <c r="A515" i="1"/>
  <c r="AG515" i="1"/>
  <c r="D515" i="1"/>
  <c r="A516" i="1"/>
  <c r="D516" i="1"/>
  <c r="AG516" i="1"/>
  <c r="A517" i="1"/>
  <c r="D517" i="1"/>
  <c r="AG517" i="1"/>
  <c r="A518" i="1"/>
  <c r="AG518" i="1"/>
  <c r="D518" i="1"/>
  <c r="A519" i="1"/>
  <c r="D519" i="1"/>
  <c r="AG519" i="1"/>
  <c r="A520" i="1"/>
  <c r="AG520" i="1"/>
  <c r="D520" i="1"/>
  <c r="A521" i="1"/>
  <c r="D521" i="1"/>
  <c r="AG521" i="1"/>
  <c r="A522" i="1"/>
  <c r="A523" i="1"/>
  <c r="D523" i="1"/>
  <c r="AG523" i="1"/>
  <c r="A524" i="1"/>
  <c r="D524" i="1"/>
  <c r="AG524" i="1"/>
  <c r="A525" i="1"/>
  <c r="A526" i="1"/>
  <c r="D526" i="1"/>
  <c r="AG526" i="1"/>
  <c r="A527" i="1"/>
  <c r="A528" i="1"/>
  <c r="AG528" i="1"/>
  <c r="D528" i="1"/>
  <c r="A529" i="1"/>
  <c r="A530" i="1"/>
  <c r="AG530" i="1"/>
  <c r="D530" i="1"/>
  <c r="A531" i="1"/>
  <c r="A532" i="1"/>
  <c r="AG532" i="1"/>
  <c r="D532" i="1"/>
  <c r="A533" i="1"/>
  <c r="D533" i="1"/>
  <c r="AG533" i="1"/>
  <c r="A534" i="1"/>
  <c r="AG534" i="1"/>
  <c r="D534" i="1"/>
  <c r="A535" i="1"/>
  <c r="A536" i="1"/>
  <c r="AG536" i="1"/>
  <c r="D536" i="1"/>
  <c r="A537" i="1"/>
  <c r="AG537" i="1"/>
  <c r="D537" i="1"/>
  <c r="A538" i="1"/>
  <c r="A539" i="1"/>
  <c r="AG539" i="1"/>
  <c r="D539" i="1"/>
  <c r="A540" i="1"/>
  <c r="D540" i="1"/>
  <c r="AG540" i="1"/>
  <c r="A541" i="1"/>
  <c r="AG541" i="1"/>
  <c r="D541" i="1"/>
  <c r="A542" i="1"/>
  <c r="A543" i="1"/>
  <c r="AG543" i="1"/>
  <c r="D543" i="1"/>
  <c r="A544" i="1"/>
  <c r="A545" i="1"/>
  <c r="D545" i="1"/>
  <c r="AG545" i="1"/>
  <c r="A546" i="1"/>
  <c r="AG546" i="1"/>
  <c r="D546" i="1"/>
  <c r="A547" i="1"/>
  <c r="D547" i="1"/>
  <c r="AG547" i="1"/>
  <c r="A548" i="1"/>
  <c r="AG548" i="1"/>
  <c r="D548" i="1"/>
  <c r="A549" i="1"/>
  <c r="AG549" i="1"/>
  <c r="D549" i="1"/>
  <c r="A550" i="1"/>
  <c r="D550" i="1"/>
  <c r="AG550" i="1"/>
  <c r="A551" i="1"/>
  <c r="D551" i="1"/>
  <c r="AG551" i="1"/>
  <c r="A552" i="1"/>
  <c r="AG552" i="1"/>
  <c r="D552" i="1"/>
  <c r="A553" i="1"/>
  <c r="A554" i="1"/>
  <c r="AG554" i="1"/>
  <c r="D554" i="1"/>
  <c r="A555" i="1"/>
  <c r="AG555" i="1"/>
  <c r="D555" i="1"/>
  <c r="A556" i="1"/>
  <c r="AG556" i="1"/>
  <c r="D556" i="1"/>
  <c r="AJ555" i="1" l="1"/>
  <c r="AI555" i="1"/>
  <c r="AH554" i="1"/>
  <c r="AI553" i="1"/>
  <c r="AI552" i="1"/>
  <c r="AI551" i="1"/>
  <c r="AI550" i="1"/>
  <c r="AI549" i="1"/>
  <c r="AI548" i="1"/>
  <c r="AI547" i="1"/>
  <c r="AJ546" i="1"/>
  <c r="AJ547" i="1" s="1"/>
  <c r="AJ548" i="1" s="1"/>
  <c r="AJ549" i="1" s="1"/>
  <c r="AJ550" i="1" s="1"/>
  <c r="AJ551" i="1" s="1"/>
  <c r="AJ552" i="1" s="1"/>
  <c r="AI546" i="1"/>
  <c r="AH545" i="1"/>
  <c r="AI544" i="1"/>
  <c r="AH543" i="1"/>
  <c r="AI542" i="1"/>
  <c r="AI541" i="1"/>
  <c r="AI540" i="1"/>
  <c r="AH539" i="1"/>
  <c r="AI538" i="1"/>
  <c r="AJ537" i="1"/>
  <c r="AJ538" i="1" s="1"/>
  <c r="AJ539" i="1" s="1"/>
  <c r="AJ540" i="1" s="1"/>
  <c r="AJ541" i="1" s="1"/>
  <c r="AJ542" i="1" s="1"/>
  <c r="AI537" i="1"/>
  <c r="AH536" i="1"/>
  <c r="AI535" i="1"/>
  <c r="AI534" i="1"/>
  <c r="AJ533" i="1"/>
  <c r="AJ534" i="1" s="1"/>
  <c r="AI533" i="1"/>
  <c r="AH532" i="1"/>
  <c r="AI531" i="1"/>
  <c r="AH530" i="1"/>
  <c r="AI529" i="1"/>
  <c r="AH528" i="1"/>
  <c r="AI527" i="1"/>
  <c r="AH526" i="1"/>
  <c r="AI525" i="1"/>
  <c r="AI524" i="1"/>
  <c r="AH523" i="1"/>
  <c r="AI522" i="1"/>
  <c r="AI521" i="1"/>
  <c r="AI520" i="1"/>
  <c r="AI519" i="1"/>
  <c r="AI518" i="1"/>
  <c r="AI517" i="1"/>
  <c r="AI516" i="1"/>
  <c r="AJ515" i="1"/>
  <c r="AJ516" i="1" s="1"/>
  <c r="AJ517" i="1" s="1"/>
  <c r="AJ518" i="1" s="1"/>
  <c r="AJ519" i="1" s="1"/>
  <c r="AJ520" i="1" s="1"/>
  <c r="AJ521" i="1" s="1"/>
  <c r="AJ522" i="1" s="1"/>
  <c r="AJ523" i="1" s="1"/>
  <c r="AJ524" i="1" s="1"/>
  <c r="AJ525" i="1" s="1"/>
  <c r="AJ526" i="1" s="1"/>
  <c r="AJ527" i="1" s="1"/>
  <c r="AJ528" i="1" s="1"/>
  <c r="AJ529" i="1" s="1"/>
  <c r="AI515" i="1"/>
  <c r="AH514" i="1"/>
  <c r="AI513" i="1"/>
  <c r="AI512" i="1"/>
  <c r="AI511" i="1"/>
  <c r="AJ510" i="1"/>
  <c r="AJ511" i="1" s="1"/>
  <c r="AJ512" i="1" s="1"/>
  <c r="AI510" i="1"/>
  <c r="AH509" i="1"/>
  <c r="AI508" i="1"/>
  <c r="AI507" i="1"/>
  <c r="AI506" i="1"/>
  <c r="AI505" i="1"/>
  <c r="AI504" i="1"/>
  <c r="AI503" i="1"/>
  <c r="AI502" i="1"/>
  <c r="AH501" i="1"/>
  <c r="AI500" i="1"/>
  <c r="AI499" i="1"/>
  <c r="AI498" i="1"/>
  <c r="AI497" i="1"/>
  <c r="AI496" i="1"/>
  <c r="AH495" i="1"/>
  <c r="AI494" i="1"/>
  <c r="AI493" i="1"/>
  <c r="AI492" i="1"/>
  <c r="AI491" i="1"/>
  <c r="AI490" i="1"/>
  <c r="AI489" i="1"/>
  <c r="AI488" i="1"/>
  <c r="AI487" i="1"/>
  <c r="AI486" i="1"/>
  <c r="AJ485" i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I485" i="1"/>
  <c r="AH484" i="1"/>
  <c r="AI483" i="1"/>
  <c r="AI482" i="1"/>
  <c r="AI481" i="1"/>
  <c r="AI480" i="1"/>
  <c r="AI479" i="1"/>
  <c r="AI478" i="1"/>
  <c r="AI477" i="1"/>
  <c r="AI476" i="1"/>
  <c r="AI475" i="1"/>
  <c r="AI474" i="1"/>
  <c r="AI473" i="1"/>
  <c r="AH472" i="1"/>
  <c r="AI471" i="1"/>
  <c r="AH470" i="1"/>
  <c r="AI469" i="1"/>
  <c r="AI468" i="1"/>
  <c r="AH467" i="1"/>
  <c r="AI466" i="1"/>
  <c r="AJ465" i="1"/>
  <c r="AJ466" i="1" s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I465" i="1"/>
  <c r="AH464" i="1"/>
  <c r="AI463" i="1"/>
  <c r="AI462" i="1"/>
  <c r="AI461" i="1"/>
  <c r="AH460" i="1"/>
  <c r="AI459" i="1"/>
  <c r="AI458" i="1"/>
  <c r="AI457" i="1"/>
  <c r="AI456" i="1"/>
  <c r="AI455" i="1"/>
  <c r="AI454" i="1"/>
  <c r="AI453" i="1"/>
  <c r="AI452" i="1"/>
  <c r="AI451" i="1"/>
  <c r="AI450" i="1"/>
  <c r="AH449" i="1"/>
  <c r="AI448" i="1"/>
  <c r="AI447" i="1"/>
  <c r="AH446" i="1"/>
  <c r="AI445" i="1"/>
  <c r="AI444" i="1"/>
  <c r="AI443" i="1"/>
  <c r="AJ442" i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I442" i="1"/>
  <c r="AH441" i="1"/>
  <c r="AI440" i="1"/>
  <c r="AI439" i="1"/>
  <c r="AI438" i="1"/>
  <c r="AJ437" i="1"/>
  <c r="AJ438" i="1" s="1"/>
  <c r="AJ439" i="1" s="1"/>
  <c r="AI437" i="1"/>
  <c r="AH436" i="1"/>
  <c r="AI435" i="1"/>
  <c r="AI434" i="1"/>
  <c r="AH433" i="1"/>
  <c r="AJ433" i="1"/>
  <c r="AJ434" i="1" s="1"/>
  <c r="AI432" i="1"/>
  <c r="AH431" i="1"/>
  <c r="AI430" i="1"/>
  <c r="AJ429" i="1"/>
  <c r="AJ430" i="1" s="1"/>
  <c r="AJ431" i="1" s="1"/>
  <c r="AI429" i="1"/>
  <c r="AH428" i="1"/>
  <c r="AI427" i="1"/>
  <c r="AI426" i="1"/>
  <c r="AH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J408" i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I408" i="1"/>
  <c r="AH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H389" i="1"/>
  <c r="AI388" i="1"/>
  <c r="AI387" i="1"/>
  <c r="AI386" i="1"/>
  <c r="AJ385" i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I385" i="1"/>
  <c r="AH384" i="1"/>
  <c r="AI383" i="1"/>
  <c r="AH382" i="1"/>
  <c r="AI381" i="1"/>
  <c r="AI380" i="1"/>
  <c r="AI379" i="1"/>
  <c r="AI378" i="1"/>
  <c r="AH377" i="1"/>
  <c r="AI376" i="1"/>
  <c r="AI375" i="1"/>
  <c r="AI374" i="1"/>
  <c r="AI373" i="1"/>
  <c r="AH372" i="1"/>
  <c r="AJ372" i="1"/>
  <c r="AJ373" i="1" s="1"/>
  <c r="AJ374" i="1" s="1"/>
  <c r="AJ375" i="1" s="1"/>
  <c r="AJ376" i="1" s="1"/>
  <c r="AJ377" i="1" s="1"/>
  <c r="AJ378" i="1" s="1"/>
  <c r="AJ379" i="1" s="1"/>
  <c r="AJ380" i="1" s="1"/>
  <c r="AI371" i="1"/>
  <c r="AH370" i="1"/>
  <c r="AI369" i="1"/>
  <c r="AJ368" i="1"/>
  <c r="AI368" i="1"/>
  <c r="AH367" i="1"/>
  <c r="AI366" i="1"/>
  <c r="AI365" i="1"/>
  <c r="AI364" i="1"/>
  <c r="AI363" i="1"/>
  <c r="AI362" i="1"/>
  <c r="AI361" i="1"/>
  <c r="AI360" i="1"/>
  <c r="AI359" i="1"/>
  <c r="AI358" i="1"/>
  <c r="AJ357" i="1"/>
  <c r="AJ358" i="1" s="1"/>
  <c r="AJ359" i="1" s="1"/>
  <c r="AJ360" i="1" s="1"/>
  <c r="AJ361" i="1" s="1"/>
  <c r="AJ362" i="1" s="1"/>
  <c r="AJ363" i="1" s="1"/>
  <c r="AJ364" i="1" s="1"/>
  <c r="AJ365" i="1" s="1"/>
  <c r="AI357" i="1"/>
  <c r="AH356" i="1"/>
  <c r="AI355" i="1"/>
  <c r="AH354" i="1"/>
  <c r="AI353" i="1"/>
  <c r="AI352" i="1"/>
  <c r="AI351" i="1"/>
  <c r="AI350" i="1"/>
  <c r="AI349" i="1"/>
  <c r="AI348" i="1"/>
  <c r="AI347" i="1"/>
  <c r="AI346" i="1"/>
  <c r="AI345" i="1"/>
  <c r="AI344" i="1"/>
  <c r="AJ343" i="1"/>
  <c r="AJ344" i="1" s="1"/>
  <c r="AJ345" i="1" s="1"/>
  <c r="AJ346" i="1" s="1"/>
  <c r="AJ347" i="1" s="1"/>
  <c r="AJ348" i="1" s="1"/>
  <c r="AJ349" i="1" s="1"/>
  <c r="AJ350" i="1" s="1"/>
  <c r="AJ351" i="1" s="1"/>
  <c r="AJ352" i="1" s="1"/>
  <c r="AI343" i="1"/>
  <c r="AH342" i="1"/>
  <c r="AI341" i="1"/>
  <c r="AI340" i="1"/>
  <c r="AI339" i="1"/>
  <c r="AI338" i="1"/>
  <c r="AI337" i="1"/>
  <c r="AI336" i="1"/>
  <c r="AI335" i="1"/>
  <c r="AI334" i="1"/>
  <c r="AJ333" i="1"/>
  <c r="AJ334" i="1" s="1"/>
  <c r="AJ335" i="1" s="1"/>
  <c r="AJ336" i="1" s="1"/>
  <c r="AJ337" i="1" s="1"/>
  <c r="AJ338" i="1" s="1"/>
  <c r="AJ339" i="1" s="1"/>
  <c r="AJ340" i="1" s="1"/>
  <c r="AI333" i="1"/>
  <c r="AH332" i="1"/>
  <c r="AI331" i="1"/>
  <c r="AI330" i="1"/>
  <c r="AI329" i="1"/>
  <c r="AI328" i="1"/>
  <c r="AI327" i="1"/>
  <c r="AI326" i="1"/>
  <c r="AI325" i="1"/>
  <c r="AI324" i="1"/>
  <c r="AI323" i="1"/>
  <c r="AI322" i="1"/>
  <c r="AJ321" i="1"/>
  <c r="AJ322" i="1" s="1"/>
  <c r="AJ323" i="1" s="1"/>
  <c r="AJ324" i="1" s="1"/>
  <c r="AJ325" i="1" s="1"/>
  <c r="AJ326" i="1" s="1"/>
  <c r="AJ327" i="1" s="1"/>
  <c r="AJ328" i="1" s="1"/>
  <c r="AJ329" i="1" s="1"/>
  <c r="AJ330" i="1" s="1"/>
  <c r="AI321" i="1"/>
  <c r="AH320" i="1"/>
  <c r="AI319" i="1"/>
  <c r="AH318" i="1"/>
  <c r="AI317" i="1"/>
  <c r="AJ316" i="1"/>
  <c r="AI316" i="1"/>
  <c r="AH315" i="1"/>
  <c r="AI314" i="1"/>
  <c r="AH313" i="1"/>
  <c r="AI312" i="1"/>
  <c r="AH311" i="1"/>
  <c r="AI310" i="1"/>
  <c r="AH309" i="1"/>
  <c r="AI308" i="1"/>
  <c r="AH307" i="1"/>
  <c r="AI306" i="1"/>
  <c r="AJ305" i="1"/>
  <c r="AI305" i="1"/>
  <c r="AH304" i="1"/>
  <c r="AI303" i="1"/>
  <c r="AI302" i="1"/>
  <c r="AI301" i="1"/>
  <c r="AI300" i="1"/>
  <c r="AI299" i="1"/>
  <c r="AI298" i="1"/>
  <c r="AI297" i="1"/>
  <c r="AI296" i="1"/>
  <c r="AJ295" i="1"/>
  <c r="AJ296" i="1" s="1"/>
  <c r="AJ297" i="1" s="1"/>
  <c r="AJ298" i="1" s="1"/>
  <c r="AJ299" i="1" s="1"/>
  <c r="AJ300" i="1" s="1"/>
  <c r="AJ301" i="1" s="1"/>
  <c r="AJ302" i="1" s="1"/>
  <c r="AI295" i="1"/>
  <c r="AH294" i="1"/>
  <c r="AI293" i="1"/>
  <c r="AI292" i="1"/>
  <c r="AI291" i="1"/>
  <c r="AI290" i="1"/>
  <c r="AI289" i="1"/>
  <c r="AI288" i="1"/>
  <c r="AJ287" i="1"/>
  <c r="AJ288" i="1" s="1"/>
  <c r="AJ289" i="1" s="1"/>
  <c r="AJ290" i="1" s="1"/>
  <c r="AJ291" i="1" s="1"/>
  <c r="AJ292" i="1" s="1"/>
  <c r="AI287" i="1"/>
  <c r="AH286" i="1"/>
  <c r="AI285" i="1"/>
  <c r="AI284" i="1"/>
  <c r="AJ283" i="1"/>
  <c r="AJ284" i="1" s="1"/>
  <c r="AI283" i="1"/>
  <c r="AH282" i="1"/>
  <c r="AI281" i="1"/>
  <c r="AI280" i="1"/>
  <c r="AI279" i="1"/>
  <c r="AI278" i="1"/>
  <c r="AI277" i="1"/>
  <c r="AI276" i="1"/>
  <c r="AI275" i="1"/>
  <c r="AI274" i="1"/>
  <c r="AI273" i="1"/>
  <c r="AI272" i="1"/>
  <c r="AJ271" i="1"/>
  <c r="AJ272" i="1" s="1"/>
  <c r="AJ273" i="1" s="1"/>
  <c r="AJ274" i="1" s="1"/>
  <c r="AJ275" i="1" s="1"/>
  <c r="AJ276" i="1" s="1"/>
  <c r="AJ277" i="1" s="1"/>
  <c r="AJ278" i="1" s="1"/>
  <c r="AJ279" i="1" s="1"/>
  <c r="AJ280" i="1" s="1"/>
  <c r="AI271" i="1"/>
  <c r="AH270" i="1"/>
  <c r="AI269" i="1"/>
  <c r="AI268" i="1"/>
  <c r="AI267" i="1"/>
  <c r="AI266" i="1"/>
  <c r="AI265" i="1"/>
  <c r="AI264" i="1"/>
  <c r="AI263" i="1"/>
  <c r="AI262" i="1"/>
  <c r="AI261" i="1"/>
  <c r="AJ260" i="1"/>
  <c r="AJ261" i="1" s="1"/>
  <c r="AJ262" i="1" s="1"/>
  <c r="AJ263" i="1" s="1"/>
  <c r="AJ264" i="1" s="1"/>
  <c r="AJ265" i="1" s="1"/>
  <c r="AJ266" i="1" s="1"/>
  <c r="AJ267" i="1" s="1"/>
  <c r="AJ268" i="1" s="1"/>
  <c r="AI260" i="1"/>
  <c r="AH259" i="1"/>
  <c r="AI258" i="1"/>
  <c r="AI257" i="1"/>
  <c r="AI256" i="1"/>
  <c r="AI255" i="1"/>
  <c r="AI254" i="1"/>
  <c r="AI253" i="1"/>
  <c r="AI252" i="1"/>
  <c r="AJ251" i="1"/>
  <c r="AJ252" i="1" s="1"/>
  <c r="AJ253" i="1" s="1"/>
  <c r="AJ254" i="1" s="1"/>
  <c r="AJ255" i="1" s="1"/>
  <c r="AJ256" i="1" s="1"/>
  <c r="AJ257" i="1" s="1"/>
  <c r="AI251" i="1"/>
  <c r="AH250" i="1"/>
  <c r="AI249" i="1"/>
  <c r="AI248" i="1"/>
  <c r="AI247" i="1"/>
  <c r="AI246" i="1"/>
  <c r="AI245" i="1"/>
  <c r="AI244" i="1"/>
  <c r="AI243" i="1"/>
  <c r="AI242" i="1"/>
  <c r="AI241" i="1"/>
  <c r="AJ240" i="1"/>
  <c r="AJ241" i="1" s="1"/>
  <c r="AJ242" i="1" s="1"/>
  <c r="AJ243" i="1" s="1"/>
  <c r="AJ244" i="1" s="1"/>
  <c r="AJ245" i="1" s="1"/>
  <c r="AJ246" i="1" s="1"/>
  <c r="AJ247" i="1" s="1"/>
  <c r="AJ248" i="1" s="1"/>
  <c r="AI240" i="1"/>
  <c r="AH239" i="1"/>
  <c r="AI238" i="1"/>
  <c r="AI237" i="1"/>
  <c r="AI236" i="1"/>
  <c r="AJ235" i="1"/>
  <c r="AJ236" i="1" s="1"/>
  <c r="AJ237" i="1" s="1"/>
  <c r="AI235" i="1"/>
  <c r="AH234" i="1"/>
  <c r="AI233" i="1"/>
  <c r="AI232" i="1"/>
  <c r="AI231" i="1"/>
  <c r="AI230" i="1"/>
  <c r="AI229" i="1"/>
  <c r="AI228" i="1"/>
  <c r="AJ227" i="1"/>
  <c r="AJ228" i="1" s="1"/>
  <c r="AJ229" i="1" s="1"/>
  <c r="AJ230" i="1" s="1"/>
  <c r="AJ231" i="1" s="1"/>
  <c r="AJ232" i="1" s="1"/>
  <c r="AI227" i="1"/>
  <c r="AH226" i="1"/>
  <c r="AI225" i="1"/>
  <c r="AH224" i="1"/>
  <c r="AI223" i="1"/>
  <c r="AI222" i="1"/>
  <c r="AI221" i="1"/>
  <c r="AI220" i="1"/>
  <c r="AI219" i="1"/>
  <c r="AI218" i="1"/>
  <c r="AI217" i="1"/>
  <c r="AI216" i="1"/>
  <c r="AJ215" i="1"/>
  <c r="AJ216" i="1" s="1"/>
  <c r="AJ217" i="1" s="1"/>
  <c r="AJ218" i="1" s="1"/>
  <c r="AJ219" i="1" s="1"/>
  <c r="AJ220" i="1" s="1"/>
  <c r="AJ221" i="1" s="1"/>
  <c r="AJ222" i="1" s="1"/>
  <c r="AI215" i="1"/>
  <c r="AH214" i="1"/>
  <c r="AI213" i="1"/>
  <c r="AI212" i="1"/>
  <c r="AJ211" i="1"/>
  <c r="AJ212" i="1" s="1"/>
  <c r="AI211" i="1"/>
  <c r="AJ556" i="1"/>
  <c r="AI556" i="1"/>
  <c r="AF555" i="1"/>
  <c r="AF554" i="1"/>
  <c r="AF550" i="1"/>
  <c r="AF549" i="1"/>
  <c r="AF547" i="1"/>
  <c r="AH546" i="1"/>
  <c r="AF545" i="1"/>
  <c r="AH540" i="1"/>
  <c r="AF537" i="1"/>
  <c r="AF536" i="1"/>
  <c r="AF534" i="1"/>
  <c r="AF533" i="1"/>
  <c r="AF530" i="1"/>
  <c r="AF526" i="1"/>
  <c r="AH524" i="1"/>
  <c r="AF521" i="1"/>
  <c r="AF517" i="1"/>
  <c r="AF515" i="1"/>
  <c r="AH510" i="1"/>
  <c r="AH511" i="1" s="1"/>
  <c r="AF509" i="1"/>
  <c r="AF506" i="1"/>
  <c r="AF503" i="1"/>
  <c r="AF502" i="1"/>
  <c r="AF501" i="1"/>
  <c r="AH496" i="1"/>
  <c r="AH497" i="1" s="1"/>
  <c r="AF495" i="1"/>
  <c r="AF493" i="1"/>
  <c r="AF492" i="1"/>
  <c r="AF491" i="1"/>
  <c r="AF490" i="1"/>
  <c r="AF489" i="1"/>
  <c r="AF488" i="1"/>
  <c r="AF487" i="1"/>
  <c r="AF486" i="1"/>
  <c r="AH485" i="1"/>
  <c r="AF484" i="1"/>
  <c r="AF481" i="1"/>
  <c r="AF479" i="1"/>
  <c r="AF477" i="1"/>
  <c r="AF476" i="1"/>
  <c r="AH473" i="1"/>
  <c r="AH474" i="1" s="1"/>
  <c r="AF468" i="1"/>
  <c r="AF465" i="1"/>
  <c r="AF464" i="1"/>
  <c r="AF462" i="1"/>
  <c r="AF461" i="1"/>
  <c r="AF457" i="1"/>
  <c r="AF455" i="1"/>
  <c r="AF453" i="1"/>
  <c r="AF452" i="1"/>
  <c r="AH450" i="1"/>
  <c r="AF449" i="1"/>
  <c r="AH447" i="1"/>
  <c r="AF443" i="1"/>
  <c r="AH442" i="1"/>
  <c r="AF441" i="1"/>
  <c r="AF439" i="1"/>
  <c r="AF437" i="1"/>
  <c r="AF436" i="1"/>
  <c r="AH434" i="1"/>
  <c r="AF433" i="1"/>
  <c r="AF431" i="1"/>
  <c r="AH429" i="1"/>
  <c r="AH426" i="1"/>
  <c r="AF425" i="1"/>
  <c r="AF421" i="1"/>
  <c r="AF419" i="1"/>
  <c r="AF417" i="1"/>
  <c r="AF415" i="1"/>
  <c r="AF413" i="1"/>
  <c r="AF412" i="1"/>
  <c r="AF411" i="1"/>
  <c r="AF409" i="1"/>
  <c r="AF408" i="1"/>
  <c r="AF404" i="1"/>
  <c r="AF402" i="1"/>
  <c r="AF400" i="1"/>
  <c r="AF399" i="1"/>
  <c r="AF398" i="1"/>
  <c r="AF397" i="1"/>
  <c r="AF395" i="1"/>
  <c r="AF393" i="1"/>
  <c r="AF391" i="1"/>
  <c r="AH390" i="1"/>
  <c r="AF389" i="1"/>
  <c r="AF387" i="1"/>
  <c r="AH385" i="1"/>
  <c r="AF384" i="1"/>
  <c r="AF378" i="1"/>
  <c r="AF375" i="1"/>
  <c r="AF373" i="1"/>
  <c r="AH368" i="1"/>
  <c r="AF365" i="1"/>
  <c r="AF363" i="1"/>
  <c r="AF361" i="1"/>
  <c r="AF360" i="1"/>
  <c r="AF358" i="1"/>
  <c r="AH357" i="1"/>
  <c r="AF354" i="1"/>
  <c r="AF352" i="1"/>
  <c r="AF350" i="1"/>
  <c r="AF348" i="1"/>
  <c r="AF347" i="1"/>
  <c r="AF345" i="1"/>
  <c r="AF343" i="1"/>
  <c r="AF342" i="1"/>
  <c r="AF340" i="1"/>
  <c r="AF338" i="1"/>
  <c r="AF336" i="1"/>
  <c r="AF335" i="1"/>
  <c r="AF334" i="1"/>
  <c r="AH333" i="1"/>
  <c r="AF330" i="1"/>
  <c r="AF328" i="1"/>
  <c r="AF326" i="1"/>
  <c r="AF324" i="1"/>
  <c r="AF322" i="1"/>
  <c r="AH321" i="1"/>
  <c r="AF320" i="1"/>
  <c r="AH316" i="1"/>
  <c r="AF315" i="1"/>
  <c r="AF311" i="1"/>
  <c r="AF307" i="1"/>
  <c r="AH305" i="1"/>
  <c r="AF301" i="1"/>
  <c r="AF296" i="1"/>
  <c r="AH295" i="1"/>
  <c r="AF289" i="1"/>
  <c r="AF288" i="1"/>
  <c r="AF287" i="1"/>
  <c r="AF283" i="1"/>
  <c r="AF282" i="1"/>
  <c r="AF279" i="1"/>
  <c r="AF277" i="1"/>
  <c r="AF275" i="1"/>
  <c r="AF274" i="1"/>
  <c r="AF273" i="1"/>
  <c r="AF272" i="1"/>
  <c r="AF271" i="1"/>
  <c r="AF270" i="1"/>
  <c r="AF268" i="1"/>
  <c r="AF266" i="1"/>
  <c r="AF262" i="1"/>
  <c r="AF260" i="1"/>
  <c r="AF259" i="1"/>
  <c r="AF257" i="1"/>
  <c r="AF254" i="1"/>
  <c r="AF251" i="1"/>
  <c r="AF250" i="1"/>
  <c r="AF248" i="1"/>
  <c r="AF246" i="1"/>
  <c r="AF241" i="1"/>
  <c r="AH240" i="1"/>
  <c r="AF239" i="1"/>
  <c r="AF237" i="1"/>
  <c r="AF236" i="1"/>
  <c r="AH235" i="1"/>
  <c r="AF234" i="1"/>
  <c r="AF232" i="1"/>
  <c r="AF227" i="1"/>
  <c r="AF226" i="1"/>
  <c r="AF224" i="1"/>
  <c r="AF219" i="1"/>
  <c r="AF217" i="1"/>
  <c r="AH215" i="1"/>
  <c r="AF214" i="1"/>
  <c r="AF212" i="1"/>
  <c r="AF211" i="1"/>
  <c r="A557" i="1"/>
  <c r="AG557" i="1"/>
  <c r="AF556" i="1"/>
  <c r="AH555" i="1"/>
  <c r="AH556" i="1" s="1"/>
  <c r="AF552" i="1"/>
  <c r="AF551" i="1"/>
  <c r="AF548" i="1"/>
  <c r="AH547" i="1"/>
  <c r="AH548" i="1" s="1"/>
  <c r="AF546" i="1"/>
  <c r="AF543" i="1"/>
  <c r="AF541" i="1"/>
  <c r="AF540" i="1"/>
  <c r="AF539" i="1"/>
  <c r="AH537" i="1"/>
  <c r="AH533" i="1"/>
  <c r="AF532" i="1"/>
  <c r="AF528" i="1"/>
  <c r="AF524" i="1"/>
  <c r="AF523" i="1"/>
  <c r="AF520" i="1"/>
  <c r="AF519" i="1"/>
  <c r="AF518" i="1"/>
  <c r="AF516" i="1"/>
  <c r="AH515" i="1"/>
  <c r="AH516" i="1" s="1"/>
  <c r="AH517" i="1" s="1"/>
  <c r="AH518" i="1" s="1"/>
  <c r="AF514" i="1"/>
  <c r="AF512" i="1"/>
  <c r="AF511" i="1"/>
  <c r="AF510" i="1"/>
  <c r="AF507" i="1"/>
  <c r="AF505" i="1"/>
  <c r="AF504" i="1"/>
  <c r="AH502" i="1"/>
  <c r="AH503" i="1" s="1"/>
  <c r="AH504" i="1" s="1"/>
  <c r="AF499" i="1"/>
  <c r="AF498" i="1"/>
  <c r="AF497" i="1"/>
  <c r="AF496" i="1"/>
  <c r="AF485" i="1"/>
  <c r="AF482" i="1"/>
  <c r="AF480" i="1"/>
  <c r="AF478" i="1"/>
  <c r="AF475" i="1"/>
  <c r="AF474" i="1"/>
  <c r="AF473" i="1"/>
  <c r="AF472" i="1"/>
  <c r="AF470" i="1"/>
  <c r="AH468" i="1"/>
  <c r="AF467" i="1"/>
  <c r="AH465" i="1"/>
  <c r="AH461" i="1"/>
  <c r="AH462" i="1" s="1"/>
  <c r="AF460" i="1"/>
  <c r="AF458" i="1"/>
  <c r="AF456" i="1"/>
  <c r="AF454" i="1"/>
  <c r="AF451" i="1"/>
  <c r="AF450" i="1"/>
  <c r="AF447" i="1"/>
  <c r="AF446" i="1"/>
  <c r="AF444" i="1"/>
  <c r="AH443" i="1"/>
  <c r="AH444" i="1" s="1"/>
  <c r="AF442" i="1"/>
  <c r="AF438" i="1"/>
  <c r="AH437" i="1"/>
  <c r="AF434" i="1"/>
  <c r="AF429" i="1"/>
  <c r="AF428" i="1"/>
  <c r="AF426" i="1"/>
  <c r="AF423" i="1"/>
  <c r="AF422" i="1"/>
  <c r="AF420" i="1"/>
  <c r="AF418" i="1"/>
  <c r="AF416" i="1"/>
  <c r="AF414" i="1"/>
  <c r="AF410" i="1"/>
  <c r="AH408" i="1"/>
  <c r="AF407" i="1"/>
  <c r="AF405" i="1"/>
  <c r="AF403" i="1"/>
  <c r="AF401" i="1"/>
  <c r="AF396" i="1"/>
  <c r="AF394" i="1"/>
  <c r="AF392" i="1"/>
  <c r="AF390" i="1"/>
  <c r="AF386" i="1"/>
  <c r="AF385" i="1"/>
  <c r="AF382" i="1"/>
  <c r="AF380" i="1"/>
  <c r="AF379" i="1"/>
  <c r="AH378" i="1"/>
  <c r="AH379" i="1" s="1"/>
  <c r="AF377" i="1"/>
  <c r="AF374" i="1"/>
  <c r="AH373" i="1"/>
  <c r="AF372" i="1"/>
  <c r="AF370" i="1"/>
  <c r="AF368" i="1"/>
  <c r="AF367" i="1"/>
  <c r="AF364" i="1"/>
  <c r="AF362" i="1"/>
  <c r="AF359" i="1"/>
  <c r="AF357" i="1"/>
  <c r="AF356" i="1"/>
  <c r="AF351" i="1"/>
  <c r="AF349" i="1"/>
  <c r="AF346" i="1"/>
  <c r="AF344" i="1"/>
  <c r="AH343" i="1"/>
  <c r="AF339" i="1"/>
  <c r="AF337" i="1"/>
  <c r="AH334" i="1"/>
  <c r="AF333" i="1"/>
  <c r="AF332" i="1"/>
  <c r="AF329" i="1"/>
  <c r="AF327" i="1"/>
  <c r="AF325" i="1"/>
  <c r="AF323" i="1"/>
  <c r="AH322" i="1"/>
  <c r="AH323" i="1" s="1"/>
  <c r="AH324" i="1" s="1"/>
  <c r="AH325" i="1" s="1"/>
  <c r="AH326" i="1" s="1"/>
  <c r="AH327" i="1" s="1"/>
  <c r="AH328" i="1" s="1"/>
  <c r="AH329" i="1" s="1"/>
  <c r="AH330" i="1" s="1"/>
  <c r="AF321" i="1"/>
  <c r="AF318" i="1"/>
  <c r="AF316" i="1"/>
  <c r="AF313" i="1"/>
  <c r="AF309" i="1"/>
  <c r="AF305" i="1"/>
  <c r="AF304" i="1"/>
  <c r="AF302" i="1"/>
  <c r="AF300" i="1"/>
  <c r="AF299" i="1"/>
  <c r="AF298" i="1"/>
  <c r="AF297" i="1"/>
  <c r="AF295" i="1"/>
  <c r="AF294" i="1"/>
  <c r="AF292" i="1"/>
  <c r="AF291" i="1"/>
  <c r="AF290" i="1"/>
  <c r="AH287" i="1"/>
  <c r="AH288" i="1" s="1"/>
  <c r="AH289" i="1" s="1"/>
  <c r="AH290" i="1" s="1"/>
  <c r="AF286" i="1"/>
  <c r="AF284" i="1"/>
  <c r="AH283" i="1"/>
  <c r="AH284" i="1" s="1"/>
  <c r="AF280" i="1"/>
  <c r="AF278" i="1"/>
  <c r="AF276" i="1"/>
  <c r="AH271" i="1"/>
  <c r="AH272" i="1" s="1"/>
  <c r="AF267" i="1"/>
  <c r="AF265" i="1"/>
  <c r="AF264" i="1"/>
  <c r="AF263" i="1"/>
  <c r="AF261" i="1"/>
  <c r="AH260" i="1"/>
  <c r="AF256" i="1"/>
  <c r="AF255" i="1"/>
  <c r="AF253" i="1"/>
  <c r="AF252" i="1"/>
  <c r="AH251" i="1"/>
  <c r="AF247" i="1"/>
  <c r="AF245" i="1"/>
  <c r="AF244" i="1"/>
  <c r="AF243" i="1"/>
  <c r="AF242" i="1"/>
  <c r="AH241" i="1"/>
  <c r="AH242" i="1" s="1"/>
  <c r="AF240" i="1"/>
  <c r="AH236" i="1"/>
  <c r="AF235" i="1"/>
  <c r="AF231" i="1"/>
  <c r="AF230" i="1"/>
  <c r="AF229" i="1"/>
  <c r="AF228" i="1"/>
  <c r="AH227" i="1"/>
  <c r="AF222" i="1"/>
  <c r="AF221" i="1"/>
  <c r="AF220" i="1"/>
  <c r="AF218" i="1"/>
  <c r="AF216" i="1"/>
  <c r="AF215" i="1"/>
  <c r="AH211" i="1"/>
  <c r="AH212" i="1" s="1"/>
  <c r="D557" i="1"/>
  <c r="AJ557" i="1" l="1"/>
  <c r="AI557" i="1"/>
  <c r="AH228" i="1"/>
  <c r="AH243" i="1"/>
  <c r="AH261" i="1"/>
  <c r="AH262" i="1" s="1"/>
  <c r="AH263" i="1" s="1"/>
  <c r="AH291" i="1"/>
  <c r="AH344" i="1"/>
  <c r="AH345" i="1" s="1"/>
  <c r="AH346" i="1" s="1"/>
  <c r="AH347" i="1" s="1"/>
  <c r="AH380" i="1"/>
  <c r="AH438" i="1"/>
  <c r="AH439" i="1" s="1"/>
  <c r="AH519" i="1"/>
  <c r="AH549" i="1"/>
  <c r="AH550" i="1" s="1"/>
  <c r="AH551" i="1" s="1"/>
  <c r="AH552" i="1" s="1"/>
  <c r="AH296" i="1"/>
  <c r="AH297" i="1" s="1"/>
  <c r="AH386" i="1"/>
  <c r="AH387" i="1" s="1"/>
  <c r="AH451" i="1"/>
  <c r="AH452" i="1" s="1"/>
  <c r="AH486" i="1"/>
  <c r="AH512" i="1"/>
  <c r="A558" i="1"/>
  <c r="AH557" i="1"/>
  <c r="AF557" i="1"/>
  <c r="D558" i="1"/>
  <c r="AH237" i="1"/>
  <c r="AH252" i="1"/>
  <c r="AH273" i="1"/>
  <c r="AH335" i="1"/>
  <c r="AH374" i="1"/>
  <c r="AH375" i="1" s="1"/>
  <c r="AH409" i="1"/>
  <c r="AH410" i="1" s="1"/>
  <c r="AH411" i="1" s="1"/>
  <c r="AH505" i="1"/>
  <c r="AH506" i="1" s="1"/>
  <c r="AH507" i="1" s="1"/>
  <c r="AH534" i="1"/>
  <c r="AH216" i="1"/>
  <c r="AH217" i="1" s="1"/>
  <c r="AH218" i="1" s="1"/>
  <c r="AH219" i="1" s="1"/>
  <c r="AH220" i="1" s="1"/>
  <c r="AH358" i="1"/>
  <c r="AH359" i="1" s="1"/>
  <c r="AH360" i="1" s="1"/>
  <c r="AH391" i="1"/>
  <c r="AH392" i="1" s="1"/>
  <c r="AH393" i="1" s="1"/>
  <c r="AH394" i="1" s="1"/>
  <c r="AH395" i="1" s="1"/>
  <c r="AH396" i="1" s="1"/>
  <c r="AH397" i="1" s="1"/>
  <c r="AH475" i="1"/>
  <c r="AH476" i="1" s="1"/>
  <c r="AH498" i="1"/>
  <c r="AH541" i="1"/>
  <c r="AG558" i="1"/>
  <c r="AJ558" i="1" l="1"/>
  <c r="AI558" i="1"/>
  <c r="AH499" i="1"/>
  <c r="AH398" i="1"/>
  <c r="AH221" i="1"/>
  <c r="AH336" i="1"/>
  <c r="AH337" i="1" s="1"/>
  <c r="AH338" i="1" s="1"/>
  <c r="AH339" i="1" s="1"/>
  <c r="AH340" i="1" s="1"/>
  <c r="AH253" i="1"/>
  <c r="AH254" i="1" s="1"/>
  <c r="AH255" i="1" s="1"/>
  <c r="AH453" i="1"/>
  <c r="AH454" i="1" s="1"/>
  <c r="AH455" i="1" s="1"/>
  <c r="AH456" i="1" s="1"/>
  <c r="AH457" i="1" s="1"/>
  <c r="AH458" i="1" s="1"/>
  <c r="AH520" i="1"/>
  <c r="AH521" i="1" s="1"/>
  <c r="AH292" i="1"/>
  <c r="AH244" i="1"/>
  <c r="AF558" i="1"/>
  <c r="A559" i="1"/>
  <c r="D559" i="1"/>
  <c r="AH477" i="1"/>
  <c r="AH478" i="1" s="1"/>
  <c r="AH479" i="1" s="1"/>
  <c r="AH480" i="1" s="1"/>
  <c r="AH481" i="1" s="1"/>
  <c r="AH482" i="1" s="1"/>
  <c r="AH361" i="1"/>
  <c r="AH362" i="1" s="1"/>
  <c r="AH363" i="1" s="1"/>
  <c r="AH364" i="1" s="1"/>
  <c r="AH365" i="1" s="1"/>
  <c r="AH412" i="1"/>
  <c r="AH274" i="1"/>
  <c r="AH487" i="1"/>
  <c r="AH298" i="1"/>
  <c r="AH348" i="1"/>
  <c r="AH349" i="1" s="1"/>
  <c r="AH350" i="1" s="1"/>
  <c r="AH351" i="1" s="1"/>
  <c r="AH352" i="1" s="1"/>
  <c r="AH264" i="1"/>
  <c r="AH229" i="1"/>
  <c r="AH558" i="1"/>
  <c r="AG559" i="1"/>
  <c r="AJ559" i="1" l="1"/>
  <c r="AI559" i="1"/>
  <c r="AH230" i="1"/>
  <c r="AH299" i="1"/>
  <c r="AH275" i="1"/>
  <c r="AH276" i="1" s="1"/>
  <c r="AH277" i="1" s="1"/>
  <c r="AH278" i="1" s="1"/>
  <c r="AH279" i="1" s="1"/>
  <c r="AH280" i="1" s="1"/>
  <c r="AH245" i="1"/>
  <c r="AH246" i="1" s="1"/>
  <c r="AH247" i="1" s="1"/>
  <c r="AH248" i="1" s="1"/>
  <c r="AH222" i="1"/>
  <c r="AF559" i="1"/>
  <c r="A560" i="1"/>
  <c r="AH265" i="1"/>
  <c r="AH266" i="1" s="1"/>
  <c r="AH267" i="1" s="1"/>
  <c r="AH268" i="1" s="1"/>
  <c r="AH488" i="1"/>
  <c r="AH413" i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256" i="1"/>
  <c r="AH257" i="1" s="1"/>
  <c r="AH399" i="1"/>
  <c r="AH559" i="1"/>
  <c r="AI560" i="1" l="1"/>
  <c r="AH400" i="1"/>
  <c r="AH401" i="1" s="1"/>
  <c r="AH402" i="1" s="1"/>
  <c r="AH403" i="1" s="1"/>
  <c r="AH404" i="1" s="1"/>
  <c r="AH405" i="1" s="1"/>
  <c r="AH300" i="1"/>
  <c r="AH301" i="1" s="1"/>
  <c r="AH302" i="1" s="1"/>
  <c r="AH489" i="1"/>
  <c r="AH231" i="1"/>
  <c r="AH232" i="1" s="1"/>
  <c r="A561" i="1"/>
  <c r="AG561" i="1" s="1"/>
  <c r="D561" i="1"/>
  <c r="AH561" i="1" l="1"/>
  <c r="AH490" i="1"/>
  <c r="A562" i="1"/>
  <c r="AF561" i="1"/>
  <c r="D562" i="1"/>
  <c r="AG562" i="1"/>
  <c r="AJ562" i="1" l="1"/>
  <c r="AI562" i="1"/>
  <c r="AH491" i="1"/>
  <c r="AH562" i="1"/>
  <c r="AF562" i="1"/>
  <c r="A563" i="1"/>
  <c r="AI563" i="1" l="1"/>
  <c r="AH492" i="1"/>
  <c r="A564" i="1"/>
  <c r="D564" i="1"/>
  <c r="AG564" i="1"/>
  <c r="AH564" i="1" l="1"/>
  <c r="AH493" i="1"/>
  <c r="A565" i="1"/>
  <c r="AF564" i="1"/>
  <c r="D565" i="1"/>
  <c r="AG565" i="1"/>
  <c r="AJ565" i="1" l="1"/>
  <c r="AI565" i="1"/>
  <c r="AH565" i="1"/>
  <c r="A566" i="1"/>
  <c r="D566" i="1"/>
  <c r="AG566" i="1"/>
  <c r="AF565" i="1"/>
  <c r="AJ566" i="1" l="1"/>
  <c r="AI566" i="1"/>
  <c r="AH566" i="1"/>
  <c r="A567" i="1"/>
  <c r="AF566" i="1"/>
  <c r="D567" i="1"/>
  <c r="AG567" i="1"/>
  <c r="AJ567" i="1" l="1"/>
  <c r="AI567" i="1"/>
  <c r="AH567" i="1"/>
  <c r="A568" i="1"/>
  <c r="AG568" i="1"/>
  <c r="D568" i="1"/>
  <c r="AF567" i="1"/>
  <c r="AJ568" i="1" l="1"/>
  <c r="AI568" i="1"/>
  <c r="AH568" i="1"/>
  <c r="A569" i="1"/>
  <c r="AG569" i="1"/>
  <c r="AF568" i="1"/>
  <c r="D569" i="1"/>
  <c r="AJ569" i="1" l="1"/>
  <c r="AI569" i="1"/>
  <c r="AF569" i="1"/>
  <c r="A570" i="1"/>
  <c r="AH569" i="1"/>
  <c r="D570" i="1"/>
  <c r="AG570" i="1"/>
  <c r="AJ570" i="1" l="1"/>
  <c r="AI570" i="1"/>
  <c r="AF570" i="1"/>
  <c r="A571" i="1"/>
  <c r="AH570" i="1"/>
  <c r="D571" i="1"/>
  <c r="AG571" i="1"/>
  <c r="AJ571" i="1" l="1"/>
  <c r="AI571" i="1"/>
  <c r="AF571" i="1"/>
  <c r="A572" i="1"/>
  <c r="AH571" i="1"/>
  <c r="AI572" i="1" l="1"/>
  <c r="A573" i="1"/>
  <c r="D573" i="1" s="1"/>
  <c r="AG573" i="1"/>
  <c r="AJ573" i="1" l="1"/>
  <c r="AH573" i="1"/>
  <c r="AF573" i="1"/>
  <c r="A574" i="1"/>
  <c r="AG574" i="1"/>
  <c r="D574" i="1"/>
  <c r="AJ574" i="1" l="1"/>
  <c r="AI574" i="1"/>
  <c r="AF574" i="1"/>
  <c r="A575" i="1"/>
  <c r="AH574" i="1"/>
  <c r="D575" i="1"/>
  <c r="AG575" i="1"/>
  <c r="AJ575" i="1" l="1"/>
  <c r="AI575" i="1"/>
  <c r="AH575" i="1"/>
  <c r="AF575" i="1"/>
  <c r="A576" i="1"/>
  <c r="AG576" i="1" s="1"/>
  <c r="D576" i="1"/>
  <c r="AJ576" i="1" l="1"/>
  <c r="AI576" i="1"/>
  <c r="AF576" i="1"/>
  <c r="A577" i="1"/>
  <c r="AH576" i="1"/>
  <c r="D577" i="1"/>
  <c r="AG577" i="1"/>
  <c r="AJ577" i="1" l="1"/>
  <c r="AI577" i="1"/>
  <c r="AF577" i="1"/>
  <c r="A578" i="1"/>
  <c r="AH577" i="1"/>
  <c r="D578" i="1"/>
  <c r="AG578" i="1"/>
  <c r="AJ578" i="1" l="1"/>
  <c r="AI578" i="1"/>
  <c r="AH578" i="1"/>
  <c r="AF578" i="1"/>
  <c r="A579" i="1"/>
  <c r="AG579" i="1" s="1"/>
  <c r="D579" i="1"/>
  <c r="AJ579" i="1" l="1"/>
  <c r="AI579" i="1"/>
  <c r="AF579" i="1"/>
  <c r="A580" i="1"/>
  <c r="AH579" i="1"/>
  <c r="D580" i="1"/>
  <c r="AG580" i="1"/>
  <c r="AJ580" i="1" l="1"/>
  <c r="AI580" i="1"/>
  <c r="AF580" i="1"/>
  <c r="AH580" i="1"/>
  <c r="A581" i="1"/>
  <c r="AG581" i="1" s="1"/>
  <c r="D581" i="1"/>
  <c r="AJ581" i="1" l="1"/>
  <c r="AI581" i="1"/>
  <c r="AH581" i="1"/>
  <c r="A582" i="1"/>
  <c r="AF581" i="1"/>
  <c r="D582" i="1"/>
  <c r="AG582" i="1"/>
  <c r="AJ582" i="1" l="1"/>
  <c r="AI582" i="1"/>
  <c r="AF582" i="1"/>
  <c r="A583" i="1"/>
  <c r="AH582" i="1"/>
  <c r="D583" i="1"/>
  <c r="AG583" i="1"/>
  <c r="AJ583" i="1" l="1"/>
  <c r="AI583" i="1"/>
  <c r="AF583" i="1"/>
  <c r="A584" i="1"/>
  <c r="AH583" i="1"/>
  <c r="AI584" i="1" l="1"/>
  <c r="A585" i="1"/>
  <c r="D585" i="1" s="1"/>
  <c r="AG585" i="1"/>
  <c r="AJ585" i="1" l="1"/>
  <c r="AH585" i="1"/>
  <c r="AF585" i="1"/>
  <c r="A586" i="1"/>
  <c r="AG586" i="1"/>
  <c r="D586" i="1"/>
  <c r="AJ586" i="1" l="1"/>
  <c r="AI586" i="1"/>
  <c r="A587" i="1"/>
  <c r="AG587" i="1"/>
  <c r="AH586" i="1"/>
  <c r="AF586" i="1"/>
  <c r="D587" i="1"/>
  <c r="AJ587" i="1" l="1"/>
  <c r="AI587" i="1"/>
  <c r="AH587" i="1"/>
  <c r="A588" i="1"/>
  <c r="AF587" i="1"/>
  <c r="AG588" i="1"/>
  <c r="D588" i="1"/>
  <c r="AJ588" i="1" l="1"/>
  <c r="AI588" i="1"/>
  <c r="AF588" i="1"/>
  <c r="A589" i="1"/>
  <c r="AH588" i="1"/>
  <c r="D589" i="1"/>
  <c r="AG589" i="1"/>
  <c r="AJ589" i="1" l="1"/>
  <c r="AI589" i="1"/>
  <c r="AH589" i="1"/>
  <c r="A590" i="1"/>
  <c r="AF589" i="1"/>
  <c r="AI590" i="1" l="1"/>
  <c r="A591" i="1"/>
  <c r="D591" i="1" s="1"/>
  <c r="AG591" i="1"/>
  <c r="AJ591" i="1" l="1"/>
  <c r="AH591" i="1"/>
  <c r="AF591" i="1"/>
  <c r="A592" i="1"/>
  <c r="D592" i="1" s="1"/>
  <c r="AG592" i="1"/>
  <c r="AJ592" i="1" l="1"/>
  <c r="AI592" i="1"/>
  <c r="AH592" i="1"/>
  <c r="AF592" i="1"/>
  <c r="A593" i="1"/>
  <c r="AG593" i="1" s="1"/>
  <c r="D593" i="1"/>
  <c r="AJ593" i="1" l="1"/>
  <c r="AI593" i="1"/>
  <c r="AH593" i="1"/>
  <c r="A594" i="1"/>
  <c r="AF593" i="1"/>
  <c r="AI594" i="1" l="1"/>
  <c r="A595" i="1"/>
  <c r="D595" i="1" s="1"/>
  <c r="AG595" i="1"/>
  <c r="AJ595" i="1" l="1"/>
  <c r="AH595" i="1"/>
  <c r="AF595" i="1"/>
  <c r="A596" i="1"/>
  <c r="AG596" i="1" s="1"/>
  <c r="D596" i="1"/>
  <c r="AJ596" i="1" l="1"/>
  <c r="AI596" i="1"/>
  <c r="AH596" i="1"/>
  <c r="AF596" i="1"/>
  <c r="A597" i="1"/>
  <c r="AG597" i="1" s="1"/>
  <c r="D597" i="1"/>
  <c r="AJ597" i="1" l="1"/>
  <c r="AI597" i="1"/>
  <c r="AH597" i="1"/>
  <c r="A598" i="1"/>
  <c r="AF597" i="1"/>
  <c r="AI598" i="1" l="1"/>
  <c r="A599" i="1"/>
  <c r="D599" i="1" s="1"/>
  <c r="AG599" i="1"/>
  <c r="AJ599" i="1" l="1"/>
  <c r="AH599" i="1"/>
  <c r="AF599" i="1"/>
  <c r="A600" i="1"/>
  <c r="D600" i="1" s="1"/>
  <c r="AG600" i="1"/>
  <c r="AJ600" i="1" l="1"/>
  <c r="AI600" i="1"/>
  <c r="AG601" i="1"/>
  <c r="D601" i="1"/>
  <c r="AF600" i="1"/>
  <c r="AH600" i="1"/>
  <c r="A601" i="1"/>
  <c r="AJ601" i="1" l="1"/>
  <c r="AI601" i="1"/>
  <c r="AC601" i="1"/>
  <c r="AB601" i="1"/>
  <c r="AF601" i="1"/>
  <c r="AH601" i="1"/>
  <c r="A602" i="1"/>
  <c r="AG602" i="1"/>
  <c r="D602" i="1"/>
  <c r="AJ602" i="1" l="1"/>
  <c r="AH602" i="1"/>
  <c r="AF602" i="1"/>
  <c r="A603" i="1"/>
  <c r="AG603" i="1"/>
  <c r="D603" i="1"/>
  <c r="AJ603" i="1" l="1"/>
  <c r="AI603" i="1"/>
  <c r="AH603" i="1"/>
  <c r="A604" i="1"/>
  <c r="AF603" i="1"/>
  <c r="AI604" i="1" l="1"/>
  <c r="A605" i="1"/>
  <c r="D605" i="1" s="1"/>
  <c r="AG605" i="1"/>
  <c r="AJ605" i="1" l="1"/>
  <c r="AH605" i="1"/>
  <c r="AF605" i="1"/>
  <c r="A606" i="1"/>
  <c r="AI606" i="1" l="1"/>
  <c r="A607" i="1"/>
  <c r="D607" i="1" s="1"/>
  <c r="AG607" i="1"/>
  <c r="AJ607" i="1" l="1"/>
  <c r="AH607" i="1"/>
  <c r="AF607" i="1"/>
  <c r="A608" i="1"/>
  <c r="AG608" i="1"/>
  <c r="D608" i="1"/>
  <c r="AJ608" i="1" l="1"/>
  <c r="AI608" i="1"/>
  <c r="AF608" i="1"/>
  <c r="A609" i="1"/>
  <c r="AH608" i="1"/>
  <c r="AI609" i="1" l="1"/>
  <c r="A610" i="1"/>
  <c r="D610" i="1" s="1"/>
  <c r="AG610" i="1"/>
  <c r="AJ610" i="1" l="1"/>
  <c r="AH610" i="1"/>
  <c r="AF610" i="1"/>
  <c r="A611" i="1"/>
  <c r="D611" i="1" s="1"/>
  <c r="AG611" i="1"/>
  <c r="AJ611" i="1" l="1"/>
  <c r="AI611" i="1"/>
  <c r="AH611" i="1"/>
  <c r="AF611" i="1"/>
  <c r="A612" i="1"/>
  <c r="AG612" i="1" s="1"/>
  <c r="D612" i="1"/>
  <c r="AJ612" i="1" l="1"/>
  <c r="AI612" i="1"/>
  <c r="AH612" i="1"/>
  <c r="A613" i="1"/>
  <c r="AF612" i="1"/>
  <c r="AI613" i="1" l="1"/>
  <c r="A614" i="1"/>
  <c r="D614" i="1" s="1"/>
  <c r="AG614" i="1"/>
  <c r="AJ614" i="1" l="1"/>
  <c r="AH614" i="1"/>
  <c r="AF614" i="1"/>
  <c r="A615" i="1"/>
  <c r="AI615" i="1" l="1"/>
  <c r="A616" i="1"/>
  <c r="D616" i="1" s="1"/>
  <c r="AG616" i="1"/>
  <c r="AJ616" i="1" l="1"/>
  <c r="AH616" i="1"/>
  <c r="AF616" i="1"/>
  <c r="A617" i="1"/>
  <c r="AI617" i="1" l="1"/>
  <c r="A618" i="1"/>
  <c r="D618" i="1" s="1"/>
  <c r="AG618" i="1"/>
  <c r="AJ618" i="1" l="1"/>
  <c r="AH618" i="1"/>
  <c r="AF618" i="1"/>
  <c r="A619" i="1"/>
  <c r="D619" i="1" s="1"/>
  <c r="AG619" i="1"/>
  <c r="AJ619" i="1" l="1"/>
  <c r="AI619" i="1"/>
  <c r="AH619" i="1"/>
  <c r="A620" i="1"/>
  <c r="AG620" i="1" s="1"/>
  <c r="AF619" i="1"/>
  <c r="D620" i="1"/>
  <c r="AJ620" i="1" l="1"/>
  <c r="AI620" i="1"/>
  <c r="A621" i="1"/>
  <c r="AH620" i="1"/>
  <c r="AF620" i="1"/>
  <c r="AI621" i="1" l="1"/>
  <c r="A622" i="1"/>
  <c r="D622" i="1" s="1"/>
  <c r="AG622" i="1"/>
  <c r="AJ622" i="1" l="1"/>
  <c r="AH622" i="1"/>
  <c r="AF622" i="1"/>
  <c r="A623" i="1"/>
  <c r="AI623" i="1" l="1"/>
  <c r="A624" i="1"/>
  <c r="D624" i="1" s="1"/>
  <c r="AG624" i="1"/>
  <c r="AJ624" i="1" l="1"/>
  <c r="AH624" i="1"/>
  <c r="AF624" i="1"/>
  <c r="A625" i="1"/>
  <c r="AI625" i="1" l="1"/>
  <c r="A626" i="1"/>
  <c r="D626" i="1" s="1"/>
  <c r="AG626" i="1"/>
  <c r="AJ626" i="1" l="1"/>
  <c r="AH626" i="1"/>
  <c r="AF626" i="1"/>
  <c r="A627" i="1"/>
  <c r="D627" i="1" s="1"/>
  <c r="AG627" i="1"/>
  <c r="AJ627" i="1" l="1"/>
  <c r="AI627" i="1"/>
  <c r="AH627" i="1"/>
  <c r="A628" i="1"/>
  <c r="AG628" i="1" s="1"/>
  <c r="D628" i="1"/>
  <c r="AF627" i="1"/>
  <c r="AJ628" i="1" l="1"/>
  <c r="AI628" i="1"/>
  <c r="AF628" i="1"/>
  <c r="AH628" i="1"/>
  <c r="A629" i="1"/>
  <c r="AI629" i="1" l="1"/>
  <c r="A630" i="1"/>
  <c r="D630" i="1" s="1"/>
  <c r="AG630" i="1"/>
  <c r="AJ630" i="1" l="1"/>
  <c r="AH630" i="1"/>
  <c r="AF630" i="1"/>
  <c r="A631" i="1"/>
  <c r="AI631" i="1" l="1"/>
  <c r="A632" i="1"/>
  <c r="D632" i="1" s="1"/>
  <c r="AG632" i="1"/>
  <c r="AJ632" i="1" l="1"/>
  <c r="AH632" i="1"/>
  <c r="AF632" i="1"/>
  <c r="A633" i="1"/>
  <c r="AG633" i="1"/>
  <c r="D633" i="1"/>
  <c r="AJ633" i="1" l="1"/>
  <c r="AI633" i="1"/>
  <c r="AF633" i="1"/>
  <c r="A634" i="1"/>
  <c r="AH633" i="1"/>
  <c r="AG634" i="1"/>
  <c r="D634" i="1"/>
  <c r="AJ634" i="1" l="1"/>
  <c r="AI634" i="1"/>
  <c r="AH634" i="1"/>
  <c r="AF634" i="1"/>
  <c r="A635" i="1"/>
  <c r="AG635" i="1" s="1"/>
  <c r="D635" i="1"/>
  <c r="AJ635" i="1" l="1"/>
  <c r="AI635" i="1"/>
  <c r="AF635" i="1"/>
  <c r="A636" i="1"/>
  <c r="D636" i="1" s="1"/>
  <c r="AH635" i="1"/>
  <c r="AG636" i="1"/>
  <c r="AJ636" i="1" l="1"/>
  <c r="AI636" i="1"/>
  <c r="AF636" i="1"/>
  <c r="A637" i="1"/>
  <c r="AH636" i="1"/>
  <c r="AG637" i="1"/>
  <c r="D637" i="1"/>
  <c r="AJ637" i="1" l="1"/>
  <c r="AI637" i="1"/>
  <c r="AH637" i="1"/>
  <c r="AF637" i="1"/>
  <c r="A638" i="1"/>
  <c r="D638" i="1" s="1"/>
  <c r="AG638" i="1"/>
  <c r="AJ638" i="1" l="1"/>
  <c r="AI638" i="1"/>
  <c r="AF638" i="1"/>
  <c r="A639" i="1"/>
  <c r="AH638" i="1"/>
  <c r="AG639" i="1"/>
  <c r="D639" i="1"/>
  <c r="AJ639" i="1" l="1"/>
  <c r="AI639" i="1"/>
  <c r="AF639" i="1"/>
  <c r="A640" i="1"/>
  <c r="AH639" i="1"/>
  <c r="AI640" i="1" l="1"/>
  <c r="A641" i="1"/>
  <c r="D641" i="1" s="1"/>
  <c r="AG641" i="1"/>
  <c r="AH641" i="1" l="1"/>
  <c r="AJ641" i="1"/>
  <c r="AF641" i="1"/>
  <c r="A642" i="1"/>
  <c r="D642" i="1" s="1"/>
  <c r="AG642" i="1"/>
  <c r="AJ642" i="1" l="1"/>
  <c r="AI642" i="1"/>
  <c r="AH642" i="1"/>
  <c r="A643" i="1"/>
  <c r="D643" i="1"/>
  <c r="AG643" i="1"/>
  <c r="AF642" i="1"/>
  <c r="AJ643" i="1" l="1"/>
  <c r="AI643" i="1"/>
  <c r="AF643" i="1"/>
  <c r="A644" i="1"/>
  <c r="D644" i="1"/>
  <c r="AH643" i="1"/>
  <c r="AG644" i="1"/>
  <c r="AJ644" i="1" l="1"/>
  <c r="AI644" i="1"/>
  <c r="AH644" i="1"/>
  <c r="AF644" i="1"/>
  <c r="A645" i="1"/>
  <c r="D645" i="1" s="1"/>
  <c r="AG645" i="1"/>
  <c r="AJ645" i="1" l="1"/>
  <c r="AI645" i="1"/>
  <c r="AF645" i="1"/>
  <c r="AH645" i="1"/>
  <c r="A646" i="1"/>
  <c r="AI646" i="1" l="1"/>
  <c r="A647" i="1"/>
  <c r="D647" i="1" s="1"/>
  <c r="AG647" i="1"/>
  <c r="AH647" i="1" l="1"/>
  <c r="AJ647" i="1"/>
  <c r="AF647" i="1"/>
  <c r="A648" i="1"/>
  <c r="D648" i="1" s="1"/>
  <c r="AG648" i="1"/>
  <c r="AJ648" i="1" l="1"/>
  <c r="AI648" i="1"/>
  <c r="AH648" i="1"/>
  <c r="AF648" i="1"/>
  <c r="A649" i="1"/>
  <c r="AG649" i="1" s="1"/>
  <c r="D649" i="1"/>
  <c r="AJ649" i="1" l="1"/>
  <c r="AI649" i="1"/>
  <c r="AF649" i="1"/>
  <c r="A650" i="1"/>
  <c r="AG650" i="1"/>
  <c r="AH649" i="1"/>
  <c r="D650" i="1"/>
  <c r="AJ650" i="1" l="1"/>
  <c r="AI650" i="1"/>
  <c r="AH650" i="1"/>
  <c r="AF650" i="1"/>
  <c r="A651" i="1"/>
  <c r="AG651" i="1" s="1"/>
  <c r="D651" i="1"/>
  <c r="AJ651" i="1" l="1"/>
  <c r="AI651" i="1"/>
  <c r="AF651" i="1"/>
  <c r="A652" i="1"/>
  <c r="AG652" i="1"/>
  <c r="AH651" i="1"/>
  <c r="D652" i="1"/>
  <c r="AJ652" i="1" l="1"/>
  <c r="AI652" i="1"/>
  <c r="AH652" i="1"/>
  <c r="AF652" i="1"/>
  <c r="A653" i="1"/>
  <c r="AI653" i="1" l="1"/>
  <c r="A654" i="1"/>
  <c r="AG654" i="1" s="1"/>
  <c r="D654" i="1"/>
  <c r="AJ654" i="1" l="1"/>
  <c r="AH654" i="1"/>
  <c r="AF654" i="1"/>
  <c r="A655" i="1"/>
  <c r="D655" i="1"/>
  <c r="AG655" i="1"/>
  <c r="AJ655" i="1" l="1"/>
  <c r="AI655" i="1"/>
  <c r="AH655" i="1"/>
  <c r="AF655" i="1"/>
  <c r="A656" i="1"/>
  <c r="AG656" i="1" s="1"/>
  <c r="D656" i="1"/>
  <c r="AJ656" i="1" l="1"/>
  <c r="AI656" i="1"/>
  <c r="AF656" i="1"/>
  <c r="A657" i="1"/>
  <c r="AG657" i="1"/>
  <c r="AH656" i="1"/>
  <c r="D657" i="1"/>
  <c r="AJ657" i="1" l="1"/>
  <c r="AI657" i="1"/>
  <c r="AH657" i="1"/>
  <c r="AF657" i="1"/>
  <c r="A658" i="1"/>
  <c r="AG658" i="1" s="1"/>
  <c r="D658" i="1"/>
  <c r="AJ658" i="1" l="1"/>
  <c r="AI658" i="1"/>
  <c r="AF658" i="1"/>
  <c r="A659" i="1"/>
  <c r="AG659" i="1"/>
  <c r="AH658" i="1"/>
  <c r="D659" i="1"/>
  <c r="AJ659" i="1" l="1"/>
  <c r="AI659" i="1"/>
  <c r="AF659" i="1"/>
  <c r="A660" i="1"/>
  <c r="AG660" i="1"/>
  <c r="AH659" i="1"/>
  <c r="D660" i="1"/>
  <c r="AJ660" i="1" l="1"/>
  <c r="AI660" i="1"/>
  <c r="AF660" i="1"/>
  <c r="A661" i="1"/>
  <c r="AG661" i="1"/>
  <c r="AH660" i="1"/>
  <c r="D661" i="1"/>
  <c r="AJ661" i="1" l="1"/>
  <c r="AI661" i="1"/>
  <c r="AF661" i="1"/>
  <c r="A662" i="1"/>
  <c r="AG662" i="1"/>
  <c r="AH661" i="1"/>
  <c r="D662" i="1"/>
  <c r="AJ662" i="1" l="1"/>
  <c r="AI662" i="1"/>
  <c r="AF662" i="1"/>
  <c r="A663" i="1"/>
  <c r="AH662" i="1"/>
  <c r="D663" i="1"/>
  <c r="AG663" i="1"/>
  <c r="AJ663" i="1" l="1"/>
  <c r="AI663" i="1"/>
  <c r="AH663" i="1"/>
  <c r="AF663" i="1"/>
  <c r="A664" i="1"/>
  <c r="AG664" i="1" s="1"/>
  <c r="D664" i="1"/>
  <c r="AJ664" i="1" l="1"/>
  <c r="AI664" i="1"/>
  <c r="AH664" i="1"/>
  <c r="AF664" i="1"/>
  <c r="A665" i="1"/>
  <c r="AI665" i="1" l="1"/>
  <c r="A666" i="1"/>
  <c r="AG666" i="1" s="1"/>
  <c r="D666" i="1"/>
  <c r="AJ666" i="1" l="1"/>
  <c r="AH666" i="1"/>
  <c r="AF666" i="1"/>
  <c r="A667" i="1"/>
  <c r="AG667" i="1" s="1"/>
  <c r="D667" i="1"/>
  <c r="AJ667" i="1" l="1"/>
  <c r="AI667" i="1"/>
  <c r="AF667" i="1"/>
  <c r="A668" i="1"/>
  <c r="AG668" i="1"/>
  <c r="D668" i="1"/>
  <c r="AH667" i="1"/>
  <c r="AJ668" i="1" l="1"/>
  <c r="AI668" i="1"/>
  <c r="AH668" i="1"/>
  <c r="AF668" i="1"/>
  <c r="A669" i="1"/>
  <c r="AG669" i="1" s="1"/>
  <c r="D669" i="1"/>
  <c r="AJ669" i="1" l="1"/>
  <c r="AI669" i="1"/>
  <c r="AF669" i="1"/>
  <c r="A670" i="1"/>
  <c r="AG670" i="1"/>
  <c r="AH669" i="1"/>
  <c r="D670" i="1"/>
  <c r="AJ670" i="1" l="1"/>
  <c r="AI670" i="1"/>
  <c r="AH670" i="1"/>
  <c r="A671" i="1"/>
  <c r="AF670" i="1"/>
  <c r="D671" i="1"/>
  <c r="AG671" i="1"/>
  <c r="AJ671" i="1" l="1"/>
  <c r="AI671" i="1"/>
  <c r="AF671" i="1"/>
  <c r="A672" i="1"/>
  <c r="AG672" i="1"/>
  <c r="AH671" i="1"/>
  <c r="D672" i="1"/>
  <c r="AJ672" i="1" l="1"/>
  <c r="AI672" i="1"/>
  <c r="AH672" i="1"/>
  <c r="AF672" i="1"/>
  <c r="A673" i="1"/>
  <c r="AG673" i="1" s="1"/>
  <c r="D673" i="1"/>
  <c r="AJ673" i="1" l="1"/>
  <c r="AI673" i="1"/>
  <c r="AF673" i="1"/>
  <c r="A674" i="1"/>
  <c r="AG674" i="1"/>
  <c r="AH673" i="1"/>
  <c r="D674" i="1"/>
  <c r="AJ674" i="1" l="1"/>
  <c r="AI674" i="1"/>
  <c r="AH674" i="1"/>
  <c r="A675" i="1"/>
  <c r="D675" i="1"/>
  <c r="AG675" i="1"/>
  <c r="AF674" i="1"/>
  <c r="AJ675" i="1" l="1"/>
  <c r="AI675" i="1"/>
  <c r="AH675" i="1"/>
  <c r="AF675" i="1"/>
  <c r="A676" i="1"/>
  <c r="AI676" i="1" l="1"/>
  <c r="A677" i="1"/>
  <c r="AG677" i="1" s="1"/>
  <c r="D677" i="1"/>
  <c r="AJ677" i="1" l="1"/>
  <c r="AH677" i="1"/>
  <c r="AF677" i="1"/>
  <c r="A678" i="1"/>
  <c r="D678" i="1"/>
  <c r="AG678" i="1"/>
  <c r="AJ678" i="1" l="1"/>
  <c r="AI678" i="1"/>
  <c r="AF678" i="1"/>
  <c r="A679" i="1"/>
  <c r="AG679" i="1"/>
  <c r="AH678" i="1"/>
  <c r="D679" i="1"/>
  <c r="AJ679" i="1" l="1"/>
  <c r="AI679" i="1"/>
  <c r="AF679" i="1"/>
  <c r="AH679" i="1"/>
  <c r="A680" i="1"/>
  <c r="D680" i="1" s="1"/>
  <c r="AG680" i="1"/>
  <c r="AJ680" i="1" l="1"/>
  <c r="AI680" i="1"/>
  <c r="AH680" i="1"/>
  <c r="A681" i="1"/>
  <c r="D681" i="1"/>
  <c r="AG681" i="1"/>
  <c r="AF680" i="1"/>
  <c r="AJ681" i="1" l="1"/>
  <c r="AI681" i="1"/>
  <c r="AH681" i="1"/>
  <c r="AF681" i="1"/>
  <c r="A682" i="1"/>
  <c r="AI682" i="1" l="1"/>
  <c r="A683" i="1"/>
  <c r="AG683" i="1" s="1"/>
  <c r="D683" i="1"/>
  <c r="AJ683" i="1" l="1"/>
  <c r="AH683" i="1"/>
  <c r="AF683" i="1"/>
  <c r="A684" i="1"/>
  <c r="D684" i="1"/>
  <c r="AG684" i="1"/>
  <c r="AJ684" i="1" l="1"/>
  <c r="AI684" i="1"/>
  <c r="AF684" i="1"/>
  <c r="A685" i="1"/>
  <c r="AG685" i="1"/>
  <c r="AH684" i="1"/>
  <c r="D685" i="1"/>
  <c r="AJ685" i="1" l="1"/>
  <c r="AI685" i="1"/>
  <c r="AF685" i="1"/>
  <c r="A686" i="1"/>
  <c r="AG686" i="1"/>
  <c r="AH685" i="1"/>
  <c r="D686" i="1"/>
  <c r="AJ686" i="1" l="1"/>
  <c r="AI686" i="1"/>
  <c r="AF686" i="1"/>
  <c r="A687" i="1"/>
  <c r="AG687" i="1"/>
  <c r="AH686" i="1"/>
  <c r="D687" i="1"/>
  <c r="AJ687" i="1" l="1"/>
  <c r="AI687" i="1"/>
  <c r="AH687" i="1"/>
  <c r="A688" i="1"/>
  <c r="AG688" i="1"/>
  <c r="D688" i="1"/>
  <c r="AF687" i="1"/>
  <c r="AJ688" i="1" l="1"/>
  <c r="AI688" i="1"/>
  <c r="AF688" i="1"/>
  <c r="A689" i="1"/>
  <c r="AG689" i="1"/>
  <c r="AH688" i="1"/>
  <c r="D689" i="1"/>
  <c r="AJ689" i="1" l="1"/>
  <c r="AI689" i="1"/>
  <c r="AH689" i="1"/>
  <c r="AF689" i="1"/>
  <c r="A690" i="1"/>
  <c r="AI690" i="1" l="1"/>
  <c r="A691" i="1"/>
  <c r="AG691" i="1" s="1"/>
  <c r="D691" i="1"/>
  <c r="AJ691" i="1" l="1"/>
  <c r="AH691" i="1"/>
  <c r="AF691" i="1"/>
  <c r="A692" i="1"/>
  <c r="D692" i="1"/>
  <c r="AG692" i="1"/>
  <c r="AJ692" i="1" l="1"/>
  <c r="AI692" i="1"/>
  <c r="AH692" i="1"/>
  <c r="A693" i="1"/>
  <c r="AG693" i="1"/>
  <c r="D693" i="1"/>
  <c r="AF692" i="1"/>
  <c r="AJ693" i="1" l="1"/>
  <c r="AI693" i="1"/>
  <c r="AF693" i="1"/>
  <c r="A694" i="1"/>
  <c r="AG694" i="1"/>
  <c r="AH693" i="1"/>
  <c r="D694" i="1"/>
  <c r="AJ694" i="1" l="1"/>
  <c r="AI694" i="1"/>
  <c r="AF694" i="1"/>
  <c r="A695" i="1"/>
  <c r="AG695" i="1"/>
  <c r="AH694" i="1"/>
  <c r="D695" i="1"/>
  <c r="AJ695" i="1" l="1"/>
  <c r="AI695" i="1"/>
  <c r="AH695" i="1"/>
  <c r="AF695" i="1"/>
  <c r="A696" i="1"/>
  <c r="AI696" i="1" l="1"/>
  <c r="A697" i="1"/>
  <c r="AG697" i="1" s="1"/>
  <c r="D697" i="1"/>
  <c r="AJ697" i="1" l="1"/>
  <c r="AH697" i="1"/>
  <c r="AF697" i="1"/>
  <c r="A698" i="1"/>
  <c r="D698" i="1"/>
  <c r="AG698" i="1"/>
  <c r="AJ698" i="1" l="1"/>
  <c r="AI698" i="1"/>
  <c r="AF698" i="1"/>
  <c r="A699" i="1"/>
  <c r="AG699" i="1"/>
  <c r="AH698" i="1"/>
  <c r="D699" i="1"/>
  <c r="AJ699" i="1" l="1"/>
  <c r="AI699" i="1"/>
  <c r="AF699" i="1"/>
  <c r="A700" i="1"/>
  <c r="AG700" i="1"/>
  <c r="AH699" i="1"/>
  <c r="D700" i="1"/>
  <c r="AJ700" i="1" l="1"/>
  <c r="AI700" i="1"/>
  <c r="AH700" i="1"/>
  <c r="A701" i="1"/>
  <c r="D701" i="1"/>
  <c r="AG701" i="1"/>
  <c r="AF700" i="1"/>
  <c r="AJ701" i="1" l="1"/>
  <c r="AI701" i="1"/>
  <c r="AF701" i="1"/>
  <c r="A702" i="1"/>
  <c r="AG702" i="1"/>
  <c r="AH701" i="1"/>
  <c r="D702" i="1"/>
  <c r="AJ702" i="1" l="1"/>
  <c r="AI702" i="1"/>
  <c r="AF702" i="1"/>
  <c r="A703" i="1"/>
  <c r="AH702" i="1"/>
  <c r="AI703" i="1" l="1"/>
  <c r="A704" i="1"/>
  <c r="AG704" i="1" s="1"/>
  <c r="D704" i="1"/>
  <c r="AJ704" i="1" l="1"/>
  <c r="AH704" i="1"/>
  <c r="AF704" i="1"/>
  <c r="A705" i="1"/>
  <c r="AI705" i="1" l="1"/>
  <c r="A706" i="1"/>
  <c r="AG706" i="1" s="1"/>
  <c r="D706" i="1"/>
  <c r="AH706" i="1" l="1"/>
  <c r="AJ706" i="1"/>
  <c r="A707" i="1"/>
  <c r="AF706" i="1"/>
  <c r="AI707" i="1" l="1"/>
  <c r="A708" i="1"/>
  <c r="AG708" i="1" s="1"/>
  <c r="D708" i="1"/>
  <c r="AH708" i="1" l="1"/>
  <c r="AJ708" i="1"/>
  <c r="AF708" i="1"/>
  <c r="A709" i="1"/>
  <c r="AG709" i="1" s="1"/>
  <c r="D709" i="1"/>
  <c r="AJ709" i="1" l="1"/>
  <c r="AI709" i="1"/>
  <c r="AH709" i="1"/>
  <c r="AF709" i="1"/>
  <c r="A710" i="1"/>
  <c r="AI710" i="1" l="1"/>
  <c r="A711" i="1"/>
  <c r="D711" i="1" s="1"/>
  <c r="AG711" i="1"/>
  <c r="AH711" i="1" l="1"/>
  <c r="AJ711" i="1"/>
  <c r="AF711" i="1"/>
  <c r="A712" i="1"/>
  <c r="AI712" i="1" l="1"/>
  <c r="AJ738" i="1" l="1"/>
  <c r="A713" i="1"/>
  <c r="D713" i="1" s="1"/>
  <c r="AG713" i="1"/>
  <c r="AH713" i="1" l="1"/>
  <c r="AJ713" i="1"/>
  <c r="AF713" i="1"/>
  <c r="A714" i="1"/>
  <c r="AG714" i="1" s="1"/>
  <c r="D714" i="1"/>
  <c r="AJ714" i="1" l="1"/>
  <c r="AI714" i="1"/>
  <c r="AF714" i="1"/>
  <c r="AH714" i="1"/>
  <c r="A715" i="1"/>
  <c r="AI715" i="1" l="1"/>
  <c r="A716" i="1"/>
  <c r="AG716" i="1" s="1"/>
  <c r="D716" i="1"/>
  <c r="AJ716" i="1" l="1"/>
  <c r="AH716" i="1"/>
  <c r="AF716" i="1"/>
  <c r="A717" i="1"/>
  <c r="D717" i="1"/>
  <c r="AG717" i="1"/>
  <c r="AJ717" i="1" l="1"/>
  <c r="AI717" i="1"/>
  <c r="AH717" i="1"/>
  <c r="AF717" i="1"/>
  <c r="A718" i="1"/>
  <c r="AG718" i="1" s="1"/>
  <c r="D718" i="1"/>
  <c r="AJ718" i="1" l="1"/>
  <c r="AI718" i="1"/>
  <c r="AF718" i="1"/>
  <c r="A719" i="1"/>
  <c r="AH718" i="1"/>
  <c r="D719" i="1"/>
  <c r="AG719" i="1"/>
  <c r="AJ719" i="1" l="1"/>
  <c r="AI719" i="1"/>
  <c r="AF719" i="1"/>
  <c r="A720" i="1"/>
  <c r="AH719" i="1"/>
  <c r="AI720" i="1" l="1"/>
  <c r="A721" i="1"/>
  <c r="AG721" i="1" s="1"/>
  <c r="D721" i="1"/>
  <c r="AJ721" i="1" l="1"/>
  <c r="AH721" i="1"/>
  <c r="AF721" i="1"/>
  <c r="A722" i="1"/>
  <c r="D722" i="1"/>
  <c r="AG722" i="1"/>
  <c r="AJ722" i="1" l="1"/>
  <c r="AI722" i="1"/>
  <c r="AF722" i="1"/>
  <c r="A723" i="1"/>
  <c r="AH722" i="1"/>
  <c r="AI723" i="1" l="1"/>
  <c r="A724" i="1"/>
  <c r="AG724" i="1" s="1"/>
  <c r="D724" i="1"/>
  <c r="AJ724" i="1" l="1"/>
  <c r="AH724" i="1"/>
  <c r="AF724" i="1"/>
  <c r="A725" i="1"/>
  <c r="D725" i="1"/>
  <c r="AG725" i="1"/>
  <c r="AJ725" i="1" l="1"/>
  <c r="AI725" i="1"/>
  <c r="AH725" i="1"/>
  <c r="A726" i="1"/>
  <c r="AF725" i="1"/>
  <c r="D726" i="1"/>
  <c r="AG726" i="1"/>
  <c r="AJ726" i="1" l="1"/>
  <c r="AI726" i="1"/>
  <c r="A727" i="1"/>
  <c r="AF726" i="1"/>
  <c r="AH726" i="1"/>
  <c r="AI727" i="1" l="1"/>
  <c r="A728" i="1"/>
  <c r="AG728" i="1" s="1"/>
  <c r="D728" i="1"/>
  <c r="AJ728" i="1" l="1"/>
  <c r="AH728" i="1"/>
  <c r="AF728" i="1"/>
  <c r="A729" i="1"/>
  <c r="D729" i="1"/>
  <c r="AG729" i="1"/>
  <c r="AJ729" i="1" l="1"/>
  <c r="AI729" i="1"/>
  <c r="AF729" i="1"/>
  <c r="A730" i="1"/>
  <c r="D730" i="1"/>
  <c r="AH729" i="1"/>
  <c r="AG730" i="1"/>
  <c r="AJ730" i="1" l="1"/>
  <c r="AI730" i="1"/>
  <c r="AF730" i="1"/>
  <c r="A731" i="1"/>
  <c r="AH730" i="1"/>
  <c r="D731" i="1"/>
  <c r="AG731" i="1"/>
  <c r="AJ731" i="1" l="1"/>
  <c r="AI731" i="1"/>
  <c r="AF731" i="1"/>
  <c r="A732" i="1"/>
  <c r="AH731" i="1"/>
  <c r="D732" i="1"/>
  <c r="AG732" i="1"/>
  <c r="AJ732" i="1" l="1"/>
  <c r="AI732" i="1"/>
  <c r="AF732" i="1"/>
  <c r="A733" i="1"/>
  <c r="D733" i="1"/>
  <c r="AH732" i="1"/>
  <c r="AG733" i="1"/>
  <c r="AJ733" i="1" l="1"/>
  <c r="AI733" i="1"/>
  <c r="AF733" i="1"/>
  <c r="A734" i="1"/>
  <c r="AH733" i="1"/>
  <c r="D734" i="1"/>
  <c r="AG734" i="1"/>
  <c r="AJ734" i="1" l="1"/>
  <c r="AI734" i="1"/>
  <c r="AH734" i="1"/>
  <c r="AF734" i="1"/>
  <c r="A735" i="1"/>
  <c r="AI735" i="1" l="1"/>
  <c r="A736" i="1"/>
  <c r="AG736" i="1" s="1"/>
  <c r="D736" i="1"/>
  <c r="AJ736" i="1" l="1"/>
  <c r="AH736" i="1"/>
  <c r="AF736" i="1"/>
  <c r="A737" i="1"/>
  <c r="A738" i="1"/>
  <c r="D738" i="1"/>
  <c r="AG738" i="1"/>
  <c r="A739" i="1"/>
  <c r="D739" i="1"/>
  <c r="AG739" i="1"/>
  <c r="A740" i="1"/>
  <c r="D740" i="1"/>
  <c r="AG740" i="1"/>
  <c r="A741" i="1"/>
  <c r="AI741" i="1" l="1"/>
  <c r="AI740" i="1"/>
  <c r="AJ739" i="1"/>
  <c r="AJ740" i="1" s="1"/>
  <c r="AI739" i="1"/>
  <c r="AH738" i="1"/>
  <c r="AI737" i="1"/>
  <c r="AF740" i="1"/>
  <c r="AH739" i="1"/>
  <c r="A742" i="1"/>
  <c r="D742" i="1"/>
  <c r="AF739" i="1"/>
  <c r="AF738" i="1"/>
  <c r="AG742" i="1"/>
  <c r="AJ742" i="1" l="1"/>
  <c r="AH742" i="1"/>
  <c r="AH740" i="1"/>
  <c r="A743" i="1"/>
  <c r="AF742" i="1"/>
  <c r="D743" i="1"/>
  <c r="AG743" i="1"/>
  <c r="AJ743" i="1" l="1"/>
  <c r="AI743" i="1"/>
  <c r="AF743" i="1"/>
  <c r="A744" i="1"/>
  <c r="AG744" i="1" s="1"/>
  <c r="AH743" i="1"/>
  <c r="D744" i="1"/>
  <c r="AJ744" i="1" l="1"/>
  <c r="AI744" i="1"/>
  <c r="AH744" i="1"/>
  <c r="AF744" i="1"/>
  <c r="A745" i="1"/>
  <c r="AI745" i="1" l="1"/>
  <c r="A746" i="1"/>
  <c r="AG746" i="1" s="1"/>
  <c r="D746" i="1"/>
  <c r="AJ746" i="1" l="1"/>
  <c r="AH746" i="1"/>
  <c r="AF746" i="1"/>
  <c r="A747" i="1"/>
  <c r="AG747" i="1" s="1"/>
  <c r="D747" i="1"/>
  <c r="AJ747" i="1" l="1"/>
  <c r="AI747" i="1"/>
  <c r="AF747" i="1"/>
  <c r="A748" i="1"/>
  <c r="AG748" i="1" s="1"/>
  <c r="AH747" i="1"/>
  <c r="D748" i="1"/>
  <c r="AJ748" i="1" l="1"/>
  <c r="AI748" i="1"/>
  <c r="AF748" i="1"/>
  <c r="A749" i="1"/>
  <c r="D749" i="1" s="1"/>
  <c r="AH748" i="1"/>
  <c r="AG749" i="1"/>
  <c r="AJ749" i="1" l="1"/>
  <c r="AI749" i="1"/>
  <c r="AH749" i="1"/>
  <c r="A750" i="1"/>
  <c r="AF749" i="1"/>
  <c r="D750" i="1"/>
  <c r="AG750" i="1"/>
  <c r="AJ750" i="1" l="1"/>
  <c r="AI750" i="1"/>
  <c r="AF750" i="1"/>
  <c r="A751" i="1"/>
  <c r="AH750" i="1"/>
  <c r="AI751" i="1" l="1"/>
  <c r="A752" i="1"/>
  <c r="AG752" i="1" s="1"/>
  <c r="D752" i="1"/>
  <c r="AJ752" i="1" l="1"/>
  <c r="AH752" i="1"/>
  <c r="AG755" i="1"/>
  <c r="D755" i="1"/>
  <c r="AF752" i="1"/>
  <c r="A753" i="1"/>
  <c r="AG753" i="1"/>
  <c r="A754" i="1"/>
  <c r="D753" i="1"/>
  <c r="D754" i="1"/>
  <c r="AG754" i="1"/>
  <c r="AJ755" i="1" l="1"/>
  <c r="AJ753" i="1"/>
  <c r="AJ754" i="1" s="1"/>
  <c r="AI753" i="1"/>
  <c r="AI754" i="1"/>
  <c r="AB755" i="1"/>
  <c r="AF755" i="1"/>
  <c r="AC755" i="1"/>
  <c r="AH753" i="1"/>
  <c r="AF753" i="1"/>
  <c r="A755" i="1"/>
  <c r="A756" i="1"/>
  <c r="A757" i="1" s="1"/>
  <c r="AF754" i="1"/>
  <c r="D756" i="1"/>
  <c r="D757" i="1"/>
  <c r="AG757" i="1"/>
  <c r="AG756" i="1"/>
  <c r="AI755" i="1" l="1"/>
  <c r="AJ756" i="1"/>
  <c r="AJ757" i="1" s="1"/>
  <c r="AH756" i="1"/>
  <c r="AI757" i="1"/>
  <c r="A758" i="1"/>
  <c r="AF757" i="1"/>
  <c r="AF756" i="1"/>
  <c r="AG758" i="1"/>
  <c r="AH757" i="1"/>
  <c r="A759" i="1"/>
  <c r="AG759" i="1" s="1"/>
  <c r="AH754" i="1"/>
  <c r="D759" i="1"/>
  <c r="D758" i="1"/>
  <c r="AH755" i="1" l="1"/>
  <c r="AI758" i="1"/>
  <c r="AJ758" i="1"/>
  <c r="AJ759" i="1" s="1"/>
  <c r="AI759" i="1"/>
  <c r="AF758" i="1"/>
  <c r="AH758" i="1"/>
  <c r="A760" i="1"/>
  <c r="D760" i="1"/>
  <c r="AF759" i="1"/>
  <c r="AH759" i="1"/>
  <c r="AG760" i="1"/>
  <c r="A761" i="1"/>
  <c r="AG761" i="1" s="1"/>
  <c r="D761" i="1"/>
  <c r="AJ760" i="1" l="1"/>
  <c r="AJ761" i="1" s="1"/>
  <c r="AI760" i="1"/>
  <c r="AI761" i="1"/>
  <c r="AF761" i="1"/>
  <c r="AF760" i="1"/>
  <c r="A762" i="1"/>
  <c r="AH760" i="1"/>
  <c r="A763" i="1"/>
  <c r="A764" i="1" s="1"/>
  <c r="D762" i="1"/>
  <c r="AG763" i="1"/>
  <c r="D764" i="1"/>
  <c r="AG764" i="1"/>
  <c r="AG762" i="1"/>
  <c r="D763" i="1"/>
  <c r="AI762" i="1" l="1"/>
  <c r="AJ762" i="1"/>
  <c r="AJ763" i="1" s="1"/>
  <c r="AJ764" i="1" s="1"/>
  <c r="AI764" i="1"/>
  <c r="AI763" i="1"/>
  <c r="AF762" i="1"/>
  <c r="AF764" i="1"/>
  <c r="A765" i="1"/>
  <c r="AH761" i="1"/>
  <c r="AF763" i="1"/>
  <c r="AG765" i="1"/>
  <c r="A766" i="1"/>
  <c r="D765" i="1"/>
  <c r="AG766" i="1"/>
  <c r="AJ765" i="1" l="1"/>
  <c r="AJ766" i="1" s="1"/>
  <c r="AI766" i="1"/>
  <c r="AI765" i="1"/>
  <c r="D766" i="1"/>
  <c r="AH762" i="1"/>
  <c r="AF765" i="1"/>
  <c r="A767" i="1"/>
  <c r="AG767" i="1"/>
  <c r="A768" i="1"/>
  <c r="D767" i="1"/>
  <c r="D768" i="1"/>
  <c r="AG768" i="1"/>
  <c r="AJ767" i="1" l="1"/>
  <c r="AJ768" i="1" s="1"/>
  <c r="AI768" i="1"/>
  <c r="AI767" i="1"/>
  <c r="AH763" i="1"/>
  <c r="AF768" i="1"/>
  <c r="A769" i="1"/>
  <c r="AG769" i="1"/>
  <c r="AF766" i="1"/>
  <c r="AH764" i="1"/>
  <c r="AF767" i="1"/>
  <c r="D769" i="1"/>
  <c r="A770" i="1"/>
  <c r="AJ769" i="1" l="1"/>
  <c r="AI770" i="1"/>
  <c r="AI769" i="1"/>
  <c r="AH765" i="1"/>
  <c r="AH766" i="1"/>
  <c r="AF769" i="1"/>
  <c r="A771" i="1"/>
  <c r="D771" i="1" s="1"/>
  <c r="AG771" i="1"/>
  <c r="A772" i="1"/>
  <c r="AJ771" i="1" l="1"/>
  <c r="AH771" i="1"/>
  <c r="AI772" i="1"/>
  <c r="AH767" i="1"/>
  <c r="AH768" i="1"/>
  <c r="A773" i="1"/>
  <c r="AG773" i="1"/>
  <c r="A774" i="1"/>
  <c r="AF771" i="1"/>
  <c r="D773" i="1"/>
  <c r="AJ773" i="1" l="1"/>
  <c r="AH773" i="1"/>
  <c r="AI774" i="1"/>
  <c r="AH769" i="1"/>
  <c r="A775" i="1"/>
  <c r="AF773" i="1"/>
  <c r="AG775" i="1"/>
  <c r="D775" i="1"/>
  <c r="A776" i="1"/>
  <c r="D776" i="1"/>
  <c r="AJ775" i="1" l="1"/>
  <c r="AH775" i="1"/>
  <c r="AI776" i="1"/>
  <c r="AG776" i="1"/>
  <c r="AH776" i="1"/>
  <c r="AF775" i="1"/>
  <c r="A777" i="1"/>
  <c r="AF776" i="1"/>
  <c r="A778" i="1"/>
  <c r="AG778" i="1"/>
  <c r="D777" i="1"/>
  <c r="AG777" i="1"/>
  <c r="AJ776" i="1" l="1"/>
  <c r="AJ777" i="1" s="1"/>
  <c r="AJ778" i="1" s="1"/>
  <c r="AI778" i="1"/>
  <c r="AI777" i="1"/>
  <c r="D778" i="1"/>
  <c r="A779" i="1"/>
  <c r="A780" i="1"/>
  <c r="D780" i="1"/>
  <c r="AF777" i="1"/>
  <c r="D779" i="1"/>
  <c r="AH777" i="1"/>
  <c r="AG779" i="1"/>
  <c r="AJ779" i="1" l="1"/>
  <c r="AI780" i="1"/>
  <c r="AI779" i="1"/>
  <c r="AG780" i="1"/>
  <c r="AF780" i="1"/>
  <c r="AF778" i="1"/>
  <c r="AH778" i="1"/>
  <c r="AH779" i="1" s="1"/>
  <c r="AF779" i="1"/>
  <c r="A781" i="1"/>
  <c r="A782" i="1"/>
  <c r="D782" i="1"/>
  <c r="AG782" i="1"/>
  <c r="AJ780" i="1" l="1"/>
  <c r="AJ782" i="1"/>
  <c r="AH782" i="1"/>
  <c r="AI781" i="1"/>
  <c r="AH780" i="1"/>
  <c r="A783" i="1"/>
  <c r="D783" i="1"/>
  <c r="AF782" i="1"/>
  <c r="AG783" i="1"/>
  <c r="A784" i="1"/>
  <c r="D784" i="1" s="1"/>
  <c r="AG784" i="1"/>
  <c r="AJ783" i="1" l="1"/>
  <c r="AJ784" i="1" s="1"/>
  <c r="AI784" i="1"/>
  <c r="AI783" i="1"/>
  <c r="A785" i="1"/>
  <c r="AF784" i="1"/>
  <c r="A786" i="1"/>
  <c r="AG786" i="1"/>
  <c r="AF783" i="1"/>
  <c r="D785" i="1"/>
  <c r="AH783" i="1"/>
  <c r="AG785" i="1"/>
  <c r="AJ785" i="1" l="1"/>
  <c r="AJ786" i="1" s="1"/>
  <c r="AI786" i="1"/>
  <c r="AI785" i="1"/>
  <c r="D786" i="1"/>
  <c r="AH784" i="1"/>
  <c r="AF785" i="1"/>
  <c r="A787" i="1"/>
  <c r="AG787" i="1"/>
  <c r="AH785" i="1"/>
  <c r="D787" i="1"/>
  <c r="A788" i="1"/>
  <c r="AG788" i="1"/>
  <c r="D788" i="1"/>
  <c r="AJ787" i="1" l="1"/>
  <c r="AJ788" i="1" s="1"/>
  <c r="AI788" i="1"/>
  <c r="AI787" i="1"/>
  <c r="AF786" i="1"/>
  <c r="AH786" i="1"/>
  <c r="AH787" i="1"/>
  <c r="A789" i="1"/>
  <c r="AG789" i="1"/>
  <c r="AF788" i="1"/>
  <c r="AF787" i="1"/>
  <c r="D789" i="1"/>
  <c r="A790" i="1"/>
  <c r="AG790" i="1" s="1"/>
  <c r="D790" i="1"/>
  <c r="AJ789" i="1" l="1"/>
  <c r="AJ790" i="1" s="1"/>
  <c r="AI790" i="1"/>
  <c r="AI789" i="1"/>
  <c r="AF790" i="1"/>
  <c r="AH788" i="1"/>
  <c r="AH789" i="1" s="1"/>
  <c r="AF789" i="1"/>
  <c r="A791" i="1"/>
  <c r="A792" i="1" s="1"/>
  <c r="D791" i="1"/>
  <c r="AG791" i="1"/>
  <c r="AJ791" i="1" l="1"/>
  <c r="AI792" i="1"/>
  <c r="AI791" i="1"/>
  <c r="AF791" i="1"/>
  <c r="A793" i="1"/>
  <c r="AG793" i="1"/>
  <c r="AH790" i="1"/>
  <c r="AH791" i="1"/>
  <c r="A794" i="1"/>
  <c r="D793" i="1"/>
  <c r="AH793" i="1" l="1"/>
  <c r="AJ793" i="1"/>
  <c r="AI794" i="1"/>
  <c r="A795" i="1"/>
  <c r="AG795" i="1"/>
  <c r="AF793" i="1"/>
  <c r="D795" i="1"/>
  <c r="A796" i="1"/>
  <c r="D796" i="1" s="1"/>
  <c r="AG796" i="1"/>
  <c r="AJ795" i="1" l="1"/>
  <c r="AJ796" i="1" s="1"/>
  <c r="AH795" i="1"/>
  <c r="AI796" i="1"/>
  <c r="AF796" i="1"/>
  <c r="A797" i="1"/>
  <c r="AG797" i="1"/>
  <c r="AH796" i="1"/>
  <c r="AF795" i="1"/>
  <c r="A798" i="1"/>
  <c r="AG798" i="1" s="1"/>
  <c r="D797" i="1"/>
  <c r="D798" i="1"/>
  <c r="AJ797" i="1" l="1"/>
  <c r="AJ798" i="1" s="1"/>
  <c r="AI798" i="1"/>
  <c r="AI797" i="1"/>
  <c r="AH797" i="1"/>
  <c r="A799" i="1"/>
  <c r="D799" i="1"/>
  <c r="AF798" i="1"/>
  <c r="AF797" i="1"/>
  <c r="AG799" i="1"/>
  <c r="A800" i="1"/>
  <c r="D800" i="1"/>
  <c r="AG800" i="1"/>
  <c r="AJ799" i="1" l="1"/>
  <c r="AJ800" i="1" s="1"/>
  <c r="AI800" i="1"/>
  <c r="AI799" i="1"/>
  <c r="AH798" i="1"/>
  <c r="AF800" i="1"/>
  <c r="AH799" i="1"/>
  <c r="AF799" i="1"/>
  <c r="A801" i="1"/>
  <c r="A802" i="1"/>
  <c r="D802" i="1"/>
  <c r="AG802" i="1"/>
  <c r="AH802" i="1" l="1"/>
  <c r="AJ802" i="1"/>
  <c r="AI801" i="1"/>
  <c r="AH800" i="1"/>
  <c r="AF802" i="1"/>
  <c r="A803" i="1"/>
  <c r="AG803" i="1"/>
  <c r="D803" i="1"/>
  <c r="A804" i="1"/>
  <c r="AG804" i="1"/>
  <c r="D804" i="1"/>
  <c r="AJ803" i="1" l="1"/>
  <c r="AJ804" i="1" s="1"/>
  <c r="AI804" i="1"/>
  <c r="AI803" i="1"/>
  <c r="AF803" i="1"/>
  <c r="A805" i="1"/>
  <c r="AG805" i="1"/>
  <c r="AF804" i="1"/>
  <c r="AH803" i="1"/>
  <c r="A806" i="1"/>
  <c r="D806" i="1" s="1"/>
  <c r="D805" i="1"/>
  <c r="AG806" i="1"/>
  <c r="AJ805" i="1" l="1"/>
  <c r="AJ806" i="1" s="1"/>
  <c r="AI806" i="1"/>
  <c r="AI805" i="1"/>
  <c r="AH804" i="1"/>
  <c r="AF806" i="1"/>
  <c r="AH805" i="1"/>
  <c r="AF805" i="1"/>
  <c r="A807" i="1"/>
  <c r="D807" i="1"/>
  <c r="AG807" i="1"/>
  <c r="A808" i="1"/>
  <c r="AG808" i="1"/>
  <c r="D808" i="1"/>
  <c r="AJ807" i="1" l="1"/>
  <c r="AJ808" i="1" s="1"/>
  <c r="AI808" i="1"/>
  <c r="AI807" i="1"/>
  <c r="AH806" i="1"/>
  <c r="AF808" i="1"/>
  <c r="AF807" i="1"/>
  <c r="AH807" i="1"/>
  <c r="A809" i="1"/>
  <c r="D809" i="1"/>
  <c r="AG809" i="1"/>
  <c r="A810" i="1"/>
  <c r="D810" i="1"/>
  <c r="AG810" i="1"/>
  <c r="AJ809" i="1" l="1"/>
  <c r="AJ810" i="1" s="1"/>
  <c r="AI810" i="1"/>
  <c r="AI809" i="1"/>
  <c r="AH808" i="1"/>
  <c r="AF810" i="1"/>
  <c r="AF809" i="1"/>
  <c r="AH809" i="1"/>
  <c r="A811" i="1"/>
  <c r="D811" i="1"/>
  <c r="AG811" i="1"/>
  <c r="A812" i="1"/>
  <c r="AJ811" i="1" l="1"/>
  <c r="AI812" i="1"/>
  <c r="AI811" i="1"/>
  <c r="AH810" i="1"/>
  <c r="AH811" i="1"/>
  <c r="A813" i="1"/>
  <c r="D813" i="1"/>
  <c r="AF811" i="1"/>
  <c r="A814" i="1"/>
  <c r="AG813" i="1"/>
  <c r="AJ813" i="1" l="1"/>
  <c r="AH813" i="1"/>
  <c r="AI814" i="1"/>
  <c r="A815" i="1"/>
  <c r="D815" i="1"/>
  <c r="AF813" i="1"/>
  <c r="AG815" i="1"/>
  <c r="AH815" i="1" l="1"/>
  <c r="AJ815" i="1"/>
  <c r="AF815" i="1"/>
  <c r="A816" i="1"/>
  <c r="A817" i="1"/>
  <c r="AG817" i="1"/>
  <c r="D817" i="1"/>
  <c r="AJ817" i="1" l="1"/>
  <c r="AH817" i="1"/>
  <c r="AI816" i="1"/>
  <c r="A818" i="1"/>
  <c r="D818" i="1"/>
  <c r="AF817" i="1"/>
  <c r="A819" i="1"/>
  <c r="AG818" i="1"/>
  <c r="AJ818" i="1" l="1"/>
  <c r="AI431" i="1"/>
  <c r="B431" i="1" s="1"/>
  <c r="C431" i="1" s="1"/>
  <c r="AI561" i="1"/>
  <c r="B561" i="1" s="1"/>
  <c r="C561" i="1" s="1"/>
  <c r="AI573" i="1"/>
  <c r="B573" i="1" s="1"/>
  <c r="C573" i="1" s="1"/>
  <c r="AI616" i="1"/>
  <c r="B616" i="1" s="1"/>
  <c r="C616" i="1" s="1"/>
  <c r="AI110" i="1"/>
  <c r="B110" i="1" s="1"/>
  <c r="C110" i="1" s="1"/>
  <c r="AI389" i="1"/>
  <c r="B389" i="1" s="1"/>
  <c r="C389" i="1" s="1"/>
  <c r="AI9" i="1"/>
  <c r="B9" i="1" s="1"/>
  <c r="C9" i="1" s="1"/>
  <c r="AI738" i="1"/>
  <c r="B738" i="1" s="1"/>
  <c r="C738" i="1" s="1"/>
  <c r="AI178" i="1"/>
  <c r="B178" i="1" s="1"/>
  <c r="C178" i="1" s="1"/>
  <c r="AI614" i="1"/>
  <c r="B614" i="1" s="1"/>
  <c r="C614" i="1" s="1"/>
  <c r="AI377" i="1"/>
  <c r="B377" i="1" s="1"/>
  <c r="C377" i="1" s="1"/>
  <c r="AI23" i="1"/>
  <c r="B23" i="1" s="1"/>
  <c r="C23" i="1" s="1"/>
  <c r="AI282" i="1"/>
  <c r="B282" i="1" s="1"/>
  <c r="C282" i="1" s="1"/>
  <c r="AI647" i="1"/>
  <c r="B647" i="1" s="1"/>
  <c r="C647" i="1" s="1"/>
  <c r="AI226" i="1"/>
  <c r="B226" i="1" s="1"/>
  <c r="C226" i="1" s="1"/>
  <c r="AI318" i="1"/>
  <c r="B318" i="1" s="1"/>
  <c r="C318" i="1" s="1"/>
  <c r="AI626" i="1"/>
  <c r="B626" i="1" s="1"/>
  <c r="C626" i="1" s="1"/>
  <c r="AI501" i="1"/>
  <c r="B501" i="1" s="1"/>
  <c r="C501" i="1" s="1"/>
  <c r="AI607" i="1"/>
  <c r="B607" i="1" s="1"/>
  <c r="C607" i="1" s="1"/>
  <c r="AI632" i="1"/>
  <c r="B632" i="1" s="1"/>
  <c r="C632" i="1" s="1"/>
  <c r="AI133" i="1"/>
  <c r="B133" i="1" s="1"/>
  <c r="C133" i="1" s="1"/>
  <c r="AI782" i="1"/>
  <c r="B782" i="1" s="1"/>
  <c r="C782" i="1" s="1"/>
  <c r="AI591" i="1"/>
  <c r="B591" i="1" s="1"/>
  <c r="C591" i="1" s="1"/>
  <c r="AI630" i="1"/>
  <c r="B630" i="1" s="1"/>
  <c r="C630" i="1" s="1"/>
  <c r="AI372" i="1"/>
  <c r="B372" i="1" s="1"/>
  <c r="C372" i="1" s="1"/>
  <c r="AI691" i="1"/>
  <c r="B691" i="1" s="1"/>
  <c r="C691" i="1" s="1"/>
  <c r="AI42" i="1"/>
  <c r="B42" i="1" s="1"/>
  <c r="C42" i="1" s="1"/>
  <c r="AI441" i="1"/>
  <c r="B441" i="1" s="1"/>
  <c r="C441" i="1" s="1"/>
  <c r="AI332" i="1"/>
  <c r="B332" i="1" s="1"/>
  <c r="C332" i="1" s="1"/>
  <c r="AI97" i="1"/>
  <c r="B97" i="1" s="1"/>
  <c r="C97" i="1" s="1"/>
  <c r="AI523" i="1"/>
  <c r="B523" i="1" s="1"/>
  <c r="C523" i="1" s="1"/>
  <c r="AI618" i="1"/>
  <c r="B618" i="1" s="1"/>
  <c r="C618" i="1" s="1"/>
  <c r="AI5" i="1"/>
  <c r="B5" i="1" s="1"/>
  <c r="C5" i="1" s="1"/>
  <c r="AI446" i="1"/>
  <c r="B446" i="1" s="1"/>
  <c r="C446" i="1" s="1"/>
  <c r="AI131" i="1"/>
  <c r="B131" i="1" s="1"/>
  <c r="C131" i="1" s="1"/>
  <c r="AI514" i="1"/>
  <c r="B514" i="1" s="1"/>
  <c r="C514" i="1" s="1"/>
  <c r="AI320" i="1"/>
  <c r="B320" i="1" s="1"/>
  <c r="C320" i="1" s="1"/>
  <c r="AI270" i="1"/>
  <c r="B270" i="1" s="1"/>
  <c r="C270" i="1" s="1"/>
  <c r="AI66" i="1"/>
  <c r="B66" i="1" s="1"/>
  <c r="C66" i="1" s="1"/>
  <c r="AI545" i="1"/>
  <c r="B545" i="1" s="1"/>
  <c r="C545" i="1" s="1"/>
  <c r="AI108" i="1"/>
  <c r="B108" i="1" s="1"/>
  <c r="C108" i="1" s="1"/>
  <c r="AI704" i="1"/>
  <c r="B704" i="1" s="1"/>
  <c r="C704" i="1" s="1"/>
  <c r="AI736" i="1"/>
  <c r="B736" i="1" s="1"/>
  <c r="C736" i="1" s="1"/>
  <c r="AI149" i="1"/>
  <c r="B149" i="1" s="1"/>
  <c r="C149" i="1" s="1"/>
  <c r="AI64" i="1"/>
  <c r="B64" i="1" s="1"/>
  <c r="C64" i="1" s="1"/>
  <c r="AI641" i="1"/>
  <c r="B641" i="1" s="1"/>
  <c r="C641" i="1" s="1"/>
  <c r="AI315" i="1"/>
  <c r="B315" i="1" s="1"/>
  <c r="C315" i="1" s="1"/>
  <c r="AI311" i="1"/>
  <c r="B311" i="1" s="1"/>
  <c r="C311" i="1" s="1"/>
  <c r="AI210" i="1"/>
  <c r="B210" i="1" s="1"/>
  <c r="C210" i="1" s="1"/>
  <c r="AI622" i="1"/>
  <c r="B622" i="1" s="1"/>
  <c r="C622" i="1" s="1"/>
  <c r="AI595" i="1"/>
  <c r="B595" i="1" s="1"/>
  <c r="C595" i="1" s="1"/>
  <c r="AI21" i="1"/>
  <c r="B21" i="1" s="1"/>
  <c r="AI509" i="1"/>
  <c r="B509" i="1" s="1"/>
  <c r="C509" i="1" s="1"/>
  <c r="AI286" i="1"/>
  <c r="B286" i="1" s="1"/>
  <c r="C286" i="1" s="1"/>
  <c r="AI234" i="1"/>
  <c r="B234" i="1" s="1"/>
  <c r="C234" i="1" s="1"/>
  <c r="AI123" i="1"/>
  <c r="B123" i="1" s="1"/>
  <c r="C123" i="1" s="1"/>
  <c r="AI708" i="1"/>
  <c r="B708" i="1" s="1"/>
  <c r="C708" i="1" s="1"/>
  <c r="AI135" i="1"/>
  <c r="B135" i="1" s="1"/>
  <c r="C135" i="1" s="1"/>
  <c r="AI367" i="1"/>
  <c r="B367" i="1" s="1"/>
  <c r="C367" i="1" s="1"/>
  <c r="AI309" i="1"/>
  <c r="B309" i="1" s="1"/>
  <c r="C309" i="1" s="1"/>
  <c r="AI29" i="1"/>
  <c r="B29" i="1" s="1"/>
  <c r="C29" i="1" s="1"/>
  <c r="AI126" i="1"/>
  <c r="B126" i="1" s="1"/>
  <c r="C126" i="1" s="1"/>
  <c r="AI467" i="1"/>
  <c r="B467" i="1" s="1"/>
  <c r="C467" i="1" s="1"/>
  <c r="AI683" i="1"/>
  <c r="B683" i="1" s="1"/>
  <c r="C683" i="1" s="1"/>
  <c r="AI158" i="1"/>
  <c r="B158" i="1" s="1"/>
  <c r="C158" i="1" s="1"/>
  <c r="AI554" i="1"/>
  <c r="B554" i="1" s="1"/>
  <c r="C554" i="1" s="1"/>
  <c r="AI93" i="1"/>
  <c r="B93" i="1" s="1"/>
  <c r="C93" i="1" s="1"/>
  <c r="AI356" i="1"/>
  <c r="B356" i="1" s="1"/>
  <c r="C356" i="1" s="1"/>
  <c r="AI171" i="1"/>
  <c r="B171" i="1" s="1"/>
  <c r="C171" i="1" s="1"/>
  <c r="AI746" i="1"/>
  <c r="B746" i="1" s="1"/>
  <c r="C746" i="1" s="1"/>
  <c r="AI677" i="1"/>
  <c r="B677" i="1" s="1"/>
  <c r="C677" i="1" s="1"/>
  <c r="AI526" i="1"/>
  <c r="B526" i="1" s="1"/>
  <c r="C526" i="1" s="1"/>
  <c r="E2" i="2"/>
  <c r="AI602" i="1"/>
  <c r="B602" i="1" s="1"/>
  <c r="C602" i="1" s="1"/>
  <c r="AI721" i="1"/>
  <c r="B721" i="1" s="1"/>
  <c r="C721" i="1" s="1"/>
  <c r="AI103" i="1"/>
  <c r="B103" i="1" s="1"/>
  <c r="C103" i="1" s="1"/>
  <c r="AI259" i="1"/>
  <c r="B259" i="1" s="1"/>
  <c r="C259" i="1" s="1"/>
  <c r="AI815" i="1"/>
  <c r="B815" i="1" s="1"/>
  <c r="C815" i="1" s="1"/>
  <c r="AI304" i="1"/>
  <c r="B304" i="1" s="1"/>
  <c r="C304" i="1" s="1"/>
  <c r="AI382" i="1"/>
  <c r="B382" i="1" s="1"/>
  <c r="C382" i="1" s="1"/>
  <c r="AI87" i="1"/>
  <c r="B87" i="1" s="1"/>
  <c r="C87" i="1" s="1"/>
  <c r="AI449" i="1"/>
  <c r="B449" i="1" s="1"/>
  <c r="C449" i="1" s="1"/>
  <c r="AI536" i="1"/>
  <c r="B536" i="1" s="1"/>
  <c r="C536" i="1" s="1"/>
  <c r="AI654" i="1"/>
  <c r="B654" i="1" s="1"/>
  <c r="C654" i="1" s="1"/>
  <c r="AI99" i="1"/>
  <c r="B99" i="1" s="1"/>
  <c r="C99" i="1" s="1"/>
  <c r="AI773" i="1"/>
  <c r="B773" i="1" s="1"/>
  <c r="C773" i="1" s="1"/>
  <c r="AI307" i="1"/>
  <c r="B307" i="1" s="1"/>
  <c r="C307" i="1" s="1"/>
  <c r="AI585" i="1"/>
  <c r="B585" i="1" s="1"/>
  <c r="C585" i="1" s="1"/>
  <c r="AI470" i="1"/>
  <c r="B470" i="1" s="1"/>
  <c r="C470" i="1" s="1"/>
  <c r="AI624" i="1"/>
  <c r="B624" i="1" s="1"/>
  <c r="C624" i="1" s="1"/>
  <c r="AI793" i="1"/>
  <c r="B793" i="1" s="1"/>
  <c r="C793" i="1" s="1"/>
  <c r="AI239" i="1"/>
  <c r="B239" i="1" s="1"/>
  <c r="C239" i="1" s="1"/>
  <c r="AI313" i="1"/>
  <c r="B313" i="1" s="1"/>
  <c r="C313" i="1" s="1"/>
  <c r="AI144" i="1"/>
  <c r="B144" i="1" s="1"/>
  <c r="C144" i="1" s="1"/>
  <c r="AI564" i="1"/>
  <c r="B564" i="1" s="1"/>
  <c r="C564" i="1" s="1"/>
  <c r="AI539" i="1"/>
  <c r="B539" i="1" s="1"/>
  <c r="C539" i="1" s="1"/>
  <c r="AI7" i="1"/>
  <c r="B7" i="1" s="1"/>
  <c r="C7" i="1" s="1"/>
  <c r="AI199" i="1"/>
  <c r="B199" i="1" s="1"/>
  <c r="C199" i="1" s="1"/>
  <c r="AI250" i="1"/>
  <c r="B250" i="1" s="1"/>
  <c r="C250" i="1" s="1"/>
  <c r="AI169" i="1"/>
  <c r="B169" i="1" s="1"/>
  <c r="C169" i="1" s="1"/>
  <c r="AI90" i="1"/>
  <c r="B90" i="1" s="1"/>
  <c r="C90" i="1" s="1"/>
  <c r="AI728" i="1"/>
  <c r="B728" i="1" s="1"/>
  <c r="C728" i="1" s="1"/>
  <c r="AI54" i="1"/>
  <c r="B54" i="1" s="1"/>
  <c r="C54" i="1" s="1"/>
  <c r="AI472" i="1"/>
  <c r="B472" i="1" s="1"/>
  <c r="C472" i="1" s="1"/>
  <c r="AI370" i="1"/>
  <c r="B370" i="1" s="1"/>
  <c r="C370" i="1" s="1"/>
  <c r="AI771" i="1"/>
  <c r="B771" i="1" s="1"/>
  <c r="C771" i="1" s="1"/>
  <c r="L2" i="2"/>
  <c r="AI543" i="1"/>
  <c r="B543" i="1" s="1"/>
  <c r="C543" i="1" s="1"/>
  <c r="AI610" i="1"/>
  <c r="B610" i="1" s="1"/>
  <c r="C610" i="1" s="1"/>
  <c r="AI113" i="1"/>
  <c r="B113" i="1" s="1"/>
  <c r="C113" i="1" s="1"/>
  <c r="AI484" i="1"/>
  <c r="B484" i="1" s="1"/>
  <c r="C484" i="1" s="1"/>
  <c r="AI137" i="1"/>
  <c r="B137" i="1" s="1"/>
  <c r="C137" i="1" s="1"/>
  <c r="AI384" i="1"/>
  <c r="B384" i="1" s="1"/>
  <c r="C384" i="1" s="1"/>
  <c r="AI528" i="1"/>
  <c r="B528" i="1" s="1"/>
  <c r="C528" i="1" s="1"/>
  <c r="AI189" i="1"/>
  <c r="B189" i="1" s="1"/>
  <c r="C189" i="1" s="1"/>
  <c r="AI495" i="1"/>
  <c r="B495" i="1" s="1"/>
  <c r="C495" i="1" s="1"/>
  <c r="AI697" i="1"/>
  <c r="B697" i="1" s="1"/>
  <c r="C697" i="1" s="1"/>
  <c r="AI294" i="1"/>
  <c r="B294" i="1" s="1"/>
  <c r="C294" i="1" s="1"/>
  <c r="AI214" i="1"/>
  <c r="B214" i="1" s="1"/>
  <c r="C214" i="1" s="1"/>
  <c r="AI105" i="1"/>
  <c r="B105" i="1" s="1"/>
  <c r="C105" i="1" s="1"/>
  <c r="AI165" i="1"/>
  <c r="B165" i="1" s="1"/>
  <c r="C165" i="1" s="1"/>
  <c r="AI795" i="1"/>
  <c r="B795" i="1" s="1"/>
  <c r="C795" i="1" s="1"/>
  <c r="K2" i="2"/>
  <c r="M2" i="2" s="1"/>
  <c r="I3" i="11" s="1"/>
  <c r="AI713" i="1"/>
  <c r="B713" i="1" s="1"/>
  <c r="C713" i="1" s="1"/>
  <c r="AI342" i="1"/>
  <c r="B342" i="1" s="1"/>
  <c r="C342" i="1" s="1"/>
  <c r="AI532" i="1"/>
  <c r="B532" i="1" s="1"/>
  <c r="C532" i="1" s="1"/>
  <c r="AI425" i="1"/>
  <c r="B425" i="1" s="1"/>
  <c r="C425" i="1" s="1"/>
  <c r="AI433" i="1"/>
  <c r="B433" i="1" s="1"/>
  <c r="C433" i="1" s="1"/>
  <c r="AI101" i="1"/>
  <c r="B101" i="1" s="1"/>
  <c r="C101" i="1" s="1"/>
  <c r="AI19" i="1"/>
  <c r="B19" i="1" s="1"/>
  <c r="C19" i="1" s="1"/>
  <c r="AI142" i="1"/>
  <c r="B142" i="1" s="1"/>
  <c r="C142" i="1" s="1"/>
  <c r="AI436" i="1"/>
  <c r="B436" i="1" s="1"/>
  <c r="C436" i="1" s="1"/>
  <c r="AI70" i="1"/>
  <c r="B70" i="1" s="1"/>
  <c r="C70" i="1" s="1"/>
  <c r="AI407" i="1"/>
  <c r="B407" i="1" s="1"/>
  <c r="C407" i="1" s="1"/>
  <c r="AI605" i="1"/>
  <c r="B605" i="1" s="1"/>
  <c r="C605" i="1" s="1"/>
  <c r="AI167" i="1"/>
  <c r="B167" i="1" s="1"/>
  <c r="C167" i="1" s="1"/>
  <c r="AI666" i="1"/>
  <c r="B666" i="1" s="1"/>
  <c r="C666" i="1" s="1"/>
  <c r="AI724" i="1"/>
  <c r="B724" i="1" s="1"/>
  <c r="C724" i="1" s="1"/>
  <c r="AI51" i="1"/>
  <c r="B51" i="1" s="1"/>
  <c r="C51" i="1" s="1"/>
  <c r="AI716" i="1"/>
  <c r="B716" i="1" s="1"/>
  <c r="C716" i="1" s="1"/>
  <c r="AI802" i="1"/>
  <c r="B802" i="1" s="1"/>
  <c r="C802" i="1" s="1"/>
  <c r="AI752" i="1"/>
  <c r="B752" i="1" s="1"/>
  <c r="C752" i="1" s="1"/>
  <c r="AI756" i="1"/>
  <c r="B756" i="1" s="1"/>
  <c r="C756" i="1" s="1"/>
  <c r="AI706" i="1"/>
  <c r="B706" i="1" s="1"/>
  <c r="C706" i="1" s="1"/>
  <c r="AI711" i="1"/>
  <c r="B711" i="1" s="1"/>
  <c r="C711" i="1" s="1"/>
  <c r="AI31" i="1"/>
  <c r="B31" i="1" s="1"/>
  <c r="C31" i="1" s="1"/>
  <c r="AI599" i="1"/>
  <c r="B599" i="1" s="1"/>
  <c r="C599" i="1" s="1"/>
  <c r="AI3" i="1"/>
  <c r="B3" i="1" s="1"/>
  <c r="C3" i="1" s="1"/>
  <c r="AI224" i="1"/>
  <c r="B224" i="1" s="1"/>
  <c r="C224" i="1" s="1"/>
  <c r="AI460" i="1"/>
  <c r="B460" i="1" s="1"/>
  <c r="C460" i="1" s="1"/>
  <c r="AI163" i="1"/>
  <c r="B163" i="1" s="1"/>
  <c r="C163" i="1" s="1"/>
  <c r="AI428" i="1"/>
  <c r="B428" i="1" s="1"/>
  <c r="C428" i="1" s="1"/>
  <c r="AI530" i="1"/>
  <c r="B530" i="1" s="1"/>
  <c r="C530" i="1" s="1"/>
  <c r="AI354" i="1"/>
  <c r="B354" i="1" s="1"/>
  <c r="C354" i="1" s="1"/>
  <c r="AI464" i="1"/>
  <c r="B464" i="1" s="1"/>
  <c r="C464" i="1" s="1"/>
  <c r="AI775" i="1"/>
  <c r="B775" i="1" s="1"/>
  <c r="C775" i="1" s="1"/>
  <c r="AI742" i="1"/>
  <c r="B742" i="1" s="1"/>
  <c r="C742" i="1" s="1"/>
  <c r="AI813" i="1"/>
  <c r="B813" i="1" s="1"/>
  <c r="C813" i="1" s="1"/>
  <c r="AI817" i="1"/>
  <c r="B817" i="1" s="1"/>
  <c r="C817" i="1" s="1"/>
  <c r="C21" i="1"/>
  <c r="AI819" i="1"/>
  <c r="AI818" i="1"/>
  <c r="AB817" i="1"/>
  <c r="AC799" i="1"/>
  <c r="AB797" i="1"/>
  <c r="AC795" i="1"/>
  <c r="AC793" i="1"/>
  <c r="AC180" i="1"/>
  <c r="AB431" i="1"/>
  <c r="AB717" i="1"/>
  <c r="AB202" i="1"/>
  <c r="AB457" i="1"/>
  <c r="AB677" i="1"/>
  <c r="AC181" i="1"/>
  <c r="AB27" i="1"/>
  <c r="AB786" i="1"/>
  <c r="AC387" i="1"/>
  <c r="AB587" i="1"/>
  <c r="AB409" i="1"/>
  <c r="AC68" i="1"/>
  <c r="AC573" i="1"/>
  <c r="AB284" i="1"/>
  <c r="AB453" i="1"/>
  <c r="AC504" i="1"/>
  <c r="AC611" i="1"/>
  <c r="AC24" i="1"/>
  <c r="AC651" i="1"/>
  <c r="AB135" i="1"/>
  <c r="AB232" i="1"/>
  <c r="AB52" i="1"/>
  <c r="AC485" i="1"/>
  <c r="AB43" i="1"/>
  <c r="AB486" i="1"/>
  <c r="AC484" i="1"/>
  <c r="AC426" i="1"/>
  <c r="AB172" i="1"/>
  <c r="AC116" i="1"/>
  <c r="AC589" i="1"/>
  <c r="AC152" i="1"/>
  <c r="AC251" i="1"/>
  <c r="AC379" i="1"/>
  <c r="AB196" i="1"/>
  <c r="AB85" i="1"/>
  <c r="AB661" i="1"/>
  <c r="AB361" i="1"/>
  <c r="AC345" i="1"/>
  <c r="AC176" i="1"/>
  <c r="AB405" i="1"/>
  <c r="AB279" i="1"/>
  <c r="AB74" i="1"/>
  <c r="AB444" i="1"/>
  <c r="AB709" i="1"/>
  <c r="AC638" i="1"/>
  <c r="AC276" i="1"/>
  <c r="AC450" i="1"/>
  <c r="AC476" i="1"/>
  <c r="AC652" i="1"/>
  <c r="AC253" i="1"/>
  <c r="AB305" i="1"/>
  <c r="AC75" i="1"/>
  <c r="AB88" i="1"/>
  <c r="AB695" i="1"/>
  <c r="AB675" i="1"/>
  <c r="AC667" i="1"/>
  <c r="AC259" i="1"/>
  <c r="AC391" i="1"/>
  <c r="AC254" i="1"/>
  <c r="AB235" i="1"/>
  <c r="AC404" i="1"/>
  <c r="AC106" i="1"/>
  <c r="AB429" i="1"/>
  <c r="AB160" i="1"/>
  <c r="AC268" i="1"/>
  <c r="AC444" i="1"/>
  <c r="AC260" i="1"/>
  <c r="AC595" i="1"/>
  <c r="AC539" i="1"/>
  <c r="AB533" i="1"/>
  <c r="AC599" i="1"/>
  <c r="AB498" i="1"/>
  <c r="AC147" i="1"/>
  <c r="AC425" i="1"/>
  <c r="AB784" i="1"/>
  <c r="AB678" i="1"/>
  <c r="AB487" i="1"/>
  <c r="AB320" i="1"/>
  <c r="AC265" i="1"/>
  <c r="AC649" i="1"/>
  <c r="AB485" i="1"/>
  <c r="AB622" i="1"/>
  <c r="AC498" i="1"/>
  <c r="AC354" i="1"/>
  <c r="AC3" i="1"/>
  <c r="AC619" i="1"/>
  <c r="AC240" i="1"/>
  <c r="AC461" i="1"/>
  <c r="AC219" i="1"/>
  <c r="AB404" i="1"/>
  <c r="AB239" i="1"/>
  <c r="AB442" i="1"/>
  <c r="AB36" i="1"/>
  <c r="AB68" i="1"/>
  <c r="AB243" i="1"/>
  <c r="AB545" i="1"/>
  <c r="AB364" i="1"/>
  <c r="AB761" i="1"/>
  <c r="AC512" i="1"/>
  <c r="AB91" i="1"/>
  <c r="AB21" i="1"/>
  <c r="AC780" i="1"/>
  <c r="AB746" i="1"/>
  <c r="AB187" i="1"/>
  <c r="AC161" i="1"/>
  <c r="AB734" i="1"/>
  <c r="AC19" i="1"/>
  <c r="AC523" i="1"/>
  <c r="AC679" i="1"/>
  <c r="AC771" i="1"/>
  <c r="AC266" i="1"/>
  <c r="AB23" i="1"/>
  <c r="AB34" i="1"/>
  <c r="AC118" i="1"/>
  <c r="AB224" i="1"/>
  <c r="AB547" i="1"/>
  <c r="AB478" i="1"/>
  <c r="AB509" i="1"/>
  <c r="AC339" i="1"/>
  <c r="AC335" i="1"/>
  <c r="AB684" i="1"/>
  <c r="AC207" i="1"/>
  <c r="AC120" i="1"/>
  <c r="AC316" i="1"/>
  <c r="AC84" i="1"/>
  <c r="AC632" i="1"/>
  <c r="AB699" i="1"/>
  <c r="AC656" i="1"/>
  <c r="AC262" i="1"/>
  <c r="AC635" i="1"/>
  <c r="AC142" i="1"/>
  <c r="AB292" i="1"/>
  <c r="AB663" i="1"/>
  <c r="AC657" i="1"/>
  <c r="AC226" i="1"/>
  <c r="AB340" i="1"/>
  <c r="AC764" i="1"/>
  <c r="AB559" i="1"/>
  <c r="AC272" i="1"/>
  <c r="AC518" i="1"/>
  <c r="AB779" i="1"/>
  <c r="AB742" i="1"/>
  <c r="AC156" i="1"/>
  <c r="AC489" i="1"/>
  <c r="AC725" i="1"/>
  <c r="AC740" i="1"/>
  <c r="AC171" i="1"/>
  <c r="AB526" i="1"/>
  <c r="AB768" i="1"/>
  <c r="AC769" i="1"/>
  <c r="AC661" i="1"/>
  <c r="AC685" i="1"/>
  <c r="AB528" i="1"/>
  <c r="AB537" i="1"/>
  <c r="AC412" i="1"/>
  <c r="AB681" i="1"/>
  <c r="AB286" i="1"/>
  <c r="AC396" i="1"/>
  <c r="AB549" i="1"/>
  <c r="AB111" i="1"/>
  <c r="AC88" i="1"/>
  <c r="AC714" i="1"/>
  <c r="AC817" i="1"/>
  <c r="AB799" i="1"/>
  <c r="AC797" i="1"/>
  <c r="AB795" i="1"/>
  <c r="AB793" i="1"/>
  <c r="AC13" i="1"/>
  <c r="AC446" i="1"/>
  <c r="AB738" i="1"/>
  <c r="AC548" i="1"/>
  <c r="AB399" i="1"/>
  <c r="AC44" i="1"/>
  <c r="AB600" i="1"/>
  <c r="AC612" i="1"/>
  <c r="AB673" i="1"/>
  <c r="AB116" i="1"/>
  <c r="AB121" i="1"/>
  <c r="AB128" i="1"/>
  <c r="AC677" i="1"/>
  <c r="AC627" i="1"/>
  <c r="AB354" i="1"/>
  <c r="AC158" i="1"/>
  <c r="AC57" i="1"/>
  <c r="AB414" i="1"/>
  <c r="AC91" i="1"/>
  <c r="AC555" i="1"/>
  <c r="AC688" i="1"/>
  <c r="AB507" i="1"/>
  <c r="AC27" i="1"/>
  <c r="AB33" i="1"/>
  <c r="AC131" i="1"/>
  <c r="AB588" i="1"/>
  <c r="AC83" i="1"/>
  <c r="AB664" i="1"/>
  <c r="AC235" i="1"/>
  <c r="AB268" i="1"/>
  <c r="AB289" i="1"/>
  <c r="AB612" i="1"/>
  <c r="AC62" i="1"/>
  <c r="AC784" i="1"/>
  <c r="AC85" i="1"/>
  <c r="AB248" i="1"/>
  <c r="AB318" i="1"/>
  <c r="AB216" i="1"/>
  <c r="AB60" i="1"/>
  <c r="AB251" i="1"/>
  <c r="AB656" i="1"/>
  <c r="AB790" i="1"/>
  <c r="AC70" i="1"/>
  <c r="AB659" i="1"/>
  <c r="AB80" i="1"/>
  <c r="AC384" i="1"/>
  <c r="AB256" i="1"/>
  <c r="AC199" i="1"/>
  <c r="AC693" i="1"/>
  <c r="AB271" i="1"/>
  <c r="AB639" i="1"/>
  <c r="AB161" i="1"/>
  <c r="AC423" i="1"/>
  <c r="AC650" i="1"/>
  <c r="AC37" i="1"/>
  <c r="AB602" i="1"/>
  <c r="AC520" i="1"/>
  <c r="AC297" i="1"/>
  <c r="AB390" i="1"/>
  <c r="AC586" i="1"/>
  <c r="AB241" i="1"/>
  <c r="AC648" i="1"/>
  <c r="AB689" i="1"/>
  <c r="AB218" i="1"/>
  <c r="AB633" i="1"/>
  <c r="AB506" i="1"/>
  <c r="AC431" i="1"/>
  <c r="AC394" i="1"/>
  <c r="AB515" i="1"/>
  <c r="AB106" i="1"/>
  <c r="AB561" i="1"/>
  <c r="AC497" i="1"/>
  <c r="AB416" i="1"/>
  <c r="AB574" i="1"/>
  <c r="AC350" i="1"/>
  <c r="AC80" i="1"/>
  <c r="AC526" i="1"/>
  <c r="AC284" i="1"/>
  <c r="AC499" i="1"/>
  <c r="AC231" i="1"/>
  <c r="AB488" i="1"/>
  <c r="AB245" i="1"/>
  <c r="AC208" i="1"/>
  <c r="AB192" i="1"/>
  <c r="AB299" i="1"/>
  <c r="AB479" i="1"/>
  <c r="AB582" i="1"/>
  <c r="AB346" i="1"/>
  <c r="AC229" i="1"/>
  <c r="AB275" i="1"/>
  <c r="AB394" i="1"/>
  <c r="AC438" i="1"/>
  <c r="AB373" i="1"/>
  <c r="AB326" i="1"/>
  <c r="AC237" i="1"/>
  <c r="AC340" i="1"/>
  <c r="AB632" i="1"/>
  <c r="AC759" i="1"/>
  <c r="AB756" i="1"/>
  <c r="AC59" i="1"/>
  <c r="AC487" i="1"/>
  <c r="AB401" i="1"/>
  <c r="AC724" i="1"/>
  <c r="AB750" i="1"/>
  <c r="AC509" i="1"/>
  <c r="AC713" i="1"/>
  <c r="AC734" i="1"/>
  <c r="AB167" i="1"/>
  <c r="AC580" i="1"/>
  <c r="AB191" i="1"/>
  <c r="AB778" i="1"/>
  <c r="AB345" i="1"/>
  <c r="AB481" i="1"/>
  <c r="AB178" i="1"/>
  <c r="AB516" i="1"/>
  <c r="AC291" i="1"/>
  <c r="AC250" i="1"/>
  <c r="AB438" i="1"/>
  <c r="AC434" i="1"/>
  <c r="AC309" i="1"/>
  <c r="AC562" i="1"/>
  <c r="AB392" i="1"/>
  <c r="AC344" i="1"/>
  <c r="AB335" i="1"/>
  <c r="AC468" i="1"/>
  <c r="AC496" i="1"/>
  <c r="AC409" i="1"/>
  <c r="AC706" i="1"/>
  <c r="AC393" i="1"/>
  <c r="AC206" i="1"/>
  <c r="AB422" i="1"/>
  <c r="AB276" i="1"/>
  <c r="AB66" i="1"/>
  <c r="AB154" i="1"/>
  <c r="AC175" i="1"/>
  <c r="AC311" i="1"/>
  <c r="AC373" i="1"/>
  <c r="AC761" i="1"/>
  <c r="AC330" i="1"/>
  <c r="AC566" i="1"/>
  <c r="AB57" i="1"/>
  <c r="AC516" i="1"/>
  <c r="AC746" i="1"/>
  <c r="AB575" i="1"/>
  <c r="AC708" i="1"/>
  <c r="AC729" i="1"/>
  <c r="AC9" i="1"/>
  <c r="AB101" i="1"/>
  <c r="AB698" i="1"/>
  <c r="AB771" i="1"/>
  <c r="AB423" i="1"/>
  <c r="AB452" i="1"/>
  <c r="AB13" i="1"/>
  <c r="AC359" i="1"/>
  <c r="AB658" i="1"/>
  <c r="AB567" i="1"/>
  <c r="AB365" i="1"/>
  <c r="AC456" i="1"/>
  <c r="AB270" i="1"/>
  <c r="AC791" i="1"/>
  <c r="AB417" i="1"/>
  <c r="AB458" i="1"/>
  <c r="AB679" i="1"/>
  <c r="AB159" i="1"/>
  <c r="AC43" i="1"/>
  <c r="AC16" i="1"/>
  <c r="AB627" i="1"/>
  <c r="AB215" i="1"/>
  <c r="AC40" i="1"/>
  <c r="AB517" i="1"/>
  <c r="AC224" i="1"/>
  <c r="AC301" i="1"/>
  <c r="AB637" i="1"/>
  <c r="AB344" i="1"/>
  <c r="AB64" i="1"/>
  <c r="AB40" i="1"/>
  <c r="AB465" i="1"/>
  <c r="AC216" i="1"/>
  <c r="AB288" i="1"/>
  <c r="AC290" i="1"/>
  <c r="AB76" i="1"/>
  <c r="AC674" i="1"/>
  <c r="AB304" i="1"/>
  <c r="AC72" i="1"/>
  <c r="AB562" i="1"/>
  <c r="AC414" i="1"/>
  <c r="AB425" i="1"/>
  <c r="AC490" i="1"/>
  <c r="AB49" i="1"/>
  <c r="AB693" i="1"/>
  <c r="AC352" i="1"/>
  <c r="AB264" i="1"/>
  <c r="AC113" i="1"/>
  <c r="AB173" i="1"/>
  <c r="AB337" i="1"/>
  <c r="AB474" i="1"/>
  <c r="AC452" i="1"/>
  <c r="AC33" i="1"/>
  <c r="AC155" i="1"/>
  <c r="AB552" i="1"/>
  <c r="AC670" i="1"/>
  <c r="AC313" i="1"/>
  <c r="AB543" i="1"/>
  <c r="AB150" i="1"/>
  <c r="AC717" i="1"/>
  <c r="AC378" i="1"/>
  <c r="AC302" i="1"/>
  <c r="AC695" i="1"/>
  <c r="AC32" i="1"/>
  <c r="AC31" i="1"/>
  <c r="AC785" i="1"/>
  <c r="AC289" i="1"/>
  <c r="AB410" i="1"/>
  <c r="AC124" i="1"/>
  <c r="AC370" i="1"/>
  <c r="AC587" i="1"/>
  <c r="AB660" i="1"/>
  <c r="AC630" i="1"/>
  <c r="AB200" i="1"/>
  <c r="AB203" i="1"/>
  <c r="AC60" i="1"/>
  <c r="AB618" i="1"/>
  <c r="AC222" i="1"/>
  <c r="AB240" i="1"/>
  <c r="AC218" i="1"/>
  <c r="AC326" i="1"/>
  <c r="AB649" i="1"/>
  <c r="AB610" i="1"/>
  <c r="AB387" i="1"/>
  <c r="AC38" i="1"/>
  <c r="AC246" i="1"/>
  <c r="AB436" i="1"/>
  <c r="AC647" i="1"/>
  <c r="AC343" i="1"/>
  <c r="AC429" i="1"/>
  <c r="AC372" i="1"/>
  <c r="AB44" i="1"/>
  <c r="AC413" i="1"/>
  <c r="AC528" i="1"/>
  <c r="AB338" i="1"/>
  <c r="AB511" i="1"/>
  <c r="AC66" i="1"/>
  <c r="AC398" i="1"/>
  <c r="AB46" i="1"/>
  <c r="AB518" i="1"/>
  <c r="AC103" i="1"/>
  <c r="AB489" i="1"/>
  <c r="AB67" i="1"/>
  <c r="AC73" i="1"/>
  <c r="AB482" i="1"/>
  <c r="AB530" i="1"/>
  <c r="AB462" i="1"/>
  <c r="AC506" i="1"/>
  <c r="AB477" i="1"/>
  <c r="AB349" i="1"/>
  <c r="AB536" i="1"/>
  <c r="AC664" i="1"/>
  <c r="AB694" i="1"/>
  <c r="AB763" i="1"/>
  <c r="AC336" i="1"/>
  <c r="AC190" i="1"/>
  <c r="AC39" i="1"/>
  <c r="AB541" i="1"/>
  <c r="AB739" i="1"/>
  <c r="AB747" i="1"/>
  <c r="AB142" i="1"/>
  <c r="AB722" i="1"/>
  <c r="AB732" i="1"/>
  <c r="AC385" i="1"/>
  <c r="AB577" i="1"/>
  <c r="AC765" i="1"/>
  <c r="AB773" i="1"/>
  <c r="AC200" i="1"/>
  <c r="AB195" i="1"/>
  <c r="AB12" i="1"/>
  <c r="AB114" i="1"/>
  <c r="AC697" i="1"/>
  <c r="AB51" i="1"/>
  <c r="AB708" i="1"/>
  <c r="AC488" i="1"/>
  <c r="AB362" i="1"/>
  <c r="AB624" i="1"/>
  <c r="AC474" i="1"/>
  <c r="AC421" i="1"/>
  <c r="AB433" i="1"/>
  <c r="AB5" i="1"/>
  <c r="AC144" i="1"/>
  <c r="AB222" i="1"/>
  <c r="AC390" i="1"/>
  <c r="AB576" i="1"/>
  <c r="AB523" i="1"/>
  <c r="AC678" i="1"/>
  <c r="AC503" i="1"/>
  <c r="AB674" i="1"/>
  <c r="AB384" i="1"/>
  <c r="AC671" i="1"/>
  <c r="AC558" i="1"/>
  <c r="AB759" i="1"/>
  <c r="AB753" i="1"/>
  <c r="AC775" i="1"/>
  <c r="AC363" i="1"/>
  <c r="AB597" i="1"/>
  <c r="AB315" i="1"/>
  <c r="AC263" i="1"/>
  <c r="AC806" i="1"/>
  <c r="AB810" i="1"/>
  <c r="AC193" i="1"/>
  <c r="AB71" i="1"/>
  <c r="AB379" i="1"/>
  <c r="AB521" i="1"/>
  <c r="AB785" i="1"/>
  <c r="AC121" i="1"/>
  <c r="AB316" i="1"/>
  <c r="AB578" i="1"/>
  <c r="AB568" i="1"/>
  <c r="AB396" i="1"/>
  <c r="AC21" i="1"/>
  <c r="AC565" i="1"/>
  <c r="AC101" i="1"/>
  <c r="AC105" i="1"/>
  <c r="AB570" i="1"/>
  <c r="AC348" i="1"/>
  <c r="AB586" i="1"/>
  <c r="AC108" i="1"/>
  <c r="AB460" i="1"/>
  <c r="AB129" i="1"/>
  <c r="AB123" i="1"/>
  <c r="AB145" i="1"/>
  <c r="AC214" i="1"/>
  <c r="AC663" i="1"/>
  <c r="AC405" i="1"/>
  <c r="AC577" i="1"/>
  <c r="AC418" i="1"/>
  <c r="AC99" i="1"/>
  <c r="AC137" i="1"/>
  <c r="AB10" i="1"/>
  <c r="AB605" i="1"/>
  <c r="AB55" i="1"/>
  <c r="AB372" i="1"/>
  <c r="AC327" i="1"/>
  <c r="AB25" i="1"/>
  <c r="AC443" i="1"/>
  <c r="AB461" i="1"/>
  <c r="AB571" i="1"/>
  <c r="AC261" i="1"/>
  <c r="AC203" i="1"/>
  <c r="AC738" i="1"/>
  <c r="AC549" i="1"/>
  <c r="AB551" i="1"/>
  <c r="AC568" i="1"/>
  <c r="AB265" i="1"/>
  <c r="AC135" i="1"/>
  <c r="AC687" i="1"/>
  <c r="AB667" i="1"/>
  <c r="AC692" i="1"/>
  <c r="AC400" i="1"/>
  <c r="AB231" i="1"/>
  <c r="AC374" i="1"/>
  <c r="AB380" i="1"/>
  <c r="AC637" i="1"/>
  <c r="AB75" i="1"/>
  <c r="AC473" i="1"/>
  <c r="AB378" i="1"/>
  <c r="AC239" i="1"/>
  <c r="AC392" i="1"/>
  <c r="AB207" i="1"/>
  <c r="AB307" i="1"/>
  <c r="AC357" i="1"/>
  <c r="AC186" i="1"/>
  <c r="AB686" i="1"/>
  <c r="AB398" i="1"/>
  <c r="AC179" i="1"/>
  <c r="AC257" i="1"/>
  <c r="AB254" i="1"/>
  <c r="AC187" i="1"/>
  <c r="AC633" i="1"/>
  <c r="AB569" i="1"/>
  <c r="AB783" i="1"/>
  <c r="AB149" i="1"/>
  <c r="AC683" i="1"/>
  <c r="AC626" i="1"/>
  <c r="AB683" i="1"/>
  <c r="AB250" i="1"/>
  <c r="AB124" i="1"/>
  <c r="AC561" i="1"/>
  <c r="AC399" i="1"/>
  <c r="AB287" i="1"/>
  <c r="AB539" i="1"/>
  <c r="AC607" i="1"/>
  <c r="AB176" i="1"/>
  <c r="AC699" i="1"/>
  <c r="AC618" i="1"/>
  <c r="AB503" i="1"/>
  <c r="AC642" i="1"/>
  <c r="AC597" i="1"/>
  <c r="AB301" i="1"/>
  <c r="AC232" i="1"/>
  <c r="AC172" i="1"/>
  <c r="AB189" i="1"/>
  <c r="AB565" i="1"/>
  <c r="AC760" i="1"/>
  <c r="AC365" i="1"/>
  <c r="AC123" i="1"/>
  <c r="AC97" i="1"/>
  <c r="AC779" i="1"/>
  <c r="AC744" i="1"/>
  <c r="AB334" i="1"/>
  <c r="AB415" i="1"/>
  <c r="AB728" i="1"/>
  <c r="AB743" i="1"/>
  <c r="AB227" i="1"/>
  <c r="AB325" i="1"/>
  <c r="AC767" i="1"/>
  <c r="AB476" i="1"/>
  <c r="AB510" i="1"/>
  <c r="AC416" i="1"/>
  <c r="AC382" i="1"/>
  <c r="AB163" i="1"/>
  <c r="AB252" i="1"/>
  <c r="AC700" i="1"/>
  <c r="AB205" i="1"/>
  <c r="AC54" i="1"/>
  <c r="AC221" i="1"/>
  <c r="AB439" i="1"/>
  <c r="AB247" i="1"/>
  <c r="AC325" i="1"/>
  <c r="AC401" i="1"/>
  <c r="AC337" i="1"/>
  <c r="AC495" i="1"/>
  <c r="AB672" i="1"/>
  <c r="AC45" i="1"/>
  <c r="AC79" i="1"/>
  <c r="AB468" i="1"/>
  <c r="AC333" i="1"/>
  <c r="AB454" i="1"/>
  <c r="AB501" i="1"/>
  <c r="AC361" i="1"/>
  <c r="AC277" i="1"/>
  <c r="AC673" i="1"/>
  <c r="AC763" i="1"/>
  <c r="AB26" i="1"/>
  <c r="AB32" i="1"/>
  <c r="AC78" i="1"/>
  <c r="AC782" i="1"/>
  <c r="AC739" i="1"/>
  <c r="AC747" i="1"/>
  <c r="AC367" i="1"/>
  <c r="AC722" i="1"/>
  <c r="AB731" i="1"/>
  <c r="AB611" i="1"/>
  <c r="AB283" i="1"/>
  <c r="AB765" i="1"/>
  <c r="AC773" i="1"/>
  <c r="AC449" i="1"/>
  <c r="AC675" i="1"/>
  <c r="AB95" i="1"/>
  <c r="AC439" i="1"/>
  <c r="AC395" i="1"/>
  <c r="AC358" i="1"/>
  <c r="AB449" i="1"/>
  <c r="AC362" i="1"/>
  <c r="AC643" i="1"/>
  <c r="AC802" i="1"/>
  <c r="AC803" i="1"/>
  <c r="AC805" i="1"/>
  <c r="AB807" i="1"/>
  <c r="AB809" i="1"/>
  <c r="AC815" i="1"/>
  <c r="AB566" i="1"/>
  <c r="AC227" i="1"/>
  <c r="AB780" i="1"/>
  <c r="AB744" i="1"/>
  <c r="AC514" i="1"/>
  <c r="AB298" i="1"/>
  <c r="AC728" i="1"/>
  <c r="AC743" i="1"/>
  <c r="AB327" i="1"/>
  <c r="AC321" i="1"/>
  <c r="AB767" i="1"/>
  <c r="AC95" i="1"/>
  <c r="AB126" i="1"/>
  <c r="AB152" i="1"/>
  <c r="AB499" i="1"/>
  <c r="AB42" i="1"/>
  <c r="AB802" i="1"/>
  <c r="AB805" i="1"/>
  <c r="AC809" i="1"/>
  <c r="AF818" i="1"/>
  <c r="AC818" i="1"/>
  <c r="AB811" i="1"/>
  <c r="AB800" i="1"/>
  <c r="AC798" i="1"/>
  <c r="AC796" i="1"/>
  <c r="AB789" i="1"/>
  <c r="AB139" i="1"/>
  <c r="AC377" i="1"/>
  <c r="AC684" i="1"/>
  <c r="AC252" i="1"/>
  <c r="AC415" i="1"/>
  <c r="AB169" i="1"/>
  <c r="AB706" i="1"/>
  <c r="AB524" i="1"/>
  <c r="AB302" i="1"/>
  <c r="AC42" i="1"/>
  <c r="AC61" i="1"/>
  <c r="AB585" i="1"/>
  <c r="AC196" i="1"/>
  <c r="AC477" i="1"/>
  <c r="AC458" i="1"/>
  <c r="AB24" i="1"/>
  <c r="AC645" i="1"/>
  <c r="AC94" i="1"/>
  <c r="AC195" i="1"/>
  <c r="AC576" i="1"/>
  <c r="AC680" i="1"/>
  <c r="AC662" i="1"/>
  <c r="AB184" i="1"/>
  <c r="AB181" i="1"/>
  <c r="AB211" i="1"/>
  <c r="AB375" i="1"/>
  <c r="AC669" i="1"/>
  <c r="AB628" i="1"/>
  <c r="AC282" i="1"/>
  <c r="AB497" i="1"/>
  <c r="AB208" i="1"/>
  <c r="AC603" i="1"/>
  <c r="AC115" i="1"/>
  <c r="AB504" i="1"/>
  <c r="AC480" i="1"/>
  <c r="AB447" i="1"/>
  <c r="AB347" i="1"/>
  <c r="AB386" i="1"/>
  <c r="AC552" i="1"/>
  <c r="AB688" i="1"/>
  <c r="AB29" i="1"/>
  <c r="AC788" i="1"/>
  <c r="AB645" i="1"/>
  <c r="AC718" i="1"/>
  <c r="AB643" i="1"/>
  <c r="AB638" i="1"/>
  <c r="AC433" i="1"/>
  <c r="AC248" i="1"/>
  <c r="AB573" i="1"/>
  <c r="AB343" i="1"/>
  <c r="AC111" i="1"/>
  <c r="AB72" i="1"/>
  <c r="AB257" i="1"/>
  <c r="AC153" i="1"/>
  <c r="AC294" i="1"/>
  <c r="AB352" i="1"/>
  <c r="AB199" i="1"/>
  <c r="AC174" i="1"/>
  <c r="AC519" i="1"/>
  <c r="AB691" i="1"/>
  <c r="AB473" i="1"/>
  <c r="AB402" i="1"/>
  <c r="AC163" i="1"/>
  <c r="AB434" i="1"/>
  <c r="AB97" i="1"/>
  <c r="AC328" i="1"/>
  <c r="AC639" i="1"/>
  <c r="AC296" i="1"/>
  <c r="AC292" i="1"/>
  <c r="AC58" i="1"/>
  <c r="AC460" i="1"/>
  <c r="AC165" i="1"/>
  <c r="AC151" i="1"/>
  <c r="AC267" i="1"/>
  <c r="AC691" i="1"/>
  <c r="AC655" i="1"/>
  <c r="AB668" i="1"/>
  <c r="AB297" i="1"/>
  <c r="AC591" i="1"/>
  <c r="AB180" i="1"/>
  <c r="AC545" i="1"/>
  <c r="AC501" i="1"/>
  <c r="AC644" i="1"/>
  <c r="AB62" i="1"/>
  <c r="AC271" i="1"/>
  <c r="AB339" i="1"/>
  <c r="AB419" i="1"/>
  <c r="AB333" i="1"/>
  <c r="AC245" i="1"/>
  <c r="AC140" i="1"/>
  <c r="AB700" i="1"/>
  <c r="AB697" i="1"/>
  <c r="AB336" i="1"/>
  <c r="AC704" i="1"/>
  <c r="AB230" i="1"/>
  <c r="AB105" i="1"/>
  <c r="AB212" i="1"/>
  <c r="AB758" i="1"/>
  <c r="AC754" i="1"/>
  <c r="AB186" i="1"/>
  <c r="AB294" i="1"/>
  <c r="AB321" i="1"/>
  <c r="AB736" i="1"/>
  <c r="AC749" i="1"/>
  <c r="AB564" i="1"/>
  <c r="AC721" i="1"/>
  <c r="AB729" i="1"/>
  <c r="AC204" i="1"/>
  <c r="AB395" i="1"/>
  <c r="AC766" i="1"/>
  <c r="AC776" i="1"/>
  <c r="AC567" i="1"/>
  <c r="AC470" i="1"/>
  <c r="AC486" i="1"/>
  <c r="AB348" i="1"/>
  <c r="AC342" i="1"/>
  <c r="AB642" i="1"/>
  <c r="AB608" i="1"/>
  <c r="AC189" i="1"/>
  <c r="AB377" i="1"/>
  <c r="AC275" i="1"/>
  <c r="AB470" i="1"/>
  <c r="AB702" i="1"/>
  <c r="AC82" i="1"/>
  <c r="AC479" i="1"/>
  <c r="AC304" i="1"/>
  <c r="AC212" i="1"/>
  <c r="AB591" i="1"/>
  <c r="AB58" i="1"/>
  <c r="AC241" i="1"/>
  <c r="AC571" i="1"/>
  <c r="AB220" i="1"/>
  <c r="AB550" i="1"/>
  <c r="AB274" i="1"/>
  <c r="AB603" i="1"/>
  <c r="AB120" i="1"/>
  <c r="AC757" i="1"/>
  <c r="AC756" i="1"/>
  <c r="AC467" i="1"/>
  <c r="AC515" i="1"/>
  <c r="AC356" i="1"/>
  <c r="AB724" i="1"/>
  <c r="AC750" i="1"/>
  <c r="AC575" i="1"/>
  <c r="AB713" i="1"/>
  <c r="AC733" i="1"/>
  <c r="AC114" i="1"/>
  <c r="AB648" i="1"/>
  <c r="AB234" i="1"/>
  <c r="AC778" i="1"/>
  <c r="AC493" i="1"/>
  <c r="AC34" i="1"/>
  <c r="AC93" i="1"/>
  <c r="AC464" i="1"/>
  <c r="AC457" i="1"/>
  <c r="AB356" i="1"/>
  <c r="AC442" i="1"/>
  <c r="AB475" i="1"/>
  <c r="AC462" i="1"/>
  <c r="AC790" i="1"/>
  <c r="AC25" i="1"/>
  <c r="AB153" i="1"/>
  <c r="AC178" i="1"/>
  <c r="AC811" i="1"/>
  <c r="AC800" i="1"/>
  <c r="AB798" i="1"/>
  <c r="AB796" i="1"/>
  <c r="AC787" i="1"/>
  <c r="AC585" i="1"/>
  <c r="AB719" i="1"/>
  <c r="AB616" i="1"/>
  <c r="AB330" i="1"/>
  <c r="AB558" i="1"/>
  <c r="AB589" i="1"/>
  <c r="AB171" i="1"/>
  <c r="AB502" i="1"/>
  <c r="AB455" i="1"/>
  <c r="AC81" i="1"/>
  <c r="AC76" i="1"/>
  <c r="AB48" i="1"/>
  <c r="AC167" i="1"/>
  <c r="AC386" i="1"/>
  <c r="AC346" i="1"/>
  <c r="AC52" i="1"/>
  <c r="AB484" i="1"/>
  <c r="AC502" i="1"/>
  <c r="AB127" i="1"/>
  <c r="AC524" i="1"/>
  <c r="AB367" i="1"/>
  <c r="AB144" i="1"/>
  <c r="AC475" i="1"/>
  <c r="AB246" i="1"/>
  <c r="AB214" i="1"/>
  <c r="AB555" i="1"/>
  <c r="AB393" i="1"/>
  <c r="AB70" i="1"/>
  <c r="AB450" i="1"/>
  <c r="AB443" i="1"/>
  <c r="AC242" i="1"/>
  <c r="AB311" i="1"/>
  <c r="AB614" i="1"/>
  <c r="AC588" i="1"/>
  <c r="AC550" i="1"/>
  <c r="AC491" i="1"/>
  <c r="AC578" i="1"/>
  <c r="AC658" i="1"/>
  <c r="AB158" i="1"/>
  <c r="AC596" i="1"/>
  <c r="AC202" i="1"/>
  <c r="AB277" i="1"/>
  <c r="AB262" i="1"/>
  <c r="AB714" i="1"/>
  <c r="AC380" i="1"/>
  <c r="AC349" i="1"/>
  <c r="AB14" i="1"/>
  <c r="AC472" i="1"/>
  <c r="AC533" i="1"/>
  <c r="AC786" i="1"/>
  <c r="AC119" i="1"/>
  <c r="AC47" i="1"/>
  <c r="AB687" i="1"/>
  <c r="AC564" i="1"/>
  <c r="AC536" i="1"/>
  <c r="AB278" i="1"/>
  <c r="AC451" i="1"/>
  <c r="AB342" i="1"/>
  <c r="AB655" i="1"/>
  <c r="AC411" i="1"/>
  <c r="AB39" i="1"/>
  <c r="AC11" i="1"/>
  <c r="AB3" i="1"/>
  <c r="AB9" i="1"/>
  <c r="AB190" i="1"/>
  <c r="AB456" i="1"/>
  <c r="AB671" i="1"/>
  <c r="AC364" i="1"/>
  <c r="AB267" i="1"/>
  <c r="AB514" i="1"/>
  <c r="AC244" i="1"/>
  <c r="AC436" i="1"/>
  <c r="AC593" i="1"/>
  <c r="AC417" i="1"/>
  <c r="AB581" i="1"/>
  <c r="AB420" i="1"/>
  <c r="AC217" i="1"/>
  <c r="AC422" i="1"/>
  <c r="AB599" i="1"/>
  <c r="AB520" i="1"/>
  <c r="AC397" i="1"/>
  <c r="AB557" i="1"/>
  <c r="AB493" i="1"/>
  <c r="AB61" i="1"/>
  <c r="AB229" i="1"/>
  <c r="AB583" i="1"/>
  <c r="AC402" i="1"/>
  <c r="AB680" i="1"/>
  <c r="AC570" i="1"/>
  <c r="AB113" i="1"/>
  <c r="AC90" i="1"/>
  <c r="AB282" i="1"/>
  <c r="AB108" i="1"/>
  <c r="AC133" i="1"/>
  <c r="AC628" i="1"/>
  <c r="AC454" i="1"/>
  <c r="AB118" i="1"/>
  <c r="AB764" i="1"/>
  <c r="AC298" i="1"/>
  <c r="AC478" i="1"/>
  <c r="AB329" i="1"/>
  <c r="AB782" i="1"/>
  <c r="AC742" i="1"/>
  <c r="AB413" i="1"/>
  <c r="AB217" i="1"/>
  <c r="AB725" i="1"/>
  <c r="AB740" i="1"/>
  <c r="AB651" i="1"/>
  <c r="AB322" i="1"/>
  <c r="AC768" i="1"/>
  <c r="AB769" i="1"/>
  <c r="AB77" i="1"/>
  <c r="AB692" i="1"/>
  <c r="AB662" i="1"/>
  <c r="AC701" i="1"/>
  <c r="AC117" i="1"/>
  <c r="AC540" i="1"/>
  <c r="AC546" i="1"/>
  <c r="AB266" i="1"/>
  <c r="AB408" i="1"/>
  <c r="AC624" i="1"/>
  <c r="AC243" i="1"/>
  <c r="AC347" i="1"/>
  <c r="AB382" i="1"/>
  <c r="AC154" i="1"/>
  <c r="AB261" i="1"/>
  <c r="AC582" i="1"/>
  <c r="AB323" i="1"/>
  <c r="AC419" i="1"/>
  <c r="AC681" i="1"/>
  <c r="AC694" i="1"/>
  <c r="AB291" i="1"/>
  <c r="AB99" i="1"/>
  <c r="AC26" i="1"/>
  <c r="AC686" i="1"/>
  <c r="AC689" i="1"/>
  <c r="AB757" i="1"/>
  <c r="AB754" i="1"/>
  <c r="AC602" i="1"/>
  <c r="AB295" i="1"/>
  <c r="AB407" i="1"/>
  <c r="AC736" i="1"/>
  <c r="AB749" i="1"/>
  <c r="AC592" i="1"/>
  <c r="AB721" i="1"/>
  <c r="AB730" i="1"/>
  <c r="AC556" i="1"/>
  <c r="AB546" i="1"/>
  <c r="AB766" i="1"/>
  <c r="AB776" i="1"/>
  <c r="AB641" i="1"/>
  <c r="AC77" i="1"/>
  <c r="AB7" i="1"/>
  <c r="AC608" i="1"/>
  <c r="AB133" i="1"/>
  <c r="AB630" i="1"/>
  <c r="AC305" i="1"/>
  <c r="AB492" i="1"/>
  <c r="AB119" i="1"/>
  <c r="AB788" i="1"/>
  <c r="AC510" i="1"/>
  <c r="AB718" i="1"/>
  <c r="AB635" i="1"/>
  <c r="AB505" i="1"/>
  <c r="AC532" i="1"/>
  <c r="AB137" i="1"/>
  <c r="AC537" i="1"/>
  <c r="AC149" i="1"/>
  <c r="AB358" i="1"/>
  <c r="AC145" i="1"/>
  <c r="AC672" i="1"/>
  <c r="AC389" i="1"/>
  <c r="AC236" i="1"/>
  <c r="AB519" i="1"/>
  <c r="AB147" i="1"/>
  <c r="AC205" i="1"/>
  <c r="AC274" i="1"/>
  <c r="AC579" i="1"/>
  <c r="AB370" i="1"/>
  <c r="AB54" i="1"/>
  <c r="AB397" i="1"/>
  <c r="AC666" i="1"/>
  <c r="AB626" i="1"/>
  <c r="AB93" i="1"/>
  <c r="AB290" i="1"/>
  <c r="AB38" i="1"/>
  <c r="AC256" i="1"/>
  <c r="AC184" i="1"/>
  <c r="AB389" i="1"/>
  <c r="AB146" i="1"/>
  <c r="AB237" i="1"/>
  <c r="AB385" i="1"/>
  <c r="AC616" i="1"/>
  <c r="AC783" i="1"/>
  <c r="AC334" i="1"/>
  <c r="AB704" i="1"/>
  <c r="AC36" i="1"/>
  <c r="AB701" i="1"/>
  <c r="AB620" i="1"/>
  <c r="AB253" i="1"/>
  <c r="AB183" i="1"/>
  <c r="AC789" i="1"/>
  <c r="AB421" i="1"/>
  <c r="AC87" i="1"/>
  <c r="AC702" i="1"/>
  <c r="AC55" i="1"/>
  <c r="AC160" i="1"/>
  <c r="AB221" i="1"/>
  <c r="AC698" i="1"/>
  <c r="AC315" i="1"/>
  <c r="AC375" i="1"/>
  <c r="AB296" i="1"/>
  <c r="AB540" i="1"/>
  <c r="AB201" i="1"/>
  <c r="AB175" i="1"/>
  <c r="AB174" i="1"/>
  <c r="AB210" i="1"/>
  <c r="AB59" i="1"/>
  <c r="AB580" i="1"/>
  <c r="AC320" i="1"/>
  <c r="AC407" i="1"/>
  <c r="AC150" i="1"/>
  <c r="AB363" i="1"/>
  <c r="AC360" i="1"/>
  <c r="AB78" i="1"/>
  <c r="AC420" i="1"/>
  <c r="AB657" i="1"/>
  <c r="AC110" i="1"/>
  <c r="AB90" i="1"/>
  <c r="AB654" i="1"/>
  <c r="AC64" i="1"/>
  <c r="AC600" i="1"/>
  <c r="AB47" i="1"/>
  <c r="AC201" i="1"/>
  <c r="AB37" i="1"/>
  <c r="AC228" i="1"/>
  <c r="AB11" i="1"/>
  <c r="AB73" i="1"/>
  <c r="AB19" i="1"/>
  <c r="AB179" i="1"/>
  <c r="AC234" i="1"/>
  <c r="AB579" i="1"/>
  <c r="AC279" i="1"/>
  <c r="AB441" i="1"/>
  <c r="AB495" i="1"/>
  <c r="AB273" i="1"/>
  <c r="AB472" i="1"/>
  <c r="AC492" i="1"/>
  <c r="AC307" i="1"/>
  <c r="AC129" i="1"/>
  <c r="AB155" i="1"/>
  <c r="AC410" i="1"/>
  <c r="AB324" i="1"/>
  <c r="AB328" i="1"/>
  <c r="AC23" i="1"/>
  <c r="AB140" i="1"/>
  <c r="AC7" i="1"/>
  <c r="AC521" i="1"/>
  <c r="AB762" i="1"/>
  <c r="AB280" i="1"/>
  <c r="AC12" i="1"/>
  <c r="AC622" i="1"/>
  <c r="AC574" i="1"/>
  <c r="AB748" i="1"/>
  <c r="AC507" i="1"/>
  <c r="AC711" i="1"/>
  <c r="AB733" i="1"/>
  <c r="AB56" i="1"/>
  <c r="AC146" i="1"/>
  <c r="AB228" i="1"/>
  <c r="AC777" i="1"/>
  <c r="AC126" i="1"/>
  <c r="AB165" i="1"/>
  <c r="AC620" i="1"/>
  <c r="AC530" i="1"/>
  <c r="AB156" i="1"/>
  <c r="AC273" i="1"/>
  <c r="AC517" i="1"/>
  <c r="AC614" i="1"/>
  <c r="AB115" i="1"/>
  <c r="AB204" i="1"/>
  <c r="AB82" i="1"/>
  <c r="AC48" i="1"/>
  <c r="AB619" i="1"/>
  <c r="AC437" i="1"/>
  <c r="AB242" i="1"/>
  <c r="AC71" i="1"/>
  <c r="AB593" i="1"/>
  <c r="AB219" i="1"/>
  <c r="AB426" i="1"/>
  <c r="AB596" i="1"/>
  <c r="AC128" i="1"/>
  <c r="AB666" i="1"/>
  <c r="AC322" i="1"/>
  <c r="AC270" i="1"/>
  <c r="AB548" i="1"/>
  <c r="AB110" i="1"/>
  <c r="AB760" i="1"/>
  <c r="AC481" i="1"/>
  <c r="AC455" i="1"/>
  <c r="AC559" i="1"/>
  <c r="AC610" i="1"/>
  <c r="AB350" i="1"/>
  <c r="AB804" i="1"/>
  <c r="AB808" i="1"/>
  <c r="AC813" i="1"/>
  <c r="AC127" i="1"/>
  <c r="AC554" i="1"/>
  <c r="AC709" i="1"/>
  <c r="AB595" i="1"/>
  <c r="AC159" i="1"/>
  <c r="AB496" i="1"/>
  <c r="AC329" i="1"/>
  <c r="AC215" i="1"/>
  <c r="AB636" i="1"/>
  <c r="AB685" i="1"/>
  <c r="AB197" i="1"/>
  <c r="AB607" i="1"/>
  <c r="AB272" i="1"/>
  <c r="AB138" i="1"/>
  <c r="AB236" i="1"/>
  <c r="AC368" i="1"/>
  <c r="AB300" i="1"/>
  <c r="AB309" i="1"/>
  <c r="AB87" i="1"/>
  <c r="AB263" i="1"/>
  <c r="AB634" i="1"/>
  <c r="AB418" i="1"/>
  <c r="AB647" i="1"/>
  <c r="AB313" i="1"/>
  <c r="AB374" i="1"/>
  <c r="AB652" i="1"/>
  <c r="AC505" i="1"/>
  <c r="AC547" i="1"/>
  <c r="AC247" i="1"/>
  <c r="AC288" i="1"/>
  <c r="AB84" i="1"/>
  <c r="AC569" i="1"/>
  <c r="AB131" i="1"/>
  <c r="AB592" i="1"/>
  <c r="AC605" i="1"/>
  <c r="AB412" i="1"/>
  <c r="AC278" i="1"/>
  <c r="AB787" i="1"/>
  <c r="AB351" i="1"/>
  <c r="AC719" i="1"/>
  <c r="AC332" i="1"/>
  <c r="AB94" i="1"/>
  <c r="AB35" i="1"/>
  <c r="AB650" i="1"/>
  <c r="AC67" i="1"/>
  <c r="AB360" i="1"/>
  <c r="AB554" i="1"/>
  <c r="AC264" i="1"/>
  <c r="AC659" i="1"/>
  <c r="AC46" i="1"/>
  <c r="AB491" i="1"/>
  <c r="AC534" i="1"/>
  <c r="AC173" i="1"/>
  <c r="AB151" i="1"/>
  <c r="AC183" i="1"/>
  <c r="AC482" i="1"/>
  <c r="AC14" i="1"/>
  <c r="AC551" i="1"/>
  <c r="AC295" i="1"/>
  <c r="AB103" i="1"/>
  <c r="AC543" i="1"/>
  <c r="AC641" i="1"/>
  <c r="AC51" i="1"/>
  <c r="AC338" i="1"/>
  <c r="AB31" i="1"/>
  <c r="AC287" i="1"/>
  <c r="AC139" i="1"/>
  <c r="AB260" i="1"/>
  <c r="AB357" i="1"/>
  <c r="AC185" i="1"/>
  <c r="AC15" i="1"/>
  <c r="AB556" i="1"/>
  <c r="AB451" i="1"/>
  <c r="AB182" i="1"/>
  <c r="AB244" i="1"/>
  <c r="AC49" i="1"/>
  <c r="AB17" i="1"/>
  <c r="AB117" i="1"/>
  <c r="AC541" i="1"/>
  <c r="AC323" i="1"/>
  <c r="AC636" i="1"/>
  <c r="AB532" i="1"/>
  <c r="AC194" i="1"/>
  <c r="AB206" i="1"/>
  <c r="AB464" i="1"/>
  <c r="AB644" i="1"/>
  <c r="AC29" i="1"/>
  <c r="AB332" i="1"/>
  <c r="AB81" i="1"/>
  <c r="AB391" i="1"/>
  <c r="AC74" i="1"/>
  <c r="AC210" i="1"/>
  <c r="AB79" i="1"/>
  <c r="AC758" i="1"/>
  <c r="AC753" i="1"/>
  <c r="AB359" i="1"/>
  <c r="AB193" i="1"/>
  <c r="AB194" i="1"/>
  <c r="AB726" i="1"/>
  <c r="AC752" i="1"/>
  <c r="AB83" i="1"/>
  <c r="AB716" i="1"/>
  <c r="AC731" i="1"/>
  <c r="AC230" i="1"/>
  <c r="AC280" i="1"/>
  <c r="AC255" i="1"/>
  <c r="AB775" i="1"/>
  <c r="AC5" i="1"/>
  <c r="AB403" i="1"/>
  <c r="AC318" i="1"/>
  <c r="AC465" i="1"/>
  <c r="AC191" i="1"/>
  <c r="AC17" i="1"/>
  <c r="AB534" i="1"/>
  <c r="AC192" i="1"/>
  <c r="AB16" i="1"/>
  <c r="AC299" i="1"/>
  <c r="AC453" i="1"/>
  <c r="AB259" i="1"/>
  <c r="AC10" i="1"/>
  <c r="AB368" i="1"/>
  <c r="AC581" i="1"/>
  <c r="AC324" i="1"/>
  <c r="AB670" i="1"/>
  <c r="AC220" i="1"/>
  <c r="AB490" i="1"/>
  <c r="AB411" i="1"/>
  <c r="AC138" i="1"/>
  <c r="AB226" i="1"/>
  <c r="AB669" i="1"/>
  <c r="AC351" i="1"/>
  <c r="AC283" i="1"/>
  <c r="AC211" i="1"/>
  <c r="AC762" i="1"/>
  <c r="AB446" i="1"/>
  <c r="AC169" i="1"/>
  <c r="AC654" i="1"/>
  <c r="AB45" i="1"/>
  <c r="AC748" i="1"/>
  <c r="AC583" i="1"/>
  <c r="AB711" i="1"/>
  <c r="AC730" i="1"/>
  <c r="AC557" i="1"/>
  <c r="AB15" i="1"/>
  <c r="AB400" i="1"/>
  <c r="AB777" i="1"/>
  <c r="AC428" i="1"/>
  <c r="AC668" i="1"/>
  <c r="AB428" i="1"/>
  <c r="AC660" i="1"/>
  <c r="AB437" i="1"/>
  <c r="AC447" i="1"/>
  <c r="AB185" i="1"/>
  <c r="AC56" i="1"/>
  <c r="AC634" i="1"/>
  <c r="AB791" i="1"/>
  <c r="AC804" i="1"/>
  <c r="AB806" i="1"/>
  <c r="AC808" i="1"/>
  <c r="AC810" i="1"/>
  <c r="AB813" i="1"/>
  <c r="AB512" i="1"/>
  <c r="AC197" i="1"/>
  <c r="AB480" i="1"/>
  <c r="AC726" i="1"/>
  <c r="AB752" i="1"/>
  <c r="AC182" i="1"/>
  <c r="AC716" i="1"/>
  <c r="AC732" i="1"/>
  <c r="AC403" i="1"/>
  <c r="AC511" i="1"/>
  <c r="AC408" i="1"/>
  <c r="AC300" i="1"/>
  <c r="AC286" i="1"/>
  <c r="AC441" i="1"/>
  <c r="AB255" i="1"/>
  <c r="AC35" i="1"/>
  <c r="AB467" i="1"/>
  <c r="AB803" i="1"/>
  <c r="AC807" i="1"/>
  <c r="AB815" i="1"/>
  <c r="AH818" i="1"/>
  <c r="C2" i="2"/>
  <c r="AB818" i="1"/>
  <c r="A820" i="1"/>
  <c r="N2" i="2"/>
  <c r="A821" i="1"/>
  <c r="O2" i="2" l="1"/>
  <c r="P2" i="2" s="1"/>
  <c r="Q2" i="2" s="1"/>
  <c r="J3" i="11"/>
  <c r="K3" i="11" s="1"/>
  <c r="L3" i="11" s="1"/>
  <c r="AI821" i="1"/>
  <c r="AI820" i="1"/>
  <c r="A822" i="1"/>
  <c r="A823" i="1" s="1"/>
  <c r="M3" i="11" l="1"/>
  <c r="AI823" i="1"/>
  <c r="AI822" i="1"/>
  <c r="A824" i="1"/>
  <c r="A825" i="1"/>
  <c r="AI825" i="1" l="1"/>
  <c r="AI824" i="1"/>
  <c r="A826" i="1"/>
  <c r="A827" i="1" s="1"/>
  <c r="AI827" i="1" l="1"/>
  <c r="AI826" i="1"/>
  <c r="A828" i="1"/>
  <c r="A829" i="1" s="1"/>
  <c r="AI829" i="1" l="1"/>
  <c r="AI828" i="1"/>
  <c r="A830" i="1"/>
  <c r="A831" i="1" s="1"/>
  <c r="AI831" i="1" l="1"/>
  <c r="AI830" i="1"/>
  <c r="A832" i="1"/>
  <c r="A833" i="1" s="1"/>
  <c r="AI833" i="1" l="1"/>
  <c r="AI832" i="1"/>
  <c r="A834" i="1"/>
  <c r="A835" i="1" s="1"/>
  <c r="AI835" i="1" l="1"/>
  <c r="AI834" i="1"/>
  <c r="A836" i="1"/>
  <c r="A837" i="1" s="1"/>
  <c r="AI837" i="1" l="1"/>
  <c r="AI836" i="1"/>
  <c r="A838" i="1"/>
  <c r="A839" i="1" s="1"/>
  <c r="AI839" i="1" l="1"/>
  <c r="AI838" i="1"/>
  <c r="A840" i="1"/>
  <c r="A841" i="1" s="1"/>
  <c r="AI841" i="1" l="1"/>
  <c r="AI840" i="1"/>
  <c r="A842" i="1"/>
  <c r="A843" i="1" s="1"/>
  <c r="AI843" i="1" l="1"/>
  <c r="AI842" i="1"/>
  <c r="A844" i="1"/>
  <c r="A845" i="1" s="1"/>
  <c r="AI845" i="1" l="1"/>
  <c r="AI844" i="1"/>
  <c r="A846" i="1"/>
  <c r="A847" i="1"/>
  <c r="AI847" i="1" l="1"/>
  <c r="AI846" i="1"/>
  <c r="A848" i="1"/>
  <c r="A849" i="1" s="1"/>
  <c r="AI849" i="1" l="1"/>
  <c r="AI848" i="1"/>
  <c r="A850" i="1"/>
  <c r="A851" i="1"/>
  <c r="AI851" i="1" l="1"/>
  <c r="AI850" i="1"/>
  <c r="A852" i="1"/>
  <c r="A853" i="1"/>
  <c r="AI853" i="1" l="1"/>
  <c r="AI852" i="1"/>
  <c r="A854" i="1"/>
  <c r="A855" i="1"/>
  <c r="AI855" i="1" l="1"/>
  <c r="AI854" i="1"/>
  <c r="A856" i="1"/>
  <c r="A857" i="1"/>
  <c r="AI857" i="1" l="1"/>
  <c r="AI856" i="1"/>
  <c r="A858" i="1"/>
  <c r="A859" i="1"/>
  <c r="AI859" i="1" l="1"/>
  <c r="AI858" i="1"/>
  <c r="A860" i="1"/>
  <c r="A861" i="1"/>
  <c r="AI861" i="1" l="1"/>
  <c r="AI860" i="1"/>
  <c r="A862" i="1"/>
  <c r="A863" i="1" s="1"/>
  <c r="AI863" i="1" l="1"/>
  <c r="AI862" i="1"/>
  <c r="A864" i="1"/>
  <c r="A865" i="1" s="1"/>
  <c r="AI865" i="1" l="1"/>
  <c r="AI864" i="1"/>
  <c r="A866" i="1"/>
  <c r="A867" i="1" s="1"/>
  <c r="AI867" i="1" l="1"/>
  <c r="AI866" i="1"/>
  <c r="A868" i="1"/>
  <c r="A869" i="1"/>
  <c r="AI869" i="1" l="1"/>
  <c r="AI868" i="1"/>
  <c r="A870" i="1"/>
  <c r="A871" i="1"/>
  <c r="AI871" i="1" l="1"/>
  <c r="AI870" i="1"/>
  <c r="A872" i="1"/>
  <c r="A873" i="1"/>
  <c r="AI873" i="1" l="1"/>
  <c r="AI872" i="1"/>
  <c r="A874" i="1"/>
  <c r="A875" i="1"/>
  <c r="AI875" i="1" l="1"/>
  <c r="AI874" i="1"/>
  <c r="A876" i="1"/>
  <c r="A877" i="1"/>
  <c r="AI877" i="1" l="1"/>
  <c r="AI876" i="1"/>
  <c r="A878" i="1"/>
  <c r="A879" i="1"/>
  <c r="AI879" i="1" l="1"/>
  <c r="AI878" i="1"/>
  <c r="A880" i="1"/>
  <c r="A881" i="1"/>
  <c r="AI881" i="1" l="1"/>
  <c r="AI880" i="1"/>
  <c r="A882" i="1"/>
  <c r="A883" i="1"/>
  <c r="AI883" i="1" l="1"/>
  <c r="AI882" i="1"/>
  <c r="A884" i="1"/>
  <c r="A885" i="1"/>
  <c r="AI885" i="1" l="1"/>
  <c r="AI884" i="1"/>
  <c r="A886" i="1"/>
  <c r="A887" i="1"/>
  <c r="AI887" i="1" l="1"/>
  <c r="AI886" i="1"/>
  <c r="A888" i="1"/>
  <c r="A889" i="1"/>
  <c r="AI889" i="1" l="1"/>
  <c r="AI888" i="1"/>
  <c r="A890" i="1"/>
  <c r="A891" i="1"/>
  <c r="AI891" i="1" l="1"/>
  <c r="AI890" i="1"/>
  <c r="A892" i="1"/>
  <c r="A893" i="1"/>
  <c r="AI893" i="1" l="1"/>
  <c r="AI892" i="1"/>
  <c r="A894" i="1"/>
  <c r="A895" i="1"/>
  <c r="AI895" i="1" l="1"/>
  <c r="AI894" i="1"/>
  <c r="A896" i="1"/>
  <c r="A897" i="1"/>
  <c r="AI897" i="1" l="1"/>
  <c r="AI896" i="1"/>
  <c r="A898" i="1"/>
  <c r="A899" i="1"/>
  <c r="AI899" i="1" l="1"/>
  <c r="AI898" i="1"/>
  <c r="A900" i="1"/>
  <c r="A901" i="1"/>
  <c r="AI901" i="1" l="1"/>
  <c r="AI900" i="1"/>
  <c r="A902" i="1"/>
  <c r="A903" i="1"/>
  <c r="AI903" i="1" l="1"/>
  <c r="AI902" i="1"/>
  <c r="A904" i="1"/>
  <c r="A905" i="1"/>
  <c r="AI905" i="1" l="1"/>
  <c r="AI904" i="1"/>
  <c r="A906" i="1"/>
  <c r="A907" i="1"/>
  <c r="AI907" i="1" l="1"/>
  <c r="AI906" i="1"/>
  <c r="A908" i="1"/>
  <c r="A909" i="1"/>
  <c r="AI909" i="1" l="1"/>
  <c r="AI908" i="1"/>
  <c r="A910" i="1"/>
  <c r="A911" i="1"/>
  <c r="AI911" i="1" l="1"/>
  <c r="AI910" i="1"/>
  <c r="A912" i="1"/>
  <c r="A913" i="1"/>
  <c r="AI913" i="1" l="1"/>
  <c r="AI912" i="1"/>
  <c r="A914" i="1"/>
  <c r="A915" i="1"/>
  <c r="AI915" i="1" l="1"/>
  <c r="AI914" i="1"/>
  <c r="A916" i="1"/>
  <c r="A917" i="1"/>
  <c r="AI917" i="1" l="1"/>
  <c r="AI916" i="1"/>
  <c r="A918" i="1"/>
  <c r="A919" i="1"/>
  <c r="AI919" i="1" l="1"/>
  <c r="AI918" i="1"/>
  <c r="A920" i="1"/>
  <c r="A921" i="1"/>
  <c r="AI921" i="1" l="1"/>
  <c r="AI920" i="1"/>
  <c r="A922" i="1"/>
  <c r="A923" i="1"/>
  <c r="AI923" i="1" l="1"/>
  <c r="AI922" i="1"/>
  <c r="A924" i="1"/>
  <c r="A925" i="1"/>
  <c r="AI925" i="1" l="1"/>
  <c r="AI924" i="1"/>
  <c r="A926" i="1"/>
  <c r="A927" i="1"/>
  <c r="AI927" i="1" l="1"/>
  <c r="AI926" i="1"/>
  <c r="A928" i="1"/>
  <c r="A929" i="1"/>
  <c r="AI929" i="1" l="1"/>
  <c r="AI928" i="1"/>
  <c r="A930" i="1"/>
  <c r="A931" i="1"/>
  <c r="AI931" i="1" l="1"/>
  <c r="AI930" i="1"/>
  <c r="A932" i="1"/>
  <c r="A933" i="1"/>
  <c r="AI933" i="1" l="1"/>
  <c r="AI932" i="1"/>
  <c r="A934" i="1"/>
  <c r="A935" i="1"/>
  <c r="AI935" i="1" l="1"/>
  <c r="AI934" i="1"/>
  <c r="A936" i="1"/>
  <c r="A937" i="1"/>
  <c r="AI937" i="1" l="1"/>
  <c r="AI936" i="1"/>
  <c r="A938" i="1"/>
  <c r="A939" i="1"/>
  <c r="AI939" i="1" l="1"/>
  <c r="AI938" i="1"/>
  <c r="A940" i="1"/>
  <c r="AI940" i="1" l="1"/>
  <c r="A941" i="1"/>
  <c r="AI941" i="1" l="1"/>
  <c r="A942" i="1"/>
  <c r="A943" i="1"/>
  <c r="A944" i="1" s="1"/>
  <c r="A945" i="1"/>
  <c r="AI942" i="1" l="1"/>
  <c r="AI943" i="1"/>
  <c r="AI945" i="1"/>
  <c r="AI944" i="1"/>
  <c r="A946" i="1"/>
  <c r="AI946" i="1" l="1"/>
  <c r="A947" i="1"/>
  <c r="A948" i="1"/>
  <c r="A949" i="1" s="1"/>
  <c r="AI947" i="1" l="1"/>
  <c r="AI949" i="1"/>
  <c r="AI948" i="1"/>
  <c r="A950" i="1"/>
  <c r="A951" i="1" s="1"/>
  <c r="AI951" i="1" l="1"/>
  <c r="AI950" i="1"/>
  <c r="A952" i="1"/>
  <c r="A953" i="1"/>
  <c r="AI953" i="1" l="1"/>
  <c r="AI952" i="1"/>
  <c r="A954" i="1"/>
  <c r="A955" i="1"/>
  <c r="AI955" i="1" l="1"/>
  <c r="AI954" i="1"/>
  <c r="A956" i="1"/>
  <c r="A957" i="1"/>
  <c r="AI957" i="1" l="1"/>
  <c r="AI956" i="1"/>
  <c r="A958" i="1"/>
  <c r="A959" i="1"/>
  <c r="AI959" i="1" l="1"/>
  <c r="AI958" i="1"/>
  <c r="A960" i="1"/>
  <c r="A961" i="1"/>
  <c r="AI961" i="1" l="1"/>
  <c r="AI960" i="1"/>
  <c r="A962" i="1"/>
  <c r="A963" i="1"/>
  <c r="AI963" i="1" l="1"/>
  <c r="AI962" i="1"/>
  <c r="A964" i="1"/>
  <c r="A965" i="1"/>
  <c r="AI965" i="1" l="1"/>
  <c r="AI964" i="1"/>
  <c r="A966" i="1"/>
  <c r="A967" i="1"/>
  <c r="AI967" i="1" l="1"/>
  <c r="AI966" i="1"/>
  <c r="A968" i="1"/>
  <c r="A969" i="1"/>
  <c r="AI969" i="1" l="1"/>
  <c r="AI968" i="1"/>
  <c r="A970" i="1"/>
  <c r="A971" i="1"/>
  <c r="AI971" i="1" l="1"/>
  <c r="AI970" i="1"/>
  <c r="A972" i="1"/>
  <c r="A973" i="1"/>
  <c r="AI973" i="1" l="1"/>
  <c r="AI972" i="1"/>
  <c r="A974" i="1"/>
  <c r="A975" i="1"/>
  <c r="AI975" i="1" l="1"/>
  <c r="AI974" i="1"/>
  <c r="A976" i="1"/>
  <c r="A977" i="1"/>
  <c r="AI977" i="1" l="1"/>
  <c r="AI976" i="1"/>
  <c r="A978" i="1"/>
  <c r="A979" i="1"/>
  <c r="AI979" i="1" l="1"/>
  <c r="AI978" i="1"/>
  <c r="A980" i="1"/>
  <c r="A981" i="1" s="1"/>
  <c r="AI981" i="1" l="1"/>
  <c r="AI980" i="1"/>
  <c r="A982" i="1"/>
  <c r="A983" i="1"/>
  <c r="AI983" i="1" l="1"/>
  <c r="AI982" i="1"/>
  <c r="A984" i="1"/>
  <c r="A985" i="1"/>
  <c r="AI985" i="1" l="1"/>
  <c r="AI984" i="1"/>
  <c r="A986" i="1"/>
  <c r="A987" i="1"/>
  <c r="AI987" i="1" l="1"/>
  <c r="AI986" i="1"/>
  <c r="A988" i="1"/>
  <c r="A989" i="1"/>
  <c r="AI989" i="1" l="1"/>
  <c r="AI988" i="1"/>
  <c r="A990" i="1"/>
  <c r="A991" i="1"/>
  <c r="AI991" i="1" l="1"/>
  <c r="AI990" i="1"/>
  <c r="A992" i="1"/>
  <c r="A993" i="1"/>
  <c r="AI993" i="1" l="1"/>
  <c r="AI992" i="1"/>
  <c r="A994" i="1"/>
  <c r="A995" i="1"/>
  <c r="AI995" i="1" l="1"/>
  <c r="AI994" i="1"/>
  <c r="A996" i="1"/>
  <c r="A997" i="1"/>
  <c r="AI997" i="1" l="1"/>
  <c r="AI996" i="1"/>
  <c r="A998" i="1"/>
  <c r="A999" i="1"/>
  <c r="AI999" i="1" l="1"/>
  <c r="AI998" i="1"/>
  <c r="A1000" i="1"/>
  <c r="A1001" i="1"/>
  <c r="AI1001" i="1" l="1"/>
  <c r="AI1000" i="1"/>
  <c r="A1002" i="1"/>
  <c r="A1003" i="1"/>
  <c r="AI1003" i="1" l="1"/>
  <c r="AI1002" i="1"/>
  <c r="A1004" i="1"/>
  <c r="A1005" i="1"/>
  <c r="AI1005" i="1" l="1"/>
  <c r="AI1004" i="1"/>
  <c r="A1006" i="1"/>
  <c r="AI1006" i="1" l="1"/>
  <c r="B1" i="3"/>
  <c r="B2" i="3" s="1"/>
  <c r="A3" i="2"/>
  <c r="A4" i="2"/>
  <c r="G4" i="2" l="1"/>
  <c r="R4" i="2"/>
  <c r="R3" i="2"/>
  <c r="G3" i="2"/>
  <c r="A5" i="2"/>
  <c r="B4" i="2"/>
  <c r="F3" i="2"/>
  <c r="J4" i="2"/>
  <c r="C3" i="2"/>
  <c r="F4" i="2"/>
  <c r="I4" i="2"/>
  <c r="H3" i="2"/>
  <c r="I3" i="2"/>
  <c r="B3" i="2"/>
  <c r="H4" i="2"/>
  <c r="J3" i="2"/>
  <c r="B3" i="5"/>
  <c r="C4" i="2"/>
  <c r="A6" i="2"/>
  <c r="R6" i="2" l="1"/>
  <c r="G6" i="2"/>
  <c r="G5" i="2"/>
  <c r="R5" i="2"/>
  <c r="E3" i="2"/>
  <c r="K3" i="2"/>
  <c r="L3" i="2"/>
  <c r="E4" i="2"/>
  <c r="K4" i="2"/>
  <c r="L4" i="2"/>
  <c r="B3" i="4"/>
  <c r="A7" i="2"/>
  <c r="I6" i="2"/>
  <c r="C5" i="2"/>
  <c r="C6" i="2"/>
  <c r="H3" i="5"/>
  <c r="F6" i="2"/>
  <c r="B5" i="2"/>
  <c r="E3" i="5"/>
  <c r="F3" i="5"/>
  <c r="N4" i="2"/>
  <c r="A8" i="2"/>
  <c r="B6" i="2"/>
  <c r="J5" i="2"/>
  <c r="N3" i="2"/>
  <c r="I5" i="2"/>
  <c r="C3" i="5"/>
  <c r="J6" i="2"/>
  <c r="F5" i="2"/>
  <c r="D3" i="5"/>
  <c r="G3" i="5"/>
  <c r="H6" i="2"/>
  <c r="H5" i="2"/>
  <c r="G8" i="2" l="1"/>
  <c r="R8" i="2"/>
  <c r="E5" i="2"/>
  <c r="L5" i="2"/>
  <c r="K5" i="2"/>
  <c r="E6" i="2"/>
  <c r="L6" i="2"/>
  <c r="K6" i="2"/>
  <c r="R7" i="2"/>
  <c r="G7" i="2"/>
  <c r="M4" i="2"/>
  <c r="O4" i="2" s="1"/>
  <c r="P4" i="2" s="1"/>
  <c r="Q4" i="2" s="1"/>
  <c r="M3" i="2"/>
  <c r="O3" i="2" s="1"/>
  <c r="P3" i="2" s="1"/>
  <c r="Q3" i="2" s="1"/>
  <c r="A3" i="5"/>
  <c r="J3" i="5"/>
  <c r="B4" i="4"/>
  <c r="G3" i="4"/>
  <c r="F3" i="4"/>
  <c r="H3" i="4"/>
  <c r="J3" i="4"/>
  <c r="J8" i="2"/>
  <c r="N5" i="2"/>
  <c r="F8" i="2"/>
  <c r="H7" i="2"/>
  <c r="B8" i="2"/>
  <c r="I7" i="2"/>
  <c r="A9" i="2"/>
  <c r="C8" i="2"/>
  <c r="B7" i="2"/>
  <c r="F7" i="2"/>
  <c r="C7" i="2"/>
  <c r="B4" i="5"/>
  <c r="I3" i="4"/>
  <c r="C3" i="4"/>
  <c r="D3" i="4"/>
  <c r="E3" i="4"/>
  <c r="H8" i="2"/>
  <c r="I8" i="2"/>
  <c r="N6" i="2"/>
  <c r="J7" i="2"/>
  <c r="B5" i="4"/>
  <c r="N3" i="4" l="1"/>
  <c r="A3" i="4"/>
  <c r="K3" i="4"/>
  <c r="M6" i="2"/>
  <c r="M5" i="2"/>
  <c r="O5" i="2" s="1"/>
  <c r="P5" i="2" s="1"/>
  <c r="Q5" i="2" s="1"/>
  <c r="E7" i="2"/>
  <c r="K7" i="2"/>
  <c r="L7" i="2"/>
  <c r="E8" i="2"/>
  <c r="K8" i="2"/>
  <c r="L8" i="2"/>
  <c r="G9" i="2"/>
  <c r="R9" i="2"/>
  <c r="O6" i="2"/>
  <c r="P6" i="2" s="1"/>
  <c r="Q6" i="2" s="1"/>
  <c r="I3" i="5"/>
  <c r="L3" i="4"/>
  <c r="E5" i="4"/>
  <c r="J5" i="4"/>
  <c r="F5" i="4"/>
  <c r="G5" i="4"/>
  <c r="F4" i="4"/>
  <c r="I4" i="4"/>
  <c r="E4" i="4"/>
  <c r="D4" i="4"/>
  <c r="F4" i="5"/>
  <c r="I9" i="2"/>
  <c r="G4" i="5"/>
  <c r="H9" i="2"/>
  <c r="B5" i="5"/>
  <c r="B9" i="2"/>
  <c r="C9" i="2"/>
  <c r="D4" i="5"/>
  <c r="N8" i="2"/>
  <c r="C4" i="5"/>
  <c r="J9" i="2"/>
  <c r="E4" i="5"/>
  <c r="F9" i="2"/>
  <c r="H4" i="5"/>
  <c r="N7" i="2"/>
  <c r="C5" i="4"/>
  <c r="H5" i="4"/>
  <c r="I5" i="4"/>
  <c r="D5" i="4"/>
  <c r="A10" i="2"/>
  <c r="G4" i="4"/>
  <c r="J4" i="4"/>
  <c r="C4" i="4"/>
  <c r="H4" i="4"/>
  <c r="A11" i="2"/>
  <c r="A12" i="2" s="1"/>
  <c r="N4" i="4" l="1"/>
  <c r="A4" i="4"/>
  <c r="G10" i="2"/>
  <c r="R10" i="2"/>
  <c r="K5" i="4"/>
  <c r="N5" i="4"/>
  <c r="A5" i="4"/>
  <c r="K4" i="4"/>
  <c r="L5" i="4"/>
  <c r="M8" i="2"/>
  <c r="O8" i="2" s="1"/>
  <c r="P8" i="2" s="1"/>
  <c r="Q8" i="2" s="1"/>
  <c r="K3" i="5"/>
  <c r="R12" i="2"/>
  <c r="G12" i="2"/>
  <c r="J4" i="5"/>
  <c r="A4" i="5"/>
  <c r="E9" i="2"/>
  <c r="L9" i="2"/>
  <c r="K9" i="2"/>
  <c r="G11" i="2"/>
  <c r="R11" i="2"/>
  <c r="J5" i="5"/>
  <c r="M7" i="2"/>
  <c r="M5" i="4"/>
  <c r="M3" i="4"/>
  <c r="B10" i="2"/>
  <c r="I10" i="2"/>
  <c r="J10" i="2"/>
  <c r="A13" i="2"/>
  <c r="J12" i="2"/>
  <c r="J11" i="2"/>
  <c r="B11" i="2"/>
  <c r="E5" i="5"/>
  <c r="H12" i="2"/>
  <c r="B12" i="2"/>
  <c r="N9" i="2"/>
  <c r="D5" i="5"/>
  <c r="C11" i="2"/>
  <c r="G5" i="5"/>
  <c r="C12" i="2"/>
  <c r="I11" i="2"/>
  <c r="H5" i="5"/>
  <c r="F11" i="2"/>
  <c r="F5" i="5"/>
  <c r="A14" i="2"/>
  <c r="F12" i="2"/>
  <c r="H11" i="2"/>
  <c r="C5" i="5"/>
  <c r="B6" i="5"/>
  <c r="I12" i="2"/>
  <c r="F10" i="2"/>
  <c r="C10" i="2"/>
  <c r="H10" i="2"/>
  <c r="B6" i="4"/>
  <c r="B7" i="4"/>
  <c r="L4" i="4" l="1"/>
  <c r="E10" i="2"/>
  <c r="K10" i="2"/>
  <c r="L10" i="2"/>
  <c r="I5" i="5"/>
  <c r="L3" i="5"/>
  <c r="M9" i="2"/>
  <c r="I6" i="5" s="1"/>
  <c r="R14" i="2"/>
  <c r="G14" i="2"/>
  <c r="J6" i="5"/>
  <c r="E11" i="2"/>
  <c r="L11" i="2"/>
  <c r="K11" i="2"/>
  <c r="A5" i="5"/>
  <c r="E12" i="2"/>
  <c r="L12" i="2"/>
  <c r="K12" i="2"/>
  <c r="G13" i="2"/>
  <c r="R13" i="2"/>
  <c r="I4" i="5"/>
  <c r="O7" i="2"/>
  <c r="P7" i="2" s="1"/>
  <c r="Q7" i="2" s="1"/>
  <c r="B8" i="4"/>
  <c r="I6" i="4"/>
  <c r="F6" i="4"/>
  <c r="D6" i="4"/>
  <c r="G6" i="4"/>
  <c r="F13" i="2"/>
  <c r="A15" i="2"/>
  <c r="F6" i="5"/>
  <c r="E6" i="4"/>
  <c r="C6" i="4"/>
  <c r="H6" i="4"/>
  <c r="J6" i="4"/>
  <c r="N10" i="2"/>
  <c r="E7" i="4"/>
  <c r="C14" i="2"/>
  <c r="D6" i="5"/>
  <c r="N12" i="2"/>
  <c r="I7" i="4"/>
  <c r="G6" i="5"/>
  <c r="I13" i="2"/>
  <c r="H7" i="4"/>
  <c r="H13" i="2"/>
  <c r="F7" i="4"/>
  <c r="I14" i="2"/>
  <c r="E6" i="5"/>
  <c r="D7" i="4"/>
  <c r="C6" i="5"/>
  <c r="B13" i="2"/>
  <c r="G7" i="4"/>
  <c r="B14" i="2"/>
  <c r="H6" i="5"/>
  <c r="C7" i="4"/>
  <c r="J14" i="2"/>
  <c r="C13" i="2"/>
  <c r="J13" i="2"/>
  <c r="J7" i="4"/>
  <c r="F14" i="2"/>
  <c r="N11" i="2"/>
  <c r="H14" i="2"/>
  <c r="B9" i="4"/>
  <c r="M4" i="4" l="1"/>
  <c r="K5" i="5"/>
  <c r="L5" i="5" s="1"/>
  <c r="M10" i="2"/>
  <c r="A6" i="4"/>
  <c r="N6" i="4"/>
  <c r="K6" i="4"/>
  <c r="L6" i="4" s="1"/>
  <c r="O10" i="2"/>
  <c r="P10" i="2" s="1"/>
  <c r="Q10" i="2" s="1"/>
  <c r="M3" i="5"/>
  <c r="O9" i="2"/>
  <c r="P9" i="2" s="1"/>
  <c r="Q9" i="2" s="1"/>
  <c r="K6" i="5"/>
  <c r="K4" i="5"/>
  <c r="M12" i="2"/>
  <c r="O12" i="2" s="1"/>
  <c r="P12" i="2" s="1"/>
  <c r="Q12" i="2" s="1"/>
  <c r="M11" i="2"/>
  <c r="O11" i="2" s="1"/>
  <c r="P11" i="2" s="1"/>
  <c r="Q11" i="2" s="1"/>
  <c r="E13" i="2"/>
  <c r="L13" i="2"/>
  <c r="K13" i="2"/>
  <c r="A6" i="5"/>
  <c r="K7" i="4"/>
  <c r="N7" i="4"/>
  <c r="A7" i="4"/>
  <c r="E14" i="2"/>
  <c r="K14" i="2"/>
  <c r="L14" i="2"/>
  <c r="R15" i="2"/>
  <c r="G15" i="2"/>
  <c r="B10" i="4"/>
  <c r="J8" i="4"/>
  <c r="C8" i="4"/>
  <c r="D8" i="4"/>
  <c r="I8" i="4"/>
  <c r="J9" i="4"/>
  <c r="N13" i="2"/>
  <c r="H15" i="2"/>
  <c r="F9" i="4"/>
  <c r="C15" i="2"/>
  <c r="F15" i="2"/>
  <c r="D9" i="4"/>
  <c r="N14" i="2"/>
  <c r="E9" i="4"/>
  <c r="I15" i="2"/>
  <c r="B11" i="4"/>
  <c r="A16" i="2"/>
  <c r="F8" i="4"/>
  <c r="G8" i="4"/>
  <c r="H8" i="4"/>
  <c r="E8" i="4"/>
  <c r="I9" i="4"/>
  <c r="B15" i="2"/>
  <c r="G9" i="4"/>
  <c r="C9" i="4"/>
  <c r="J15" i="2"/>
  <c r="H9" i="4"/>
  <c r="A17" i="2"/>
  <c r="M5" i="5" l="1"/>
  <c r="G16" i="2"/>
  <c r="R16" i="2"/>
  <c r="K8" i="4"/>
  <c r="N8" i="4"/>
  <c r="A8" i="4"/>
  <c r="M13" i="2"/>
  <c r="O13" i="2" s="1"/>
  <c r="P13" i="2" s="1"/>
  <c r="Q13" i="2" s="1"/>
  <c r="L6" i="5"/>
  <c r="M6" i="4"/>
  <c r="L4" i="5"/>
  <c r="E15" i="2"/>
  <c r="L15" i="2"/>
  <c r="K15" i="2"/>
  <c r="G17" i="2"/>
  <c r="R17" i="2"/>
  <c r="K9" i="4"/>
  <c r="N9" i="4"/>
  <c r="A9" i="4"/>
  <c r="M14" i="2"/>
  <c r="O14" i="2" s="1"/>
  <c r="P14" i="2" s="1"/>
  <c r="Q14" i="2" s="1"/>
  <c r="L8" i="4"/>
  <c r="L7" i="4"/>
  <c r="A18" i="2"/>
  <c r="F16" i="2"/>
  <c r="C16" i="2"/>
  <c r="B16" i="2"/>
  <c r="H16" i="2"/>
  <c r="E10" i="4"/>
  <c r="I10" i="4"/>
  <c r="C10" i="4"/>
  <c r="J10" i="4"/>
  <c r="G11" i="4"/>
  <c r="C11" i="4"/>
  <c r="H17" i="2"/>
  <c r="J16" i="2"/>
  <c r="I16" i="2"/>
  <c r="B12" i="4"/>
  <c r="G10" i="4"/>
  <c r="F10" i="4"/>
  <c r="H10" i="4"/>
  <c r="D10" i="4"/>
  <c r="H11" i="4"/>
  <c r="F17" i="2"/>
  <c r="D11" i="4"/>
  <c r="J11" i="4"/>
  <c r="A19" i="2"/>
  <c r="C17" i="2"/>
  <c r="I11" i="4"/>
  <c r="N15" i="2"/>
  <c r="B13" i="4"/>
  <c r="J17" i="2"/>
  <c r="F11" i="4"/>
  <c r="B17" i="2"/>
  <c r="I17" i="2"/>
  <c r="E11" i="4"/>
  <c r="N10" i="4" l="1"/>
  <c r="A10" i="4"/>
  <c r="K10" i="4"/>
  <c r="E16" i="2"/>
  <c r="L16" i="2"/>
  <c r="K16" i="2"/>
  <c r="G18" i="2"/>
  <c r="R18" i="2"/>
  <c r="M15" i="2"/>
  <c r="O15" i="2" s="1"/>
  <c r="P15" i="2" s="1"/>
  <c r="Q15" i="2" s="1"/>
  <c r="M6" i="5"/>
  <c r="M4" i="5"/>
  <c r="M7" i="4"/>
  <c r="M8" i="4"/>
  <c r="E17" i="2"/>
  <c r="K17" i="2"/>
  <c r="L17" i="2"/>
  <c r="K11" i="4"/>
  <c r="R19" i="2"/>
  <c r="G19" i="2"/>
  <c r="N11" i="4"/>
  <c r="A11" i="4"/>
  <c r="L9" i="4"/>
  <c r="L10" i="4"/>
  <c r="A20" i="2"/>
  <c r="D12" i="4"/>
  <c r="J12" i="4"/>
  <c r="G12" i="4"/>
  <c r="E12" i="4"/>
  <c r="N16" i="2"/>
  <c r="F18" i="2"/>
  <c r="C18" i="2"/>
  <c r="J18" i="2"/>
  <c r="C13" i="4"/>
  <c r="E13" i="4"/>
  <c r="A21" i="2"/>
  <c r="F13" i="4"/>
  <c r="B19" i="2"/>
  <c r="D13" i="4"/>
  <c r="C19" i="2"/>
  <c r="A22" i="2"/>
  <c r="B14" i="4"/>
  <c r="H13" i="4"/>
  <c r="I19" i="2"/>
  <c r="J13" i="4"/>
  <c r="G13" i="4"/>
  <c r="J19" i="2"/>
  <c r="I13" i="4"/>
  <c r="N17" i="2"/>
  <c r="H19" i="2"/>
  <c r="F19" i="2"/>
  <c r="I12" i="4"/>
  <c r="H12" i="4"/>
  <c r="C12" i="4"/>
  <c r="F12" i="4"/>
  <c r="I18" i="2"/>
  <c r="H18" i="2"/>
  <c r="B18" i="2"/>
  <c r="M16" i="2" l="1"/>
  <c r="L18" i="2"/>
  <c r="E18" i="2"/>
  <c r="K18" i="2"/>
  <c r="M18" i="2" s="1"/>
  <c r="N12" i="4"/>
  <c r="A12" i="4"/>
  <c r="K12" i="4"/>
  <c r="G20" i="2"/>
  <c r="R20" i="2"/>
  <c r="O16" i="2"/>
  <c r="P16" i="2" s="1"/>
  <c r="Q16" i="2" s="1"/>
  <c r="M10" i="4"/>
  <c r="M9" i="4"/>
  <c r="R22" i="2"/>
  <c r="G22" i="2"/>
  <c r="G21" i="2"/>
  <c r="R21" i="2"/>
  <c r="K13" i="4"/>
  <c r="E19" i="2"/>
  <c r="L19" i="2"/>
  <c r="K19" i="2"/>
  <c r="A13" i="4"/>
  <c r="N13" i="4"/>
  <c r="L12" i="4"/>
  <c r="L11" i="4"/>
  <c r="M17" i="2"/>
  <c r="O17" i="2" s="1"/>
  <c r="P17" i="2" s="1"/>
  <c r="Q17" i="2" s="1"/>
  <c r="B15" i="4"/>
  <c r="H20" i="2"/>
  <c r="I20" i="2"/>
  <c r="F20" i="2"/>
  <c r="B7" i="5" s="1"/>
  <c r="A23" i="2"/>
  <c r="I22" i="2"/>
  <c r="N19" i="2"/>
  <c r="F14" i="4"/>
  <c r="C22" i="2"/>
  <c r="C21" i="2"/>
  <c r="I14" i="4"/>
  <c r="D14" i="4"/>
  <c r="H21" i="2"/>
  <c r="J14" i="4"/>
  <c r="H22" i="2"/>
  <c r="J21" i="2"/>
  <c r="J22" i="2"/>
  <c r="B21" i="2"/>
  <c r="F21" i="2"/>
  <c r="H14" i="4"/>
  <c r="C14" i="4"/>
  <c r="N18" i="2"/>
  <c r="B20" i="2"/>
  <c r="C20" i="2"/>
  <c r="J20" i="2"/>
  <c r="B22" i="2"/>
  <c r="I21" i="2"/>
  <c r="E14" i="4"/>
  <c r="G14" i="4"/>
  <c r="A24" i="2"/>
  <c r="F22" i="2"/>
  <c r="B8" i="5"/>
  <c r="K20" i="2" l="1"/>
  <c r="E20" i="2"/>
  <c r="L20" i="2"/>
  <c r="O18" i="2"/>
  <c r="P18" i="2" s="1"/>
  <c r="Q18" i="2" s="1"/>
  <c r="M11" i="4"/>
  <c r="M12" i="4"/>
  <c r="G24" i="2"/>
  <c r="R24" i="2"/>
  <c r="K14" i="4"/>
  <c r="E21" i="2"/>
  <c r="L21" i="2"/>
  <c r="K21" i="2"/>
  <c r="A14" i="4"/>
  <c r="N14" i="4"/>
  <c r="E22" i="2"/>
  <c r="L22" i="2"/>
  <c r="K22" i="2"/>
  <c r="G23" i="2"/>
  <c r="R23" i="2"/>
  <c r="L13" i="4"/>
  <c r="M19" i="2"/>
  <c r="O19" i="2" s="1"/>
  <c r="P19" i="2" s="1"/>
  <c r="Q19" i="2" s="1"/>
  <c r="H7" i="5"/>
  <c r="E7" i="5"/>
  <c r="G7" i="5"/>
  <c r="J15" i="4"/>
  <c r="I15" i="4"/>
  <c r="E15" i="4"/>
  <c r="F15" i="4"/>
  <c r="I24" i="2"/>
  <c r="J23" i="2"/>
  <c r="G8" i="5"/>
  <c r="F24" i="2"/>
  <c r="C23" i="2"/>
  <c r="N20" i="2"/>
  <c r="D7" i="5"/>
  <c r="C7" i="5"/>
  <c r="F7" i="5"/>
  <c r="D15" i="4"/>
  <c r="C15" i="4"/>
  <c r="G15" i="4"/>
  <c r="H15" i="4"/>
  <c r="B9" i="5"/>
  <c r="C24" i="2"/>
  <c r="E8" i="5"/>
  <c r="H24" i="2"/>
  <c r="I23" i="2"/>
  <c r="B23" i="2"/>
  <c r="F8" i="5"/>
  <c r="J24" i="2"/>
  <c r="H8" i="5"/>
  <c r="B24" i="2"/>
  <c r="F23" i="2"/>
  <c r="B3" i="7" s="1"/>
  <c r="H23" i="2"/>
  <c r="D8" i="5"/>
  <c r="N21" i="2"/>
  <c r="A25" i="2"/>
  <c r="A26" i="2"/>
  <c r="C8" i="5"/>
  <c r="N22" i="2"/>
  <c r="M20" i="2" l="1"/>
  <c r="I7" i="5" s="1"/>
  <c r="N15" i="4"/>
  <c r="A15" i="4"/>
  <c r="A7" i="5"/>
  <c r="J7" i="5"/>
  <c r="K15" i="4"/>
  <c r="M21" i="2"/>
  <c r="I8" i="5" s="1"/>
  <c r="M13" i="4"/>
  <c r="R26" i="2"/>
  <c r="G26" i="2"/>
  <c r="E23" i="2"/>
  <c r="K23" i="2"/>
  <c r="L23" i="2"/>
  <c r="E24" i="2"/>
  <c r="L24" i="2"/>
  <c r="K24" i="2"/>
  <c r="R25" i="2"/>
  <c r="G25" i="2"/>
  <c r="A8" i="5"/>
  <c r="J8" i="5"/>
  <c r="J9" i="5"/>
  <c r="M22" i="2"/>
  <c r="O22" i="2" s="1"/>
  <c r="P22" i="2" s="1"/>
  <c r="Q22" i="2" s="1"/>
  <c r="L14" i="4"/>
  <c r="L15" i="4"/>
  <c r="F3" i="7"/>
  <c r="N24" i="2"/>
  <c r="B10" i="5"/>
  <c r="J25" i="2"/>
  <c r="C3" i="7"/>
  <c r="H26" i="2"/>
  <c r="C25" i="2"/>
  <c r="D3" i="7"/>
  <c r="I26" i="2"/>
  <c r="B25" i="2"/>
  <c r="G3" i="7"/>
  <c r="N23" i="2"/>
  <c r="B26" i="2"/>
  <c r="I25" i="2"/>
  <c r="H9" i="5"/>
  <c r="F9" i="5"/>
  <c r="A27" i="2"/>
  <c r="A28" i="2" s="1"/>
  <c r="C26" i="2"/>
  <c r="C9" i="5"/>
  <c r="H25" i="2"/>
  <c r="E3" i="7"/>
  <c r="F25" i="2"/>
  <c r="D9" i="5"/>
  <c r="G9" i="5"/>
  <c r="H3" i="7"/>
  <c r="J26" i="2"/>
  <c r="B16" i="4"/>
  <c r="E9" i="5"/>
  <c r="F26" i="2"/>
  <c r="O21" i="2" l="1"/>
  <c r="P21" i="2" s="1"/>
  <c r="Q21" i="2" s="1"/>
  <c r="O20" i="2"/>
  <c r="P20" i="2" s="1"/>
  <c r="Q20" i="2" s="1"/>
  <c r="M14" i="4"/>
  <c r="M15" i="4"/>
  <c r="K8" i="5"/>
  <c r="K7" i="5"/>
  <c r="R28" i="2"/>
  <c r="G28" i="2"/>
  <c r="A9" i="5"/>
  <c r="J3" i="7"/>
  <c r="G27" i="2"/>
  <c r="R27" i="2"/>
  <c r="A3" i="7"/>
  <c r="J10" i="5"/>
  <c r="E25" i="2"/>
  <c r="K25" i="2"/>
  <c r="L25" i="2"/>
  <c r="E26" i="2"/>
  <c r="K26" i="2"/>
  <c r="L26" i="2"/>
  <c r="L8" i="5"/>
  <c r="I9" i="5"/>
  <c r="M24" i="2"/>
  <c r="O24" i="2" s="1"/>
  <c r="P24" i="2" s="1"/>
  <c r="Q24" i="2" s="1"/>
  <c r="M23" i="2"/>
  <c r="B17" i="4"/>
  <c r="H10" i="5"/>
  <c r="B28" i="2"/>
  <c r="J27" i="2"/>
  <c r="H28" i="2"/>
  <c r="E16" i="4"/>
  <c r="C10" i="5"/>
  <c r="A29" i="2"/>
  <c r="C28" i="2"/>
  <c r="G16" i="4"/>
  <c r="N26" i="2"/>
  <c r="I28" i="2"/>
  <c r="H27" i="2"/>
  <c r="N25" i="2"/>
  <c r="F28" i="2"/>
  <c r="B27" i="2"/>
  <c r="H16" i="4"/>
  <c r="J16" i="4"/>
  <c r="F10" i="5"/>
  <c r="I16" i="4"/>
  <c r="C27" i="2"/>
  <c r="G10" i="5"/>
  <c r="J28" i="2"/>
  <c r="C16" i="4"/>
  <c r="F27" i="2"/>
  <c r="B11" i="5" s="1"/>
  <c r="D10" i="5"/>
  <c r="D16" i="4"/>
  <c r="I27" i="2"/>
  <c r="F16" i="4"/>
  <c r="E10" i="5"/>
  <c r="L7" i="5" l="1"/>
  <c r="K9" i="5"/>
  <c r="M8" i="5"/>
  <c r="E27" i="2"/>
  <c r="K27" i="2"/>
  <c r="L27" i="2"/>
  <c r="N16" i="4"/>
  <c r="A16" i="4"/>
  <c r="E28" i="2"/>
  <c r="K28" i="2"/>
  <c r="L28" i="2"/>
  <c r="R29" i="2"/>
  <c r="G29" i="2"/>
  <c r="A10" i="5"/>
  <c r="K16" i="4"/>
  <c r="M25" i="2"/>
  <c r="O25" i="2" s="1"/>
  <c r="P25" i="2" s="1"/>
  <c r="Q25" i="2" s="1"/>
  <c r="I10" i="5"/>
  <c r="O23" i="2"/>
  <c r="P23" i="2" s="1"/>
  <c r="Q23" i="2" s="1"/>
  <c r="I3" i="7"/>
  <c r="M26" i="2"/>
  <c r="O26" i="2" s="1"/>
  <c r="P26" i="2" s="1"/>
  <c r="Q26" i="2" s="1"/>
  <c r="A30" i="2"/>
  <c r="F17" i="4"/>
  <c r="I17" i="4"/>
  <c r="D17" i="4"/>
  <c r="J17" i="4"/>
  <c r="A31" i="2"/>
  <c r="F11" i="5"/>
  <c r="J29" i="2"/>
  <c r="E11" i="5"/>
  <c r="N28" i="2"/>
  <c r="H11" i="5"/>
  <c r="B12" i="5"/>
  <c r="F29" i="2"/>
  <c r="G11" i="5"/>
  <c r="C29" i="2"/>
  <c r="H29" i="2"/>
  <c r="D11" i="5"/>
  <c r="A32" i="2"/>
  <c r="B29" i="2"/>
  <c r="N27" i="2"/>
  <c r="C11" i="5"/>
  <c r="I29" i="2"/>
  <c r="B4" i="7"/>
  <c r="C17" i="4"/>
  <c r="H17" i="4"/>
  <c r="E17" i="4"/>
  <c r="G17" i="4"/>
  <c r="A17" i="4" l="1"/>
  <c r="N17" i="4"/>
  <c r="K17" i="4"/>
  <c r="R30" i="2"/>
  <c r="G30" i="2"/>
  <c r="M7" i="5"/>
  <c r="L9" i="5"/>
  <c r="K3" i="7"/>
  <c r="K10" i="5"/>
  <c r="M28" i="2"/>
  <c r="O28" i="2" s="1"/>
  <c r="P28" i="2" s="1"/>
  <c r="Q28" i="2" s="1"/>
  <c r="R32" i="2"/>
  <c r="G32" i="2"/>
  <c r="J11" i="5"/>
  <c r="E29" i="2"/>
  <c r="K29" i="2"/>
  <c r="L29" i="2"/>
  <c r="A11" i="5"/>
  <c r="J12" i="5"/>
  <c r="G31" i="2"/>
  <c r="R31" i="2"/>
  <c r="L16" i="4"/>
  <c r="M27" i="2"/>
  <c r="C30" i="2"/>
  <c r="F30" i="2"/>
  <c r="J30" i="2"/>
  <c r="F32" i="2"/>
  <c r="H30" i="2"/>
  <c r="B30" i="2"/>
  <c r="I30" i="2"/>
  <c r="E4" i="7"/>
  <c r="C32" i="2"/>
  <c r="N29" i="2"/>
  <c r="H31" i="2"/>
  <c r="D4" i="7"/>
  <c r="I31" i="2"/>
  <c r="G4" i="7"/>
  <c r="G12" i="5"/>
  <c r="B5" i="7"/>
  <c r="A33" i="2"/>
  <c r="A34" i="2" s="1"/>
  <c r="I32" i="2"/>
  <c r="C31" i="2"/>
  <c r="C12" i="5"/>
  <c r="H4" i="7"/>
  <c r="B32" i="2"/>
  <c r="H12" i="5"/>
  <c r="F31" i="2"/>
  <c r="B18" i="4" s="1"/>
  <c r="H32" i="2"/>
  <c r="E12" i="5"/>
  <c r="B31" i="2"/>
  <c r="D12" i="5"/>
  <c r="J31" i="2"/>
  <c r="F4" i="7"/>
  <c r="J32" i="2"/>
  <c r="F12" i="5"/>
  <c r="C4" i="7"/>
  <c r="M9" i="5" l="1"/>
  <c r="L17" i="4"/>
  <c r="I12" i="5"/>
  <c r="L30" i="2"/>
  <c r="E30" i="2"/>
  <c r="K30" i="2"/>
  <c r="M30" i="2" s="1"/>
  <c r="L3" i="7"/>
  <c r="L10" i="5"/>
  <c r="K12" i="5"/>
  <c r="M29" i="2"/>
  <c r="I4" i="7" s="1"/>
  <c r="M16" i="4"/>
  <c r="R34" i="2"/>
  <c r="G34" i="2"/>
  <c r="E31" i="2"/>
  <c r="K31" i="2"/>
  <c r="L31" i="2"/>
  <c r="A12" i="5"/>
  <c r="A4" i="7"/>
  <c r="J4" i="7"/>
  <c r="E32" i="2"/>
  <c r="L32" i="2"/>
  <c r="K32" i="2"/>
  <c r="R33" i="2"/>
  <c r="G33" i="2"/>
  <c r="O27" i="2"/>
  <c r="P27" i="2" s="1"/>
  <c r="Q27" i="2" s="1"/>
  <c r="I11" i="5"/>
  <c r="A35" i="2"/>
  <c r="N30" i="2"/>
  <c r="B19" i="4"/>
  <c r="F34" i="2"/>
  <c r="D18" i="4"/>
  <c r="B33" i="2"/>
  <c r="J33" i="2"/>
  <c r="I34" i="2"/>
  <c r="C18" i="4"/>
  <c r="E18" i="4"/>
  <c r="J34" i="2"/>
  <c r="N32" i="2"/>
  <c r="G18" i="4"/>
  <c r="C34" i="2"/>
  <c r="F33" i="2"/>
  <c r="I33" i="2"/>
  <c r="D5" i="7"/>
  <c r="B34" i="2"/>
  <c r="H34" i="2"/>
  <c r="G5" i="7"/>
  <c r="B20" i="4"/>
  <c r="B21" i="4" s="1"/>
  <c r="J18" i="4"/>
  <c r="N31" i="2"/>
  <c r="H5" i="7"/>
  <c r="F5" i="7"/>
  <c r="H18" i="4"/>
  <c r="H33" i="2"/>
  <c r="C5" i="7"/>
  <c r="I18" i="4"/>
  <c r="E5" i="7"/>
  <c r="F18" i="4"/>
  <c r="C33" i="2"/>
  <c r="A36" i="2"/>
  <c r="M17" i="4" l="1"/>
  <c r="L12" i="5"/>
  <c r="M12" i="5" s="1"/>
  <c r="G36" i="2"/>
  <c r="R36" i="2"/>
  <c r="J5" i="7"/>
  <c r="R35" i="2"/>
  <c r="G35" i="2"/>
  <c r="O30" i="2"/>
  <c r="P30" i="2" s="1"/>
  <c r="Q30" i="2" s="1"/>
  <c r="M10" i="5"/>
  <c r="M3" i="7"/>
  <c r="I5" i="7"/>
  <c r="O29" i="2"/>
  <c r="P29" i="2" s="1"/>
  <c r="Q29" i="2" s="1"/>
  <c r="K4" i="7"/>
  <c r="M32" i="2"/>
  <c r="O32" i="2" s="1"/>
  <c r="P32" i="2" s="1"/>
  <c r="Q32" i="2" s="1"/>
  <c r="K11" i="5"/>
  <c r="L11" i="5" s="1"/>
  <c r="E33" i="2"/>
  <c r="K33" i="2"/>
  <c r="L33" i="2"/>
  <c r="A5" i="7"/>
  <c r="A18" i="4"/>
  <c r="N18" i="4"/>
  <c r="K18" i="4"/>
  <c r="E34" i="2"/>
  <c r="K34" i="2"/>
  <c r="L34" i="2"/>
  <c r="M31" i="2"/>
  <c r="O31" i="2" s="1"/>
  <c r="P31" i="2" s="1"/>
  <c r="Q31" i="2" s="1"/>
  <c r="A37" i="2"/>
  <c r="J36" i="2"/>
  <c r="H36" i="2"/>
  <c r="F36" i="2"/>
  <c r="C36" i="2"/>
  <c r="F19" i="4"/>
  <c r="J19" i="4"/>
  <c r="C19" i="4"/>
  <c r="G19" i="4"/>
  <c r="C35" i="2"/>
  <c r="F35" i="2"/>
  <c r="G21" i="4"/>
  <c r="D20" i="4"/>
  <c r="I21" i="4"/>
  <c r="G20" i="4"/>
  <c r="J21" i="4"/>
  <c r="F20" i="4"/>
  <c r="N33" i="2"/>
  <c r="I20" i="4"/>
  <c r="C21" i="4"/>
  <c r="J20" i="4"/>
  <c r="I36" i="2"/>
  <c r="B36" i="2"/>
  <c r="D19" i="4"/>
  <c r="I19" i="4"/>
  <c r="H19" i="4"/>
  <c r="E19" i="4"/>
  <c r="B35" i="2"/>
  <c r="H35" i="2"/>
  <c r="J35" i="2"/>
  <c r="I35" i="2"/>
  <c r="H21" i="4"/>
  <c r="C20" i="4"/>
  <c r="H20" i="4"/>
  <c r="E21" i="4"/>
  <c r="E20" i="4"/>
  <c r="F21" i="4"/>
  <c r="N34" i="2"/>
  <c r="D21" i="4"/>
  <c r="B3" i="6"/>
  <c r="B13" i="5"/>
  <c r="K5" i="7" l="1"/>
  <c r="E35" i="2"/>
  <c r="L35" i="2"/>
  <c r="K35" i="2"/>
  <c r="K19" i="4"/>
  <c r="E36" i="2"/>
  <c r="L36" i="2"/>
  <c r="K36" i="2"/>
  <c r="A19" i="4"/>
  <c r="N19" i="4"/>
  <c r="G37" i="2"/>
  <c r="R37" i="2"/>
  <c r="L4" i="7"/>
  <c r="M11" i="5"/>
  <c r="K20" i="4"/>
  <c r="L20" i="4" s="1"/>
  <c r="M20" i="4" s="1"/>
  <c r="A21" i="4"/>
  <c r="N21" i="4"/>
  <c r="A20" i="4"/>
  <c r="N20" i="4"/>
  <c r="K21" i="4"/>
  <c r="L19" i="4"/>
  <c r="L18" i="4"/>
  <c r="L5" i="7"/>
  <c r="M34" i="2"/>
  <c r="O34" i="2" s="1"/>
  <c r="P34" i="2" s="1"/>
  <c r="Q34" i="2" s="1"/>
  <c r="M33" i="2"/>
  <c r="O33" i="2" s="1"/>
  <c r="P33" i="2" s="1"/>
  <c r="Q33" i="2" s="1"/>
  <c r="G13" i="5"/>
  <c r="H13" i="5"/>
  <c r="C13" i="5"/>
  <c r="E3" i="6"/>
  <c r="H3" i="6"/>
  <c r="C3" i="6"/>
  <c r="A38" i="2"/>
  <c r="B37" i="2"/>
  <c r="H37" i="2"/>
  <c r="J37" i="2"/>
  <c r="I37" i="2"/>
  <c r="F37" i="2"/>
  <c r="C37" i="2"/>
  <c r="E13" i="5"/>
  <c r="F13" i="5"/>
  <c r="D13" i="5"/>
  <c r="G3" i="6"/>
  <c r="D3" i="6"/>
  <c r="F3" i="6"/>
  <c r="N35" i="2"/>
  <c r="N36" i="2"/>
  <c r="B22" i="4"/>
  <c r="M36" i="2" l="1"/>
  <c r="O36" i="2" s="1"/>
  <c r="P36" i="2" s="1"/>
  <c r="Q36" i="2" s="1"/>
  <c r="M35" i="2"/>
  <c r="I13" i="5" s="1"/>
  <c r="J3" i="6"/>
  <c r="J13" i="5"/>
  <c r="E37" i="2"/>
  <c r="K37" i="2"/>
  <c r="L37" i="2"/>
  <c r="R38" i="2"/>
  <c r="G38" i="2"/>
  <c r="A3" i="6"/>
  <c r="A13" i="5"/>
  <c r="O35" i="2"/>
  <c r="P35" i="2" s="1"/>
  <c r="Q35" i="2" s="1"/>
  <c r="M4" i="7"/>
  <c r="L21" i="4"/>
  <c r="M19" i="4"/>
  <c r="M5" i="7"/>
  <c r="M18" i="4"/>
  <c r="E22" i="4"/>
  <c r="G22" i="4"/>
  <c r="H22" i="4"/>
  <c r="D22" i="4"/>
  <c r="N37" i="2"/>
  <c r="I38" i="2"/>
  <c r="J38" i="2"/>
  <c r="C22" i="4"/>
  <c r="I22" i="4"/>
  <c r="J22" i="4"/>
  <c r="F22" i="4"/>
  <c r="A39" i="2"/>
  <c r="H38" i="2"/>
  <c r="C38" i="2"/>
  <c r="B38" i="2"/>
  <c r="F38" i="2"/>
  <c r="A40" i="2"/>
  <c r="B23" i="4"/>
  <c r="I3" i="6" l="1"/>
  <c r="K13" i="5"/>
  <c r="G40" i="2"/>
  <c r="R40" i="2"/>
  <c r="E38" i="2"/>
  <c r="L38" i="2"/>
  <c r="K38" i="2"/>
  <c r="G39" i="2"/>
  <c r="R39" i="2"/>
  <c r="K22" i="4"/>
  <c r="A22" i="4"/>
  <c r="N22" i="4"/>
  <c r="M37" i="2"/>
  <c r="O37" i="2" s="1"/>
  <c r="P37" i="2" s="1"/>
  <c r="Q37" i="2" s="1"/>
  <c r="M21" i="4"/>
  <c r="K3" i="6"/>
  <c r="G23" i="4"/>
  <c r="E23" i="4"/>
  <c r="J23" i="4"/>
  <c r="C23" i="4"/>
  <c r="A41" i="2"/>
  <c r="C40" i="2"/>
  <c r="J40" i="2"/>
  <c r="F40" i="2"/>
  <c r="B40" i="2"/>
  <c r="N38" i="2"/>
  <c r="I39" i="2"/>
  <c r="F39" i="2"/>
  <c r="J39" i="2"/>
  <c r="D23" i="4"/>
  <c r="I23" i="4"/>
  <c r="F23" i="4"/>
  <c r="H23" i="4"/>
  <c r="I40" i="2"/>
  <c r="H40" i="2"/>
  <c r="H39" i="2"/>
  <c r="C39" i="2"/>
  <c r="B39" i="2"/>
  <c r="B14" i="5"/>
  <c r="B15" i="5"/>
  <c r="L22" i="4" l="1"/>
  <c r="M22" i="4" s="1"/>
  <c r="L13" i="5"/>
  <c r="M38" i="2"/>
  <c r="E39" i="2"/>
  <c r="K39" i="2"/>
  <c r="L39" i="2"/>
  <c r="K23" i="4"/>
  <c r="E40" i="2"/>
  <c r="K40" i="2"/>
  <c r="L40" i="2"/>
  <c r="R41" i="2"/>
  <c r="G41" i="2"/>
  <c r="N23" i="4"/>
  <c r="A23" i="4"/>
  <c r="O38" i="2"/>
  <c r="P38" i="2" s="1"/>
  <c r="Q38" i="2" s="1"/>
  <c r="L3" i="6"/>
  <c r="E15" i="5"/>
  <c r="G15" i="5"/>
  <c r="F15" i="5"/>
  <c r="G14" i="5"/>
  <c r="C14" i="5"/>
  <c r="D14" i="5"/>
  <c r="N39" i="2"/>
  <c r="N40" i="2"/>
  <c r="I41" i="2"/>
  <c r="C41" i="2"/>
  <c r="F41" i="2"/>
  <c r="D15" i="5"/>
  <c r="C15" i="5"/>
  <c r="H15" i="5"/>
  <c r="H14" i="5"/>
  <c r="F14" i="5"/>
  <c r="E14" i="5"/>
  <c r="A42" i="2"/>
  <c r="B41" i="2"/>
  <c r="H41" i="2"/>
  <c r="J41" i="2"/>
  <c r="B16" i="5"/>
  <c r="L23" i="4" l="1"/>
  <c r="M13" i="5"/>
  <c r="E41" i="2"/>
  <c r="K41" i="2"/>
  <c r="L41" i="2"/>
  <c r="G42" i="2"/>
  <c r="R42" i="2"/>
  <c r="A15" i="5"/>
  <c r="J15" i="5"/>
  <c r="J14" i="5"/>
  <c r="A14" i="5"/>
  <c r="M40" i="2"/>
  <c r="M39" i="2"/>
  <c r="M3" i="6"/>
  <c r="F16" i="5"/>
  <c r="H16" i="5"/>
  <c r="E16" i="5"/>
  <c r="A43" i="2"/>
  <c r="H42" i="2"/>
  <c r="C42" i="2"/>
  <c r="F42" i="2"/>
  <c r="I42" i="2"/>
  <c r="B42" i="2"/>
  <c r="J42" i="2"/>
  <c r="C16" i="5"/>
  <c r="D16" i="5"/>
  <c r="G16" i="5"/>
  <c r="N41" i="2"/>
  <c r="A44" i="2"/>
  <c r="B17" i="5"/>
  <c r="M23" i="4" l="1"/>
  <c r="G44" i="2"/>
  <c r="R44" i="2"/>
  <c r="J16" i="5"/>
  <c r="A16" i="5"/>
  <c r="E42" i="2"/>
  <c r="L42" i="2"/>
  <c r="K42" i="2"/>
  <c r="R43" i="2"/>
  <c r="G43" i="2"/>
  <c r="O39" i="2"/>
  <c r="P39" i="2" s="1"/>
  <c r="Q39" i="2" s="1"/>
  <c r="I14" i="5"/>
  <c r="O40" i="2"/>
  <c r="P40" i="2" s="1"/>
  <c r="Q40" i="2" s="1"/>
  <c r="I15" i="5"/>
  <c r="M41" i="2"/>
  <c r="D92" i="2"/>
  <c r="D74" i="2"/>
  <c r="D88" i="2"/>
  <c r="D90" i="2"/>
  <c r="D71" i="2"/>
  <c r="D69" i="2"/>
  <c r="D78" i="2"/>
  <c r="D72" i="2"/>
  <c r="D82" i="2"/>
  <c r="D75" i="2"/>
  <c r="D87" i="2"/>
  <c r="D89" i="2"/>
  <c r="D76" i="2"/>
  <c r="D86" i="2"/>
  <c r="D93" i="2"/>
  <c r="D85" i="2"/>
  <c r="D70" i="2"/>
  <c r="D77" i="2"/>
  <c r="D83" i="2"/>
  <c r="D81" i="2"/>
  <c r="D80" i="2"/>
  <c r="D91" i="2"/>
  <c r="D73" i="2"/>
  <c r="D79" i="2"/>
  <c r="D84" i="2"/>
  <c r="E17" i="5"/>
  <c r="G17" i="5"/>
  <c r="D17" i="5"/>
  <c r="H17" i="5"/>
  <c r="C44" i="2"/>
  <c r="B44" i="2"/>
  <c r="H43" i="2"/>
  <c r="B43" i="2"/>
  <c r="F17" i="5"/>
  <c r="C17" i="5"/>
  <c r="A45" i="2"/>
  <c r="I44" i="2"/>
  <c r="F44" i="2"/>
  <c r="H44" i="2"/>
  <c r="J44" i="2"/>
  <c r="N42" i="2"/>
  <c r="I43" i="2"/>
  <c r="F43" i="2"/>
  <c r="C43" i="2"/>
  <c r="J43" i="2"/>
  <c r="B18" i="5"/>
  <c r="K15" i="5" l="1"/>
  <c r="K14" i="5"/>
  <c r="J17" i="5"/>
  <c r="R45" i="2"/>
  <c r="G45" i="2"/>
  <c r="A17" i="5"/>
  <c r="E43" i="2"/>
  <c r="L43" i="2"/>
  <c r="K43" i="2"/>
  <c r="E44" i="2"/>
  <c r="K44" i="2"/>
  <c r="L44" i="2"/>
  <c r="O41" i="2"/>
  <c r="P41" i="2" s="1"/>
  <c r="Q41" i="2" s="1"/>
  <c r="I16" i="5"/>
  <c r="M42" i="2"/>
  <c r="L15" i="5"/>
  <c r="L14" i="5"/>
  <c r="D34" i="2"/>
  <c r="D6" i="2"/>
  <c r="D13" i="2"/>
  <c r="D15" i="2"/>
  <c r="D19" i="2"/>
  <c r="D10" i="2"/>
  <c r="D16" i="2"/>
  <c r="D26" i="2"/>
  <c r="D17" i="2"/>
  <c r="D38" i="2"/>
  <c r="D31" i="2"/>
  <c r="D5" i="2"/>
  <c r="D12" i="2"/>
  <c r="D14" i="2"/>
  <c r="D18" i="2"/>
  <c r="D32" i="2"/>
  <c r="D11" i="2"/>
  <c r="D25" i="2"/>
  <c r="D4" i="2"/>
  <c r="D37" i="2"/>
  <c r="B19" i="5"/>
  <c r="D18" i="5"/>
  <c r="C18" i="5"/>
  <c r="E18" i="5"/>
  <c r="J45" i="2"/>
  <c r="F45" i="2"/>
  <c r="N43" i="2"/>
  <c r="H18" i="5"/>
  <c r="G18" i="5"/>
  <c r="F18" i="5"/>
  <c r="A46" i="2"/>
  <c r="C45" i="2"/>
  <c r="H45" i="2"/>
  <c r="I45" i="2"/>
  <c r="B45" i="2"/>
  <c r="N44" i="2"/>
  <c r="B6" i="7"/>
  <c r="M15" i="5" l="1"/>
  <c r="K16" i="5"/>
  <c r="L16" i="5" s="1"/>
  <c r="M14" i="5"/>
  <c r="E45" i="2"/>
  <c r="L45" i="2"/>
  <c r="K45" i="2"/>
  <c r="G46" i="2"/>
  <c r="R46" i="2"/>
  <c r="J18" i="5"/>
  <c r="A18" i="5"/>
  <c r="J19" i="5"/>
  <c r="O42" i="2"/>
  <c r="P42" i="2" s="1"/>
  <c r="Q42" i="2" s="1"/>
  <c r="I17" i="5"/>
  <c r="M44" i="2"/>
  <c r="O44" i="2" s="1"/>
  <c r="P44" i="2" s="1"/>
  <c r="Q44" i="2" s="1"/>
  <c r="M43" i="2"/>
  <c r="E6" i="7"/>
  <c r="C6" i="7"/>
  <c r="G6" i="7"/>
  <c r="A47" i="2"/>
  <c r="F46" i="2"/>
  <c r="C46" i="2"/>
  <c r="I46" i="2"/>
  <c r="B20" i="5"/>
  <c r="G19" i="5"/>
  <c r="C19" i="5"/>
  <c r="D19" i="5"/>
  <c r="J46" i="2"/>
  <c r="B46" i="2"/>
  <c r="H46" i="2"/>
  <c r="D6" i="7"/>
  <c r="H6" i="7"/>
  <c r="F6" i="7"/>
  <c r="N45" i="2"/>
  <c r="F19" i="5"/>
  <c r="E19" i="5"/>
  <c r="H19" i="5"/>
  <c r="A48" i="2"/>
  <c r="K17" i="5" l="1"/>
  <c r="L17" i="5" s="1"/>
  <c r="M16" i="5"/>
  <c r="M45" i="2"/>
  <c r="O45" i="2" s="1"/>
  <c r="P45" i="2" s="1"/>
  <c r="Q45" i="2" s="1"/>
  <c r="R48" i="2"/>
  <c r="G48" i="2"/>
  <c r="J6" i="7"/>
  <c r="E46" i="2"/>
  <c r="L46" i="2"/>
  <c r="K46" i="2"/>
  <c r="A19" i="5"/>
  <c r="R47" i="2"/>
  <c r="G47" i="2"/>
  <c r="A6" i="7"/>
  <c r="O43" i="2"/>
  <c r="P43" i="2" s="1"/>
  <c r="Q43" i="2" s="1"/>
  <c r="I18" i="5"/>
  <c r="I19" i="5"/>
  <c r="A49" i="2"/>
  <c r="B48" i="2"/>
  <c r="I48" i="2"/>
  <c r="F48" i="2"/>
  <c r="E20" i="5"/>
  <c r="H20" i="5"/>
  <c r="C20" i="5"/>
  <c r="F47" i="2"/>
  <c r="H47" i="2"/>
  <c r="I47" i="2"/>
  <c r="C47" i="2"/>
  <c r="F20" i="5"/>
  <c r="G20" i="5"/>
  <c r="D20" i="5"/>
  <c r="B47" i="2"/>
  <c r="J47" i="2"/>
  <c r="H48" i="2"/>
  <c r="C48" i="2"/>
  <c r="J48" i="2"/>
  <c r="N46" i="2"/>
  <c r="B21" i="5"/>
  <c r="B24" i="4"/>
  <c r="I6" i="7" l="1"/>
  <c r="M17" i="5"/>
  <c r="K19" i="5"/>
  <c r="L19" i="5" s="1"/>
  <c r="K18" i="5"/>
  <c r="K6" i="7"/>
  <c r="M46" i="2"/>
  <c r="O46" i="2" s="1"/>
  <c r="P46" i="2" s="1"/>
  <c r="Q46" i="2" s="1"/>
  <c r="J20" i="5"/>
  <c r="E47" i="2"/>
  <c r="L47" i="2"/>
  <c r="K47" i="2"/>
  <c r="A20" i="5"/>
  <c r="E48" i="2"/>
  <c r="D48" i="2"/>
  <c r="K48" i="2"/>
  <c r="L48" i="2"/>
  <c r="R49" i="2"/>
  <c r="G49" i="2"/>
  <c r="L18" i="5"/>
  <c r="L6" i="7"/>
  <c r="I20" i="5"/>
  <c r="F24" i="4"/>
  <c r="G24" i="4"/>
  <c r="E24" i="4"/>
  <c r="H24" i="4"/>
  <c r="F21" i="5"/>
  <c r="E21" i="5"/>
  <c r="G21" i="5"/>
  <c r="N47" i="2"/>
  <c r="C49" i="2"/>
  <c r="B49" i="2"/>
  <c r="D24" i="4"/>
  <c r="C24" i="4"/>
  <c r="J24" i="4"/>
  <c r="I24" i="4"/>
  <c r="D21" i="5"/>
  <c r="C21" i="5"/>
  <c r="H21" i="5"/>
  <c r="N48" i="2"/>
  <c r="A50" i="2"/>
  <c r="H49" i="2"/>
  <c r="I49" i="2"/>
  <c r="J49" i="2"/>
  <c r="F49" i="2"/>
  <c r="B3" i="9"/>
  <c r="M19" i="5" l="1"/>
  <c r="M18" i="5"/>
  <c r="K20" i="5"/>
  <c r="M6" i="7"/>
  <c r="M47" i="2"/>
  <c r="O47" i="2" s="1"/>
  <c r="P47" i="2" s="1"/>
  <c r="Q47" i="2" s="1"/>
  <c r="G50" i="2"/>
  <c r="R50" i="2"/>
  <c r="A21" i="5"/>
  <c r="K24" i="4"/>
  <c r="A24" i="4"/>
  <c r="N24" i="4"/>
  <c r="E49" i="2"/>
  <c r="L49" i="2"/>
  <c r="K49" i="2"/>
  <c r="J21" i="5"/>
  <c r="L20" i="5"/>
  <c r="M48" i="2"/>
  <c r="O48" i="2" s="1"/>
  <c r="P48" i="2" s="1"/>
  <c r="Q48" i="2" s="1"/>
  <c r="D3" i="9"/>
  <c r="J3" i="9"/>
  <c r="C3" i="9"/>
  <c r="I3" i="9"/>
  <c r="A51" i="2"/>
  <c r="C50" i="2"/>
  <c r="H50" i="2"/>
  <c r="I50" i="2"/>
  <c r="J50" i="2"/>
  <c r="N49" i="2"/>
  <c r="G3" i="9"/>
  <c r="E3" i="9"/>
  <c r="F3" i="9"/>
  <c r="H3" i="9"/>
  <c r="F50" i="2"/>
  <c r="B50" i="2"/>
  <c r="A52" i="2"/>
  <c r="B22" i="5"/>
  <c r="I21" i="5" l="1"/>
  <c r="K21" i="5"/>
  <c r="M20" i="5"/>
  <c r="M49" i="2"/>
  <c r="G52" i="2"/>
  <c r="R52" i="2"/>
  <c r="E50" i="2"/>
  <c r="K50" i="2"/>
  <c r="L50" i="2"/>
  <c r="G51" i="2"/>
  <c r="R51" i="2"/>
  <c r="K3" i="9"/>
  <c r="A3" i="9"/>
  <c r="O49" i="2"/>
  <c r="P49" i="2" s="1"/>
  <c r="Q49" i="2" s="1"/>
  <c r="L24" i="4"/>
  <c r="L21" i="5"/>
  <c r="C22" i="5"/>
  <c r="F22" i="5"/>
  <c r="G22" i="5"/>
  <c r="I52" i="2"/>
  <c r="J52" i="2"/>
  <c r="B52" i="2"/>
  <c r="H51" i="2"/>
  <c r="C51" i="2"/>
  <c r="B51" i="2"/>
  <c r="H22" i="5"/>
  <c r="D22" i="5"/>
  <c r="E22" i="5"/>
  <c r="A53" i="2"/>
  <c r="C52" i="2"/>
  <c r="F52" i="2"/>
  <c r="H52" i="2"/>
  <c r="N50" i="2"/>
  <c r="J51" i="2"/>
  <c r="I51" i="2"/>
  <c r="F51" i="2"/>
  <c r="B23" i="5"/>
  <c r="M50" i="2" l="1"/>
  <c r="O50" i="2" s="1"/>
  <c r="P50" i="2" s="1"/>
  <c r="Q50" i="2" s="1"/>
  <c r="M24" i="4"/>
  <c r="M21" i="5"/>
  <c r="J22" i="5"/>
  <c r="R53" i="2"/>
  <c r="G53" i="2"/>
  <c r="E51" i="2"/>
  <c r="K51" i="2"/>
  <c r="L51" i="2"/>
  <c r="E52" i="2"/>
  <c r="K52" i="2"/>
  <c r="L52" i="2"/>
  <c r="A22" i="5"/>
  <c r="L3" i="9"/>
  <c r="B24" i="5"/>
  <c r="H23" i="5"/>
  <c r="D23" i="5"/>
  <c r="G23" i="5"/>
  <c r="A54" i="2"/>
  <c r="J53" i="2"/>
  <c r="B53" i="2"/>
  <c r="I53" i="2"/>
  <c r="N51" i="2"/>
  <c r="N52" i="2"/>
  <c r="E23" i="5"/>
  <c r="F23" i="5"/>
  <c r="C23" i="5"/>
  <c r="H53" i="2"/>
  <c r="C53" i="2"/>
  <c r="F53" i="2"/>
  <c r="B7" i="7"/>
  <c r="I22" i="5" l="1"/>
  <c r="M52" i="2"/>
  <c r="I24" i="5" s="1"/>
  <c r="M51" i="2"/>
  <c r="O51" i="2" s="1"/>
  <c r="P51" i="2" s="1"/>
  <c r="Q51" i="2" s="1"/>
  <c r="M3" i="9"/>
  <c r="A23" i="5"/>
  <c r="J23" i="5"/>
  <c r="E53" i="2"/>
  <c r="L53" i="2"/>
  <c r="K53" i="2"/>
  <c r="G54" i="2"/>
  <c r="R54" i="2"/>
  <c r="J24" i="5"/>
  <c r="O52" i="2"/>
  <c r="P52" i="2" s="1"/>
  <c r="Q52" i="2" s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304" i="1"/>
  <c r="AM414" i="1"/>
  <c r="AM442" i="1"/>
  <c r="AM421" i="1"/>
  <c r="AM133" i="1"/>
  <c r="AM149" i="1"/>
  <c r="AM124" i="1"/>
  <c r="AM85" i="1"/>
  <c r="AM433" i="1"/>
  <c r="AM456" i="1"/>
  <c r="AM15" i="1"/>
  <c r="AM3" i="1"/>
  <c r="AM40" i="1"/>
  <c r="AM451" i="1"/>
  <c r="AM506" i="1"/>
  <c r="AM523" i="1"/>
  <c r="AM491" i="1"/>
  <c r="AM504" i="1"/>
  <c r="AM521" i="1"/>
  <c r="AM485" i="1"/>
  <c r="AM449" i="1"/>
  <c r="AM152" i="1"/>
  <c r="AM380" i="1"/>
  <c r="AM194" i="1"/>
  <c r="AM436" i="1"/>
  <c r="AM208" i="1"/>
  <c r="AM36" i="1"/>
  <c r="AM338" i="1"/>
  <c r="AM203" i="1"/>
  <c r="AM257" i="1"/>
  <c r="AM337" i="1"/>
  <c r="AM372" i="1"/>
  <c r="AM358" i="1"/>
  <c r="AM38" i="1"/>
  <c r="AM256" i="1"/>
  <c r="AM418" i="1"/>
  <c r="AM55" i="1"/>
  <c r="AM75" i="1"/>
  <c r="AM147" i="1"/>
  <c r="AM93" i="1"/>
  <c r="AM402" i="1"/>
  <c r="AM111" i="1"/>
  <c r="AM39" i="1"/>
  <c r="AM182" i="1"/>
  <c r="AM387" i="1"/>
  <c r="AM230" i="1"/>
  <c r="AM288" i="1"/>
  <c r="AM101" i="1"/>
  <c r="AM354" i="1"/>
  <c r="AM428" i="1"/>
  <c r="AM201" i="1"/>
  <c r="AM45" i="1"/>
  <c r="AM80" i="1"/>
  <c r="AM437" i="1"/>
  <c r="AM309" i="1"/>
  <c r="AM378" i="1"/>
  <c r="AM155" i="1"/>
  <c r="AM324" i="1"/>
  <c r="AM214" i="1"/>
  <c r="AM395" i="1"/>
  <c r="AM272" i="1"/>
  <c r="AM359" i="1"/>
  <c r="AM457" i="1"/>
  <c r="AM138" i="1"/>
  <c r="AM283" i="1"/>
  <c r="AM367" i="1"/>
  <c r="AM266" i="1"/>
  <c r="AM54" i="1"/>
  <c r="AM5" i="1"/>
  <c r="AM97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356" i="1"/>
  <c r="AM146" i="1"/>
  <c r="AM200" i="1"/>
  <c r="AM460" i="1"/>
  <c r="AM405" i="1"/>
  <c r="AM37" i="1"/>
  <c r="AM67" i="1"/>
  <c r="AM274" i="1"/>
  <c r="AM250" i="1"/>
  <c r="AM408" i="1"/>
  <c r="AM410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183" i="1"/>
  <c r="AM51" i="1"/>
  <c r="AM325" i="1"/>
  <c r="AM326" i="1"/>
  <c r="AM206" i="1"/>
  <c r="AM349" i="1"/>
  <c r="AM199" i="1"/>
  <c r="AM379" i="1"/>
  <c r="AM507" i="1"/>
  <c r="AM484" i="1"/>
  <c r="AM470" i="1"/>
  <c r="AM13" i="1"/>
  <c r="AM458" i="1"/>
  <c r="AM72" i="1"/>
  <c r="AM59" i="1"/>
  <c r="AM300" i="1"/>
  <c r="AM79" i="1"/>
  <c r="AM350" i="1"/>
  <c r="AM370" i="1"/>
  <c r="AM335" i="1"/>
  <c r="AM278" i="1"/>
  <c r="AM328" i="1"/>
  <c r="AM76" i="1"/>
  <c r="AM62" i="1"/>
  <c r="AM91" i="1"/>
  <c r="AM229" i="1"/>
  <c r="AM191" i="1"/>
  <c r="AM33" i="1"/>
  <c r="AM265" i="1"/>
  <c r="AM82" i="1"/>
  <c r="AM212" i="1"/>
  <c r="AM169" i="1"/>
  <c r="AM344" i="1"/>
  <c r="AM348" i="1"/>
  <c r="AM447" i="1"/>
  <c r="AM88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413" i="1"/>
  <c r="AM154" i="1"/>
  <c r="AM374" i="1"/>
  <c r="AM360" i="1"/>
  <c r="AM151" i="1"/>
  <c r="AM462" i="1"/>
  <c r="AM160" i="1"/>
  <c r="AM52" i="1"/>
  <c r="AM390" i="1"/>
  <c r="AM498" i="1"/>
  <c r="AM515" i="1"/>
  <c r="AM479" i="1"/>
  <c r="AM492" i="1"/>
  <c r="AM509" i="1"/>
  <c r="AM477" i="1"/>
  <c r="AM382" i="1"/>
  <c r="AM113" i="1"/>
  <c r="AM173" i="1"/>
  <c r="AM29" i="1"/>
  <c r="AM407" i="1"/>
  <c r="AM61" i="1"/>
  <c r="AM129" i="1"/>
  <c r="AM127" i="1"/>
  <c r="AM339" i="1"/>
  <c r="AM195" i="1"/>
  <c r="AM468" i="1"/>
  <c r="AM175" i="1"/>
  <c r="AM99" i="1"/>
  <c r="AM409" i="1"/>
  <c r="AM461" i="1"/>
  <c r="AM420" i="1"/>
  <c r="AM336" i="1"/>
  <c r="AM315" i="1"/>
  <c r="AM211" i="1"/>
  <c r="AM118" i="1"/>
  <c r="AM392" i="1"/>
  <c r="AM24" i="1"/>
  <c r="AM186" i="1"/>
  <c r="AM295" i="1"/>
  <c r="AM362" i="1"/>
  <c r="AM205" i="1"/>
  <c r="AM444" i="1"/>
  <c r="AM368" i="1"/>
  <c r="AM16" i="1"/>
  <c r="AM239" i="1"/>
  <c r="AM119" i="1"/>
  <c r="AM434" i="1"/>
  <c r="AM57" i="1"/>
  <c r="AM244" i="1"/>
  <c r="AM34" i="1"/>
  <c r="AM282" i="1"/>
  <c r="AM210" i="1"/>
  <c r="AM329" i="1"/>
  <c r="AM140" i="1"/>
  <c r="AM398" i="1"/>
  <c r="AM270" i="1"/>
  <c r="AM302" i="1"/>
  <c r="AM375" i="1"/>
  <c r="AM218" i="1"/>
  <c r="AM327" i="1"/>
  <c r="AM150" i="1"/>
  <c r="AM411" i="1"/>
  <c r="AM197" i="1"/>
  <c r="AM220" i="1"/>
  <c r="AM321" i="1"/>
  <c r="AM311" i="1"/>
  <c r="AM145" i="1"/>
  <c r="AM279" i="1"/>
  <c r="AM181" i="1"/>
  <c r="AM105" i="1"/>
  <c r="AM184" i="1"/>
  <c r="AM394" i="1"/>
  <c r="AM153" i="1"/>
  <c r="AM251" i="1"/>
  <c r="AM352" i="1"/>
  <c r="AM103" i="1"/>
  <c r="AM120" i="1"/>
  <c r="AM31" i="1"/>
  <c r="AM268" i="1"/>
  <c r="AM284" i="1"/>
  <c r="AM231" i="1"/>
  <c r="AM227" i="1"/>
  <c r="AM60" i="1"/>
  <c r="AM277" i="1"/>
  <c r="AM417" i="1"/>
  <c r="AM108" i="1"/>
  <c r="AM446" i="1"/>
  <c r="AM158" i="1"/>
  <c r="AM87" i="1"/>
  <c r="AM275" i="1"/>
  <c r="AM123" i="1"/>
  <c r="AM292" i="1"/>
  <c r="AM237" i="1"/>
  <c r="AM254" i="1"/>
  <c r="AM245" i="1"/>
  <c r="AM176" i="1"/>
  <c r="AM240" i="1"/>
  <c r="AM271" i="1"/>
  <c r="AM172" i="1"/>
  <c r="AM167" i="1"/>
  <c r="AM396" i="1"/>
  <c r="AM23" i="1"/>
  <c r="AM12" i="1"/>
  <c r="AM242" i="1"/>
  <c r="AM236" i="1"/>
  <c r="AM313" i="1"/>
  <c r="AM47" i="1"/>
  <c r="AM243" i="1"/>
  <c r="AM322" i="1"/>
  <c r="AM280" i="1"/>
  <c r="AM128" i="1"/>
  <c r="AM19" i="1"/>
  <c r="AM9" i="1"/>
  <c r="AM297" i="1"/>
  <c r="AM226" i="1"/>
  <c r="AM115" i="1"/>
  <c r="AM298" i="1"/>
  <c r="AM323" i="1"/>
  <c r="AM377" i="1"/>
  <c r="AM142" i="1"/>
  <c r="AM193" i="1"/>
  <c r="AM246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307" i="1"/>
  <c r="AM443" i="1"/>
  <c r="AM64" i="1"/>
  <c r="AM135" i="1"/>
  <c r="AM465" i="1"/>
  <c r="AM171" i="1"/>
  <c r="AM450" i="1"/>
  <c r="AM486" i="1"/>
  <c r="AM524" i="1"/>
  <c r="AM501" i="1"/>
  <c r="AM397" i="1"/>
  <c r="AM192" i="1"/>
  <c r="AM399" i="1"/>
  <c r="AM316" i="1"/>
  <c r="AM165" i="1"/>
  <c r="AM438" i="1"/>
  <c r="AM261" i="1"/>
  <c r="AM452" i="1"/>
  <c r="AM216" i="1"/>
  <c r="AM290" i="1"/>
  <c r="AM43" i="1"/>
  <c r="AM189" i="1"/>
  <c r="AM74" i="1"/>
  <c r="AM426" i="1"/>
  <c r="AM247" i="1"/>
  <c r="AM106" i="1"/>
  <c r="AM234" i="1"/>
  <c r="AM35" i="1"/>
  <c r="AM400" i="1"/>
  <c r="AM71" i="1"/>
  <c r="AM264" i="1"/>
  <c r="AM347" i="1"/>
  <c r="AM241" i="1"/>
  <c r="AM260" i="1"/>
  <c r="AM248" i="1"/>
  <c r="AM301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68" i="1"/>
  <c r="AM224" i="1"/>
  <c r="AM10" i="1"/>
  <c r="AM95" i="1"/>
  <c r="AM334" i="1"/>
  <c r="AM441" i="1"/>
  <c r="AM514" i="1"/>
  <c r="AM478" i="1"/>
  <c r="AM499" i="1"/>
  <c r="AM516" i="1"/>
  <c r="AM476" i="1"/>
  <c r="AM493" i="1"/>
  <c r="AM464" i="1"/>
  <c r="AM286" i="1"/>
  <c r="AM156" i="1"/>
  <c r="AM393" i="1"/>
  <c r="AM453" i="1"/>
  <c r="AM384" i="1"/>
  <c r="AM343" i="1"/>
  <c r="AM228" i="1"/>
  <c r="AM84" i="1"/>
  <c r="AM7" i="1"/>
  <c r="AM425" i="1"/>
  <c r="AM415" i="1"/>
  <c r="AM345" i="1"/>
  <c r="AM364" i="1"/>
  <c r="AM58" i="1"/>
  <c r="AM423" i="1"/>
  <c r="AM137" i="1"/>
  <c r="AM342" i="1"/>
  <c r="AM56" i="1"/>
  <c r="AM159" i="1"/>
  <c r="AM179" i="1"/>
  <c r="AM351" i="1"/>
  <c r="AM340" i="1"/>
  <c r="AM263" i="1"/>
  <c r="AM219" i="1"/>
  <c r="AM11" i="1"/>
  <c r="AM70" i="1"/>
  <c r="AM412" i="1"/>
  <c r="AM185" i="1"/>
  <c r="AM346" i="1"/>
  <c r="AM361" i="1"/>
  <c r="AM221" i="1"/>
  <c r="AM235" i="1"/>
  <c r="AM90" i="1"/>
  <c r="AM365" i="1"/>
  <c r="AM204" i="1"/>
  <c r="AM294" i="1"/>
  <c r="AM422" i="1"/>
  <c r="AM81" i="1"/>
  <c r="AM114" i="1"/>
  <c r="AM25" i="1"/>
  <c r="AM363" i="1"/>
  <c r="AM291" i="1"/>
  <c r="AM333" i="1"/>
  <c r="AM144" i="1"/>
  <c r="AM253" i="1"/>
  <c r="AM207" i="1"/>
  <c r="AM117" i="1"/>
  <c r="AM66" i="1"/>
  <c r="AM373" i="1"/>
  <c r="AM174" i="1"/>
  <c r="AM77" i="1"/>
  <c r="AM439" i="1"/>
  <c r="AM299" i="1"/>
  <c r="AM273" i="1"/>
  <c r="AM78" i="1"/>
  <c r="AM131" i="1"/>
  <c r="AM217" i="1"/>
  <c r="AM296" i="1"/>
  <c r="AM330" i="1"/>
  <c r="AM320" i="1"/>
  <c r="AM17" i="1"/>
  <c r="AM318" i="1"/>
  <c r="AM232" i="1"/>
  <c r="AM259" i="1"/>
  <c r="AM287" i="1"/>
  <c r="AM255" i="1"/>
  <c r="AM46" i="1"/>
  <c r="AM49" i="1"/>
  <c r="AM44" i="1"/>
  <c r="AM416" i="1"/>
  <c r="AM180" i="1"/>
  <c r="AM161" i="1"/>
  <c r="AM276" i="1"/>
  <c r="AM110" i="1"/>
  <c r="AM419" i="1"/>
  <c r="AM289" i="1"/>
  <c r="AM262" i="1"/>
  <c r="AM389" i="1"/>
  <c r="AM139" i="1"/>
  <c r="AM48" i="1"/>
  <c r="AM21" i="1"/>
  <c r="AM32" i="1"/>
  <c r="AM305" i="1"/>
  <c r="AM163" i="1"/>
  <c r="AM386" i="1"/>
  <c r="AM83" i="1"/>
  <c r="AM178" i="1"/>
  <c r="AM267" i="1"/>
  <c r="AM73" i="1"/>
  <c r="AM391" i="1"/>
  <c r="AM187" i="1"/>
  <c r="AM94" i="1"/>
  <c r="AM252" i="1"/>
  <c r="AM42" i="1"/>
  <c r="AM403" i="1"/>
  <c r="AM385" i="1"/>
  <c r="AM332" i="1"/>
  <c r="AM222" i="1"/>
  <c r="AM404" i="1"/>
  <c r="AM431" i="1"/>
  <c r="AM26" i="1"/>
  <c r="AM429" i="1"/>
  <c r="AM121" i="1"/>
  <c r="AM215" i="1"/>
  <c r="AM126" i="1"/>
  <c r="AM14" i="1"/>
  <c r="AM401" i="1"/>
  <c r="AM708" i="1"/>
  <c r="D7" i="7"/>
  <c r="H7" i="7"/>
  <c r="C7" i="7"/>
  <c r="N53" i="2"/>
  <c r="A55" i="2"/>
  <c r="I54" i="2"/>
  <c r="J54" i="2"/>
  <c r="C54" i="2"/>
  <c r="H24" i="5"/>
  <c r="E24" i="5"/>
  <c r="C24" i="5"/>
  <c r="G7" i="7"/>
  <c r="E7" i="7"/>
  <c r="F7" i="7"/>
  <c r="B54" i="2"/>
  <c r="H54" i="2"/>
  <c r="F54" i="2"/>
  <c r="D24" i="5"/>
  <c r="G24" i="5"/>
  <c r="F24" i="5"/>
  <c r="A56" i="2"/>
  <c r="B25" i="4"/>
  <c r="K22" i="5" l="1"/>
  <c r="I23" i="5"/>
  <c r="K23" i="5"/>
  <c r="L23" i="5" s="1"/>
  <c r="K24" i="5"/>
  <c r="L24" i="5" s="1"/>
  <c r="M24" i="5" s="1"/>
  <c r="G56" i="2"/>
  <c r="R56" i="2"/>
  <c r="E54" i="2"/>
  <c r="K54" i="2"/>
  <c r="L54" i="2"/>
  <c r="A24" i="5"/>
  <c r="G55" i="2"/>
  <c r="R55" i="2"/>
  <c r="J7" i="7"/>
  <c r="A7" i="7"/>
  <c r="M53" i="2"/>
  <c r="C25" i="4"/>
  <c r="D25" i="4"/>
  <c r="I25" i="4"/>
  <c r="E25" i="4"/>
  <c r="B56" i="2"/>
  <c r="C56" i="2"/>
  <c r="B55" i="2"/>
  <c r="F55" i="2"/>
  <c r="F25" i="4"/>
  <c r="H25" i="4"/>
  <c r="J25" i="4"/>
  <c r="G25" i="4"/>
  <c r="A57" i="2"/>
  <c r="J56" i="2"/>
  <c r="I56" i="2"/>
  <c r="H56" i="2"/>
  <c r="F56" i="2"/>
  <c r="N54" i="2"/>
  <c r="J55" i="2"/>
  <c r="C55" i="2"/>
  <c r="H55" i="2"/>
  <c r="I55" i="2"/>
  <c r="B26" i="4"/>
  <c r="A3" i="10"/>
  <c r="L22" i="5" l="1"/>
  <c r="D54" i="2"/>
  <c r="M23" i="5"/>
  <c r="M54" i="2"/>
  <c r="O54" i="2" s="1"/>
  <c r="P54" i="2" s="1"/>
  <c r="Q54" i="2" s="1"/>
  <c r="R57" i="2"/>
  <c r="G57" i="2"/>
  <c r="E55" i="2"/>
  <c r="D55" i="2"/>
  <c r="L55" i="2"/>
  <c r="K55" i="2"/>
  <c r="E56" i="2"/>
  <c r="K56" i="2"/>
  <c r="L56" i="2"/>
  <c r="M3" i="10" s="1"/>
  <c r="K25" i="4"/>
  <c r="A25" i="4"/>
  <c r="N25" i="4"/>
  <c r="O53" i="2"/>
  <c r="P53" i="2" s="1"/>
  <c r="Q53" i="2" s="1"/>
  <c r="I7" i="7"/>
  <c r="E3" i="10"/>
  <c r="B3" i="10"/>
  <c r="F3" i="10"/>
  <c r="C3" i="10"/>
  <c r="J26" i="4"/>
  <c r="G26" i="4"/>
  <c r="F26" i="4"/>
  <c r="I26" i="4"/>
  <c r="B57" i="2"/>
  <c r="F57" i="2"/>
  <c r="C57" i="2"/>
  <c r="H3" i="10"/>
  <c r="D3" i="10"/>
  <c r="G3" i="10"/>
  <c r="C26" i="4"/>
  <c r="H26" i="4"/>
  <c r="E26" i="4"/>
  <c r="D26" i="4"/>
  <c r="A58" i="2"/>
  <c r="J57" i="2"/>
  <c r="H57" i="2"/>
  <c r="I57" i="2"/>
  <c r="N55" i="2"/>
  <c r="N56" i="2"/>
  <c r="B25" i="5"/>
  <c r="A59" i="2"/>
  <c r="A60" i="2"/>
  <c r="A61" i="2"/>
  <c r="A62" i="2"/>
  <c r="A63" i="2"/>
  <c r="A64" i="2"/>
  <c r="A65" i="2"/>
  <c r="M22" i="5" l="1"/>
  <c r="K7" i="7"/>
  <c r="L7" i="7" s="1"/>
  <c r="M56" i="2"/>
  <c r="O56" i="2" s="1"/>
  <c r="P56" i="2" s="1"/>
  <c r="Q56" i="2" s="1"/>
  <c r="R65" i="2"/>
  <c r="G65" i="2"/>
  <c r="G64" i="2"/>
  <c r="R64" i="2"/>
  <c r="R63" i="2"/>
  <c r="G63" i="2"/>
  <c r="R62" i="2"/>
  <c r="G62" i="2"/>
  <c r="R61" i="2"/>
  <c r="G61" i="2"/>
  <c r="G60" i="2"/>
  <c r="R60" i="2"/>
  <c r="R59" i="2"/>
  <c r="G59" i="2"/>
  <c r="N3" i="10"/>
  <c r="I3" i="10" s="1"/>
  <c r="R58" i="2"/>
  <c r="G58" i="2"/>
  <c r="A26" i="4"/>
  <c r="N26" i="4"/>
  <c r="J3" i="10"/>
  <c r="E57" i="2"/>
  <c r="K57" i="2"/>
  <c r="L57" i="2"/>
  <c r="K26" i="4"/>
  <c r="L25" i="4"/>
  <c r="M55" i="2"/>
  <c r="O55" i="2" s="1"/>
  <c r="P55" i="2" s="1"/>
  <c r="Q55" i="2" s="1"/>
  <c r="A66" i="2"/>
  <c r="B65" i="2"/>
  <c r="F65" i="2"/>
  <c r="C65" i="2"/>
  <c r="H65" i="2"/>
  <c r="C64" i="2"/>
  <c r="J64" i="2"/>
  <c r="F64" i="2"/>
  <c r="H64" i="2"/>
  <c r="F63" i="2"/>
  <c r="I63" i="2"/>
  <c r="B63" i="2"/>
  <c r="H63" i="2"/>
  <c r="J62" i="2"/>
  <c r="C62" i="2"/>
  <c r="F62" i="2"/>
  <c r="H61" i="2"/>
  <c r="J61" i="2"/>
  <c r="B61" i="2"/>
  <c r="C60" i="2"/>
  <c r="I60" i="2"/>
  <c r="H59" i="2"/>
  <c r="I59" i="2"/>
  <c r="F59" i="2"/>
  <c r="F25" i="5"/>
  <c r="C25" i="5"/>
  <c r="E25" i="5"/>
  <c r="D25" i="5"/>
  <c r="B58" i="2"/>
  <c r="H58" i="2"/>
  <c r="I58" i="2"/>
  <c r="J65" i="2"/>
  <c r="I65" i="2"/>
  <c r="B64" i="2"/>
  <c r="I64" i="2"/>
  <c r="C63" i="2"/>
  <c r="J63" i="2"/>
  <c r="I62" i="2"/>
  <c r="H62" i="2"/>
  <c r="B62" i="2"/>
  <c r="I61" i="2"/>
  <c r="C61" i="2"/>
  <c r="F61" i="2"/>
  <c r="B60" i="2"/>
  <c r="H60" i="2"/>
  <c r="F60" i="2"/>
  <c r="J60" i="2"/>
  <c r="B59" i="2"/>
  <c r="C59" i="2"/>
  <c r="J59" i="2"/>
  <c r="G25" i="5"/>
  <c r="H25" i="5"/>
  <c r="F58" i="2"/>
  <c r="C58" i="2"/>
  <c r="J58" i="2"/>
  <c r="N57" i="2"/>
  <c r="B26" i="5"/>
  <c r="B3" i="8"/>
  <c r="B27" i="4"/>
  <c r="B27" i="5"/>
  <c r="B28" i="4"/>
  <c r="B28" i="5"/>
  <c r="B29" i="5"/>
  <c r="B30" i="5"/>
  <c r="M25" i="4" l="1"/>
  <c r="M7" i="7"/>
  <c r="K1" i="10"/>
  <c r="M57" i="2"/>
  <c r="J25" i="5"/>
  <c r="E59" i="2"/>
  <c r="K59" i="2"/>
  <c r="L59" i="2"/>
  <c r="E60" i="2"/>
  <c r="K60" i="2"/>
  <c r="L60" i="2"/>
  <c r="E62" i="2"/>
  <c r="K62" i="2"/>
  <c r="L62" i="2"/>
  <c r="E64" i="2"/>
  <c r="K64" i="2"/>
  <c r="L64" i="2"/>
  <c r="E58" i="2"/>
  <c r="L58" i="2"/>
  <c r="K58" i="2"/>
  <c r="A25" i="5"/>
  <c r="E61" i="2"/>
  <c r="K61" i="2"/>
  <c r="L61" i="2"/>
  <c r="E63" i="2"/>
  <c r="K63" i="2"/>
  <c r="L63" i="2"/>
  <c r="E65" i="2"/>
  <c r="K65" i="2"/>
  <c r="L65" i="2"/>
  <c r="R66" i="2"/>
  <c r="G66" i="2"/>
  <c r="O57" i="2"/>
  <c r="P57" i="2" s="1"/>
  <c r="Q57" i="2" s="1"/>
  <c r="I25" i="5"/>
  <c r="L26" i="4"/>
  <c r="K3" i="10"/>
  <c r="D30" i="5"/>
  <c r="F30" i="5"/>
  <c r="E30" i="5"/>
  <c r="D29" i="5"/>
  <c r="G29" i="5"/>
  <c r="C29" i="5"/>
  <c r="D28" i="5"/>
  <c r="H28" i="5"/>
  <c r="E28" i="5"/>
  <c r="J28" i="4"/>
  <c r="E28" i="4"/>
  <c r="F28" i="4"/>
  <c r="C28" i="4"/>
  <c r="D27" i="5"/>
  <c r="F27" i="5"/>
  <c r="C27" i="5"/>
  <c r="F27" i="4"/>
  <c r="C27" i="4"/>
  <c r="G27" i="4"/>
  <c r="J27" i="4"/>
  <c r="F3" i="8"/>
  <c r="E3" i="8"/>
  <c r="I3" i="8"/>
  <c r="D3" i="8"/>
  <c r="D26" i="5"/>
  <c r="E26" i="5"/>
  <c r="G26" i="5"/>
  <c r="N61" i="2"/>
  <c r="N63" i="2"/>
  <c r="N65" i="2"/>
  <c r="A67" i="2"/>
  <c r="H66" i="2"/>
  <c r="I66" i="2"/>
  <c r="H30" i="5"/>
  <c r="C30" i="5"/>
  <c r="G30" i="5"/>
  <c r="F29" i="5"/>
  <c r="E29" i="5"/>
  <c r="H29" i="5"/>
  <c r="G28" i="5"/>
  <c r="C28" i="5"/>
  <c r="F28" i="5"/>
  <c r="I28" i="4"/>
  <c r="G28" i="4"/>
  <c r="D28" i="4"/>
  <c r="H28" i="4"/>
  <c r="G27" i="5"/>
  <c r="E27" i="5"/>
  <c r="H27" i="5"/>
  <c r="H27" i="4"/>
  <c r="I27" i="4"/>
  <c r="E27" i="4"/>
  <c r="D27" i="4"/>
  <c r="J3" i="8"/>
  <c r="C3" i="8"/>
  <c r="G3" i="8"/>
  <c r="H3" i="8"/>
  <c r="C26" i="5"/>
  <c r="F26" i="5"/>
  <c r="H26" i="5"/>
  <c r="N59" i="2"/>
  <c r="N60" i="2"/>
  <c r="N62" i="2"/>
  <c r="N64" i="2"/>
  <c r="N58" i="2"/>
  <c r="J66" i="2"/>
  <c r="C66" i="2"/>
  <c r="B66" i="2"/>
  <c r="F66" i="2"/>
  <c r="B31" i="5"/>
  <c r="L3" i="10" l="1"/>
  <c r="M26" i="4"/>
  <c r="K25" i="5"/>
  <c r="M64" i="2"/>
  <c r="O64" i="2" s="1"/>
  <c r="P64" i="2" s="1"/>
  <c r="Q64" i="2" s="1"/>
  <c r="M62" i="2"/>
  <c r="O62" i="2" s="1"/>
  <c r="P62" i="2" s="1"/>
  <c r="Q62" i="2" s="1"/>
  <c r="M60" i="2"/>
  <c r="O60" i="2" s="1"/>
  <c r="P60" i="2" s="1"/>
  <c r="Q60" i="2" s="1"/>
  <c r="M59" i="2"/>
  <c r="O59" i="2" s="1"/>
  <c r="P59" i="2" s="1"/>
  <c r="Q59" i="2" s="1"/>
  <c r="E66" i="2"/>
  <c r="L66" i="2"/>
  <c r="K66" i="2"/>
  <c r="J26" i="5"/>
  <c r="J29" i="5"/>
  <c r="J28" i="5"/>
  <c r="J27" i="5"/>
  <c r="A26" i="5"/>
  <c r="A3" i="8"/>
  <c r="K27" i="4"/>
  <c r="L27" i="4" s="1"/>
  <c r="M27" i="4" s="1"/>
  <c r="K28" i="4"/>
  <c r="L28" i="4" s="1"/>
  <c r="M28" i="4" s="1"/>
  <c r="A28" i="5"/>
  <c r="A30" i="5"/>
  <c r="G67" i="2"/>
  <c r="R67" i="2"/>
  <c r="J30" i="5"/>
  <c r="K3" i="8"/>
  <c r="N27" i="4"/>
  <c r="A27" i="4"/>
  <c r="A27" i="5"/>
  <c r="A28" i="4"/>
  <c r="N28" i="4"/>
  <c r="A29" i="5"/>
  <c r="L25" i="5"/>
  <c r="M65" i="2"/>
  <c r="O65" i="2" s="1"/>
  <c r="P65" i="2" s="1"/>
  <c r="Q65" i="2" s="1"/>
  <c r="M63" i="2"/>
  <c r="M61" i="2"/>
  <c r="O61" i="2" s="1"/>
  <c r="P61" i="2" s="1"/>
  <c r="Q61" i="2" s="1"/>
  <c r="M58" i="2"/>
  <c r="E31" i="5"/>
  <c r="H31" i="5"/>
  <c r="G31" i="5"/>
  <c r="A68" i="2"/>
  <c r="C67" i="2"/>
  <c r="B67" i="2"/>
  <c r="H67" i="2"/>
  <c r="J67" i="2"/>
  <c r="C31" i="5"/>
  <c r="D31" i="5"/>
  <c r="F31" i="5"/>
  <c r="N66" i="2"/>
  <c r="F67" i="2"/>
  <c r="B29" i="4" s="1"/>
  <c r="I67" i="2"/>
  <c r="I27" i="5" l="1"/>
  <c r="I29" i="5"/>
  <c r="L3" i="8"/>
  <c r="K27" i="5"/>
  <c r="L27" i="5" s="1"/>
  <c r="M25" i="5"/>
  <c r="I28" i="5"/>
  <c r="K29" i="5"/>
  <c r="L29" i="5" s="1"/>
  <c r="M29" i="5" s="1"/>
  <c r="M66" i="2"/>
  <c r="O66" i="2" s="1"/>
  <c r="P66" i="2" s="1"/>
  <c r="Q66" i="2" s="1"/>
  <c r="J31" i="5"/>
  <c r="A31" i="5"/>
  <c r="E67" i="2"/>
  <c r="K67" i="2"/>
  <c r="L67" i="2"/>
  <c r="G68" i="2"/>
  <c r="R68" i="2"/>
  <c r="I31" i="5"/>
  <c r="I26" i="5"/>
  <c r="O58" i="2"/>
  <c r="P58" i="2" s="1"/>
  <c r="Q58" i="2" s="1"/>
  <c r="O63" i="2"/>
  <c r="P63" i="2" s="1"/>
  <c r="Q63" i="2" s="1"/>
  <c r="I30" i="5"/>
  <c r="K30" i="5" s="1"/>
  <c r="L30" i="5" s="1"/>
  <c r="M30" i="5" s="1"/>
  <c r="H29" i="4"/>
  <c r="E29" i="4"/>
  <c r="C29" i="4"/>
  <c r="G29" i="4"/>
  <c r="N67" i="2"/>
  <c r="I68" i="2"/>
  <c r="B68" i="2"/>
  <c r="I29" i="4"/>
  <c r="D29" i="4"/>
  <c r="F29" i="4"/>
  <c r="J29" i="4"/>
  <c r="J68" i="2"/>
  <c r="C68" i="2"/>
  <c r="F68" i="2"/>
  <c r="B30" i="4" s="1"/>
  <c r="H68" i="2"/>
  <c r="D7" i="2" l="1"/>
  <c r="D3" i="2"/>
  <c r="D42" i="2"/>
  <c r="D43" i="2"/>
  <c r="D40" i="2"/>
  <c r="D23" i="2"/>
  <c r="D33" i="2"/>
  <c r="D35" i="2"/>
  <c r="D20" i="2"/>
  <c r="D30" i="2"/>
  <c r="D8" i="2"/>
  <c r="D36" i="2"/>
  <c r="D47" i="2"/>
  <c r="D49" i="2"/>
  <c r="D52" i="2"/>
  <c r="D56" i="2"/>
  <c r="D24" i="2"/>
  <c r="D44" i="2"/>
  <c r="D2" i="2"/>
  <c r="D45" i="2"/>
  <c r="D28" i="2"/>
  <c r="D39" i="2"/>
  <c r="D29" i="2"/>
  <c r="D41" i="2"/>
  <c r="D27" i="2"/>
  <c r="D9" i="2"/>
  <c r="D21" i="2"/>
  <c r="D22" i="2"/>
  <c r="D46" i="2"/>
  <c r="D50" i="2"/>
  <c r="D51" i="2"/>
  <c r="D53" i="2"/>
  <c r="D57" i="2"/>
  <c r="D59" i="2"/>
  <c r="D60" i="2"/>
  <c r="D62" i="2"/>
  <c r="D64" i="2"/>
  <c r="D58" i="2"/>
  <c r="D63" i="2"/>
  <c r="D61" i="2"/>
  <c r="D65" i="2"/>
  <c r="D66" i="2"/>
  <c r="D67" i="2"/>
  <c r="K28" i="5"/>
  <c r="M3" i="8"/>
  <c r="M27" i="5"/>
  <c r="K26" i="5"/>
  <c r="L26" i="5" s="1"/>
  <c r="K31" i="5"/>
  <c r="L31" i="5" s="1"/>
  <c r="K29" i="4"/>
  <c r="D68" i="2"/>
  <c r="E68" i="2"/>
  <c r="N32" i="4"/>
  <c r="N43" i="4"/>
  <c r="N52" i="4"/>
  <c r="N45" i="4"/>
  <c r="N40" i="4"/>
  <c r="N34" i="4"/>
  <c r="N37" i="4"/>
  <c r="N44" i="4"/>
  <c r="N47" i="4"/>
  <c r="N35" i="4"/>
  <c r="N31" i="4"/>
  <c r="N42" i="4"/>
  <c r="N38" i="4"/>
  <c r="N51" i="4"/>
  <c r="N48" i="4"/>
  <c r="N33" i="4"/>
  <c r="N49" i="4"/>
  <c r="N36" i="4"/>
  <c r="N46" i="4"/>
  <c r="N50" i="4"/>
  <c r="N39" i="4"/>
  <c r="N41" i="4"/>
  <c r="L68" i="2"/>
  <c r="K68" i="2"/>
  <c r="A29" i="4"/>
  <c r="N29" i="4"/>
  <c r="M67" i="2"/>
  <c r="O67" i="2" s="1"/>
  <c r="P67" i="2" s="1"/>
  <c r="Q67" i="2" s="1"/>
  <c r="F30" i="4"/>
  <c r="E30" i="4"/>
  <c r="D30" i="4"/>
  <c r="J30" i="4"/>
  <c r="N68" i="2"/>
  <c r="I30" i="4"/>
  <c r="H30" i="4"/>
  <c r="G30" i="4"/>
  <c r="C30" i="4"/>
  <c r="M26" i="5" l="1"/>
  <c r="M31" i="5"/>
  <c r="L29" i="4"/>
  <c r="L28" i="5"/>
  <c r="M68" i="2"/>
  <c r="A30" i="4"/>
  <c r="N30" i="4"/>
  <c r="K30" i="4"/>
  <c r="O68" i="2"/>
  <c r="P68" i="2" s="1"/>
  <c r="Q68" i="2" s="1"/>
  <c r="L30" i="4" l="1"/>
  <c r="M28" i="5"/>
  <c r="M29" i="4"/>
  <c r="M30" i="4" l="1"/>
</calcChain>
</file>

<file path=xl/sharedStrings.xml><?xml version="1.0" encoding="utf-8"?>
<sst xmlns="http://schemas.openxmlformats.org/spreadsheetml/2006/main" count="2529" uniqueCount="966">
  <si>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</si>
  <si>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</si>
  <si>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</si>
  <si>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</si>
  <si>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</si>
  <si>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</si>
  <si>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</si>
  <si>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</si>
  <si>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</si>
  <si>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</si>
  <si>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</si>
  <si>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</si>
  <si>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</si>
  <si>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</si>
  <si>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</si>
  <si>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</si>
  <si>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</si>
  <si>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</si>
  <si>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</si>
  <si>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</si>
  <si>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</si>
  <si>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</si>
  <si>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</si>
  <si>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</si>
  <si>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</si>
  <si>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</si>
  <si>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</si>
  <si>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</si>
  <si>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</si>
  <si>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</si>
  <si>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</si>
  <si>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</si>
  <si>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</si>
  <si>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</si>
  <si>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</si>
  <si>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</si>
  <si>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</si>
  <si>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</si>
  <si>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</si>
  <si>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</si>
  <si>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</si>
  <si>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</si>
  <si>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</si>
  <si>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</si>
  <si>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</si>
  <si>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</si>
  <si>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</si>
  <si>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</si>
  <si>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</si>
  <si>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</si>
  <si>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</si>
  <si>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</si>
  <si>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</si>
  <si>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</si>
  <si>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</si>
  <si>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</si>
  <si>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</si>
  <si>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</si>
  <si>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</si>
  <si>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</si>
  <si>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</si>
  <si>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</si>
  <si>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</si>
  <si>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</si>
  <si>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</si>
  <si>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</si>
  <si>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</si>
  <si>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</si>
  <si>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</si>
  <si>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</si>
  <si>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</si>
  <si>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</si>
  <si>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</si>
  <si>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</si>
  <si>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</si>
  <si>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</si>
  <si>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</si>
  <si>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</si>
  <si>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</si>
  <si>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</si>
  <si>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</si>
  <si>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</si>
  <si>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</si>
  <si>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</si>
  <si>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</si>
  <si>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</si>
  <si>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</si>
  <si>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</si>
  <si>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</si>
  <si>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</si>
  <si>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</si>
  <si>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</si>
  <si>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</si>
  <si>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</si>
  <si>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</si>
  <si>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</si>
  <si>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</si>
  <si>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</si>
  <si>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</si>
  <si>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</si>
  <si>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</si>
  <si>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</si>
  <si>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</si>
  <si>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</si>
  <si>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</si>
  <si>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</si>
  <si>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</si>
  <si>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</si>
  <si>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</si>
  <si>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</si>
  <si>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</si>
  <si>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</si>
  <si>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</si>
  <si>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</si>
  <si>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</si>
  <si>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</si>
  <si>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</si>
  <si>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</si>
  <si>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</si>
  <si>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</si>
  <si>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</si>
  <si>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</si>
  <si>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</si>
  <si>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</si>
  <si>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</si>
  <si>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</si>
  <si>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</si>
  <si>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</si>
  <si>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</si>
  <si>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</si>
  <si>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</si>
  <si>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</si>
  <si>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</si>
  <si>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</si>
  <si>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</si>
  <si>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</si>
  <si>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</si>
  <si>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</si>
  <si>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</si>
  <si>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</si>
  <si>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</si>
  <si>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</si>
  <si>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</si>
  <si>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</si>
  <si>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</si>
  <si>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</si>
  <si>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</si>
  <si>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</si>
  <si>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</si>
  <si>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</si>
  <si>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</si>
  <si>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</si>
  <si>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</si>
  <si>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</si>
  <si>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</si>
  <si>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</si>
  <si>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</si>
  <si>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</si>
  <si>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</si>
  <si>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</si>
  <si>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</si>
  <si>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</si>
  <si>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</si>
  <si>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</si>
  <si>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</si>
  <si>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</si>
  <si>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</si>
  <si>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</si>
  <si>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</si>
  <si>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</si>
  <si>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</si>
  <si>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</si>
  <si>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</si>
  <si>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</si>
  <si>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</si>
  <si>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</si>
  <si>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</si>
  <si>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</si>
  <si>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</si>
  <si>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</si>
  <si>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</si>
  <si>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</si>
  <si>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</si>
  <si>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</si>
  <si>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</si>
  <si>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</si>
  <si>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</si>
  <si>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</si>
  <si>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</si>
  <si>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</si>
  <si>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</si>
  <si>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</si>
  <si>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</si>
  <si>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</si>
  <si>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</si>
  <si>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</si>
  <si>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</si>
  <si>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</si>
  <si>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</si>
  <si>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</si>
  <si>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</si>
  <si>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</si>
  <si>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</si>
  <si>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</si>
  <si>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</si>
  <si>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</si>
  <si>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</si>
  <si>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</si>
  <si>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</si>
  <si>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</si>
  <si>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</si>
  <si>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</si>
  <si>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</si>
  <si>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</si>
  <si>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</si>
  <si>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</si>
  <si>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</si>
  <si>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</si>
  <si>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</si>
  <si>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</si>
  <si>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</si>
  <si>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</si>
  <si>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</si>
  <si>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</si>
  <si>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</si>
  <si>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</si>
  <si>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</si>
  <si>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</si>
  <si>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</si>
  <si>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</si>
  <si>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</si>
  <si>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</si>
  <si>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</si>
  <si>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</si>
  <si>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</si>
  <si>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</si>
  <si>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</si>
  <si>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</si>
  <si>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</si>
  <si>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</si>
  <si>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</si>
  <si>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</si>
  <si>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</si>
  <si>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</si>
  <si>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</si>
  <si>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</si>
  <si>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</si>
  <si>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</si>
  <si>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</si>
  <si>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</si>
  <si>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</si>
  <si>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</si>
  <si>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</si>
  <si>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</si>
  <si>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</si>
  <si>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</si>
  <si>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</si>
  <si>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</si>
  <si>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</si>
  <si>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</si>
  <si>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</si>
  <si>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</si>
  <si>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</si>
  <si>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</si>
  <si>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</si>
  <si>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</si>
  <si>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</si>
  <si>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</si>
  <si>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</si>
  <si>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</si>
  <si>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</si>
  <si>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</si>
  <si>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</si>
  <si>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</si>
  <si>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</si>
  <si>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</si>
  <si>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</si>
  <si>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</si>
  <si>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</si>
  <si>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</si>
  <si>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</si>
  <si>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</si>
  <si>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</si>
  <si>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</si>
  <si>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</si>
  <si>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</si>
  <si>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</si>
  <si>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</si>
  <si>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</si>
  <si>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</si>
  <si>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</si>
  <si>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</si>
  <si>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</si>
  <si>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</si>
  <si>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PALET CAT AIR BIASA DOF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</si>
  <si>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</si>
  <si>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</si>
  <si>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</si>
  <si>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</si>
  <si>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</si>
  <si>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</si>
  <si>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</si>
  <si>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</si>
  <si>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</si>
  <si>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</si>
  <si>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</si>
  <si>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</si>
  <si>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</si>
  <si>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</si>
  <si>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</si>
  <si>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</si>
  <si>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</si>
  <si>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</si>
  <si>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</si>
  <si>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</si>
  <si>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</si>
  <si>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</si>
  <si>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</si>
  <si>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</si>
  <si>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</si>
  <si>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</si>
  <si>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</si>
  <si>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</si>
  <si>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</si>
  <si>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</si>
  <si>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</si>
  <si>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</si>
  <si>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</si>
  <si>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</si>
  <si>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</si>
  <si>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</si>
  <si>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</si>
  <si>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</si>
  <si>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</si>
  <si>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</si>
  <si>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</si>
  <si>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</si>
  <si>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</si>
  <si>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</si>
  <si>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</si>
  <si>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</si>
  <si>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</si>
  <si>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</si>
  <si>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</si>
  <si>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</si>
  <si>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</si>
  <si>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</si>
  <si>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</si>
  <si>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</si>
  <si>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</si>
  <si>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</si>
  <si>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</si>
  <si>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</si>
  <si>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</si>
  <si>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</si>
  <si>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</si>
  <si>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</si>
  <si>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</si>
  <si>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</si>
  <si>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</si>
  <si>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</si>
  <si>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</si>
  <si>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</si>
  <si>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</si>
  <si>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</si>
  <si>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</si>
  <si>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</si>
  <si>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</si>
  <si>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</si>
  <si>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</si>
  <si>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</si>
  <si>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</si>
  <si>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</si>
  <si>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</si>
  <si>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</si>
  <si>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</si>
  <si>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</si>
  <si>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</si>
  <si>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</si>
  <si>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</si>
  <si>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</si>
  <si>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</si>
  <si>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</si>
  <si>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</si>
  <si>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</si>
  <si>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</si>
  <si>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</si>
  <si>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</si>
  <si>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</si>
  <si>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</si>
  <si>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</si>
  <si>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</si>
  <si>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</si>
  <si>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</si>
  <si>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</si>
  <si>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</si>
  <si>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</si>
  <si>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</si>
  <si>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</si>
  <si>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</si>
  <si>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</si>
  <si>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</si>
  <si>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</si>
  <si>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</si>
  <si>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</si>
  <si>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</si>
  <si>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</si>
  <si>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</si>
  <si>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</si>
  <si>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</si>
  <si>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</si>
  <si>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</si>
  <si>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</si>
  <si>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</si>
  <si>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</si>
  <si>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</si>
  <si>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</si>
  <si>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</si>
  <si>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</si>
  <si>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</si>
  <si>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</si>
  <si>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</si>
  <si>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</si>
  <si>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</si>
  <si>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</si>
  <si>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</si>
  <si>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</si>
  <si>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</si>
  <si>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</si>
  <si>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</si>
  <si>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</si>
  <si>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</si>
  <si>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</si>
  <si>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</si>
  <si>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</si>
  <si>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</si>
  <si>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</si>
  <si>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</si>
  <si>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</si>
  <si>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</si>
  <si>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</si>
  <si>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</si>
  <si>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</si>
  <si>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</si>
  <si>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</si>
  <si>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</si>
  <si>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</si>
  <si>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</si>
  <si>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</si>
  <si>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</si>
  <si>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</si>
  <si>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</si>
  <si>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</si>
  <si>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</si>
  <si>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</si>
  <si>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</si>
  <si>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</si>
  <si>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</si>
  <si>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</si>
  <si>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</si>
  <si>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</si>
  <si>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</si>
  <si>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</si>
  <si>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</si>
  <si>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</si>
  <si>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</si>
  <si>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</si>
  <si>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</si>
  <si>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</si>
  <si>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</si>
  <si>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</si>
  <si>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</si>
  <si>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</si>
  <si>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</si>
  <si>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PALET GAMBAR APEL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</si>
  <si>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</si>
  <si>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</si>
  <si>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</si>
  <si>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</si>
  <si>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</si>
  <si>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</si>
  <si>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</si>
  <si>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</si>
  <si>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</si>
  <si>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</si>
  <si>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</si>
  <si>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</si>
  <si>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</si>
  <si>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</si>
  <si>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</si>
  <si>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</si>
  <si>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</si>
  <si>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</si>
  <si>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</si>
  <si>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</si>
  <si>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</si>
  <si>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</si>
  <si>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</si>
  <si>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</si>
  <si>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</si>
  <si>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</si>
  <si>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</si>
  <si>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</si>
  <si>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</si>
  <si>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</si>
  <si>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</si>
  <si>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</si>
  <si>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</si>
  <si>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</si>
  <si>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</si>
  <si>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</si>
  <si>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</si>
  <si>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</si>
  <si>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</si>
  <si>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</si>
  <si>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</si>
  <si>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</si>
  <si>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</si>
  <si>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</si>
  <si>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</si>
  <si>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</si>
  <si>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</si>
  <si>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</si>
  <si>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</si>
  <si>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</si>
  <si>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</si>
  <si>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</si>
  <si>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</si>
  <si>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</si>
  <si>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</si>
  <si>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</si>
  <si>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</si>
  <si>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</si>
  <si>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</si>
  <si>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</si>
  <si>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</si>
  <si>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</si>
  <si>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</si>
  <si>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</si>
  <si>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</si>
  <si>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</si>
  <si>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</si>
  <si>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</si>
  <si>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</si>
  <si>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</si>
  <si>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</si>
  <si>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</si>
  <si>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</si>
  <si>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</si>
  <si>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</si>
  <si>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</si>
  <si>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</si>
  <si>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</si>
  <si>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</si>
  <si>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</si>
  <si>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</si>
  <si>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</si>
  <si>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</si>
  <si>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</si>
  <si>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</si>
  <si>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</si>
  <si>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</si>
  <si>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</si>
  <si>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</si>
  <si>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</si>
  <si>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</si>
  <si>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</si>
  <si>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</si>
  <si>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</si>
  <si>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</si>
  <si>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</si>
  <si>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</si>
  <si>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</si>
  <si>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</si>
  <si>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</si>
  <si>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</si>
  <si>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</si>
  <si>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</si>
  <si>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</si>
  <si>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</si>
  <si>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</si>
  <si>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</si>
  <si>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</si>
  <si>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</si>
  <si>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</si>
  <si>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</si>
  <si>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</si>
  <si>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</si>
  <si>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</si>
  <si>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</si>
  <si>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</si>
  <si>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</si>
  <si>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</si>
  <si>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</si>
  <si>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</si>
  <si>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</si>
  <si>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</si>
  <si>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GEL 1.0 340 BIRU</t>
  </si>
  <si>
    <t>AC-105 F PUTIH</t>
  </si>
  <si>
    <t>GUNINDO</t>
  </si>
  <si>
    <t>2300086</t>
  </si>
  <si>
    <t>WB ERASER 803</t>
  </si>
  <si>
    <t>SLOP</t>
  </si>
  <si>
    <t>PALET GAMBAR ANGGUR</t>
  </si>
  <si>
    <t>EXP</t>
  </si>
  <si>
    <t>5000 LSN</t>
  </si>
  <si>
    <t>GARISAN GAMBAR 3.1.5 PLS BR</t>
  </si>
  <si>
    <t>GARISAN GAMBAR  NO 4 MIKA</t>
  </si>
  <si>
    <t>5500 LSN</t>
  </si>
  <si>
    <t>23010870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</si>
  <si>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</si>
  <si>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</si>
  <si>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</si>
  <si>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</si>
  <si>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</si>
  <si>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</si>
  <si>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</si>
  <si>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</si>
  <si>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</si>
  <si>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</si>
  <si>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</si>
  <si>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</si>
  <si>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</si>
  <si>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</si>
  <si>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</si>
  <si>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</si>
  <si>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</si>
  <si>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</si>
  <si>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</si>
  <si>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</si>
  <si>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</si>
  <si>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</si>
  <si>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</si>
  <si>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</si>
  <si>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</si>
  <si>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</si>
  <si>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</si>
  <si>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</si>
  <si>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</si>
  <si>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</si>
  <si>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</si>
  <si>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</si>
  <si>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</si>
  <si>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</si>
  <si>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</si>
  <si>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</si>
  <si>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</si>
  <si>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</si>
  <si>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</si>
  <si>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</si>
  <si>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ACRYLIC COLOUR TF-1C-003 (18 X 6ML)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</si>
  <si>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</si>
  <si>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</si>
  <si>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</si>
  <si>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</si>
  <si>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</si>
  <si>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</si>
  <si>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</si>
  <si>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</si>
  <si>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</si>
  <si>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</si>
  <si>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</si>
  <si>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</si>
  <si>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</si>
  <si>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</si>
  <si>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</si>
  <si>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</si>
  <si>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</si>
  <si>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</si>
  <si>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</si>
  <si>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</si>
  <si>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</si>
  <si>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</si>
  <si>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</si>
  <si>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</si>
  <si>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</si>
  <si>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</si>
  <si>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</si>
  <si>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</si>
  <si>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</si>
  <si>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</si>
  <si>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</si>
  <si>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</si>
  <si>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</si>
  <si>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</si>
  <si>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</si>
  <si>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</si>
  <si>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</si>
  <si>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</si>
  <si>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</si>
  <si>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</si>
  <si>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</si>
  <si>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</si>
  <si>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</si>
  <si>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</si>
  <si>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</si>
  <si>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</si>
  <si>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</si>
  <si>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</si>
  <si>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</si>
  <si>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</si>
  <si>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</si>
  <si>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</si>
  <si>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</si>
  <si>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</si>
  <si>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SEMPOA 13 T</t>
  </si>
  <si>
    <t>300 PCS</t>
  </si>
  <si>
    <t>SEMPOA 17 T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</si>
  <si>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</si>
  <si>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</si>
  <si>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</si>
  <si>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</si>
  <si>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</si>
  <si>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</si>
  <si>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</si>
  <si>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</si>
  <si>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</si>
  <si>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</si>
  <si>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</si>
  <si>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</si>
  <si>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</si>
  <si>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</si>
  <si>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</si>
  <si>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</si>
  <si>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</si>
  <si>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</si>
  <si>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</si>
  <si>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</si>
  <si>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</si>
  <si>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</si>
  <si>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</si>
  <si>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</si>
  <si>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</si>
  <si>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</si>
  <si>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</si>
  <si>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</si>
  <si>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</si>
  <si>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</si>
  <si>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</si>
  <si>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</si>
  <si>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</si>
  <si>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</si>
  <si>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</si>
  <si>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</si>
  <si>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</si>
  <si>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</si>
  <si>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</si>
  <si>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</si>
  <si>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</si>
  <si>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</si>
  <si>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</si>
  <si>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</si>
  <si>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</si>
  <si>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</si>
  <si>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</si>
  <si>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</si>
  <si>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</si>
  <si>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</si>
  <si>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</si>
  <si>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</si>
  <si>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</si>
  <si>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</si>
  <si>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</si>
  <si>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</si>
  <si>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</si>
  <si>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AC-105 F MERAH</t>
  </si>
  <si>
    <t>AC-105 F KUNING</t>
  </si>
  <si>
    <t>GA-23-01-0251</t>
  </si>
  <si>
    <t>MAP ZIPPER JALA BIRU</t>
  </si>
  <si>
    <t>240 PCS</t>
  </si>
  <si>
    <t>MAP ZIPPER JALA HIJAU</t>
  </si>
  <si>
    <t>MAP ZIPPER JALA MERAH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</si>
  <si>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</si>
  <si>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</si>
  <si>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</si>
  <si>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</si>
  <si>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</si>
  <si>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</si>
  <si>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</si>
  <si>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</si>
  <si>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PITA JPN LIST GOLD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</si>
  <si>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</si>
  <si>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</si>
  <si>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</si>
  <si>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</si>
  <si>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</si>
  <si>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</si>
  <si>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</si>
  <si>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</si>
  <si>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</si>
  <si>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</si>
  <si>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</si>
  <si>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</si>
  <si>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</si>
  <si>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</si>
  <si>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</si>
  <si>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</si>
  <si>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</si>
  <si>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</si>
  <si>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</si>
  <si>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</si>
  <si>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</si>
  <si>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</si>
  <si>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</si>
  <si>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</si>
  <si>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</si>
  <si>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</si>
  <si>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</si>
  <si>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</si>
  <si>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</si>
  <si>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</si>
  <si>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</si>
  <si>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</si>
  <si>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</si>
  <si>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</si>
  <si>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</si>
  <si>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</si>
  <si>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</si>
  <si>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</si>
  <si>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</si>
  <si>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</si>
  <si>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</si>
  <si>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</si>
  <si>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</si>
  <si>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</si>
  <si>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</si>
  <si>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</si>
  <si>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KT-387/ 8X022.5/ PUA/ GLT/ GIRL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</si>
  <si>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</si>
  <si>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</si>
  <si>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</si>
  <si>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</si>
  <si>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</si>
  <si>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</si>
  <si>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</si>
  <si>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</si>
  <si>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</si>
  <si>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</si>
  <si>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</si>
  <si>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</si>
  <si>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</si>
  <si>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</si>
  <si>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</si>
  <si>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</si>
  <si>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</si>
  <si>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</si>
  <si>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</si>
  <si>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</si>
  <si>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</si>
  <si>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</si>
  <si>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</si>
  <si>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</si>
  <si>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</si>
  <si>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</si>
  <si>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</si>
  <si>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</si>
  <si>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</si>
  <si>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</si>
  <si>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</si>
  <si>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</si>
  <si>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</si>
  <si>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</si>
  <si>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</si>
  <si>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</si>
  <si>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</si>
  <si>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</si>
  <si>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</si>
  <si>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</si>
  <si>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</si>
  <si>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</si>
  <si>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</si>
  <si>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</si>
  <si>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</si>
  <si>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</si>
  <si>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</si>
  <si>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</si>
  <si>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</si>
  <si>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</si>
  <si>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</si>
  <si>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</si>
  <si>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</si>
  <si>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</si>
  <si>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</si>
  <si>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</si>
  <si>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</si>
  <si>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</si>
  <si>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</si>
  <si>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</si>
  <si>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</si>
  <si>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</si>
  <si>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</si>
  <si>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</si>
  <si>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MAP KCG KNG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</si>
  <si>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</si>
  <si>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</si>
  <si>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</si>
  <si>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</si>
  <si>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</si>
  <si>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</si>
  <si>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</si>
  <si>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</si>
  <si>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</si>
  <si>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</si>
  <si>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</si>
  <si>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</si>
  <si>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</si>
  <si>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</si>
  <si>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</si>
  <si>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</si>
  <si>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</si>
  <si>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</si>
  <si>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</si>
  <si>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BONUS]</t>
  </si>
  <si>
    <t>CUTTER TACO BESAR 88</t>
  </si>
  <si>
    <t>CUTTER TACO BSR  88</t>
  </si>
  <si>
    <t>CUTTER TACO KCL 78</t>
  </si>
  <si>
    <t>ACRYLIC TF001</t>
  </si>
  <si>
    <t>PENSIL 2B P88 JK</t>
  </si>
  <si>
    <t>TIPEX KENKO KE-01</t>
  </si>
  <si>
    <t>LEM STICK  8 GR</t>
  </si>
  <si>
    <t>36 BOX</t>
  </si>
  <si>
    <t>B CLIP 155</t>
  </si>
  <si>
    <t>B CLIP 200</t>
  </si>
  <si>
    <t>10 GRS</t>
  </si>
  <si>
    <t>B CLIP 260</t>
  </si>
  <si>
    <t>TIPEX 831</t>
  </si>
  <si>
    <t>LL A5-100</t>
  </si>
  <si>
    <t>96 PAK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</si>
  <si>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</si>
  <si>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</si>
  <si>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</si>
  <si>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</si>
  <si>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</si>
  <si>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</si>
  <si>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</si>
  <si>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</si>
  <si>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200 PCS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</si>
  <si>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</si>
  <si>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</si>
  <si>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</si>
  <si>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</si>
  <si>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</si>
  <si>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</si>
  <si>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</si>
  <si>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</si>
  <si>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</si>
  <si>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</si>
  <si>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</si>
  <si>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</si>
  <si>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</si>
  <si>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</si>
  <si>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</si>
  <si>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</si>
  <si>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</si>
  <si>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AG CK KOMBINASIB</t>
  </si>
  <si>
    <t>CASH DISC : 78.000</t>
  </si>
  <si>
    <t>A41.23</t>
  </si>
  <si>
    <t>ENTER 30CM 675</t>
  </si>
  <si>
    <t>200 DZ</t>
  </si>
  <si>
    <t>29/01/02023</t>
  </si>
  <si>
    <t>JUA599/233</t>
  </si>
  <si>
    <t>STABILO TIZO 54 PC TF610</t>
  </si>
  <si>
    <t>HIGHLIGHTER 24 PCS TF616</t>
  </si>
  <si>
    <t>32 PCS</t>
  </si>
  <si>
    <t>DIMUAT 1 COLI</t>
  </si>
  <si>
    <t>16 BOX X 40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</si>
</sst>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24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35.646044791669" createdVersion="5" refreshedVersion="5" minRefreshableVersion="3" recordCount="1029">
  <cacheSource type="worksheet">
    <worksheetSource name="NOTA"/>
  </cacheSource>
  <cacheFields count="36">
    <cacheField name="ID" numFmtId="3">
      <sharedItems containsMixedTypes="1" containsNumber="1" containsInteger="1" minValue="1" maxValue="25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25"/>
    </cacheField>
    <cacheField name="TANGGAL" numFmtId="14">
      <sharedItems containsDate="1" containsBlank="1" containsMixedTypes="1" minDate="2023-01-03T00:00:00" maxDate="2023-01-08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2-01-04T00:00:00" maxDate="2023-01-08T00:00:00"/>
    </cacheField>
    <cacheField name="SERI" numFmtId="0">
      <sharedItems containsNonDate="0" containsString="0" containsBlank="1"/>
    </cacheField>
    <cacheField name="NAMA BARANG" numFmtId="0">
      <sharedItems containsBlank="1" count="76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</sharedItems>
    </cacheField>
    <cacheField name="C" numFmtId="0">
      <sharedItems containsString="0" containsBlank="1" containsNumber="1" containsInteger="1" minValue="1" maxValue="50" count="14">
        <n v="5"/>
        <m/>
        <n v="3"/>
        <n v="10"/>
        <n v="4"/>
        <n v="2"/>
        <n v="6"/>
        <n v="1"/>
        <n v="25"/>
        <n v="20"/>
        <n v="7"/>
        <n v="26"/>
        <n v="50"/>
        <n v="15"/>
      </sharedItems>
    </cacheField>
    <cacheField name="QTY" numFmtId="0">
      <sharedItems containsString="0" containsBlank="1" containsNumber="1" containsInteger="1" minValue="6" maxValue="7200"/>
    </cacheField>
    <cacheField name="STN" numFmtId="0">
      <sharedItems containsBlank="1"/>
    </cacheField>
    <cacheField name="HARGA SATUAN" numFmtId="0">
      <sharedItems containsString="0" containsBlank="1" containsNumber="1" containsInteger="1" minValue="550" maxValue="195000"/>
    </cacheField>
    <cacheField name="HARGA/ CTN" numFmtId="4">
      <sharedItems containsString="0" containsBlank="1" containsNumber="1" containsInteger="1" minValue="462000" maxValue="5616000"/>
    </cacheField>
    <cacheField name="QTY/ CTN" numFmtId="0">
      <sharedItems containsBlank="1"/>
    </cacheField>
    <cacheField name="DISC 1" numFmtId="10">
      <sharedItems containsString="0" containsBlank="1" containsNumber="1" minValue="0.1" maxValue="0.2"/>
    </cacheField>
    <cacheField name="DISC 2" numFmtId="10">
      <sharedItems containsString="0" containsBlank="1" containsNumber="1" minValue="2.5000000000000001E-2" maxValue="0.05"/>
    </cacheField>
    <cacheField name="DISC DLL" numFmtId="43">
      <sharedItems containsString="0" containsBlank="1" containsNumber="1" containsInteger="1" minValue="135000" maxValue="323190"/>
    </cacheField>
    <cacheField name="KETERANGAN" numFmtId="0">
      <sharedItems containsBlank="1"/>
    </cacheField>
    <cacheField name="JUMLAH" numFmtId="43">
      <sharedItems containsMixedTypes="1" containsNumber="1" containsInteger="1" minValue="378000" maxValue="486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containsInteger="1" minValue="0" maxValue="972000"/>
    </cacheField>
    <cacheField name="DISC" numFmtId="43">
      <sharedItems containsMixedTypes="1" containsNumber="1" minValue="0" maxValue="10692000"/>
    </cacheField>
    <cacheField name="TOTAL" numFmtId="43">
      <sharedItems containsMixedTypes="1" containsNumber="1" containsInteger="1" minValue="323190" maxValue="43750000"/>
    </cacheField>
    <cacheField name="DISC TOTAL" numFmtId="43">
      <sharedItems containsMixedTypes="1" containsNumber="1" containsInteger="1" minValue="0" maxValue="15158880"/>
    </cacheField>
    <cacheField name="TOTAL INVOICE" numFmtId="43">
      <sharedItems containsMixedTypes="1" containsNumber="1" containsInteger="1" minValue="0" maxValue="63060000"/>
    </cacheField>
    <cacheField name="HARGA/ CTN_H" numFmtId="0">
      <sharedItems containsMixedTypes="1" containsNumber="1" containsInteger="1" minValue="0" maxValue="5616000"/>
    </cacheField>
    <cacheField name="JUMLAH_H" numFmtId="43">
      <sharedItems containsMixedTypes="1" containsNumber="1" containsInteger="1" minValue="378000" maxValue="48600000"/>
    </cacheField>
    <cacheField name="TGL_H" numFmtId="14">
      <sharedItems containsDate="1" containsMixedTypes="1" minDate="2023-01-03T00:00:00" maxDate="2023-01-08T00:00:00"/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6"/>
    </cacheField>
    <cacheField name="Column1" numFmtId="0">
      <sharedItems containsMixedTypes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9">
  <r>
    <n v="1"/>
    <s v="GRA_0301_LAN-1"/>
    <e v="#REF!"/>
    <n v="1"/>
    <d v="2023-01-03T00:00:00"/>
    <s v="GRAFINDO"/>
    <s v="UNTANA"/>
    <s v="SURAT JALAN"/>
    <m/>
    <d v="2022-12-27T00:00:00"/>
    <m/>
    <x v="0"/>
    <x v="0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x v="2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x v="3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x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</r>
  <r>
    <s v=""/>
    <s v=""/>
    <s v=""/>
    <n v="4"/>
    <m/>
    <m/>
    <m/>
    <m/>
    <m/>
    <m/>
    <m/>
    <x v="5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6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7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8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9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0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1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2"/>
    <x v="0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x v="2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x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7"/>
    <s v="ATA_0501_053-5"/>
    <e v="#REF!"/>
    <n v="7"/>
    <m/>
    <s v="ATALI MAKMUR"/>
    <s v="ARTO MORO"/>
    <s v="SA230100053"/>
    <m/>
    <d v="2023-01-02T00:00:00"/>
    <m/>
    <x v="15"/>
    <x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</r>
  <r>
    <s v=""/>
    <s v=""/>
    <s v=""/>
    <n v="7"/>
    <m/>
    <m/>
    <m/>
    <m/>
    <m/>
    <m/>
    <m/>
    <x v="16"/>
    <x v="2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</r>
  <r>
    <s v=""/>
    <s v=""/>
    <s v=""/>
    <n v="7"/>
    <m/>
    <m/>
    <m/>
    <m/>
    <m/>
    <m/>
    <m/>
    <x v="17"/>
    <x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</r>
  <r>
    <s v=""/>
    <s v=""/>
    <s v=""/>
    <n v="7"/>
    <m/>
    <m/>
    <m/>
    <m/>
    <m/>
    <m/>
    <m/>
    <x v="18"/>
    <x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</r>
  <r>
    <s v=""/>
    <s v=""/>
    <s v=""/>
    <n v="7"/>
    <m/>
    <m/>
    <m/>
    <m/>
    <m/>
    <m/>
    <m/>
    <x v="19"/>
    <x v="1"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x v="0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x v="7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</r>
  <r>
    <s v=""/>
    <s v=""/>
    <s v=""/>
    <n v="9"/>
    <m/>
    <m/>
    <m/>
    <m/>
    <m/>
    <m/>
    <m/>
    <x v="22"/>
    <x v="7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</r>
  <r>
    <s v=""/>
    <s v=""/>
    <s v=""/>
    <n v="9"/>
    <m/>
    <m/>
    <m/>
    <m/>
    <m/>
    <m/>
    <m/>
    <x v="23"/>
    <x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</r>
  <r>
    <s v=""/>
    <s v=""/>
    <s v=""/>
    <n v="9"/>
    <m/>
    <m/>
    <m/>
    <m/>
    <m/>
    <m/>
    <m/>
    <x v="24"/>
    <x v="7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</r>
  <r>
    <s v=""/>
    <s v=""/>
    <s v=""/>
    <n v="9"/>
    <m/>
    <m/>
    <m/>
    <m/>
    <m/>
    <m/>
    <m/>
    <x v="25"/>
    <x v="5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</r>
  <r>
    <s v=""/>
    <s v=""/>
    <s v=""/>
    <n v="9"/>
    <m/>
    <m/>
    <m/>
    <m/>
    <m/>
    <m/>
    <m/>
    <x v="26"/>
    <x v="7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</r>
  <r>
    <s v=""/>
    <s v=""/>
    <s v=""/>
    <n v="9"/>
    <m/>
    <m/>
    <m/>
    <m/>
    <m/>
    <m/>
    <m/>
    <x v="27"/>
    <x v="5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</r>
  <r>
    <s v=""/>
    <s v=""/>
    <s v=""/>
    <n v="9"/>
    <m/>
    <m/>
    <m/>
    <m/>
    <m/>
    <m/>
    <m/>
    <x v="28"/>
    <x v="5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</r>
  <r>
    <s v=""/>
    <s v=""/>
    <s v=""/>
    <n v="9"/>
    <m/>
    <m/>
    <m/>
    <m/>
    <m/>
    <m/>
    <m/>
    <x v="29"/>
    <x v="5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</r>
  <r>
    <s v=""/>
    <s v=""/>
    <s v=""/>
    <n v="9"/>
    <m/>
    <m/>
    <m/>
    <m/>
    <m/>
    <m/>
    <m/>
    <x v="30"/>
    <x v="7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x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</r>
  <r>
    <s v=""/>
    <s v=""/>
    <s v=""/>
    <n v="10"/>
    <m/>
    <m/>
    <m/>
    <m/>
    <m/>
    <m/>
    <m/>
    <x v="31"/>
    <x v="5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2"/>
    <x v="5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</r>
  <r>
    <s v=""/>
    <s v=""/>
    <s v=""/>
    <n v="10"/>
    <m/>
    <m/>
    <m/>
    <m/>
    <m/>
    <m/>
    <m/>
    <x v="33"/>
    <x v="7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4"/>
    <x v="2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</r>
  <r>
    <s v=""/>
    <s v=""/>
    <s v=""/>
    <n v="10"/>
    <m/>
    <m/>
    <m/>
    <m/>
    <s v="SA 39277"/>
    <m/>
    <m/>
    <x v="35"/>
    <x v="5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</r>
  <r>
    <s v=""/>
    <s v=""/>
    <s v=""/>
    <n v="10"/>
    <m/>
    <m/>
    <m/>
    <m/>
    <m/>
    <m/>
    <m/>
    <x v="36"/>
    <x v="2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</r>
  <r>
    <s v=""/>
    <s v=""/>
    <s v=""/>
    <n v="10"/>
    <m/>
    <m/>
    <m/>
    <m/>
    <m/>
    <m/>
    <m/>
    <x v="37"/>
    <x v="0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1"/>
    <s v="PMJ_0401_ 40-2"/>
    <e v="#REF!"/>
    <n v="11"/>
    <d v="2023-01-04T00:00:00"/>
    <s v="PMJP"/>
    <s v="UNTANA"/>
    <s v="SURAT JALAN NO : 40"/>
    <m/>
    <d v="2023-01-03T00:00:00"/>
    <m/>
    <x v="38"/>
    <x v="5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4T00:00:00"/>
    <s v="PMJP"/>
    <x v="0"/>
    <n v="2"/>
    <n v="1"/>
  </r>
  <r>
    <s v=""/>
    <s v=""/>
    <s v=""/>
    <n v="11"/>
    <m/>
    <m/>
    <m/>
    <m/>
    <m/>
    <m/>
    <m/>
    <x v="39"/>
    <x v="5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4T00:00:00"/>
    <s v="PMJP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2"/>
    <s v="ETJ_0401_223-9"/>
    <e v="#REF!"/>
    <n v="12"/>
    <m/>
    <s v="ETJ"/>
    <s v="UNTANA"/>
    <s v="022.23"/>
    <m/>
    <d v="2023-01-04T00:00:00"/>
    <m/>
    <x v="40"/>
    <x v="8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4T00:00:00"/>
    <s v="ETJ"/>
    <x v="0"/>
    <n v="9"/>
    <n v="1"/>
  </r>
  <r>
    <s v=""/>
    <s v=""/>
    <s v=""/>
    <n v="12"/>
    <m/>
    <m/>
    <m/>
    <m/>
    <m/>
    <m/>
    <m/>
    <x v="41"/>
    <x v="2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4T00:00:00"/>
    <s v="ETJ"/>
    <x v="0"/>
    <s v=""/>
    <n v="1"/>
  </r>
  <r>
    <s v=""/>
    <s v=""/>
    <s v=""/>
    <n v="12"/>
    <m/>
    <m/>
    <m/>
    <m/>
    <m/>
    <m/>
    <m/>
    <x v="42"/>
    <x v="2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4T00:00:00"/>
    <s v="ETJ"/>
    <x v="0"/>
    <s v=""/>
    <n v="1"/>
  </r>
  <r>
    <s v=""/>
    <s v=""/>
    <s v=""/>
    <n v="12"/>
    <m/>
    <m/>
    <m/>
    <m/>
    <m/>
    <m/>
    <m/>
    <x v="43"/>
    <x v="5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4T00:00:00"/>
    <s v="ETJ"/>
    <x v="0"/>
    <s v=""/>
    <n v="1"/>
  </r>
  <r>
    <s v=""/>
    <s v=""/>
    <s v=""/>
    <n v="12"/>
    <m/>
    <m/>
    <m/>
    <m/>
    <m/>
    <m/>
    <m/>
    <x v="44"/>
    <x v="0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4T00:00:00"/>
    <s v="ETJ"/>
    <x v="0"/>
    <s v=""/>
    <n v="1"/>
  </r>
  <r>
    <s v=""/>
    <s v=""/>
    <s v=""/>
    <n v="12"/>
    <m/>
    <m/>
    <m/>
    <m/>
    <m/>
    <m/>
    <m/>
    <x v="45"/>
    <x v="5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4T00:00:00"/>
    <s v="ETJ"/>
    <x v="0"/>
    <s v=""/>
    <n v="1"/>
  </r>
  <r>
    <s v=""/>
    <s v=""/>
    <s v=""/>
    <n v="12"/>
    <m/>
    <m/>
    <m/>
    <m/>
    <m/>
    <m/>
    <m/>
    <x v="46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7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8"/>
    <x v="7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3"/>
    <s v="ETJ_0401_323-1"/>
    <e v="#REF!"/>
    <n v="13"/>
    <m/>
    <s v="ETJ"/>
    <s v="UNTANA"/>
    <s v="023.23"/>
    <m/>
    <d v="2023-01-04T00:00:00"/>
    <m/>
    <x v="49"/>
    <x v="9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4"/>
    <s v="ETJ_0401_423-3"/>
    <e v="#REF!"/>
    <n v="14"/>
    <m/>
    <s v="ETJ"/>
    <s v="UNTANA"/>
    <s v="024.23"/>
    <m/>
    <d v="2023-01-04T00:00:00"/>
    <m/>
    <x v="50"/>
    <x v="5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</r>
  <r>
    <s v=""/>
    <s v=""/>
    <s v=""/>
    <n v="14"/>
    <m/>
    <m/>
    <m/>
    <m/>
    <m/>
    <m/>
    <m/>
    <x v="51"/>
    <x v="5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</r>
  <r>
    <s v=""/>
    <s v=""/>
    <s v=""/>
    <n v="14"/>
    <m/>
    <m/>
    <m/>
    <m/>
    <m/>
    <m/>
    <m/>
    <x v="52"/>
    <x v="5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5"/>
    <s v="JAY_0401_702-16"/>
    <e v="#REF!"/>
    <n v="15"/>
    <m/>
    <s v="JAYA MAKMUR"/>
    <s v="UNTANA"/>
    <s v="JM/ 12702"/>
    <m/>
    <d v="2023-01-04T00:00:00"/>
    <m/>
    <x v="53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</r>
  <r>
    <s v=""/>
    <s v=""/>
    <s v=""/>
    <n v="15"/>
    <m/>
    <m/>
    <m/>
    <m/>
    <m/>
    <m/>
    <m/>
    <x v="54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3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4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x v="1"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</r>
  <r>
    <s v=""/>
    <s v=""/>
    <s v=""/>
    <n v="16"/>
    <m/>
    <m/>
    <m/>
    <m/>
    <m/>
    <m/>
    <m/>
    <x v="62"/>
    <x v="1"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7"/>
    <s v="DBS_0701_723-2"/>
    <e v="#REF!"/>
    <n v="17"/>
    <s v="04/021/2023"/>
    <s v="DB STATIONERY"/>
    <s v="UNTANA"/>
    <s v="JUA047/23"/>
    <m/>
    <d v="2022-01-04T00:00:00"/>
    <m/>
    <x v="63"/>
    <x v="10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1-07T00:00:00"/>
    <s v="DB STATIONERY"/>
    <x v="0"/>
    <n v="2"/>
    <n v="1"/>
  </r>
  <r>
    <s v=""/>
    <s v=""/>
    <s v=""/>
    <n v="17"/>
    <m/>
    <m/>
    <m/>
    <m/>
    <m/>
    <m/>
    <m/>
    <x v="64"/>
    <x v="2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1-07T00:00:00"/>
    <s v="DB STATIONE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8"/>
    <s v="GRA_0701_001-3"/>
    <e v="#REF!"/>
    <n v="18"/>
    <m/>
    <s v="GRAFINDO"/>
    <s v="UNTANA"/>
    <s v="GA-23-01-0001"/>
    <m/>
    <d v="2023-01-02T00:00:00"/>
    <m/>
    <x v="65"/>
    <x v="2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1-07T00:00:00"/>
    <s v="GRAFINDO"/>
    <x v="0"/>
    <n v="3"/>
    <n v="1"/>
  </r>
  <r>
    <s v=""/>
    <s v=""/>
    <s v=""/>
    <n v="18"/>
    <m/>
    <m/>
    <m/>
    <m/>
    <m/>
    <m/>
    <m/>
    <x v="66"/>
    <x v="7"/>
    <n v="50"/>
    <s v="LSN"/>
    <m/>
    <m/>
    <s v="50 LSN"/>
    <m/>
    <m/>
    <m/>
    <s v="BONUS"/>
    <s v=""/>
    <s v=""/>
    <s v=""/>
    <s v=""/>
    <s v=""/>
    <s v=""/>
    <s v=""/>
    <n v="0"/>
    <s v=""/>
    <d v="2023-01-07T00:00:00"/>
    <s v="GRAFINDO"/>
    <x v="0"/>
    <s v=""/>
    <n v="1"/>
  </r>
  <r>
    <s v=""/>
    <s v=""/>
    <s v=""/>
    <n v="18"/>
    <m/>
    <m/>
    <m/>
    <m/>
    <m/>
    <m/>
    <m/>
    <x v="67"/>
    <x v="5"/>
    <n v="100"/>
    <s v="LSN"/>
    <m/>
    <m/>
    <s v="50 LSN"/>
    <m/>
    <m/>
    <m/>
    <s v="BONUS"/>
    <s v=""/>
    <s v=""/>
    <s v=""/>
    <s v=""/>
    <s v=""/>
    <n v="0"/>
    <n v="2737500"/>
    <n v="0"/>
    <s v=""/>
    <d v="2023-01-07T00:00:00"/>
    <s v="GRAFINDO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9"/>
    <s v="GRA_0701_014-1"/>
    <e v="#REF!"/>
    <n v="19"/>
    <m/>
    <s v="GRAFINDO"/>
    <s v="UNTANA"/>
    <s v="GA-23-01-0014"/>
    <m/>
    <d v="2023-01-03T00:00:00"/>
    <m/>
    <x v="66"/>
    <x v="2"/>
    <n v="150"/>
    <s v="LSN"/>
    <m/>
    <m/>
    <s v="50 LSN"/>
    <m/>
    <m/>
    <m/>
    <s v="SURAT JALAN"/>
    <s v=""/>
    <s v=""/>
    <s v=""/>
    <s v=""/>
    <s v=""/>
    <n v="0"/>
    <n v="0"/>
    <n v="0"/>
    <s v=""/>
    <d v="2023-01-07T00:00:00"/>
    <s v="GRAFINDO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0"/>
    <s v="TRI_0701_720-1"/>
    <e v="#REF!"/>
    <n v="20"/>
    <m/>
    <s v="TRI MITRA SEJATI"/>
    <s v="UNTANA"/>
    <s v="20230100720"/>
    <m/>
    <d v="2023-01-04T00:00:00"/>
    <m/>
    <x v="68"/>
    <x v="11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1-07T00:00:00"/>
    <s v="TRI MITRA SEJAT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x v="7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x v="12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3"/>
    <s v="DUT_0601_23H-2"/>
    <e v="#REF!"/>
    <n v="23"/>
    <m/>
    <s v="DUTA BUANA"/>
    <s v="UNTANA"/>
    <s v="HM/002/01-23H"/>
    <m/>
    <d v="2023-01-02T00:00:00"/>
    <m/>
    <x v="71"/>
    <x v="7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6T00:00:00"/>
    <s v="DUTA BUANA"/>
    <x v="0"/>
    <n v="2"/>
    <n v="1"/>
  </r>
  <r>
    <s v=""/>
    <s v=""/>
    <s v=""/>
    <n v="23"/>
    <m/>
    <m/>
    <m/>
    <m/>
    <m/>
    <m/>
    <m/>
    <x v="72"/>
    <x v="7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6T00:00:00"/>
    <s v="DUTA BUAN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4"/>
    <s v="DUT_0601_23H-1"/>
    <e v="#REF!"/>
    <n v="24"/>
    <m/>
    <s v="DUTA BUANA"/>
    <s v="UNTANA"/>
    <s v="HM/007/0-23H"/>
    <m/>
    <d v="2023-01-04T00:00:00"/>
    <m/>
    <x v="73"/>
    <x v="0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6T00:00:00"/>
    <s v="DUTA BUANA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5"/>
    <s v="SUR_0601_039-2"/>
    <e v="#REF!"/>
    <n v="25"/>
    <m/>
    <s v="SURYA PRATAMA"/>
    <s v="UNTANA"/>
    <s v="F23A000039"/>
    <m/>
    <d v="2023-01-02T00:00:00"/>
    <m/>
    <x v="74"/>
    <x v="8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6T00:00:00"/>
    <s v="SURYA PRATAMA"/>
    <x v="0"/>
    <n v="2"/>
    <n v="1"/>
  </r>
  <r>
    <s v=""/>
    <s v=""/>
    <s v=""/>
    <n v="25"/>
    <m/>
    <m/>
    <m/>
    <m/>
    <m/>
    <m/>
    <m/>
    <x v="75"/>
    <x v="13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6T00:00:00"/>
    <s v="SURYA PRATAM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 "/>
    <e v="#REF!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41" firstHeaderRow="1" firstDataRow="1" firstDataCol="1" rowPageCount="1" colPageCount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7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t="default"/>
      </items>
    </pivotField>
    <pivotField dataField="1" showAll="0">
      <items count="15">
        <item x="7"/>
        <item x="5"/>
        <item x="2"/>
        <item x="4"/>
        <item x="0"/>
        <item x="6"/>
        <item x="10"/>
        <item x="3"/>
        <item x="13"/>
        <item x="9"/>
        <item x="8"/>
        <item x="11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</pivotFields>
  <rowFields count="1">
    <field x="11"/>
  </rowFields>
  <rowItems count="2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26" dataDxfId="225">
  <autoFilter ref="A2:AM1006"/>
  <sortState ref="A23:AM342">
    <sortCondition ref="F2:F1019"/>
  </sortState>
  <tableColumns count="39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 totalsRow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Row],[SUPPLIER_H]]="","",AJ2),MONTH(NOTA[[#This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tabSelected="1" topLeftCell="A137" zoomScale="70" zoomScaleNormal="70" zoomScaleSheetLayoutView="55" workbookViewId="0">
      <selection activeCell="O146" sqref="O146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140625" style="14" customWidth="1" outlineLevel="1"/>
    <col min="4" max="4" width="4.7109375" style="14" customWidth="1" outlineLevel="1"/>
    <col min="5" max="5" width="12.42578125" style="14" customWidth="1"/>
    <col min="6" max="6" width="29.7109375" style="14" customWidth="1"/>
    <col min="7" max="7" width="13.85546875" style="14" customWidth="1"/>
    <col min="8" max="8" width="19.285156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64" style="14" customWidth="1"/>
    <col min="13" max="13" width="3.85546875" style="24" customWidth="1"/>
    <col min="14" max="14" width="8.7109375" style="14" customWidth="1" outlineLevel="1"/>
    <col min="15" max="15" width="5.85546875" style="14" customWidth="1" outlineLevel="1"/>
    <col min="16" max="16" width="15.5703125" style="17" customWidth="1" outlineLevel="1"/>
    <col min="17" max="17" width="33.85546875" style="47" customWidth="1"/>
    <col min="18" max="18" width="23" style="17" customWidth="1"/>
    <col min="19" max="19" width="13.140625" style="18" customWidth="1"/>
    <col min="20" max="20" width="8.42578125" style="19" customWidth="1"/>
    <col min="21" max="21" width="17.28515625" style="14" customWidth="1"/>
    <col min="22" max="22" width="14.5703125" style="27" customWidth="1"/>
    <col min="23" max="23" width="17.7109375" bestFit="1" customWidth="1"/>
    <col min="24" max="24" width="16.42578125" style="17" customWidth="1"/>
    <col min="25" max="25" width="15.28515625" style="17" customWidth="1" outlineLevel="1"/>
    <col min="26" max="26" width="16.42578125" style="17" customWidth="1" outlineLevel="1"/>
    <col min="27" max="27" width="17.7109375" style="17" customWidth="1"/>
    <col min="28" max="28" width="22.7109375" style="17" customWidth="1"/>
    <col min="29" max="29" width="17.7109375" bestFit="1" customWidth="1"/>
    <col min="30" max="30" width="20" style="19" bestFit="1" customWidth="1"/>
    <col min="31" max="31" width="17.7109375" style="17" customWidth="1"/>
    <col min="32" max="32" width="12.42578125" bestFit="1" customWidth="1"/>
    <col min="33" max="33" width="29.7109375" style="17" bestFit="1" customWidth="1"/>
    <col min="34" max="35" width="29.7109375" style="17" customWidth="1"/>
    <col min="36" max="36" width="29.7109375" style="14" customWidth="1"/>
    <col min="37" max="37" width="50.28515625" style="14" customWidth="1"/>
    <col min="38" max="38" width="39.140625" customWidth="1"/>
    <col min="39" max="39" width="29.710937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70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260</v>
      </c>
      <c r="AI2" s="14" t="s">
        <v>80</v>
      </c>
      <c r="AJ2" s="14" t="s">
        <v>53</v>
      </c>
      <c r="AK2" s="14" t="s">
        <v>417</v>
      </c>
      <c r="AL2" s="14" t="s">
        <v>416</v>
      </c>
      <c r="AM2" s="194" t="s">
        <v>418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44929</v>
      </c>
      <c r="F3" s="26" t="s">
        <v>86</v>
      </c>
      <c r="G3" s="26" t="s">
        <v>87</v>
      </c>
      <c r="H3" s="31" t="s">
        <v>88</v>
      </c>
      <c r="I3" s="26"/>
      <c r="J3" s="51">
        <v>44922</v>
      </c>
      <c r="K3" s="26"/>
      <c r="L3" s="26" t="s">
        <v>89</v>
      </c>
      <c r="M3" s="39">
        <v>5</v>
      </c>
      <c r="N3" s="26">
        <v>300</v>
      </c>
      <c r="O3" s="26" t="s">
        <v>90</v>
      </c>
      <c r="P3" s="49"/>
      <c r="Q3" s="52"/>
      <c r="R3" s="39" t="s">
        <v>91</v>
      </c>
      <c r="S3" s="53"/>
      <c r="T3" s="53"/>
      <c r="U3" s="54"/>
      <c r="V3" s="37" t="s">
        <v>88</v>
      </c>
      <c r="W3" s="54" t="str">
        <f>IF(NOTA[[#This Row],[HARGA/ CTN]]="",NOTA[[#This Row],[JUMLAH_H]],NOTA[[#This Row],[HARGA/ CTN]]*IF(NOTA[[#This Row],[C]]="",0,NOTA[[#This Row],[C]]))</f>
        <v/>
      </c>
      <c r="X3" s="54" t="str">
        <f>IF(NOTA[[#This Row],[JUMLAH]]="","",NOTA[[#This Row],[JUMLAH]]*NOTA[[#This Row],[DISC 1]])</f>
        <v/>
      </c>
      <c r="Y3" s="54" t="str">
        <f>IF(NOTA[[#This Row],[JUMLAH]]="","",(NOTA[[#This Row],[JUMLAH]]-NOTA[[#This Row],[DISC 1-]])*NOTA[[#This Row],[DISC 2]])</f>
        <v/>
      </c>
      <c r="Z3" s="54" t="str">
        <f>IF(NOTA[[#This Row],[JUMLAH]]="","",NOTA[[#This Row],[DISC 1-]]+NOTA[[#This Row],[DISC 2-]])</f>
        <v/>
      </c>
      <c r="AA3" s="54" t="str">
        <f>IF(NOTA[[#This Row],[JUMLAH]]="","",NOTA[[#This Row],[JUMLAH]]-NOTA[[#This Row],[DISC]])</f>
        <v/>
      </c>
      <c r="AB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44929</v>
      </c>
      <c r="AG3" s="49" t="str">
        <f ca="1">IF(NOTA[[#This Row],[NAMA BARANG]]="","",INDEX(NOTA[SUPPLIER],MATCH(,INDIRECT(ADDRESS(ROW(NOTA[ID]),COLUMN(NOTA[ID]))&amp;":"&amp;ADDRESS(ROW(),COLUMN(NOTA[ID]))),-1)))</f>
        <v>GRAFINDO</v>
      </c>
      <c r="AH3" s="49" t="str">
        <f ca="1">IF(NOTA[[#This Row],[ID_H]]="","",IF(NOTA[[#This Row],[FAKTUR]]="",INDIRECT(ADDRESS(ROW()-1,COLUMN())),NOTA[[#This Row],[FAKTUR]]))</f>
        <v>UNTANA</v>
      </c>
      <c r="AI3" s="38">
        <f ca="1">IF(NOTA[[#This Row],[ID]]="","",COUNTIF(NOTA[ID_H],NOTA[[#This Row],[ID_H]]))</f>
        <v>1</v>
      </c>
      <c r="AJ3" s="38">
        <f>IF(NOTA[[#This Row],[TGL.NOTA]]="",IF(NOTA[[#This Row],[SUPPLIER_H]]="","",AJ2),MONTH(NOTA[[#This Row],[TGL.NOTA]]))</f>
        <v>12</v>
      </c>
      <c r="AK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clearholderfoliosikaac105f0</v>
      </c>
      <c r="AM3" s="193">
        <f>IF(NOTA[[#This Row],[CONCAT1]]="","",MATCH(NOTA[[#This Row],[CONCAT1]],[2]!db[NB NOTA_C],0)+1)</f>
        <v>458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 t="str">
        <f ca="1">IF(NOTA[[#This Row],[NAMA BARANG]]="","",INDEX(NOTA[ID],MATCH(,INDIRECT(ADDRESS(ROW(NOTA[ID]),COLUMN(NOTA[ID]))&amp;":"&amp;ADDRESS(ROW(),COLUMN(NOTA[ID]))),-1)))</f>
        <v/>
      </c>
      <c r="E4" s="23"/>
      <c r="F4" s="26"/>
      <c r="G4" s="26"/>
      <c r="H4" s="31"/>
      <c r="I4" s="26"/>
      <c r="J4" s="51"/>
      <c r="K4" s="26"/>
      <c r="L4" s="26"/>
      <c r="M4" s="39"/>
      <c r="N4" s="26"/>
      <c r="O4" s="26"/>
      <c r="P4" s="49"/>
      <c r="Q4" s="52"/>
      <c r="R4" s="39"/>
      <c r="S4" s="53"/>
      <c r="T4" s="53"/>
      <c r="U4" s="54"/>
      <c r="V4" s="37"/>
      <c r="W4" s="54" t="str">
        <f>IF(NOTA[[#This Row],[HARGA/ CTN]]="",NOTA[[#This Row],[JUMLAH_H]],NOTA[[#This Row],[HARGA/ CTN]]*IF(NOTA[[#This Row],[C]]="",0,NOTA[[#This Row],[C]]))</f>
        <v/>
      </c>
      <c r="X4" s="54" t="str">
        <f>IF(NOTA[[#This Row],[JUMLAH]]="","",NOTA[[#This Row],[JUMLAH]]*NOTA[[#This Row],[DISC 1]])</f>
        <v/>
      </c>
      <c r="Y4" s="54" t="str">
        <f>IF(NOTA[[#This Row],[JUMLAH]]="","",(NOTA[[#This Row],[JUMLAH]]-NOTA[[#This Row],[DISC 1-]])*NOTA[[#This Row],[DISC 2]])</f>
        <v/>
      </c>
      <c r="Z4" s="54" t="str">
        <f>IF(NOTA[[#This Row],[JUMLAH]]="","",NOTA[[#This Row],[DISC 1-]]+NOTA[[#This Row],[DISC 2-]])</f>
        <v/>
      </c>
      <c r="AA4" s="54" t="str">
        <f>IF(NOTA[[#This Row],[JUMLAH]]="","",NOTA[[#This Row],[JUMLAH]]-NOTA[[#This Row],[DISC]])</f>
        <v/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" s="54" t="str">
        <f>IF(OR(NOTA[[#This Row],[QTY]]="",NOTA[[#This Row],[HARGA SATUAN]]="",),"",NOTA[[#This Row],[QTY]]*NOTA[[#This Row],[HARGA SATUAN]])</f>
        <v/>
      </c>
      <c r="AF4" s="51" t="str">
        <f ca="1">IF(NOTA[ID_H]="","",INDEX(NOTA[TANGGAL],MATCH(,INDIRECT(ADDRESS(ROW(NOTA[TANGGAL]),COLUMN(NOTA[TANGGAL]))&amp;":"&amp;ADDRESS(ROW(),COLUMN(NOTA[TANGGAL]))),-1)))</f>
        <v/>
      </c>
      <c r="AG4" s="49" t="str">
        <f ca="1">IF(NOTA[[#This Row],[NAMA BARANG]]="","",INDEX(NOTA[SUPPLIER],MATCH(,INDIRECT(ADDRESS(ROW(NOTA[ID]),COLUMN(NOTA[ID]))&amp;":"&amp;ADDRESS(ROW(),COLUMN(NOTA[ID]))),-1)))</f>
        <v/>
      </c>
      <c r="AH4" s="49" t="str">
        <f ca="1">IF(NOTA[[#This Row],[ID_H]]="","",IF(NOTA[[#This Row],[FAKTUR]]="",INDIRECT(ADDRESS(ROW()-1,COLUMN())),NOTA[[#This Row],[FAKTUR]]))</f>
        <v/>
      </c>
      <c r="AI4" s="38" t="str">
        <f ca="1">IF(NOTA[[#This Row],[ID]]="","",COUNTIF(NOTA[ID_H],NOTA[[#This Row],[ID_H]]))</f>
        <v/>
      </c>
      <c r="AJ4" s="38" t="str">
        <f ca="1">IF(NOTA[[#This Row],[TGL.NOTA]]="",IF(NOTA[[#This Row],[SUPPLIER_H]]="","",AJ3),MONTH(NOTA[[#This Row],[TGL.NOTA]]))</f>
        <v/>
      </c>
      <c r="AK4" s="38" t="str">
        <f>LOWER(SUBSTITUTE(SUBSTITUTE(SUBSTITUTE(SUBSTITUTE(SUBSTITUTE(SUBSTITUTE(SUBSTITUTE(SUBSTITUTE(SUBSTITUTE(NOTA[NAMA BARANG]," ",),".",""),"-",""),"(",""),")",""),",",""),"/",""),"""",""),"+",""))</f>
        <v/>
      </c>
      <c r="AL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" s="193" t="str">
        <f>IF(NOTA[[#This Row],[CONCAT1]]="","",MATCH(NOTA[[#This Row],[CONCAT1]],[2]!db[NB NOTA_C],0)+1)</f>
        <v/>
      </c>
    </row>
    <row r="5" spans="1:39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e">
        <f ca="1">IF(NOTA[[#This Row],[ID_P]]="","",MATCH(NOTA[[#This Row],[ID_P]],[1]!B_MSK[N_ID],0))</f>
        <v>#REF!</v>
      </c>
      <c r="D5" s="50">
        <f ca="1">IF(NOTA[[#This Row],[NAMA BARANG]]="","",INDEX(NOTA[ID],MATCH(,INDIRECT(ADDRESS(ROW(NOTA[ID]),COLUMN(NOTA[ID]))&amp;":"&amp;ADDRESS(ROW(),COLUMN(NOTA[ID]))),-1)))</f>
        <v>2</v>
      </c>
      <c r="E5" s="23"/>
      <c r="F5" s="26" t="s">
        <v>92</v>
      </c>
      <c r="G5" s="26" t="s">
        <v>87</v>
      </c>
      <c r="H5" s="31" t="s">
        <v>93</v>
      </c>
      <c r="I5" s="26"/>
      <c r="J5" s="51">
        <v>44921</v>
      </c>
      <c r="K5" s="26"/>
      <c r="L5" s="26" t="s">
        <v>94</v>
      </c>
      <c r="M5" s="39">
        <v>3</v>
      </c>
      <c r="N5" s="26">
        <v>810</v>
      </c>
      <c r="O5" s="26" t="s">
        <v>95</v>
      </c>
      <c r="P5" s="49">
        <v>6500</v>
      </c>
      <c r="Q5" s="52"/>
      <c r="R5" s="39" t="s">
        <v>99</v>
      </c>
      <c r="S5" s="53"/>
      <c r="T5" s="53"/>
      <c r="U5" s="54"/>
      <c r="V5" s="37" t="s">
        <v>96</v>
      </c>
      <c r="W5" s="54">
        <f>IF(NOTA[[#This Row],[HARGA/ CTN]]="",NOTA[[#This Row],[JUMLAH_H]],NOTA[[#This Row],[HARGA/ CTN]]*IF(NOTA[[#This Row],[C]]="",0,NOTA[[#This Row],[C]]))</f>
        <v>5265000</v>
      </c>
      <c r="X5" s="54">
        <f>IF(NOTA[[#This Row],[JUMLAH]]="","",NOTA[[#This Row],[JUMLAH]]*NOTA[[#This Row],[DISC 1]])</f>
        <v>0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0</v>
      </c>
      <c r="AA5" s="54">
        <f>IF(NOTA[[#This Row],[JUMLAH]]="","",NOTA[[#This Row],[JUMLAH]]-NOTA[[#This Row],[DISC]])</f>
        <v>5265000</v>
      </c>
      <c r="AB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" s="54">
        <f>IF(OR(NOTA[[#This Row],[QTY]]="",NOTA[[#This Row],[HARGA SATUAN]]="",),"",NOTA[[#This Row],[QTY]]*NOTA[[#This Row],[HARGA SATUAN]])</f>
        <v>5265000</v>
      </c>
      <c r="AF5" s="51">
        <f ca="1">IF(NOTA[ID_H]="","",INDEX(NOTA[TANGGAL],MATCH(,INDIRECT(ADDRESS(ROW(NOTA[TANGGAL]),COLUMN(NOTA[TANGGAL]))&amp;":"&amp;ADDRESS(ROW(),COLUMN(NOTA[TANGGAL]))),-1)))</f>
        <v>44929</v>
      </c>
      <c r="AG5" s="49" t="str">
        <f ca="1">IF(NOTA[[#This Row],[NAMA BARANG]]="","",INDEX(NOTA[SUPPLIER],MATCH(,INDIRECT(ADDRESS(ROW(NOTA[ID]),COLUMN(NOTA[ID]))&amp;":"&amp;ADDRESS(ROW(),COLUMN(NOTA[ID]))),-1)))</f>
        <v>BINTANG SAUDARA</v>
      </c>
      <c r="AH5" s="49" t="str">
        <f ca="1">IF(NOTA[[#This Row],[ID_H]]="","",IF(NOTA[[#This Row],[FAKTUR]]="",INDIRECT(ADDRESS(ROW()-1,COLUMN())),NOTA[[#This Row],[FAKTUR]]))</f>
        <v>UNTANA</v>
      </c>
      <c r="AI5" s="38">
        <f ca="1">IF(NOTA[[#This Row],[ID]]="","",COUNTIF(NOTA[ID_H],NOTA[[#This Row],[ID_H]]))</f>
        <v>1</v>
      </c>
      <c r="AJ5" s="38">
        <f>IF(NOTA[[#This Row],[TGL.NOTA]]="",IF(NOTA[[#This Row],[SUPPLIER_H]]="","",AJ4),MONTH(NOTA[[#This Row],[TGL.NOTA]]))</f>
        <v>12</v>
      </c>
      <c r="AK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kertascrepepotkreasikoala1755000</v>
      </c>
      <c r="AM5" s="193">
        <f>IF(NOTA[[#This Row],[CONCAT1]]="","",MATCH(NOTA[[#This Row],[CONCAT1]],[2]!db[NB NOTA_C],0)+1)</f>
        <v>1308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 t="str">
        <f ca="1">IF(NOTA[[#This Row],[NAMA BARANG]]="","",INDEX(NOTA[ID],MATCH(,INDIRECT(ADDRESS(ROW(NOTA[ID]),COLUMN(NOTA[ID]))&amp;":"&amp;ADDRESS(ROW(),COLUMN(NOTA[ID]))),-1)))</f>
        <v/>
      </c>
      <c r="E6" s="23"/>
      <c r="F6" s="26"/>
      <c r="G6" s="26"/>
      <c r="H6" s="31"/>
      <c r="I6" s="26"/>
      <c r="J6" s="51"/>
      <c r="K6" s="26"/>
      <c r="L6" s="26"/>
      <c r="M6" s="39"/>
      <c r="N6" s="26"/>
      <c r="O6" s="26"/>
      <c r="P6" s="52"/>
      <c r="Q6" s="52"/>
      <c r="R6" s="39"/>
      <c r="S6" s="53"/>
      <c r="T6" s="53"/>
      <c r="U6" s="54"/>
      <c r="V6" s="37"/>
      <c r="W6" s="54" t="str">
        <f>IF(NOTA[[#This Row],[HARGA/ CTN]]="",NOTA[[#This Row],[JUMLAH_H]],NOTA[[#This Row],[HARGA/ CTN]]*IF(NOTA[[#This Row],[C]]="",0,NOTA[[#This Row],[C]]))</f>
        <v/>
      </c>
      <c r="X6" s="54" t="str">
        <f>IF(NOTA[[#This Row],[JUMLAH]]="","",NOTA[[#This Row],[JUMLAH]]*NOTA[[#This Row],[DISC 1]])</f>
        <v/>
      </c>
      <c r="Y6" s="54" t="str">
        <f>IF(NOTA[[#This Row],[JUMLAH]]="","",(NOTA[[#This Row],[JUMLAH]]-NOTA[[#This Row],[DISC 1-]])*NOTA[[#This Row],[DISC 2]])</f>
        <v/>
      </c>
      <c r="Z6" s="54" t="str">
        <f>IF(NOTA[[#This Row],[JUMLAH]]="","",NOTA[[#This Row],[DISC 1-]]+NOTA[[#This Row],[DISC 2-]])</f>
        <v/>
      </c>
      <c r="AA6" s="54" t="str">
        <f>IF(NOTA[[#This Row],[JUMLAH]]="","",NOTA[[#This Row],[JUMLAH]]-NOTA[[#This Row],[DISC]])</f>
        <v/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" s="54" t="str">
        <f>IF(OR(NOTA[[#This Row],[QTY]]="",NOTA[[#This Row],[HARGA SATUAN]]="",),"",NOTA[[#This Row],[QTY]]*NOTA[[#This Row],[HARGA SATUAN]])</f>
        <v/>
      </c>
      <c r="AF6" s="51" t="str">
        <f ca="1">IF(NOTA[ID_H]="","",INDEX(NOTA[TANGGAL],MATCH(,INDIRECT(ADDRESS(ROW(NOTA[TANGGAL]),COLUMN(NOTA[TANGGAL]))&amp;":"&amp;ADDRESS(ROW(),COLUMN(NOTA[TANGGAL]))),-1)))</f>
        <v/>
      </c>
      <c r="AG6" s="49" t="str">
        <f ca="1">IF(NOTA[[#This Row],[NAMA BARANG]]="","",INDEX(NOTA[SUPPLIER],MATCH(,INDIRECT(ADDRESS(ROW(NOTA[ID]),COLUMN(NOTA[ID]))&amp;":"&amp;ADDRESS(ROW(),COLUMN(NOTA[ID]))),-1)))</f>
        <v/>
      </c>
      <c r="AH6" s="49" t="str">
        <f ca="1">IF(NOTA[[#This Row],[ID_H]]="","",IF(NOTA[[#This Row],[FAKTUR]]="",INDIRECT(ADDRESS(ROW()-1,COLUMN())),NOTA[[#This Row],[FAKTUR]]))</f>
        <v/>
      </c>
      <c r="AI6" s="38" t="str">
        <f ca="1">IF(NOTA[[#This Row],[ID]]="","",COUNTIF(NOTA[ID_H],NOTA[[#This Row],[ID_H]]))</f>
        <v/>
      </c>
      <c r="AJ6" s="38" t="str">
        <f ca="1">IF(NOTA[[#This Row],[TGL.NOTA]]="",IF(NOTA[[#This Row],[SUPPLIER_H]]="","",AJ5),MONTH(NOTA[[#This Row],[TGL.NOTA]]))</f>
        <v/>
      </c>
      <c r="AK6" s="38" t="str">
        <f>LOWER(SUBSTITUTE(SUBSTITUTE(SUBSTITUTE(SUBSTITUTE(SUBSTITUTE(SUBSTITUTE(SUBSTITUTE(SUBSTITUTE(SUBSTITUTE(NOTA[NAMA BARANG]," ",),".",""),"-",""),"(",""),")",""),",",""),"/",""),"""",""),"+",""))</f>
        <v/>
      </c>
      <c r="AL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" s="193" t="str">
        <f>IF(NOTA[[#This Row],[CONCAT1]]="","",MATCH(NOTA[[#This Row],[CONCAT1]],[2]!db[NB NOTA_C],0)+1)</f>
        <v/>
      </c>
    </row>
    <row r="7" spans="1:39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e">
        <f ca="1">IF(NOTA[[#This Row],[ID_P]]="","",MATCH(NOTA[[#This Row],[ID_P]],[1]!B_MSK[N_ID],0))</f>
        <v>#REF!</v>
      </c>
      <c r="D7" s="50">
        <f ca="1">IF(NOTA[[#This Row],[NAMA BARANG]]="","",INDEX(NOTA[ID],MATCH(,INDIRECT(ADDRESS(ROW(NOTA[ID]),COLUMN(NOTA[ID]))&amp;":"&amp;ADDRESS(ROW(),COLUMN(NOTA[ID]))),-1)))</f>
        <v>3</v>
      </c>
      <c r="E7" s="23"/>
      <c r="F7" s="26" t="s">
        <v>92</v>
      </c>
      <c r="G7" s="26" t="s">
        <v>87</v>
      </c>
      <c r="H7" s="31" t="s">
        <v>97</v>
      </c>
      <c r="I7" s="26"/>
      <c r="J7" s="51">
        <v>44923</v>
      </c>
      <c r="K7" s="26"/>
      <c r="L7" s="26" t="s">
        <v>98</v>
      </c>
      <c r="M7" s="39">
        <v>10</v>
      </c>
      <c r="N7" s="26">
        <v>120</v>
      </c>
      <c r="O7" s="26" t="s">
        <v>90</v>
      </c>
      <c r="P7" s="52">
        <v>82000</v>
      </c>
      <c r="Q7" s="52"/>
      <c r="R7" s="39" t="s">
        <v>100</v>
      </c>
      <c r="S7" s="53"/>
      <c r="T7" s="53"/>
      <c r="U7" s="54"/>
      <c r="V7" s="37"/>
      <c r="W7" s="54">
        <f>IF(NOTA[[#This Row],[HARGA/ CTN]]="",NOTA[[#This Row],[JUMLAH_H]],NOTA[[#This Row],[HARGA/ CTN]]*IF(NOTA[[#This Row],[C]]="",0,NOTA[[#This Row],[C]]))</f>
        <v>9840000</v>
      </c>
      <c r="X7" s="54">
        <f>IF(NOTA[[#This Row],[JUMLAH]]="","",NOTA[[#This Row],[JUMLAH]]*NOTA[[#This Row],[DISC 1]])</f>
        <v>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0</v>
      </c>
      <c r="AA7" s="54">
        <f>IF(NOTA[[#This Row],[JUMLAH]]="","",NOTA[[#This Row],[JUMLAH]]-NOTA[[#This Row],[DISC]])</f>
        <v>9840000</v>
      </c>
      <c r="AB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7" s="54">
        <f>IF(OR(NOTA[[#This Row],[QTY]]="",NOTA[[#This Row],[HARGA SATUAN]]="",),"",NOTA[[#This Row],[QTY]]*NOTA[[#This Row],[HARGA SATUAN]])</f>
        <v>9840000</v>
      </c>
      <c r="AF7" s="51">
        <f ca="1">IF(NOTA[ID_H]="","",INDEX(NOTA[TANGGAL],MATCH(,INDIRECT(ADDRESS(ROW(NOTA[TANGGAL]),COLUMN(NOTA[TANGGAL]))&amp;":"&amp;ADDRESS(ROW(),COLUMN(NOTA[TANGGAL]))),-1)))</f>
        <v>44929</v>
      </c>
      <c r="AG7" s="49" t="str">
        <f ca="1">IF(NOTA[[#This Row],[NAMA BARANG]]="","",INDEX(NOTA[SUPPLIER],MATCH(,INDIRECT(ADDRESS(ROW(NOTA[ID]),COLUMN(NOTA[ID]))&amp;":"&amp;ADDRESS(ROW(),COLUMN(NOTA[ID]))),-1)))</f>
        <v>BINTANG SAUDARA</v>
      </c>
      <c r="AH7" s="49" t="str">
        <f ca="1">IF(NOTA[[#This Row],[ID_H]]="","",IF(NOTA[[#This Row],[FAKTUR]]="",INDIRECT(ADDRESS(ROW()-1,COLUMN())),NOTA[[#This Row],[FAKTUR]]))</f>
        <v>UNTANA</v>
      </c>
      <c r="AI7" s="38">
        <f ca="1">IF(NOTA[[#This Row],[ID]]="","",COUNTIF(NOTA[ID_H],NOTA[[#This Row],[ID_H]]))</f>
        <v>1</v>
      </c>
      <c r="AJ7" s="38">
        <f>IF(NOTA[[#This Row],[TGL.NOTA]]="",IF(NOTA[[#This Row],[SUPPLIER_H]]="","",AJ6),MONTH(NOTA[[#This Row],[TGL.NOTA]]))</f>
        <v>12</v>
      </c>
      <c r="AK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7" s="193">
        <f>IF(NOTA[[#This Row],[CONCAT1]]="","",MATCH(NOTA[[#This Row],[CONCAT1]],[2]!db[NB NOTA_C],0)+1)</f>
        <v>459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 t="str">
        <f ca="1">IF(NOTA[[#This Row],[NAMA BARANG]]="","",INDEX(NOTA[ID],MATCH(,INDIRECT(ADDRESS(ROW(NOTA[ID]),COLUMN(NOTA[ID]))&amp;":"&amp;ADDRESS(ROW(),COLUMN(NOTA[ID]))),-1)))</f>
        <v/>
      </c>
      <c r="E8" s="23"/>
      <c r="F8" s="26"/>
      <c r="G8" s="26"/>
      <c r="H8" s="31"/>
      <c r="I8" s="26"/>
      <c r="J8" s="51"/>
      <c r="K8" s="26"/>
      <c r="L8" s="26"/>
      <c r="M8" s="39"/>
      <c r="N8" s="26"/>
      <c r="O8" s="26"/>
      <c r="P8" s="52"/>
      <c r="Q8" s="52"/>
      <c r="R8" s="39"/>
      <c r="S8" s="53"/>
      <c r="T8" s="53"/>
      <c r="U8" s="54"/>
      <c r="V8" s="37"/>
      <c r="W8" s="54" t="str">
        <f>IF(NOTA[[#This Row],[HARGA/ CTN]]="",NOTA[[#This Row],[JUMLAH_H]],NOTA[[#This Row],[HARGA/ CTN]]*IF(NOTA[[#This Row],[C]]="",0,NOTA[[#This Row],[C]]))</f>
        <v/>
      </c>
      <c r="X8" s="54" t="str">
        <f>IF(NOTA[[#This Row],[JUMLAH]]="","",NOTA[[#This Row],[JUMLAH]]*NOTA[[#This Row],[DISC 1]])</f>
        <v/>
      </c>
      <c r="Y8" s="54" t="str">
        <f>IF(NOTA[[#This Row],[JUMLAH]]="","",(NOTA[[#This Row],[JUMLAH]]-NOTA[[#This Row],[DISC 1-]])*NOTA[[#This Row],[DISC 2]])</f>
        <v/>
      </c>
      <c r="Z8" s="54" t="str">
        <f>IF(NOTA[[#This Row],[JUMLAH]]="","",NOTA[[#This Row],[DISC 1-]]+NOTA[[#This Row],[DISC 2-]])</f>
        <v/>
      </c>
      <c r="AA8" s="54" t="str">
        <f>IF(NOTA[[#This Row],[JUMLAH]]="","",NOTA[[#This Row],[JUMLAH]]-NOTA[[#This Row],[DISC]])</f>
        <v/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" s="54" t="str">
        <f>IF(OR(NOTA[[#This Row],[QTY]]="",NOTA[[#This Row],[HARGA SATUAN]]="",),"",NOTA[[#This Row],[QTY]]*NOTA[[#This Row],[HARGA SATUAN]])</f>
        <v/>
      </c>
      <c r="AF8" s="51" t="str">
        <f ca="1">IF(NOTA[ID_H]="","",INDEX(NOTA[TANGGAL],MATCH(,INDIRECT(ADDRESS(ROW(NOTA[TANGGAL]),COLUMN(NOTA[TANGGAL]))&amp;":"&amp;ADDRESS(ROW(),COLUMN(NOTA[TANGGAL]))),-1)))</f>
        <v/>
      </c>
      <c r="AG8" s="49" t="str">
        <f ca="1">IF(NOTA[[#This Row],[NAMA BARANG]]="","",INDEX(NOTA[SUPPLIER],MATCH(,INDIRECT(ADDRESS(ROW(NOTA[ID]),COLUMN(NOTA[ID]))&amp;":"&amp;ADDRESS(ROW(),COLUMN(NOTA[ID]))),-1)))</f>
        <v/>
      </c>
      <c r="AH8" s="49" t="str">
        <f ca="1">IF(NOTA[[#This Row],[ID_H]]="","",IF(NOTA[[#This Row],[FAKTUR]]="",INDIRECT(ADDRESS(ROW()-1,COLUMN())),NOTA[[#This Row],[FAKTUR]]))</f>
        <v/>
      </c>
      <c r="AI8" s="38" t="str">
        <f ca="1">IF(NOTA[[#This Row],[ID]]="","",COUNTIF(NOTA[ID_H],NOTA[[#This Row],[ID_H]]))</f>
        <v/>
      </c>
      <c r="AJ8" s="38" t="str">
        <f ca="1">IF(NOTA[[#This Row],[TGL.NOTA]]="",IF(NOTA[[#This Row],[SUPPLIER_H]]="","",AJ7),MONTH(NOTA[[#This Row],[TGL.NOTA]]))</f>
        <v/>
      </c>
      <c r="AK8" s="38" t="str">
        <f>LOWER(SUBSTITUTE(SUBSTITUTE(SUBSTITUTE(SUBSTITUTE(SUBSTITUTE(SUBSTITUTE(SUBSTITUTE(SUBSTITUTE(SUBSTITUTE(NOTA[NAMA BARANG]," ",),".",""),"-",""),"(",""),")",""),",",""),"/",""),"""",""),"+",""))</f>
        <v/>
      </c>
      <c r="AL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" s="193" t="str">
        <f>IF(NOTA[[#This Row],[CONCAT1]]="","",MATCH(NOTA[[#This Row],[CONCAT1]],[2]!db[NB NOTA_C],0)+1)</f>
        <v/>
      </c>
    </row>
    <row r="9" spans="1:39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e">
        <f ca="1">IF(NOTA[[#This Row],[ID_P]]="","",MATCH(NOTA[[#This Row],[ID_P]],[1]!B_MSK[N_ID],0))</f>
        <v>#REF!</v>
      </c>
      <c r="D9" s="50">
        <f ca="1">IF(NOTA[[#This Row],[NAMA BARANG]]="","",INDEX(NOTA[ID],MATCH(,INDIRECT(ADDRESS(ROW(NOTA[ID]),COLUMN(NOTA[ID]))&amp;":"&amp;ADDRESS(ROW(),COLUMN(NOTA[ID]))),-1)))</f>
        <v>4</v>
      </c>
      <c r="E9" s="23"/>
      <c r="F9" s="26" t="s">
        <v>101</v>
      </c>
      <c r="G9" s="26" t="s">
        <v>87</v>
      </c>
      <c r="H9" s="31" t="s">
        <v>88</v>
      </c>
      <c r="I9" s="26" t="s">
        <v>102</v>
      </c>
      <c r="J9" s="51">
        <v>44919</v>
      </c>
      <c r="K9" s="26"/>
      <c r="L9" s="26" t="s">
        <v>103</v>
      </c>
      <c r="M9" s="39">
        <v>4</v>
      </c>
      <c r="N9" s="26">
        <v>192</v>
      </c>
      <c r="O9" s="26" t="s">
        <v>90</v>
      </c>
      <c r="P9" s="52"/>
      <c r="Q9" s="52"/>
      <c r="R9" s="39" t="s">
        <v>105</v>
      </c>
      <c r="S9" s="53"/>
      <c r="T9" s="53"/>
      <c r="U9" s="54"/>
      <c r="V9" s="37"/>
      <c r="W9" s="54" t="str">
        <f>IF(NOTA[[#This Row],[HARGA/ CTN]]="",NOTA[[#This Row],[JUMLAH_H]],NOTA[[#This Row],[HARGA/ CTN]]*IF(NOTA[[#This Row],[C]]="",0,NOTA[[#This Row],[C]]))</f>
        <v/>
      </c>
      <c r="X9" s="54" t="str">
        <f>IF(NOTA[[#This Row],[JUMLAH]]="","",NOTA[[#This Row],[JUMLAH]]*NOTA[[#This Row],[DISC 1]])</f>
        <v/>
      </c>
      <c r="Y9" s="54" t="str">
        <f>IF(NOTA[[#This Row],[JUMLAH]]="","",(NOTA[[#This Row],[JUMLAH]]-NOTA[[#This Row],[DISC 1-]])*NOTA[[#This Row],[DISC 2]])</f>
        <v/>
      </c>
      <c r="Z9" s="54" t="str">
        <f>IF(NOTA[[#This Row],[JUMLAH]]="","",NOTA[[#This Row],[DISC 1-]]+NOTA[[#This Row],[DISC 2-]])</f>
        <v/>
      </c>
      <c r="AA9" s="54" t="str">
        <f>IF(NOTA[[#This Row],[JUMLAH]]="","",NOTA[[#This Row],[JUMLAH]]-NOTA[[#This Row],[DISC]])</f>
        <v/>
      </c>
      <c r="AB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44929</v>
      </c>
      <c r="AG9" s="49" t="str">
        <f ca="1">IF(NOTA[[#This Row],[NAMA BARANG]]="","",INDEX(NOTA[SUPPLIER],MATCH(,INDIRECT(ADDRESS(ROW(NOTA[ID]),COLUMN(NOTA[ID]))&amp;":"&amp;ADDRESS(ROW(),COLUMN(NOTA[ID]))),-1)))</f>
        <v>SBS</v>
      </c>
      <c r="AH9" s="49" t="str">
        <f ca="1">IF(NOTA[[#This Row],[ID_H]]="","",IF(NOTA[[#This Row],[FAKTUR]]="",INDIRECT(ADDRESS(ROW()-1,COLUMN())),NOTA[[#This Row],[FAKTUR]]))</f>
        <v>UNTANA</v>
      </c>
      <c r="AI9" s="38">
        <f ca="1">IF(NOTA[[#This Row],[ID]]="","",COUNTIF(NOTA[ID_H],NOTA[[#This Row],[ID_H]]))</f>
        <v>9</v>
      </c>
      <c r="AJ9" s="38">
        <f>IF(NOTA[[#This Row],[TGL.NOTA]]="",IF(NOTA[[#This Row],[SUPPLIER_H]]="","",AJ8),MONTH(NOTA[[#This Row],[TGL.NOTA]]))</f>
        <v>12</v>
      </c>
      <c r="AK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paletgambar10110</v>
      </c>
      <c r="AM9" s="193">
        <f>IF(NOTA[[#This Row],[CONCAT1]]="","",MATCH(NOTA[[#This Row],[CONCAT1]],[2]!db[NB NOTA_C],0)+1)</f>
        <v>1594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>
        <f ca="1">IF(NOTA[[#This Row],[NAMA BARANG]]="","",INDEX(NOTA[ID],MATCH(,INDIRECT(ADDRESS(ROW(NOTA[ID]),COLUMN(NOTA[ID]))&amp;":"&amp;ADDRESS(ROW(),COLUMN(NOTA[ID]))),-1)))</f>
        <v>4</v>
      </c>
      <c r="E10" s="23"/>
      <c r="F10" s="26"/>
      <c r="G10" s="26"/>
      <c r="H10" s="31"/>
      <c r="I10" s="26"/>
      <c r="J10" s="51"/>
      <c r="K10" s="26"/>
      <c r="L10" s="26" t="s">
        <v>108</v>
      </c>
      <c r="M10" s="39">
        <v>2</v>
      </c>
      <c r="N10" s="26">
        <v>384</v>
      </c>
      <c r="O10" s="26" t="s">
        <v>104</v>
      </c>
      <c r="P10" s="52"/>
      <c r="Q10" s="52"/>
      <c r="R10" s="39" t="s">
        <v>106</v>
      </c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" s="54" t="str">
        <f>IF(OR(NOTA[[#This Row],[QTY]]="",NOTA[[#This Row],[HARGA SATUAN]]="",),"",NOTA[[#This Row],[QTY]]*NOTA[[#This Row],[HARGA SATUAN]])</f>
        <v/>
      </c>
      <c r="AF10" s="51">
        <f ca="1">IF(NOTA[ID_H]="","",INDEX(NOTA[TANGGAL],MATCH(,INDIRECT(ADDRESS(ROW(NOTA[TANGGAL]),COLUMN(NOTA[TANGGAL]))&amp;":"&amp;ADDRESS(ROW(),COLUMN(NOTA[TANGGAL]))),-1)))</f>
        <v>44929</v>
      </c>
      <c r="AG10" s="49" t="str">
        <f ca="1">IF(NOTA[[#This Row],[NAMA BARANG]]="","",INDEX(NOTA[SUPPLIER],MATCH(,INDIRECT(ADDRESS(ROW(NOTA[ID]),COLUMN(NOTA[ID]))&amp;":"&amp;ADDRESS(ROW(),COLUMN(NOTA[ID]))),-1)))</f>
        <v>SBS</v>
      </c>
      <c r="AH10" s="49" t="str">
        <f ca="1">IF(NOTA[[#This Row],[ID_H]]="","",IF(NOTA[[#This Row],[FAKTUR]]="",INDIRECT(ADDRESS(ROW()-1,COLUMN())),NOTA[[#This Row],[FAKTUR]]))</f>
        <v>UNTANA</v>
      </c>
      <c r="AI10" s="38" t="str">
        <f ca="1">IF(NOTA[[#This Row],[ID]]="","",COUNTIF(NOTA[ID_H],NOTA[[#This Row],[ID_H]]))</f>
        <v/>
      </c>
      <c r="AJ10" s="38">
        <f ca="1">IF(NOTA[[#This Row],[TGL.NOTA]]="",IF(NOTA[[#This Row],[SUPPLIER_H]]="","",AJ9),MONTH(NOTA[[#This Row],[TGL.NOTA]]))</f>
        <v>12</v>
      </c>
      <c r="AK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L10" s="38" t="str">
        <f>IF(NOTA[C]="",NOTA[[#This Row],[CONCAT1]]&amp;NOTA[[#This Row],[HARGA SATUAN]],NOTA[[#This Row],[CONCAT1]]&amp;NOTA[[#This Row],[HARGA/ CTN_H]]&amp;NOTA[[#This Row],[DISC 1]]&amp;NOTA[[#This Row],[DISC 2]])</f>
        <v>pckxda3348d8x20bentuksetlucuhijau0</v>
      </c>
      <c r="AM10" s="193">
        <f>IF(NOTA[[#This Row],[CONCAT1]]="","",MATCH(NOTA[[#This Row],[CONCAT1]],[2]!db[NB NOTA_C],0)+1)</f>
        <v>1657</v>
      </c>
    </row>
    <row r="11" spans="1:39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Row],[ID_P]]="","",MATCH(NOTA[[#This Row],[ID_P]],[1]!B_MSK[N_ID],0))</f>
        <v/>
      </c>
      <c r="D11" s="50">
        <f ca="1">IF(NOTA[[#This Row],[NAMA BARANG]]="","",INDEX(NOTA[ID],MATCH(,INDIRECT(ADDRESS(ROW(NOTA[ID]),COLUMN(NOTA[ID]))&amp;":"&amp;ADDRESS(ROW(),COLUMN(NOTA[ID]))),-1)))</f>
        <v>4</v>
      </c>
      <c r="E11" s="23"/>
      <c r="F11" s="26"/>
      <c r="G11" s="26"/>
      <c r="H11" s="31"/>
      <c r="I11" s="26"/>
      <c r="J11" s="51"/>
      <c r="K11" s="26"/>
      <c r="L11" s="26" t="s">
        <v>109</v>
      </c>
      <c r="M11" s="39">
        <v>2</v>
      </c>
      <c r="N11" s="26">
        <v>384</v>
      </c>
      <c r="O11" s="26" t="s">
        <v>104</v>
      </c>
      <c r="P11" s="52"/>
      <c r="Q11" s="52"/>
      <c r="R11" s="39" t="s">
        <v>106</v>
      </c>
      <c r="S11" s="53"/>
      <c r="T11" s="53"/>
      <c r="U11" s="54"/>
      <c r="V11" s="37"/>
      <c r="W11" s="54" t="str">
        <f>IF(NOTA[[#This Row],[HARGA/ CTN]]="",NOTA[[#This Row],[JUMLAH_H]],NOTA[[#This Row],[HARGA/ CTN]]*IF(NOTA[[#This Row],[C]]="",0,NOTA[[#This Row],[C]]))</f>
        <v/>
      </c>
      <c r="X11" s="54" t="str">
        <f>IF(NOTA[[#This Row],[JUMLAH]]="","",NOTA[[#This Row],[JUMLAH]]*NOTA[[#This Row],[DISC 1]])</f>
        <v/>
      </c>
      <c r="Y11" s="54" t="str">
        <f>IF(NOTA[[#This Row],[JUMLAH]]="","",(NOTA[[#This Row],[JUMLAH]]-NOTA[[#This Row],[DISC 1-]])*NOTA[[#This Row],[DISC 2]])</f>
        <v/>
      </c>
      <c r="Z11" s="54" t="str">
        <f>IF(NOTA[[#This Row],[JUMLAH]]="","",NOTA[[#This Row],[DISC 1-]]+NOTA[[#This Row],[DISC 2-]])</f>
        <v/>
      </c>
      <c r="AA11" s="54" t="str">
        <f>IF(NOTA[[#This Row],[JUMLAH]]="","",NOTA[[#This Row],[JUMLAH]]-NOTA[[#This Row],[DISC]])</f>
        <v/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44929</v>
      </c>
      <c r="AG11" s="49" t="str">
        <f ca="1">IF(NOTA[[#This Row],[NAMA BARANG]]="","",INDEX(NOTA[SUPPLIER],MATCH(,INDIRECT(ADDRESS(ROW(NOTA[ID]),COLUMN(NOTA[ID]))&amp;":"&amp;ADDRESS(ROW(),COLUMN(NOTA[ID]))),-1)))</f>
        <v>SBS</v>
      </c>
      <c r="AH11" s="49" t="str">
        <f ca="1">IF(NOTA[[#This Row],[ID_H]]="","",IF(NOTA[[#This Row],[FAKTUR]]="",INDIRECT(ADDRESS(ROW()-1,COLUMN())),NOTA[[#This Row],[FAKTUR]]))</f>
        <v>UNTANA</v>
      </c>
      <c r="AI11" s="38" t="str">
        <f ca="1">IF(NOTA[[#This Row],[ID]]="","",COUNTIF(NOTA[ID_H],NOTA[[#This Row],[ID_H]]))</f>
        <v/>
      </c>
      <c r="AJ11" s="38">
        <f ca="1">IF(NOTA[[#This Row],[TGL.NOTA]]="",IF(NOTA[[#This Row],[SUPPLIER_H]]="","",AJ10),MONTH(NOTA[[#This Row],[TGL.NOTA]]))</f>
        <v>12</v>
      </c>
      <c r="AK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pckxda3348d8x20bentuksetlucubiru0</v>
      </c>
      <c r="AM11" s="193">
        <f>IF(NOTA[[#This Row],[CONCAT1]]="","",MATCH(NOTA[[#This Row],[CONCAT1]],[2]!db[NB NOTA_C],0)+1)</f>
        <v>1656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4</v>
      </c>
      <c r="E12" s="23"/>
      <c r="F12" s="26"/>
      <c r="G12" s="26"/>
      <c r="H12" s="31"/>
      <c r="I12" s="26"/>
      <c r="J12" s="51"/>
      <c r="K12" s="26"/>
      <c r="L12" s="26" t="s">
        <v>110</v>
      </c>
      <c r="M12" s="39">
        <v>2</v>
      </c>
      <c r="N12" s="26">
        <v>384</v>
      </c>
      <c r="O12" s="26" t="s">
        <v>104</v>
      </c>
      <c r="P12" s="52"/>
      <c r="Q12" s="52"/>
      <c r="R12" s="39" t="s">
        <v>106</v>
      </c>
      <c r="S12" s="53"/>
      <c r="T12" s="53"/>
      <c r="U12" s="54"/>
      <c r="V12" s="37"/>
      <c r="W12" s="54" t="str">
        <f>IF(NOTA[[#This Row],[HARGA/ CTN]]="",NOTA[[#This Row],[JUMLAH_H]],NOTA[[#This Row],[HARGA/ CTN]]*IF(NOTA[[#This Row],[C]]="",0,NOTA[[#This Row],[C]]))</f>
        <v/>
      </c>
      <c r="X12" s="54" t="str">
        <f>IF(NOTA[[#This Row],[JUMLAH]]="","",NOTA[[#This Row],[JUMLAH]]*NOTA[[#This Row],[DISC 1]])</f>
        <v/>
      </c>
      <c r="Y12" s="54" t="str">
        <f>IF(NOTA[[#This Row],[JUMLAH]]="","",(NOTA[[#This Row],[JUMLAH]]-NOTA[[#This Row],[DISC 1-]])*NOTA[[#This Row],[DISC 2]])</f>
        <v/>
      </c>
      <c r="Z12" s="54" t="str">
        <f>IF(NOTA[[#This Row],[JUMLAH]]="","",NOTA[[#This Row],[DISC 1-]]+NOTA[[#This Row],[DISC 2-]])</f>
        <v/>
      </c>
      <c r="AA12" s="54" t="str">
        <f>IF(NOTA[[#This Row],[JUMLAH]]="","",NOTA[[#This Row],[JUMLAH]]-NOTA[[#This Row],[DISC]])</f>
        <v/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44929</v>
      </c>
      <c r="AG12" s="49" t="str">
        <f ca="1">IF(NOTA[[#This Row],[NAMA BARANG]]="","",INDEX(NOTA[SUPPLIER],MATCH(,INDIRECT(ADDRESS(ROW(NOTA[ID]),COLUMN(NOTA[ID]))&amp;":"&amp;ADDRESS(ROW(),COLUMN(NOTA[ID]))),-1)))</f>
        <v>SBS</v>
      </c>
      <c r="AH12" s="49" t="str">
        <f ca="1">IF(NOTA[[#This Row],[ID_H]]="","",IF(NOTA[[#This Row],[FAKTUR]]="",INDIRECT(ADDRESS(ROW()-1,COLUMN())),NOTA[[#This Row],[FAKTUR]]))</f>
        <v>UNTANA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12</v>
      </c>
      <c r="AK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pckxda3348d8x20bentuksetlucupink0</v>
      </c>
      <c r="AM12" s="193">
        <f>IF(NOTA[[#This Row],[CONCAT1]]="","",MATCH(NOTA[[#This Row],[CONCAT1]],[2]!db[NB NOTA_C],0)+1)</f>
        <v>1653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4</v>
      </c>
      <c r="E13" s="23"/>
      <c r="F13" s="26"/>
      <c r="G13" s="26"/>
      <c r="H13" s="31"/>
      <c r="I13" s="26"/>
      <c r="J13" s="51"/>
      <c r="K13" s="26"/>
      <c r="L13" s="26" t="s">
        <v>111</v>
      </c>
      <c r="M13" s="39">
        <v>2</v>
      </c>
      <c r="N13" s="26">
        <v>384</v>
      </c>
      <c r="O13" s="26" t="s">
        <v>104</v>
      </c>
      <c r="P13" s="52"/>
      <c r="Q13" s="52"/>
      <c r="R13" s="39" t="s">
        <v>106</v>
      </c>
      <c r="S13" s="53"/>
      <c r="T13" s="53"/>
      <c r="U13" s="54"/>
      <c r="V13" s="37"/>
      <c r="W13" s="54" t="str">
        <f>IF(NOTA[[#This Row],[HARGA/ CTN]]="",NOTA[[#This Row],[JUMLAH_H]],NOTA[[#This Row],[HARGA/ CTN]]*IF(NOTA[[#This Row],[C]]="",0,NOTA[[#This Row],[C]]))</f>
        <v/>
      </c>
      <c r="X13" s="54" t="str">
        <f>IF(NOTA[[#This Row],[JUMLAH]]="","",NOTA[[#This Row],[JUMLAH]]*NOTA[[#This Row],[DISC 1]])</f>
        <v/>
      </c>
      <c r="Y13" s="54" t="str">
        <f>IF(NOTA[[#This Row],[JUMLAH]]="","",(NOTA[[#This Row],[JUMLAH]]-NOTA[[#This Row],[DISC 1-]])*NOTA[[#This Row],[DISC 2]])</f>
        <v/>
      </c>
      <c r="Z13" s="54" t="str">
        <f>IF(NOTA[[#This Row],[JUMLAH]]="","",NOTA[[#This Row],[DISC 1-]]+NOTA[[#This Row],[DISC 2-]])</f>
        <v/>
      </c>
      <c r="AA13" s="54" t="str">
        <f>IF(NOTA[[#This Row],[JUMLAH]]="","",NOTA[[#This Row],[JUMLAH]]-NOTA[[#This Row],[DISC]])</f>
        <v/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44929</v>
      </c>
      <c r="AG13" s="49" t="str">
        <f ca="1">IF(NOTA[[#This Row],[NAMA BARANG]]="","",INDEX(NOTA[SUPPLIER],MATCH(,INDIRECT(ADDRESS(ROW(NOTA[ID]),COLUMN(NOTA[ID]))&amp;":"&amp;ADDRESS(ROW(),COLUMN(NOTA[ID]))),-1)))</f>
        <v>SBS</v>
      </c>
      <c r="AH13" s="49" t="str">
        <f ca="1">IF(NOTA[[#This Row],[ID_H]]="","",IF(NOTA[[#This Row],[FAKTUR]]="",INDIRECT(ADDRESS(ROW()-1,COLUMN())),NOTA[[#This Row],[FAKTUR]]))</f>
        <v>UNTANA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12</v>
      </c>
      <c r="AK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pckxda3348d8x20bentuksetminion0</v>
      </c>
      <c r="AM13" s="193">
        <f>IF(NOTA[[#This Row],[CONCAT1]]="","",MATCH(NOTA[[#This Row],[CONCAT1]],[2]!db[NB NOTA_C],0)+1)</f>
        <v>1658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4</v>
      </c>
      <c r="E14" s="23"/>
      <c r="F14" s="26"/>
      <c r="G14" s="26"/>
      <c r="H14" s="31"/>
      <c r="I14" s="26"/>
      <c r="J14" s="51"/>
      <c r="K14" s="26"/>
      <c r="L14" s="26" t="s">
        <v>112</v>
      </c>
      <c r="M14" s="39">
        <v>2</v>
      </c>
      <c r="N14" s="26">
        <v>384</v>
      </c>
      <c r="O14" s="26" t="s">
        <v>104</v>
      </c>
      <c r="P14" s="52"/>
      <c r="Q14" s="52"/>
      <c r="R14" s="39" t="s">
        <v>106</v>
      </c>
      <c r="S14" s="53"/>
      <c r="T14" s="53"/>
      <c r="U14" s="54"/>
      <c r="V14" s="37"/>
      <c r="W14" s="54" t="str">
        <f>IF(NOTA[[#This Row],[HARGA/ CTN]]="",NOTA[[#This Row],[JUMLAH_H]],NOTA[[#This Row],[HARGA/ CTN]]*IF(NOTA[[#This Row],[C]]="",0,NOTA[[#This Row],[C]]))</f>
        <v/>
      </c>
      <c r="X14" s="54" t="str">
        <f>IF(NOTA[[#This Row],[JUMLAH]]="","",NOTA[[#This Row],[JUMLAH]]*NOTA[[#This Row],[DISC 1]])</f>
        <v/>
      </c>
      <c r="Y14" s="54" t="str">
        <f>IF(NOTA[[#This Row],[JUMLAH]]="","",(NOTA[[#This Row],[JUMLAH]]-NOTA[[#This Row],[DISC 1-]])*NOTA[[#This Row],[DISC 2]])</f>
        <v/>
      </c>
      <c r="Z14" s="54" t="str">
        <f>IF(NOTA[[#This Row],[JUMLAH]]="","",NOTA[[#This Row],[DISC 1-]]+NOTA[[#This Row],[DISC 2-]])</f>
        <v/>
      </c>
      <c r="AA14" s="54" t="str">
        <f>IF(NOTA[[#This Row],[JUMLAH]]="","",NOTA[[#This Row],[JUMLAH]]-NOTA[[#This Row],[DISC]])</f>
        <v/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44929</v>
      </c>
      <c r="AG14" s="49" t="str">
        <f ca="1">IF(NOTA[[#This Row],[NAMA BARANG]]="","",INDEX(NOTA[SUPPLIER],MATCH(,INDIRECT(ADDRESS(ROW(NOTA[ID]),COLUMN(NOTA[ID]))&amp;":"&amp;ADDRESS(ROW(),COLUMN(NOTA[ID]))),-1)))</f>
        <v>SBS</v>
      </c>
      <c r="AH14" s="49" t="str">
        <f ca="1">IF(NOTA[[#This Row],[ID_H]]="","",IF(NOTA[[#This Row],[FAKTUR]]="",INDIRECT(ADDRESS(ROW()-1,COLUMN())),NOTA[[#This Row],[FAKTUR]]))</f>
        <v>UNTANA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12</v>
      </c>
      <c r="AK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pckxda3348d8x20bentuksetmm0</v>
      </c>
      <c r="AM14" s="193">
        <f>IF(NOTA[[#This Row],[CONCAT1]]="","",MATCH(NOTA[[#This Row],[CONCAT1]],[2]!db[NB NOTA_C],0)+1)</f>
        <v>1654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4</v>
      </c>
      <c r="E15" s="23"/>
      <c r="F15" s="26"/>
      <c r="G15" s="26"/>
      <c r="H15" s="31"/>
      <c r="I15" s="26"/>
      <c r="J15" s="51"/>
      <c r="K15" s="26"/>
      <c r="L15" s="26" t="s">
        <v>113</v>
      </c>
      <c r="M15" s="39">
        <v>2</v>
      </c>
      <c r="N15" s="26">
        <v>384</v>
      </c>
      <c r="O15" s="26" t="s">
        <v>104</v>
      </c>
      <c r="P15" s="52"/>
      <c r="Q15" s="52"/>
      <c r="R15" s="39" t="s">
        <v>106</v>
      </c>
      <c r="S15" s="53"/>
      <c r="T15" s="53"/>
      <c r="U15" s="54"/>
      <c r="V15" s="37"/>
      <c r="W15" s="54" t="str">
        <f>IF(NOTA[[#This Row],[HARGA/ CTN]]="",NOTA[[#This Row],[JUMLAH_H]],NOTA[[#This Row],[HARGA/ CTN]]*IF(NOTA[[#This Row],[C]]="",0,NOTA[[#This Row],[C]]))</f>
        <v/>
      </c>
      <c r="X15" s="54" t="str">
        <f>IF(NOTA[[#This Row],[JUMLAH]]="","",NOTA[[#This Row],[JUMLAH]]*NOTA[[#This Row],[DISC 1]])</f>
        <v/>
      </c>
      <c r="Y15" s="54" t="str">
        <f>IF(NOTA[[#This Row],[JUMLAH]]="","",(NOTA[[#This Row],[JUMLAH]]-NOTA[[#This Row],[DISC 1-]])*NOTA[[#This Row],[DISC 2]])</f>
        <v/>
      </c>
      <c r="Z15" s="54" t="str">
        <f>IF(NOTA[[#This Row],[JUMLAH]]="","",NOTA[[#This Row],[DISC 1-]]+NOTA[[#This Row],[DISC 2-]])</f>
        <v/>
      </c>
      <c r="AA15" s="54" t="str">
        <f>IF(NOTA[[#This Row],[JUMLAH]]="","",NOTA[[#This Row],[JUMLAH]]-NOTA[[#This Row],[DISC]])</f>
        <v/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44929</v>
      </c>
      <c r="AG15" s="49" t="str">
        <f ca="1">IF(NOTA[[#This Row],[NAMA BARANG]]="","",INDEX(NOTA[SUPPLIER],MATCH(,INDIRECT(ADDRESS(ROW(NOTA[ID]),COLUMN(NOTA[ID]))&amp;":"&amp;ADDRESS(ROW(),COLUMN(NOTA[ID]))),-1)))</f>
        <v>SBS</v>
      </c>
      <c r="AH15" s="49" t="str">
        <f ca="1">IF(NOTA[[#This Row],[ID_H]]="","",IF(NOTA[[#This Row],[FAKTUR]]="",INDIRECT(ADDRESS(ROW()-1,COLUMN())),NOTA[[#This Row],[FAKTUR]]))</f>
        <v>UNTANA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12</v>
      </c>
      <c r="AK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pckxda3348d8x20bentuksetkitty0</v>
      </c>
      <c r="AM15" s="193">
        <f>IF(NOTA[[#This Row],[CONCAT1]]="","",MATCH(NOTA[[#This Row],[CONCAT1]],[2]!db[NB NOTA_C],0)+1)</f>
        <v>1655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4</v>
      </c>
      <c r="E16" s="23"/>
      <c r="F16" s="26"/>
      <c r="G16" s="26"/>
      <c r="H16" s="31"/>
      <c r="I16" s="26"/>
      <c r="J16" s="51"/>
      <c r="K16" s="26"/>
      <c r="L16" s="26" t="s">
        <v>114</v>
      </c>
      <c r="M16" s="39">
        <v>2</v>
      </c>
      <c r="N16" s="26">
        <v>384</v>
      </c>
      <c r="O16" s="26" t="s">
        <v>104</v>
      </c>
      <c r="P16" s="52"/>
      <c r="Q16" s="52"/>
      <c r="R16" s="39" t="s">
        <v>106</v>
      </c>
      <c r="S16" s="53"/>
      <c r="T16" s="53"/>
      <c r="U16" s="54"/>
      <c r="V16" s="37"/>
      <c r="W16" s="54" t="str">
        <f>IF(NOTA[[#This Row],[HARGA/ CTN]]="",NOTA[[#This Row],[JUMLAH_H]],NOTA[[#This Row],[HARGA/ CTN]]*IF(NOTA[[#This Row],[C]]="",0,NOTA[[#This Row],[C]]))</f>
        <v/>
      </c>
      <c r="X16" s="54" t="str">
        <f>IF(NOTA[[#This Row],[JUMLAH]]="","",NOTA[[#This Row],[JUMLAH]]*NOTA[[#This Row],[DISC 1]])</f>
        <v/>
      </c>
      <c r="Y16" s="54" t="str">
        <f>IF(NOTA[[#This Row],[JUMLAH]]="","",(NOTA[[#This Row],[JUMLAH]]-NOTA[[#This Row],[DISC 1-]])*NOTA[[#This Row],[DISC 2]])</f>
        <v/>
      </c>
      <c r="Z16" s="54" t="str">
        <f>IF(NOTA[[#This Row],[JUMLAH]]="","",NOTA[[#This Row],[DISC 1-]]+NOTA[[#This Row],[DISC 2-]])</f>
        <v/>
      </c>
      <c r="AA16" s="54" t="str">
        <f>IF(NOTA[[#This Row],[JUMLAH]]="","",NOTA[[#This Row],[JUMLAH]]-NOTA[[#This Row],[DISC]])</f>
        <v/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44929</v>
      </c>
      <c r="AG16" s="49" t="str">
        <f ca="1">IF(NOTA[[#This Row],[NAMA BARANG]]="","",INDEX(NOTA[SUPPLIER],MATCH(,INDIRECT(ADDRESS(ROW(NOTA[ID]),COLUMN(NOTA[ID]))&amp;":"&amp;ADDRESS(ROW(),COLUMN(NOTA[ID]))),-1)))</f>
        <v>SBS</v>
      </c>
      <c r="AH16" s="49" t="str">
        <f ca="1">IF(NOTA[[#This Row],[ID_H]]="","",IF(NOTA[[#This Row],[FAKTUR]]="",INDIRECT(ADDRESS(ROW()-1,COLUMN())),NOTA[[#This Row],[FAKTUR]]))</f>
        <v>UNTANA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12</v>
      </c>
      <c r="AK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pckxda3348d8x20bentuksettsum0</v>
      </c>
      <c r="AM16" s="193">
        <f>IF(NOTA[[#This Row],[CONCAT1]]="","",MATCH(NOTA[[#This Row],[CONCAT1]],[2]!db[NB NOTA_C],0)+1)</f>
        <v>1659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4</v>
      </c>
      <c r="E17" s="23"/>
      <c r="F17" s="26"/>
      <c r="G17" s="26"/>
      <c r="H17" s="31"/>
      <c r="I17" s="26"/>
      <c r="J17" s="51"/>
      <c r="K17" s="26"/>
      <c r="L17" s="26" t="s">
        <v>115</v>
      </c>
      <c r="M17" s="39">
        <v>5</v>
      </c>
      <c r="N17" s="26">
        <v>720</v>
      </c>
      <c r="O17" s="26" t="s">
        <v>104</v>
      </c>
      <c r="P17" s="52"/>
      <c r="Q17" s="52"/>
      <c r="R17" s="39" t="s">
        <v>107</v>
      </c>
      <c r="S17" s="53"/>
      <c r="T17" s="53"/>
      <c r="U17" s="54"/>
      <c r="V17" s="37"/>
      <c r="W17" s="54" t="str">
        <f>IF(NOTA[[#This Row],[HARGA/ CTN]]="",NOTA[[#This Row],[JUMLAH_H]],NOTA[[#This Row],[HARGA/ CTN]]*IF(NOTA[[#This Row],[C]]="",0,NOTA[[#This Row],[C]]))</f>
        <v/>
      </c>
      <c r="X17" s="54" t="str">
        <f>IF(NOTA[[#This Row],[JUMLAH]]="","",NOTA[[#This Row],[JUMLAH]]*NOTA[[#This Row],[DISC 1]])</f>
        <v/>
      </c>
      <c r="Y17" s="54" t="str">
        <f>IF(NOTA[[#This Row],[JUMLAH]]="","",(NOTA[[#This Row],[JUMLAH]]-NOTA[[#This Row],[DISC 1-]])*NOTA[[#This Row],[DISC 2]])</f>
        <v/>
      </c>
      <c r="Z17" s="54" t="str">
        <f>IF(NOTA[[#This Row],[JUMLAH]]="","",NOTA[[#This Row],[DISC 1-]]+NOTA[[#This Row],[DISC 2-]])</f>
        <v/>
      </c>
      <c r="AA17" s="54" t="str">
        <f>IF(NOTA[[#This Row],[JUMLAH]]="","",NOTA[[#This Row],[JUMLAH]]-NOTA[[#This Row],[DISC]])</f>
        <v/>
      </c>
      <c r="AB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44929</v>
      </c>
      <c r="AG17" s="49" t="str">
        <f ca="1">IF(NOTA[[#This Row],[NAMA BARANG]]="","",INDEX(NOTA[SUPPLIER],MATCH(,INDIRECT(ADDRESS(ROW(NOTA[ID]),COLUMN(NOTA[ID]))&amp;":"&amp;ADDRESS(ROW(),COLUMN(NOTA[ID]))),-1)))</f>
        <v>SBS</v>
      </c>
      <c r="AH17" s="49" t="str">
        <f ca="1">IF(NOTA[[#This Row],[ID_H]]="","",IF(NOTA[[#This Row],[FAKTUR]]="",INDIRECT(ADDRESS(ROW()-1,COLUMN())),NOTA[[#This Row],[FAKTUR]]))</f>
        <v>UNTANA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12</v>
      </c>
      <c r="AK17" s="38" t="str">
        <f>LOWER(SUBSTITUTE(SUBSTITUTE(SUBSTITUTE(SUBSTITUTE(SUBSTITUTE(SUBSTITUTE(SUBSTITUTE(SUBSTITUTE(SUBSTITUTE(NOTA[NAMA BARANG]," ",),".",""),"-",""),"(",""),")",""),",",""),"/",""),"""",""),"+",""))</f>
        <v>pcma1151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pcma11510</v>
      </c>
      <c r="AM17" s="193">
        <f>IF(NOTA[[#This Row],[CONCAT1]]="","",MATCH(NOTA[[#This Row],[CONCAT1]],[2]!db[NB NOTA_C],0)+1)</f>
        <v>1667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 t="str">
        <f ca="1">IF(NOTA[[#This Row],[NAMA BARANG]]="","",INDEX(NOTA[ID],MATCH(,INDIRECT(ADDRESS(ROW(NOTA[ID]),COLUMN(NOTA[ID]))&amp;":"&amp;ADDRESS(ROW(),COLUMN(NOTA[ID]))),-1)))</f>
        <v/>
      </c>
      <c r="E18" s="23"/>
      <c r="F18" s="26"/>
      <c r="G18" s="26"/>
      <c r="H18" s="31"/>
      <c r="I18" s="26"/>
      <c r="J18" s="51"/>
      <c r="K18" s="26"/>
      <c r="L18" s="26"/>
      <c r="M18" s="39"/>
      <c r="N18" s="26"/>
      <c r="O18" s="26"/>
      <c r="P18" s="49"/>
      <c r="Q18" s="52"/>
      <c r="R18" s="39"/>
      <c r="S18" s="53"/>
      <c r="T18" s="53"/>
      <c r="U18" s="54"/>
      <c r="V18" s="37"/>
      <c r="W18" s="54" t="str">
        <f>IF(NOTA[[#This Row],[HARGA/ CTN]]="",NOTA[[#This Row],[JUMLAH_H]],NOTA[[#This Row],[HARGA/ CTN]]*IF(NOTA[[#This Row],[C]]="",0,NOTA[[#This Row],[C]]))</f>
        <v/>
      </c>
      <c r="X18" s="54" t="str">
        <f>IF(NOTA[[#This Row],[JUMLAH]]="","",NOTA[[#This Row],[JUMLAH]]*NOTA[[#This Row],[DISC 1]])</f>
        <v/>
      </c>
      <c r="Y18" s="54" t="str">
        <f>IF(NOTA[[#This Row],[JUMLAH]]="","",(NOTA[[#This Row],[JUMLAH]]-NOTA[[#This Row],[DISC 1-]])*NOTA[[#This Row],[DISC 2]])</f>
        <v/>
      </c>
      <c r="Z18" s="54" t="str">
        <f>IF(NOTA[[#This Row],[JUMLAH]]="","",NOTA[[#This Row],[DISC 1-]]+NOTA[[#This Row],[DISC 2-]])</f>
        <v/>
      </c>
      <c r="AA18" s="54" t="str">
        <f>IF(NOTA[[#This Row],[JUMLAH]]="","",NOTA[[#This Row],[JUMLAH]]-NOTA[[#This Row],[DISC]])</f>
        <v/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" s="54" t="str">
        <f>IF(OR(NOTA[[#This Row],[QTY]]="",NOTA[[#This Row],[HARGA SATUAN]]="",),"",NOTA[[#This Row],[QTY]]*NOTA[[#This Row],[HARGA SATUAN]])</f>
        <v/>
      </c>
      <c r="AF18" s="51" t="str">
        <f ca="1">IF(NOTA[ID_H]="","",INDEX(NOTA[TANGGAL],MATCH(,INDIRECT(ADDRESS(ROW(NOTA[TANGGAL]),COLUMN(NOTA[TANGGAL]))&amp;":"&amp;ADDRESS(ROW(),COLUMN(NOTA[TANGGAL]))),-1)))</f>
        <v/>
      </c>
      <c r="AG18" s="49" t="str">
        <f ca="1">IF(NOTA[[#This Row],[NAMA BARANG]]="","",INDEX(NOTA[SUPPLIER],MATCH(,INDIRECT(ADDRESS(ROW(NOTA[ID]),COLUMN(NOTA[ID]))&amp;":"&amp;ADDRESS(ROW(),COLUMN(NOTA[ID]))),-1)))</f>
        <v/>
      </c>
      <c r="AH18" s="49" t="str">
        <f ca="1">IF(NOTA[[#This Row],[ID_H]]="","",IF(NOTA[[#This Row],[FAKTUR]]="",INDIRECT(ADDRESS(ROW()-1,COLUMN())),NOTA[[#This Row],[FAKTUR]]))</f>
        <v/>
      </c>
      <c r="AI18" s="38" t="str">
        <f ca="1">IF(NOTA[[#This Row],[ID]]="","",COUNTIF(NOTA[ID_H],NOTA[[#This Row],[ID_H]]))</f>
        <v/>
      </c>
      <c r="AJ18" s="38" t="str">
        <f ca="1">IF(NOTA[[#This Row],[TGL.NOTA]]="",IF(NOTA[[#This Row],[SUPPLIER_H]]="","",AJ17),MONTH(NOTA[[#This Row],[TGL.NOTA]]))</f>
        <v/>
      </c>
      <c r="AK18" s="38" t="str">
        <f>LOWER(SUBSTITUTE(SUBSTITUTE(SUBSTITUTE(SUBSTITUTE(SUBSTITUTE(SUBSTITUTE(SUBSTITUTE(SUBSTITUTE(SUBSTITUTE(NOTA[NAMA BARANG]," ",),".",""),"-",""),"(",""),")",""),",",""),"/",""),"""",""),"+",""))</f>
        <v/>
      </c>
      <c r="AL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" s="193" t="str">
        <f>IF(NOTA[[#This Row],[CONCAT1]]="","",MATCH(NOTA[[#This Row],[CONCAT1]],[2]!db[NB NOTA_C],0)+1)</f>
        <v/>
      </c>
    </row>
    <row r="19" spans="1:39" ht="20.100000000000001" customHeight="1" x14ac:dyDescent="0.25">
      <c r="A19" s="17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7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77" t="e">
        <f ca="1">IF(NOTA[[#This Row],[ID_P]]="","",MATCH(NOTA[[#This Row],[ID_P]],[1]!B_MSK[N_ID],0))</f>
        <v>#REF!</v>
      </c>
      <c r="D19" s="177">
        <f ca="1">IF(NOTA[[#This Row],[NAMA BARANG]]="","",INDEX(NOTA[ID],MATCH(,INDIRECT(ADDRESS(ROW(NOTA[ID]),COLUMN(NOTA[ID]))&amp;":"&amp;ADDRESS(ROW(),COLUMN(NOTA[ID]))),-1)))</f>
        <v>5</v>
      </c>
      <c r="E19" s="23">
        <v>44930</v>
      </c>
      <c r="F19" s="26" t="s">
        <v>144</v>
      </c>
      <c r="G19" s="26" t="s">
        <v>87</v>
      </c>
      <c r="H19" s="31" t="s">
        <v>145</v>
      </c>
      <c r="I19" s="26"/>
      <c r="J19" s="51">
        <v>44928</v>
      </c>
      <c r="K19" s="26"/>
      <c r="L19" s="191" t="s">
        <v>248</v>
      </c>
      <c r="M19" s="39">
        <v>3</v>
      </c>
      <c r="N19" s="26">
        <v>180</v>
      </c>
      <c r="O19" s="26" t="s">
        <v>116</v>
      </c>
      <c r="P19" s="49">
        <v>17500</v>
      </c>
      <c r="Q19" s="52"/>
      <c r="R19" s="39"/>
      <c r="S19" s="53"/>
      <c r="T19" s="53"/>
      <c r="U19" s="54"/>
      <c r="V19" s="37"/>
      <c r="W19" s="185">
        <f>IF(NOTA[[#This Row],[HARGA/ CTN]]="",NOTA[[#This Row],[JUMLAH_H]],NOTA[[#This Row],[HARGA/ CTN]]*IF(NOTA[[#This Row],[C]]="",0,NOTA[[#This Row],[C]]))</f>
        <v>3150000</v>
      </c>
      <c r="X19" s="185">
        <f>IF(NOTA[[#This Row],[JUMLAH]]="","",NOTA[[#This Row],[JUMLAH]]*NOTA[[#This Row],[DISC 1]])</f>
        <v>0</v>
      </c>
      <c r="Y19" s="185">
        <f>IF(NOTA[[#This Row],[JUMLAH]]="","",(NOTA[[#This Row],[JUMLAH]]-NOTA[[#This Row],[DISC 1-]])*NOTA[[#This Row],[DISC 2]])</f>
        <v>0</v>
      </c>
      <c r="Z19" s="185">
        <f>IF(NOTA[[#This Row],[JUMLAH]]="","",NOTA[[#This Row],[DISC 1-]]+NOTA[[#This Row],[DISC 2-]])</f>
        <v>0</v>
      </c>
      <c r="AA19" s="185">
        <f>IF(NOTA[[#This Row],[JUMLAH]]="","",NOTA[[#This Row],[JUMLAH]]-NOTA[[#This Row],[DISC]])</f>
        <v>3150000</v>
      </c>
      <c r="AB19" s="18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" s="18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19" s="17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9" s="187">
        <f>IF(OR(NOTA[[#This Row],[QTY]]="",NOTA[[#This Row],[HARGA SATUAN]]="",),"",NOTA[[#This Row],[QTY]]*NOTA[[#This Row],[HARGA SATUAN]])</f>
        <v>3150000</v>
      </c>
      <c r="AF19" s="181">
        <f ca="1">IF(NOTA[ID_H]="","",INDEX(NOTA[TANGGAL],MATCH(,INDIRECT(ADDRESS(ROW(NOTA[TANGGAL]),COLUMN(NOTA[TANGGAL]))&amp;":"&amp;ADDRESS(ROW(),COLUMN(NOTA[TANGGAL]))),-1)))</f>
        <v>44930</v>
      </c>
      <c r="AG19" s="176" t="str">
        <f ca="1">IF(NOTA[[#This Row],[NAMA BARANG]]="","",INDEX(NOTA[SUPPLIER],MATCH(,INDIRECT(ADDRESS(ROW(NOTA[ID]),COLUMN(NOTA[ID]))&amp;":"&amp;ADDRESS(ROW(),COLUMN(NOTA[ID]))),-1)))</f>
        <v>ETJ</v>
      </c>
      <c r="AH19" s="176" t="str">
        <f ca="1">IF(NOTA[[#This Row],[ID_H]]="","",IF(NOTA[[#This Row],[FAKTUR]]="",INDIRECT(ADDRESS(ROW()-1,COLUMN())),NOTA[[#This Row],[FAKTUR]]))</f>
        <v>UNTANA</v>
      </c>
      <c r="AI19" s="188">
        <f ca="1">IF(NOTA[[#This Row],[ID]]="","",COUNTIF(NOTA[ID_H],NOTA[[#This Row],[ID_H]]))</f>
        <v>1</v>
      </c>
      <c r="AJ19" s="188">
        <f>IF(NOTA[[#This Row],[TGL.NOTA]]="",IF(NOTA[[#This Row],[SUPPLIER_H]]="","",AJ18),MONTH(NOTA[[#This Row],[TGL.NOTA]]))</f>
        <v>1</v>
      </c>
      <c r="AK19" s="18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enterwhiteboard802k1050000</v>
      </c>
      <c r="AM19" s="193">
        <f>IF(NOTA[[#This Row],[CONCAT1]]="","",MATCH(NOTA[[#This Row],[CONCAT1]],[2]!db[NB NOTA_C],0)+1)</f>
        <v>670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 t="str">
        <f ca="1">IF(NOTA[[#This Row],[NAMA BARANG]]="","",INDEX(NOTA[ID],MATCH(,INDIRECT(ADDRESS(ROW(NOTA[ID]),COLUMN(NOTA[ID]))&amp;":"&amp;ADDRESS(ROW(),COLUMN(NOTA[ID]))),-1)))</f>
        <v/>
      </c>
      <c r="E20" s="30"/>
      <c r="F20" s="32"/>
      <c r="G20" s="32"/>
      <c r="H20" s="55"/>
      <c r="I20" s="32"/>
      <c r="J20" s="33"/>
      <c r="K20" s="32"/>
      <c r="L20" s="26"/>
      <c r="M20" s="34"/>
      <c r="N20" s="32"/>
      <c r="O20" s="26"/>
      <c r="P20" s="28"/>
      <c r="Q20" s="46"/>
      <c r="R20" s="56"/>
      <c r="S20" s="35"/>
      <c r="T20" s="35"/>
      <c r="U20" s="36"/>
      <c r="V20" s="37"/>
      <c r="W20" s="36" t="str">
        <f>IF(NOTA[[#This Row],[HARGA/ CTN]]="",NOTA[[#This Row],[JUMLAH_H]],NOTA[[#This Row],[HARGA/ CTN]]*IF(NOTA[[#This Row],[C]]="",0,NOTA[[#This Row],[C]]))</f>
        <v/>
      </c>
      <c r="X20" s="36" t="str">
        <f>IF(NOTA[[#This Row],[JUMLAH]]="","",NOTA[[#This Row],[JUMLAH]]*NOTA[[#This Row],[DISC 1]])</f>
        <v/>
      </c>
      <c r="Y20" s="36" t="str">
        <f>IF(NOTA[[#This Row],[JUMLAH]]="","",(NOTA[[#This Row],[JUMLAH]]-NOTA[[#This Row],[DISC 1-]])*NOTA[[#This Row],[DISC 2]])</f>
        <v/>
      </c>
      <c r="Z20" s="36" t="str">
        <f>IF(NOTA[[#This Row],[JUMLAH]]="","",NOTA[[#This Row],[DISC 1-]]+NOTA[[#This Row],[DISC 2-]])</f>
        <v/>
      </c>
      <c r="AA20" s="36" t="str">
        <f>IF(NOTA[[#This Row],[JUMLAH]]="","",NOTA[[#This Row],[JUMLAH]]-NOTA[[#This Row],[DISC]])</f>
        <v/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" s="36" t="str">
        <f>IF(OR(NOTA[[#This Row],[QTY]]="",NOTA[[#This Row],[HARGA SATUAN]]="",),"",NOTA[[#This Row],[QTY]]*NOTA[[#This Row],[HARGA SATUAN]])</f>
        <v/>
      </c>
      <c r="AF20" s="33" t="str">
        <f ca="1">IF(NOTA[ID_H]="","",INDEX(NOTA[TANGGAL],MATCH(,INDIRECT(ADDRESS(ROW(NOTA[TANGGAL]),COLUMN(NOTA[TANGGAL]))&amp;":"&amp;ADDRESS(ROW(),COLUMN(NOTA[TANGGAL]))),-1)))</f>
        <v/>
      </c>
      <c r="AG20" s="28" t="str">
        <f ca="1">IF(NOTA[[#This Row],[NAMA BARANG]]="","",INDEX(NOTA[SUPPLIER],MATCH(,INDIRECT(ADDRESS(ROW(NOTA[ID]),COLUMN(NOTA[ID]))&amp;":"&amp;ADDRESS(ROW(),COLUMN(NOTA[ID]))),-1)))</f>
        <v/>
      </c>
      <c r="AH20" s="28" t="str">
        <f ca="1">IF(NOTA[[#This Row],[ID_H]]="","",IF(NOTA[[#This Row],[FAKTUR]]="",INDIRECT(ADDRESS(ROW()-1,COLUMN())),NOTA[[#This Row],[FAKTUR]]))</f>
        <v/>
      </c>
      <c r="AI20" s="38" t="str">
        <f ca="1">IF(NOTA[[#This Row],[ID]]="","",COUNTIF(NOTA[ID_H],NOTA[[#This Row],[ID_H]]))</f>
        <v/>
      </c>
      <c r="AJ20" s="38" t="str">
        <f ca="1">IF(NOTA[[#This Row],[TGL.NOTA]]="",IF(NOTA[[#This Row],[SUPPLIER_H]]="","",#REF!),MONTH(NOTA[[#This Row],[TGL.NOTA]]))</f>
        <v/>
      </c>
      <c r="AK20" s="38" t="str">
        <f>LOWER(SUBSTITUTE(SUBSTITUTE(SUBSTITUTE(SUBSTITUTE(SUBSTITUTE(SUBSTITUTE(SUBSTITUTE(SUBSTITUTE(SUBSTITUTE(NOTA[NAMA BARANG]," ",),".",""),"-",""),"(",""),")",""),",",""),"/",""),"""",""),"+",""))</f>
        <v/>
      </c>
      <c r="AL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" s="193" t="str">
        <f>IF(NOTA[[#This Row],[CONCAT1]]="","",MATCH(NOTA[[#This Row],[CONCAT1]],[2]!db[NB NOTA_C],0)+1)</f>
        <v/>
      </c>
    </row>
    <row r="21" spans="1:39" ht="20.100000000000001" customHeight="1" x14ac:dyDescent="0.25">
      <c r="A21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21" s="29" t="e">
        <f ca="1">IF(NOTA[[#This Row],[ID_P]]="","",MATCH(NOTA[[#This Row],[ID_P]],[1]!B_MSK[N_ID],0))</f>
        <v>#REF!</v>
      </c>
      <c r="D21" s="29">
        <f ca="1">IF(NOTA[[#This Row],[NAMA BARANG]]="","",INDEX(NOTA[ID],MATCH(,INDIRECT(ADDRESS(ROW(NOTA[ID]),COLUMN(NOTA[ID]))&amp;":"&amp;ADDRESS(ROW(),COLUMN(NOTA[ID]))),-1)))</f>
        <v>6</v>
      </c>
      <c r="E21" s="30">
        <v>44931</v>
      </c>
      <c r="F21" s="26" t="s">
        <v>82</v>
      </c>
      <c r="G21" s="26" t="s">
        <v>24</v>
      </c>
      <c r="H21" s="31" t="s">
        <v>147</v>
      </c>
      <c r="I21" s="32"/>
      <c r="J21" s="33">
        <v>44928</v>
      </c>
      <c r="K21" s="32"/>
      <c r="L21" s="26" t="s">
        <v>148</v>
      </c>
      <c r="M21" s="34">
        <v>6</v>
      </c>
      <c r="N21" s="32">
        <v>300</v>
      </c>
      <c r="O21" s="26" t="s">
        <v>104</v>
      </c>
      <c r="P21" s="28">
        <f>12870</f>
        <v>12870</v>
      </c>
      <c r="Q21" s="46"/>
      <c r="R21" s="39" t="s">
        <v>126</v>
      </c>
      <c r="S21" s="35"/>
      <c r="T21" s="35"/>
      <c r="U21" s="36"/>
      <c r="V21" s="37" t="s">
        <v>149</v>
      </c>
      <c r="W21" s="36">
        <f>IF(NOTA[[#This Row],[HARGA/ CTN]]="",NOTA[[#This Row],[JUMLAH_H]],NOTA[[#This Row],[HARGA/ CTN]]*IF(NOTA[[#This Row],[C]]="",0,NOTA[[#This Row],[C]]))</f>
        <v>3861000</v>
      </c>
      <c r="X21" s="36">
        <f>IF(NOTA[[#This Row],[JUMLAH]]="","",NOTA[[#This Row],[JUMLAH]]*NOTA[[#This Row],[DISC 1]])</f>
        <v>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0</v>
      </c>
      <c r="AA21" s="36">
        <f>IF(NOTA[[#This Row],[JUMLAH]]="","",NOTA[[#This Row],[JUMLAH]]-NOTA[[#This Row],[DISC]])</f>
        <v>3861000</v>
      </c>
      <c r="AB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21" s="36">
        <f>IF(OR(NOTA[[#This Row],[QTY]]="",NOTA[[#This Row],[HARGA SATUAN]]="",),"",NOTA[[#This Row],[QTY]]*NOTA[[#This Row],[HARGA SATUAN]])</f>
        <v>3861000</v>
      </c>
      <c r="AF21" s="33">
        <f ca="1">IF(NOTA[ID_H]="","",INDEX(NOTA[TANGGAL],MATCH(,INDIRECT(ADDRESS(ROW(NOTA[TANGGAL]),COLUMN(NOTA[TANGGAL]))&amp;":"&amp;ADDRESS(ROW(),COLUMN(NOTA[TANGGAL]))),-1)))</f>
        <v>44931</v>
      </c>
      <c r="AG21" s="28" t="str">
        <f ca="1">IF(NOTA[[#This Row],[NAMA BARANG]]="","",INDEX(NOTA[SUPPLIER],MATCH(,INDIRECT(ADDRESS(ROW(NOTA[ID]),COLUMN(NOTA[ID]))&amp;":"&amp;ADDRESS(ROW(),COLUMN(NOTA[ID]))),-1)))</f>
        <v>KUNCI MATAHARI</v>
      </c>
      <c r="AH21" s="28" t="str">
        <f ca="1">IF(NOTA[[#This Row],[ID_H]]="","",IF(NOTA[[#This Row],[FAKTUR]]="",INDIRECT(ADDRESS(ROW()-1,COLUMN())),NOTA[[#This Row],[FAKTUR]]))</f>
        <v>ARTO MORO</v>
      </c>
      <c r="AI21" s="38">
        <f ca="1">IF(NOTA[[#This Row],[ID]]="","",COUNTIF(NOTA[ID_H],NOTA[[#This Row],[ID_H]]))</f>
        <v>1</v>
      </c>
      <c r="AJ21" s="38">
        <f>IF(NOTA[[#This Row],[TGL.NOTA]]="",IF(NOTA[[#This Row],[SUPPLIER_H]]="","",AJ20),MONTH(NOTA[[#This Row],[TGL.NOTA]]))</f>
        <v>1</v>
      </c>
      <c r="AK21" s="38" t="str">
        <f>LOWER(SUBSTITUTE(SUBSTITUTE(SUBSTITUTE(SUBSTITUTE(SUBSTITUTE(SUBSTITUTE(SUBSTITUTE(SUBSTITUTE(SUBSTITUTE(NOTA[NAMA BARANG]," ",),".",""),"-",""),"(",""),")",""),",",""),"/",""),"""",""),"+",""))</f>
        <v>bkkasfolio</v>
      </c>
      <c r="AL21" s="38" t="str">
        <f>IF(NOTA[C]="",NOTA[[#This Row],[CONCAT1]]&amp;NOTA[[#This Row],[HARGA SATUAN]],NOTA[[#This Row],[CONCAT1]]&amp;NOTA[[#This Row],[HARGA/ CTN_H]]&amp;NOTA[[#This Row],[DISC 1]]&amp;NOTA[[#This Row],[DISC 2]])</f>
        <v>bkkasfolio643500</v>
      </c>
      <c r="AM21" s="193">
        <f>IF(NOTA[[#This Row],[CONCAT1]]="","",MATCH(NOTA[[#This Row],[CONCAT1]],[2]!db[NB NOTA_C],0)+1)</f>
        <v>260</v>
      </c>
    </row>
    <row r="22" spans="1:39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 t="str">
        <f ca="1">IF(NOTA[[#This Row],[NAMA BARANG]]="","",INDEX(NOTA[ID],MATCH(,INDIRECT(ADDRESS(ROW(NOTA[ID]),COLUMN(NOTA[ID]))&amp;":"&amp;ADDRESS(ROW(),COLUMN(NOTA[ID]))),-1)))</f>
        <v/>
      </c>
      <c r="E22" s="30"/>
      <c r="F22" s="26"/>
      <c r="G22" s="26"/>
      <c r="H22" s="31"/>
      <c r="I22" s="26"/>
      <c r="J22" s="33"/>
      <c r="K22" s="32"/>
      <c r="L22" s="26"/>
      <c r="M22" s="34"/>
      <c r="N22" s="32"/>
      <c r="O22" s="26"/>
      <c r="P22" s="28"/>
      <c r="Q22" s="46"/>
      <c r="R22" s="39"/>
      <c r="S22" s="35"/>
      <c r="T22" s="35"/>
      <c r="U22" s="36"/>
      <c r="V22" s="37"/>
      <c r="W22" s="36" t="str">
        <f>IF(NOTA[[#This Row],[HARGA/ CTN]]="",NOTA[[#This Row],[JUMLAH_H]],NOTA[[#This Row],[HARGA/ CTN]]*IF(NOTA[[#This Row],[C]]="",0,NOTA[[#This Row],[C]]))</f>
        <v/>
      </c>
      <c r="X22" s="36" t="str">
        <f>IF(NOTA[[#This Row],[JUMLAH]]="","",NOTA[[#This Row],[JUMLAH]]*NOTA[[#This Row],[DISC 1]])</f>
        <v/>
      </c>
      <c r="Y22" s="36" t="str">
        <f>IF(NOTA[[#This Row],[JUMLAH]]="","",(NOTA[[#This Row],[JUMLAH]]-NOTA[[#This Row],[DISC 1-]])*NOTA[[#This Row],[DISC 2]])</f>
        <v/>
      </c>
      <c r="Z22" s="36" t="str">
        <f>IF(NOTA[[#This Row],[JUMLAH]]="","",NOTA[[#This Row],[DISC 1-]]+NOTA[[#This Row],[DISC 2-]])</f>
        <v/>
      </c>
      <c r="AA22" s="36" t="str">
        <f>IF(NOTA[[#This Row],[JUMLAH]]="","",NOTA[[#This Row],[JUMLAH]]-NOTA[[#This Row],[DISC]])</f>
        <v/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" s="36" t="str">
        <f>IF(OR(NOTA[[#This Row],[QTY]]="",NOTA[[#This Row],[HARGA SATUAN]]="",),"",NOTA[[#This Row],[QTY]]*NOTA[[#This Row],[HARGA SATUAN]])</f>
        <v/>
      </c>
      <c r="AF22" s="33" t="str">
        <f ca="1">IF(NOTA[ID_H]="","",INDEX(NOTA[TANGGAL],MATCH(,INDIRECT(ADDRESS(ROW(NOTA[TANGGAL]),COLUMN(NOTA[TANGGAL]))&amp;":"&amp;ADDRESS(ROW(),COLUMN(NOTA[TANGGAL]))),-1)))</f>
        <v/>
      </c>
      <c r="AG22" s="28" t="str">
        <f ca="1">IF(NOTA[[#This Row],[NAMA BARANG]]="","",INDEX(NOTA[SUPPLIER],MATCH(,INDIRECT(ADDRESS(ROW(NOTA[ID]),COLUMN(NOTA[ID]))&amp;":"&amp;ADDRESS(ROW(),COLUMN(NOTA[ID]))),-1)))</f>
        <v/>
      </c>
      <c r="AH22" s="28" t="str">
        <f ca="1">IF(NOTA[[#This Row],[ID_H]]="","",IF(NOTA[[#This Row],[FAKTUR]]="",INDIRECT(ADDRESS(ROW()-1,COLUMN())),NOTA[[#This Row],[FAKTUR]]))</f>
        <v/>
      </c>
      <c r="AI22" s="38" t="str">
        <f ca="1">IF(NOTA[[#This Row],[ID]]="","",COUNTIF(NOTA[ID_H],NOTA[[#This Row],[ID_H]]))</f>
        <v/>
      </c>
      <c r="AJ22" s="38" t="str">
        <f ca="1">IF(NOTA[[#This Row],[TGL.NOTA]]="",IF(NOTA[[#This Row],[SUPPLIER_H]]="","",AJ21),MONTH(NOTA[[#This Row],[TGL.NOTA]]))</f>
        <v/>
      </c>
      <c r="AK22" s="38" t="str">
        <f>LOWER(SUBSTITUTE(SUBSTITUTE(SUBSTITUTE(SUBSTITUTE(SUBSTITUTE(SUBSTITUTE(SUBSTITUTE(SUBSTITUTE(SUBSTITUTE(NOTA[NAMA BARANG]," ",),".",""),"-",""),"(",""),")",""),",",""),"/",""),"""",""),"+",""))</f>
        <v/>
      </c>
      <c r="AL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" s="193" t="str">
        <f>IF(NOTA[[#This Row],[CONCAT1]]="","",MATCH(NOTA[[#This Row],[CONCAT1]],[2]!db[NB NOTA_C],0)+1)</f>
        <v/>
      </c>
    </row>
    <row r="23" spans="1:39" ht="20.100000000000001" customHeight="1" x14ac:dyDescent="0.25">
      <c r="A23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23" s="29" t="e">
        <f ca="1">IF(NOTA[[#This Row],[ID_P]]="","",MATCH(NOTA[[#This Row],[ID_P]],[1]!B_MSK[N_ID],0))</f>
        <v>#REF!</v>
      </c>
      <c r="D23" s="29">
        <f ca="1">IF(NOTA[[#This Row],[NAMA BARANG]]="","",INDEX(NOTA[ID],MATCH(,INDIRECT(ADDRESS(ROW(NOTA[ID]),COLUMN(NOTA[ID]))&amp;":"&amp;ADDRESS(ROW(),COLUMN(NOTA[ID]))),-1)))</f>
        <v>7</v>
      </c>
      <c r="E23" s="30"/>
      <c r="F23" s="26" t="s">
        <v>25</v>
      </c>
      <c r="G23" s="26" t="s">
        <v>24</v>
      </c>
      <c r="H23" s="31" t="s">
        <v>150</v>
      </c>
      <c r="I23" s="26"/>
      <c r="J23" s="33">
        <v>44928</v>
      </c>
      <c r="K23" s="32"/>
      <c r="L23" s="26" t="s">
        <v>151</v>
      </c>
      <c r="M23" s="34">
        <v>4</v>
      </c>
      <c r="N23" s="32">
        <v>144</v>
      </c>
      <c r="O23" s="26" t="s">
        <v>128</v>
      </c>
      <c r="P23" s="28">
        <v>41500</v>
      </c>
      <c r="Q23" s="46"/>
      <c r="R23" s="39" t="s">
        <v>123</v>
      </c>
      <c r="S23" s="35">
        <v>0.125</v>
      </c>
      <c r="T23" s="35">
        <v>0.05</v>
      </c>
      <c r="U23" s="36"/>
      <c r="V23" s="37"/>
      <c r="W23" s="36">
        <f>IF(NOTA[[#This Row],[HARGA/ CTN]]="",NOTA[[#This Row],[JUMLAH_H]],NOTA[[#This Row],[HARGA/ CTN]]*IF(NOTA[[#This Row],[C]]="",0,NOTA[[#This Row],[C]]))</f>
        <v>5976000</v>
      </c>
      <c r="X23" s="36">
        <f>IF(NOTA[[#This Row],[JUMLAH]]="","",NOTA[[#This Row],[JUMLAH]]*NOTA[[#This Row],[DISC 1]])</f>
        <v>747000</v>
      </c>
      <c r="Y23" s="36">
        <f>IF(NOTA[[#This Row],[JUMLAH]]="","",(NOTA[[#This Row],[JUMLAH]]-NOTA[[#This Row],[DISC 1-]])*NOTA[[#This Row],[DISC 2]])</f>
        <v>261450</v>
      </c>
      <c r="Z23" s="36">
        <f>IF(NOTA[[#This Row],[JUMLAH]]="","",NOTA[[#This Row],[DISC 1-]]+NOTA[[#This Row],[DISC 2-]])</f>
        <v>1008450</v>
      </c>
      <c r="AA23" s="36">
        <f>IF(NOTA[[#This Row],[JUMLAH]]="","",NOTA[[#This Row],[JUMLAH]]-NOTA[[#This Row],[DISC]])</f>
        <v>4967550</v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3" s="36">
        <f>IF(OR(NOTA[[#This Row],[QTY]]="",NOTA[[#This Row],[HARGA SATUAN]]="",),"",NOTA[[#This Row],[QTY]]*NOTA[[#This Row],[HARGA SATUAN]])</f>
        <v>5976000</v>
      </c>
      <c r="AF23" s="33">
        <f ca="1">IF(NOTA[ID_H]="","",INDEX(NOTA[TANGGAL],MATCH(,INDIRECT(ADDRESS(ROW(NOTA[TANGGAL]),COLUMN(NOTA[TANGGAL]))&amp;":"&amp;ADDRESS(ROW(),COLUMN(NOTA[TANGGAL]))),-1)))</f>
        <v>44931</v>
      </c>
      <c r="AG23" s="28" t="str">
        <f ca="1">IF(NOTA[[#This Row],[NAMA BARANG]]="","",INDEX(NOTA[SUPPLIER],MATCH(,INDIRECT(ADDRESS(ROW(NOTA[ID]),COLUMN(NOTA[ID]))&amp;":"&amp;ADDRESS(ROW(),COLUMN(NOTA[ID]))),-1)))</f>
        <v>ATALI MAKMUR</v>
      </c>
      <c r="AH23" s="28" t="str">
        <f ca="1">IF(NOTA[[#This Row],[ID_H]]="","",IF(NOTA[[#This Row],[FAKTUR]]="",INDIRECT(ADDRESS(ROW()-1,COLUMN())),NOTA[[#This Row],[FAKTUR]]))</f>
        <v>ARTO MORO</v>
      </c>
      <c r="AI23" s="38">
        <f ca="1">IF(NOTA[[#This Row],[ID]]="","",COUNTIF(NOTA[ID_H],NOTA[[#This Row],[ID_H]]))</f>
        <v>5</v>
      </c>
      <c r="AJ23" s="38">
        <f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23" s="193">
        <f>IF(NOTA[[#This Row],[CONCAT1]]="","",MATCH(NOTA[[#This Row],[CONCAT1]],[2]!db[NB NOTA_C],0)+1)</f>
        <v>1545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>
        <f ca="1">IF(NOTA[[#This Row],[NAMA BARANG]]="","",INDEX(NOTA[ID],MATCH(,INDIRECT(ADDRESS(ROW(NOTA[ID]),COLUMN(NOTA[ID]))&amp;":"&amp;ADDRESS(ROW(),COLUMN(NOTA[ID]))),-1)))</f>
        <v>7</v>
      </c>
      <c r="E24" s="30"/>
      <c r="F24" s="26"/>
      <c r="G24" s="26"/>
      <c r="H24" s="55"/>
      <c r="I24" s="26"/>
      <c r="J24" s="33"/>
      <c r="K24" s="32"/>
      <c r="L24" s="26" t="s">
        <v>152</v>
      </c>
      <c r="M24" s="34">
        <v>3</v>
      </c>
      <c r="N24" s="32">
        <v>72</v>
      </c>
      <c r="O24" s="26" t="s">
        <v>128</v>
      </c>
      <c r="P24" s="28">
        <v>58900</v>
      </c>
      <c r="Q24" s="46"/>
      <c r="R24" s="39" t="s">
        <v>141</v>
      </c>
      <c r="S24" s="35">
        <v>0.125</v>
      </c>
      <c r="T24" s="35">
        <v>0.05</v>
      </c>
      <c r="U24" s="36"/>
      <c r="V24" s="37"/>
      <c r="W24" s="36">
        <f>IF(NOTA[[#This Row],[HARGA/ CTN]]="",NOTA[[#This Row],[JUMLAH_H]],NOTA[[#This Row],[HARGA/ CTN]]*IF(NOTA[[#This Row],[C]]="",0,NOTA[[#This Row],[C]]))</f>
        <v>4240800</v>
      </c>
      <c r="X24" s="36">
        <f>IF(NOTA[[#This Row],[JUMLAH]]="","",NOTA[[#This Row],[JUMLAH]]*NOTA[[#This Row],[DISC 1]])</f>
        <v>530100</v>
      </c>
      <c r="Y24" s="36">
        <f>IF(NOTA[[#This Row],[JUMLAH]]="","",(NOTA[[#This Row],[JUMLAH]]-NOTA[[#This Row],[DISC 1-]])*NOTA[[#This Row],[DISC 2]])</f>
        <v>185535</v>
      </c>
      <c r="Z24" s="36">
        <f>IF(NOTA[[#This Row],[JUMLAH]]="","",NOTA[[#This Row],[DISC 1-]]+NOTA[[#This Row],[DISC 2-]])</f>
        <v>715635</v>
      </c>
      <c r="AA24" s="36">
        <f>IF(NOTA[[#This Row],[JUMLAH]]="","",NOTA[[#This Row],[JUMLAH]]-NOTA[[#This Row],[DISC]])</f>
        <v>3525165</v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4" s="36">
        <f>IF(OR(NOTA[[#This Row],[QTY]]="",NOTA[[#This Row],[HARGA SATUAN]]="",),"",NOTA[[#This Row],[QTY]]*NOTA[[#This Row],[HARGA SATUAN]])</f>
        <v>4240800</v>
      </c>
      <c r="AF24" s="33">
        <f ca="1">IF(NOTA[ID_H]="","",INDEX(NOTA[TANGGAL],MATCH(,INDIRECT(ADDRESS(ROW(NOTA[TANGGAL]),COLUMN(NOTA[TANGGAL]))&amp;":"&amp;ADDRESS(ROW(),COLUMN(NOTA[TANGGAL]))),-1)))</f>
        <v>44931</v>
      </c>
      <c r="AG24" s="28" t="str">
        <f ca="1">IF(NOTA[[#This Row],[NAMA BARANG]]="","",INDEX(NOTA[SUPPLIER],MATCH(,INDIRECT(ADDRESS(ROW(NOTA[ID]),COLUMN(NOTA[ID]))&amp;":"&amp;ADDRESS(ROW(),COLUMN(NOTA[ID]))),-1)))</f>
        <v>ATALI MAKMUR</v>
      </c>
      <c r="AH24" s="28" t="str">
        <f ca="1">IF(NOTA[[#This Row],[ID_H]]="","",IF(NOTA[[#This Row],[FAKTUR]]="",INDIRECT(ADDRESS(ROW()-1,COLUMN())),NOTA[[#This Row],[FAKTUR]]))</f>
        <v>ARTO MORO</v>
      </c>
      <c r="AI24" s="38" t="str">
        <f ca="1">IF(NOTA[[#This Row],[ID]]="","",COUNTIF(NOTA[ID_H],NOTA[[#This Row],[ID_H]]))</f>
        <v/>
      </c>
      <c r="AJ24" s="38">
        <f ca="1">IF(NOTA[[#This Row],[TGL.NOTA]]="",IF(NOTA[[#This Row],[SUPPLIER_H]]="","",AJ23),MONTH(NOTA[[#This Row],[TGL.NOTA]]))</f>
        <v>1</v>
      </c>
      <c r="AK24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4" s="38" t="str">
        <f>IF(NOTA[C]="",NOTA[[#This Row],[CONCAT1]]&amp;NOTA[[#This Row],[HARGA SATUAN]],NOTA[[#This Row],[CONCAT1]]&amp;NOTA[[#This Row],[HARGA/ CTN_H]]&amp;NOTA[[#This Row],[DISC 1]]&amp;NOTA[[#This Row],[DISC 2]])</f>
        <v>oilpastelop48sppcaseseaworldjk14136000.1250.05</v>
      </c>
      <c r="AM24" s="193">
        <f>IF(NOTA[[#This Row],[CONCAT1]]="","",MATCH(NOTA[[#This Row],[CONCAT1]],[2]!db[NB NOTA_C],0)+1)</f>
        <v>1546</v>
      </c>
    </row>
    <row r="25" spans="1:39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>
        <f ca="1">IF(NOTA[[#This Row],[NAMA BARANG]]="","",INDEX(NOTA[ID],MATCH(,INDIRECT(ADDRESS(ROW(NOTA[ID]),COLUMN(NOTA[ID]))&amp;":"&amp;ADDRESS(ROW(),COLUMN(NOTA[ID]))),-1)))</f>
        <v>7</v>
      </c>
      <c r="E25" s="30"/>
      <c r="F25" s="32"/>
      <c r="G25" s="32"/>
      <c r="H25" s="55"/>
      <c r="I25" s="32"/>
      <c r="J25" s="33"/>
      <c r="K25" s="32"/>
      <c r="L25" s="26" t="s">
        <v>153</v>
      </c>
      <c r="M25" s="34">
        <v>4</v>
      </c>
      <c r="N25" s="32">
        <v>96</v>
      </c>
      <c r="O25" s="26" t="s">
        <v>128</v>
      </c>
      <c r="P25" s="28">
        <v>66900</v>
      </c>
      <c r="Q25" s="46"/>
      <c r="R25" s="39" t="s">
        <v>141</v>
      </c>
      <c r="S25" s="35">
        <v>0.125</v>
      </c>
      <c r="T25" s="35">
        <v>0.05</v>
      </c>
      <c r="U25" s="36"/>
      <c r="V25" s="37"/>
      <c r="W25" s="36">
        <f>IF(NOTA[[#This Row],[HARGA/ CTN]]="",NOTA[[#This Row],[JUMLAH_H]],NOTA[[#This Row],[HARGA/ CTN]]*IF(NOTA[[#This Row],[C]]="",0,NOTA[[#This Row],[C]]))</f>
        <v>6422400</v>
      </c>
      <c r="X25" s="36">
        <f>IF(NOTA[[#This Row],[JUMLAH]]="","",NOTA[[#This Row],[JUMLAH]]*NOTA[[#This Row],[DISC 1]])</f>
        <v>802800</v>
      </c>
      <c r="Y25" s="36">
        <f>IF(NOTA[[#This Row],[JUMLAH]]="","",(NOTA[[#This Row],[JUMLAH]]-NOTA[[#This Row],[DISC 1-]])*NOTA[[#This Row],[DISC 2]])</f>
        <v>280980</v>
      </c>
      <c r="Z25" s="36">
        <f>IF(NOTA[[#This Row],[JUMLAH]]="","",NOTA[[#This Row],[DISC 1-]]+NOTA[[#This Row],[DISC 2-]])</f>
        <v>1083780</v>
      </c>
      <c r="AA25" s="36">
        <f>IF(NOTA[[#This Row],[JUMLAH]]="","",NOTA[[#This Row],[JUMLAH]]-NOTA[[#This Row],[DISC]])</f>
        <v>5338620</v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5" s="36">
        <f>IF(OR(NOTA[[#This Row],[QTY]]="",NOTA[[#This Row],[HARGA SATUAN]]="",),"",NOTA[[#This Row],[QTY]]*NOTA[[#This Row],[HARGA SATUAN]])</f>
        <v>6422400</v>
      </c>
      <c r="AF25" s="33">
        <f ca="1">IF(NOTA[ID_H]="","",INDEX(NOTA[TANGGAL],MATCH(,INDIRECT(ADDRESS(ROW(NOTA[TANGGAL]),COLUMN(NOTA[TANGGAL]))&amp;":"&amp;ADDRESS(ROW(),COLUMN(NOTA[TANGGAL]))),-1)))</f>
        <v>44931</v>
      </c>
      <c r="AG25" s="28" t="str">
        <f ca="1">IF(NOTA[[#This Row],[NAMA BARANG]]="","",INDEX(NOTA[SUPPLIER],MATCH(,INDIRECT(ADDRESS(ROW(NOTA[ID]),COLUMN(NOTA[ID]))&amp;":"&amp;ADDRESS(ROW(),COLUMN(NOTA[ID]))),-1)))</f>
        <v>ATALI MAKMUR</v>
      </c>
      <c r="AH25" s="28" t="str">
        <f ca="1">IF(NOTA[[#This Row],[ID_H]]="","",IF(NOTA[[#This Row],[FAKTUR]]="",INDIRECT(ADDRESS(ROW()-1,COLUMN())),NOTA[[#This Row],[FAKTUR]]))</f>
        <v>ARTO MORO</v>
      </c>
      <c r="AI25" s="38" t="str">
        <f ca="1">IF(NOTA[[#This Row],[ID]]="","",COUNTIF(NOTA[ID_H],NOTA[[#This Row],[ID_H]]))</f>
        <v/>
      </c>
      <c r="AJ25" s="38">
        <f ca="1"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25" s="193">
        <f>IF(NOTA[[#This Row],[CONCAT1]]="","",MATCH(NOTA[[#This Row],[CONCAT1]],[2]!db[NB NOTA_C],0)+1)</f>
        <v>1547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7</v>
      </c>
      <c r="E26" s="30"/>
      <c r="F26" s="32"/>
      <c r="G26" s="32"/>
      <c r="H26" s="55"/>
      <c r="I26" s="32"/>
      <c r="J26" s="33"/>
      <c r="K26" s="32"/>
      <c r="L26" s="26" t="s">
        <v>154</v>
      </c>
      <c r="M26" s="34">
        <v>4</v>
      </c>
      <c r="N26" s="32">
        <v>96</v>
      </c>
      <c r="O26" s="26" t="s">
        <v>128</v>
      </c>
      <c r="P26" s="28">
        <v>96000</v>
      </c>
      <c r="Q26" s="46"/>
      <c r="R26" s="39" t="s">
        <v>141</v>
      </c>
      <c r="S26" s="35">
        <v>0.125</v>
      </c>
      <c r="T26" s="35">
        <v>0.05</v>
      </c>
      <c r="U26" s="36"/>
      <c r="V26" s="37"/>
      <c r="W26" s="36">
        <f>IF(NOTA[[#This Row],[HARGA/ CTN]]="",NOTA[[#This Row],[JUMLAH_H]],NOTA[[#This Row],[HARGA/ CTN]]*IF(NOTA[[#This Row],[C]]="",0,NOTA[[#This Row],[C]]))</f>
        <v>9216000</v>
      </c>
      <c r="X26" s="36">
        <f>IF(NOTA[[#This Row],[JUMLAH]]="","",NOTA[[#This Row],[JUMLAH]]*NOTA[[#This Row],[DISC 1]])</f>
        <v>1152000</v>
      </c>
      <c r="Y26" s="36">
        <f>IF(NOTA[[#This Row],[JUMLAH]]="","",(NOTA[[#This Row],[JUMLAH]]-NOTA[[#This Row],[DISC 1-]])*NOTA[[#This Row],[DISC 2]])</f>
        <v>403200</v>
      </c>
      <c r="Z26" s="36">
        <f>IF(NOTA[[#This Row],[JUMLAH]]="","",NOTA[[#This Row],[DISC 1-]]+NOTA[[#This Row],[DISC 2-]])</f>
        <v>1555200</v>
      </c>
      <c r="AA26" s="36">
        <f>IF(NOTA[[#This Row],[JUMLAH]]="","",NOTA[[#This Row],[JUMLAH]]-NOTA[[#This Row],[DISC]])</f>
        <v>7660800</v>
      </c>
      <c r="AB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6" s="36">
        <f>IF(OR(NOTA[[#This Row],[QTY]]="",NOTA[[#This Row],[HARGA SATUAN]]="",),"",NOTA[[#This Row],[QTY]]*NOTA[[#This Row],[HARGA SATUAN]])</f>
        <v>9216000</v>
      </c>
      <c r="AF26" s="33">
        <f ca="1">IF(NOTA[ID_H]="","",INDEX(NOTA[TANGGAL],MATCH(,INDIRECT(ADDRESS(ROW(NOTA[TANGGAL]),COLUMN(NOTA[TANGGAL]))&amp;":"&amp;ADDRESS(ROW(),COLUMN(NOTA[TANGGAL]))),-1)))</f>
        <v>44931</v>
      </c>
      <c r="AG26" s="28" t="str">
        <f ca="1">IF(NOTA[[#This Row],[NAMA BARANG]]="","",INDEX(NOTA[SUPPLIER],MATCH(,INDIRECT(ADDRESS(ROW(NOTA[ID]),COLUMN(NOTA[ID]))&amp;":"&amp;ADDRESS(ROW(),COLUMN(NOTA[ID]))),-1)))</f>
        <v>ATALI MAKMUR</v>
      </c>
      <c r="AH26" s="28" t="str">
        <f ca="1">IF(NOTA[[#This Row],[ID_H]]="","",IF(NOTA[[#This Row],[FAKTUR]]="",INDIRECT(ADDRESS(ROW()-1,COLUMN())),NOTA[[#This Row],[FAKTUR]]))</f>
        <v>ARTO MORO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oilpastelop72sppcaseseaworldjk23040000.1250.05</v>
      </c>
      <c r="AM26" s="193">
        <f>IF(NOTA[[#This Row],[CONCAT1]]="","",MATCH(NOTA[[#This Row],[CONCAT1]],[2]!db[NB NOTA_C],0)+1)</f>
        <v>1548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>
        <f ca="1">IF(NOTA[[#This Row],[NAMA BARANG]]="","",INDEX(NOTA[ID],MATCH(,INDIRECT(ADDRESS(ROW(NOTA[ID]),COLUMN(NOTA[ID]))&amp;":"&amp;ADDRESS(ROW(),COLUMN(NOTA[ID]))),-1)))</f>
        <v>7</v>
      </c>
      <c r="E27" s="30"/>
      <c r="F27" s="26"/>
      <c r="G27" s="26"/>
      <c r="H27" s="31"/>
      <c r="I27" s="26"/>
      <c r="J27" s="33"/>
      <c r="K27" s="32"/>
      <c r="L27" s="26" t="s">
        <v>137</v>
      </c>
      <c r="M27" s="34"/>
      <c r="N27" s="32">
        <v>30</v>
      </c>
      <c r="O27" s="26" t="s">
        <v>116</v>
      </c>
      <c r="P27" s="28">
        <v>12600</v>
      </c>
      <c r="Q27" s="46"/>
      <c r="R27" s="39" t="s">
        <v>129</v>
      </c>
      <c r="S27" s="35">
        <v>0.1</v>
      </c>
      <c r="T27" s="35">
        <v>0.05</v>
      </c>
      <c r="U27" s="36">
        <v>323190</v>
      </c>
      <c r="V27" s="37" t="s">
        <v>155</v>
      </c>
      <c r="W27" s="36">
        <f>IF(NOTA[[#This Row],[HARGA/ CTN]]="",NOTA[[#This Row],[JUMLAH_H]],NOTA[[#This Row],[HARGA/ CTN]]*IF(NOTA[[#This Row],[C]]="",0,NOTA[[#This Row],[C]]))</f>
        <v>378000</v>
      </c>
      <c r="X27" s="36">
        <f>IF(NOTA[[#This Row],[JUMLAH]]="","",NOTA[[#This Row],[JUMLAH]]*NOTA[[#This Row],[DISC 1]])</f>
        <v>37800</v>
      </c>
      <c r="Y27" s="36">
        <f>IF(NOTA[[#This Row],[JUMLAH]]="","",(NOTA[[#This Row],[JUMLAH]]-NOTA[[#This Row],[DISC 1-]])*NOTA[[#This Row],[DISC 2]])</f>
        <v>17010</v>
      </c>
      <c r="Z27" s="36">
        <f>IF(NOTA[[#This Row],[JUMLAH]]="","",NOTA[[#This Row],[DISC 1-]]+NOTA[[#This Row],[DISC 2-]])</f>
        <v>54810</v>
      </c>
      <c r="AA27" s="36">
        <f>IF(NOTA[[#This Row],[JUMLAH]]="","",NOTA[[#This Row],[JUMLAH]]-NOTA[[#This Row],[DISC]])</f>
        <v>323190</v>
      </c>
      <c r="AB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C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D27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E27" s="36">
        <f>IF(OR(NOTA[[#This Row],[QTY]]="",NOTA[[#This Row],[HARGA SATUAN]]="",),"",NOTA[[#This Row],[QTY]]*NOTA[[#This Row],[HARGA SATUAN]])</f>
        <v>378000</v>
      </c>
      <c r="AF27" s="33">
        <f ca="1">IF(NOTA[ID_H]="","",INDEX(NOTA[TANGGAL],MATCH(,INDIRECT(ADDRESS(ROW(NOTA[TANGGAL]),COLUMN(NOTA[TANGGAL]))&amp;":"&amp;ADDRESS(ROW(),COLUMN(NOTA[TANGGAL]))),-1)))</f>
        <v>44931</v>
      </c>
      <c r="AG27" s="28" t="str">
        <f ca="1">IF(NOTA[[#This Row],[NAMA BARANG]]="","",INDEX(NOTA[SUPPLIER],MATCH(,INDIRECT(ADDRESS(ROW(NOTA[ID]),COLUMN(NOTA[ID]))&amp;":"&amp;ADDRESS(ROW(),COLUMN(NOTA[ID]))),-1)))</f>
        <v>ATALI MAKMUR</v>
      </c>
      <c r="AH27" s="28" t="str">
        <f ca="1">IF(NOTA[[#This Row],[ID_H]]="","",IF(NOTA[[#This Row],[FAKTUR]]="",INDIRECT(ADDRESS(ROW()-1,COLUMN())),NOTA[[#This Row],[FAKTUR]]))</f>
        <v>ARTO MORO</v>
      </c>
      <c r="AI27" s="38" t="str">
        <f ca="1">IF(NOTA[[#This Row],[ID]]="","",COUNTIF(NOTA[ID_H],NOTA[[#This Row],[ID_H]]))</f>
        <v/>
      </c>
      <c r="AJ27" s="38">
        <f ca="1">IF(NOTA[[#This Row],[TGL.NOTA]]="",IF(NOTA[[#This Row],[SUPPLIER_H]]="","",AJ26),MONTH(NOTA[[#This Row],[TGL.NOTA]]))</f>
        <v>1</v>
      </c>
      <c r="AK2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7" s="193">
        <f>IF(NOTA[[#This Row],[CONCAT1]]="","",MATCH(NOTA[[#This Row],[CONCAT1]],[2]!db[NB NOTA_C],0)+1)</f>
        <v>77</v>
      </c>
    </row>
    <row r="28" spans="1:39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Row],[ID_P]]="","",MATCH(NOTA[[#This Row],[ID_P]],[1]!B_MSK[N_ID],0))</f>
        <v/>
      </c>
      <c r="D28" s="29" t="str">
        <f ca="1">IF(NOTA[[#This Row],[NAMA BARANG]]="","",INDEX(NOTA[ID],MATCH(,INDIRECT(ADDRESS(ROW(NOTA[ID]),COLUMN(NOTA[ID]))&amp;":"&amp;ADDRESS(ROW(),COLUMN(NOTA[ID]))),-1)))</f>
        <v/>
      </c>
      <c r="E28" s="30"/>
      <c r="F28" s="32"/>
      <c r="G28" s="32"/>
      <c r="H28" s="55"/>
      <c r="I28" s="32"/>
      <c r="J28" s="33"/>
      <c r="K28" s="32"/>
      <c r="L28" s="26"/>
      <c r="M28" s="34"/>
      <c r="N28" s="32"/>
      <c r="O28" s="26"/>
      <c r="P28" s="28"/>
      <c r="Q28" s="46"/>
      <c r="R28" s="39"/>
      <c r="S28" s="35"/>
      <c r="T28" s="35"/>
      <c r="U28" s="36"/>
      <c r="V28" s="37"/>
      <c r="W28" s="36" t="str">
        <f>IF(NOTA[[#This Row],[HARGA/ CTN]]="",NOTA[[#This Row],[JUMLAH_H]],NOTA[[#This Row],[HARGA/ CTN]]*IF(NOTA[[#This Row],[C]]="",0,NOTA[[#This Row],[C]]))</f>
        <v/>
      </c>
      <c r="X28" s="36" t="str">
        <f>IF(NOTA[[#This Row],[JUMLAH]]="","",NOTA[[#This Row],[JUMLAH]]*NOTA[[#This Row],[DISC 1]])</f>
        <v/>
      </c>
      <c r="Y28" s="36" t="str">
        <f>IF(NOTA[[#This Row],[JUMLAH]]="","",(NOTA[[#This Row],[JUMLAH]]-NOTA[[#This Row],[DISC 1-]])*NOTA[[#This Row],[DISC 2]])</f>
        <v/>
      </c>
      <c r="Z28" s="36" t="str">
        <f>IF(NOTA[[#This Row],[JUMLAH]]="","",NOTA[[#This Row],[DISC 1-]]+NOTA[[#This Row],[DISC 2-]])</f>
        <v/>
      </c>
      <c r="AA28" s="36" t="str">
        <f>IF(NOTA[[#This Row],[JUMLAH]]="","",NOTA[[#This Row],[JUMLAH]]-NOTA[[#This Row],[DISC]])</f>
        <v/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" s="36" t="str">
        <f>IF(OR(NOTA[[#This Row],[QTY]]="",NOTA[[#This Row],[HARGA SATUAN]]="",),"",NOTA[[#This Row],[QTY]]*NOTA[[#This Row],[HARGA SATUAN]])</f>
        <v/>
      </c>
      <c r="AF28" s="33" t="str">
        <f ca="1">IF(NOTA[ID_H]="","",INDEX(NOTA[TANGGAL],MATCH(,INDIRECT(ADDRESS(ROW(NOTA[TANGGAL]),COLUMN(NOTA[TANGGAL]))&amp;":"&amp;ADDRESS(ROW(),COLUMN(NOTA[TANGGAL]))),-1)))</f>
        <v/>
      </c>
      <c r="AG28" s="28" t="str">
        <f ca="1">IF(NOTA[[#This Row],[NAMA BARANG]]="","",INDEX(NOTA[SUPPLIER],MATCH(,INDIRECT(ADDRESS(ROW(NOTA[ID]),COLUMN(NOTA[ID]))&amp;":"&amp;ADDRESS(ROW(),COLUMN(NOTA[ID]))),-1)))</f>
        <v/>
      </c>
      <c r="AH28" s="28" t="str">
        <f ca="1">IF(NOTA[[#This Row],[ID_H]]="","",IF(NOTA[[#This Row],[FAKTUR]]="",INDIRECT(ADDRESS(ROW()-1,COLUMN())),NOTA[[#This Row],[FAKTUR]]))</f>
        <v/>
      </c>
      <c r="AI28" s="38" t="str">
        <f ca="1">IF(NOTA[[#This Row],[ID]]="","",COUNTIF(NOTA[ID_H],NOTA[[#This Row],[ID_H]]))</f>
        <v/>
      </c>
      <c r="AJ28" s="38" t="str">
        <f ca="1">IF(NOTA[[#This Row],[TGL.NOTA]]="",IF(NOTA[[#This Row],[SUPPLIER_H]]="","",AJ27),MONTH(NOTA[[#This Row],[TGL.NOTA]]))</f>
        <v/>
      </c>
      <c r="AK28" s="38" t="str">
        <f>LOWER(SUBSTITUTE(SUBSTITUTE(SUBSTITUTE(SUBSTITUTE(SUBSTITUTE(SUBSTITUTE(SUBSTITUTE(SUBSTITUTE(SUBSTITUTE(NOTA[NAMA BARANG]," ",),".",""),"-",""),"(",""),")",""),",",""),"/",""),"""",""),"+",""))</f>
        <v/>
      </c>
      <c r="AL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" s="193" t="str">
        <f>IF(NOTA[[#This Row],[CONCAT1]]="","",MATCH(NOTA[[#This Row],[CONCAT1]],[2]!db[NB NOTA_C],0)+1)</f>
        <v/>
      </c>
    </row>
    <row r="29" spans="1:39" ht="20.100000000000001" customHeight="1" x14ac:dyDescent="0.25">
      <c r="A29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29" s="29" t="e">
        <f ca="1">IF(NOTA[[#This Row],[ID_P]]="","",MATCH(NOTA[[#This Row],[ID_P]],[1]!B_MSK[N_ID],0))</f>
        <v>#REF!</v>
      </c>
      <c r="D29" s="29">
        <f ca="1">IF(NOTA[[#This Row],[NAMA BARANG]]="","",INDEX(NOTA[ID],MATCH(,INDIRECT(ADDRESS(ROW(NOTA[ID]),COLUMN(NOTA[ID]))&amp;":"&amp;ADDRESS(ROW(),COLUMN(NOTA[ID]))),-1)))</f>
        <v>8</v>
      </c>
      <c r="E29" s="30"/>
      <c r="F29" s="26" t="s">
        <v>23</v>
      </c>
      <c r="G29" s="26" t="s">
        <v>24</v>
      </c>
      <c r="H29" s="31" t="s">
        <v>156</v>
      </c>
      <c r="I29" s="26" t="s">
        <v>169</v>
      </c>
      <c r="J29" s="33">
        <v>44929</v>
      </c>
      <c r="K29" s="32"/>
      <c r="L29" s="26" t="s">
        <v>127</v>
      </c>
      <c r="M29" s="34">
        <v>5</v>
      </c>
      <c r="N29" s="32"/>
      <c r="O29" s="26"/>
      <c r="P29" s="28"/>
      <c r="Q29" s="46">
        <v>1860000</v>
      </c>
      <c r="R29" s="39" t="s">
        <v>119</v>
      </c>
      <c r="S29" s="35">
        <v>0.17</v>
      </c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9300000</v>
      </c>
      <c r="X29" s="36">
        <f>IF(NOTA[[#This Row],[JUMLAH]]="","",NOTA[[#This Row],[JUMLAH]]*NOTA[[#This Row],[DISC 1]])</f>
        <v>1581000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1581000</v>
      </c>
      <c r="AA29" s="36">
        <f>IF(NOTA[[#This Row],[JUMLAH]]="","",NOTA[[#This Row],[JUMLAH]]-NOTA[[#This Row],[DISC]])</f>
        <v>7719000</v>
      </c>
      <c r="AB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C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" s="36" t="str">
        <f>IF(OR(NOTA[[#This Row],[QTY]]="",NOTA[[#This Row],[HARGA SATUAN]]="",),"",NOTA[[#This Row],[QTY]]*NOTA[[#This Row],[HARGA SATUAN]])</f>
        <v/>
      </c>
      <c r="AF29" s="33">
        <f ca="1">IF(NOTA[ID_H]="","",INDEX(NOTA[TANGGAL],MATCH(,INDIRECT(ADDRESS(ROW(NOTA[TANGGAL]),COLUMN(NOTA[TANGGAL]))&amp;":"&amp;ADDRESS(ROW(),COLUMN(NOTA[TANGGAL]))),-1)))</f>
        <v>44931</v>
      </c>
      <c r="AG29" s="28" t="str">
        <f ca="1">IF(NOTA[[#This Row],[NAMA BARANG]]="","",INDEX(NOTA[SUPPLIER],MATCH(,INDIRECT(ADDRESS(ROW(NOTA[ID]),COLUMN(NOTA[ID]))&amp;":"&amp;ADDRESS(ROW(),COLUMN(NOTA[ID]))),-1)))</f>
        <v>KENKO SINAR INDONESIA</v>
      </c>
      <c r="AH29" s="28" t="str">
        <f ca="1">IF(NOTA[[#This Row],[ID_H]]="","",IF(NOTA[[#This Row],[FAKTUR]]="",INDIRECT(ADDRESS(ROW()-1,COLUMN())),NOTA[[#This Row],[FAKTUR]]))</f>
        <v>ARTO MORO</v>
      </c>
      <c r="AI29" s="38">
        <f ca="1">IF(NOTA[[#This Row],[ID]]="","",COUNTIF(NOTA[ID_H],NOTA[[#This Row],[ID_H]]))</f>
        <v>1</v>
      </c>
      <c r="AJ29" s="38">
        <f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" s="193">
        <f>IF(NOTA[[#This Row],[CONCAT1]]="","",MATCH(NOTA[[#This Row],[CONCAT1]],[2]!db[NB NOTA_C],0)+1)</f>
        <v>1281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 t="str">
        <f ca="1">IF(NOTA[[#This Row],[NAMA BARANG]]="","",INDEX(NOTA[ID],MATCH(,INDIRECT(ADDRESS(ROW(NOTA[ID]),COLUMN(NOTA[ID]))&amp;":"&amp;ADDRESS(ROW(),COLUMN(NOTA[ID]))),-1)))</f>
        <v/>
      </c>
      <c r="E30" s="30"/>
      <c r="F30" s="32"/>
      <c r="G30" s="32"/>
      <c r="H30" s="55"/>
      <c r="I30" s="32"/>
      <c r="J30" s="33"/>
      <c r="K30" s="32"/>
      <c r="L30" s="26"/>
      <c r="M30" s="34"/>
      <c r="N30" s="32"/>
      <c r="O30" s="26"/>
      <c r="P30" s="28"/>
      <c r="Q30" s="46"/>
      <c r="R30" s="39"/>
      <c r="S30" s="35"/>
      <c r="T30" s="35"/>
      <c r="U30" s="36"/>
      <c r="V30" s="37"/>
      <c r="W30" s="36" t="str">
        <f>IF(NOTA[[#This Row],[HARGA/ CTN]]="",NOTA[[#This Row],[JUMLAH_H]],NOTA[[#This Row],[HARGA/ CTN]]*IF(NOTA[[#This Row],[C]]="",0,NOTA[[#This Row],[C]]))</f>
        <v/>
      </c>
      <c r="X30" s="36" t="str">
        <f>IF(NOTA[[#This Row],[JUMLAH]]="","",NOTA[[#This Row],[JUMLAH]]*NOTA[[#This Row],[DISC 1]])</f>
        <v/>
      </c>
      <c r="Y30" s="36" t="str">
        <f>IF(NOTA[[#This Row],[JUMLAH]]="","",(NOTA[[#This Row],[JUMLAH]]-NOTA[[#This Row],[DISC 1-]])*NOTA[[#This Row],[DISC 2]])</f>
        <v/>
      </c>
      <c r="Z30" s="36" t="str">
        <f>IF(NOTA[[#This Row],[JUMLAH]]="","",NOTA[[#This Row],[DISC 1-]]+NOTA[[#This Row],[DISC 2-]])</f>
        <v/>
      </c>
      <c r="AA30" s="36" t="str">
        <f>IF(NOTA[[#This Row],[JUMLAH]]="","",NOTA[[#This Row],[JUMLAH]]-NOTA[[#This Row],[DISC]])</f>
        <v/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36" t="str">
        <f>IF(OR(NOTA[[#This Row],[QTY]]="",NOTA[[#This Row],[HARGA SATUAN]]="",),"",NOTA[[#This Row],[QTY]]*NOTA[[#This Row],[HARGA SATUAN]])</f>
        <v/>
      </c>
      <c r="AF30" s="33" t="str">
        <f ca="1">IF(NOTA[ID_H]="","",INDEX(NOTA[TANGGAL],MATCH(,INDIRECT(ADDRESS(ROW(NOTA[TANGGAL]),COLUMN(NOTA[TANGGAL]))&amp;":"&amp;ADDRESS(ROW(),COLUMN(NOTA[TANGGAL]))),-1)))</f>
        <v/>
      </c>
      <c r="AG30" s="28" t="str">
        <f ca="1">IF(NOTA[[#This Row],[NAMA BARANG]]="","",INDEX(NOTA[SUPPLIER],MATCH(,INDIRECT(ADDRESS(ROW(NOTA[ID]),COLUMN(NOTA[ID]))&amp;":"&amp;ADDRESS(ROW(),COLUMN(NOTA[ID]))),-1)))</f>
        <v/>
      </c>
      <c r="AH30" s="28" t="str">
        <f ca="1">IF(NOTA[[#This Row],[ID_H]]="","",IF(NOTA[[#This Row],[FAKTUR]]="",INDIRECT(ADDRESS(ROW()-1,COLUMN())),NOTA[[#This Row],[FAKTUR]]))</f>
        <v/>
      </c>
      <c r="AI30" s="38" t="str">
        <f ca="1">IF(NOTA[[#This Row],[ID]]="","",COUNTIF(NOTA[ID_H],NOTA[[#This Row],[ID_H]]))</f>
        <v/>
      </c>
      <c r="AJ30" s="38" t="str">
        <f ca="1">IF(NOTA[[#This Row],[TGL.NOTA]]="",IF(NOTA[[#This Row],[SUPPLIER_H]]="","",AJ29),MONTH(NOTA[[#This Row],[TGL.NOTA]]))</f>
        <v/>
      </c>
      <c r="AK30" s="38" t="str">
        <f>LOWER(SUBSTITUTE(SUBSTITUTE(SUBSTITUTE(SUBSTITUTE(SUBSTITUTE(SUBSTITUTE(SUBSTITUTE(SUBSTITUTE(SUBSTITUTE(NOTA[NAMA BARANG]," ",),".",""),"-",""),"(",""),")",""),",",""),"/",""),"""",""),"+",""))</f>
        <v/>
      </c>
      <c r="AL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" s="193" t="str">
        <f>IF(NOTA[[#This Row],[CONCAT1]]="","",MATCH(NOTA[[#This Row],[CONCAT1]],[2]!db[NB NOTA_C],0)+1)</f>
        <v/>
      </c>
    </row>
    <row r="31" spans="1:39" ht="20.100000000000001" customHeight="1" x14ac:dyDescent="0.25">
      <c r="A31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3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31" s="29" t="e">
        <f ca="1">IF(NOTA[[#This Row],[ID_P]]="","",MATCH(NOTA[[#This Row],[ID_P]],[1]!B_MSK[N_ID],0))</f>
        <v>#REF!</v>
      </c>
      <c r="D31" s="29">
        <f ca="1">IF(NOTA[[#This Row],[NAMA BARANG]]="","",INDEX(NOTA[ID],MATCH(,INDIRECT(ADDRESS(ROW(NOTA[ID]),COLUMN(NOTA[ID]))&amp;":"&amp;ADDRESS(ROW(),COLUMN(NOTA[ID]))),-1)))</f>
        <v>9</v>
      </c>
      <c r="E31" s="30"/>
      <c r="F31" s="26" t="s">
        <v>23</v>
      </c>
      <c r="G31" s="26" t="s">
        <v>24</v>
      </c>
      <c r="H31" s="31" t="s">
        <v>157</v>
      </c>
      <c r="I31" s="26" t="s">
        <v>170</v>
      </c>
      <c r="J31" s="33">
        <v>44928</v>
      </c>
      <c r="K31" s="32"/>
      <c r="L31" s="26" t="s">
        <v>158</v>
      </c>
      <c r="M31" s="34">
        <v>1</v>
      </c>
      <c r="N31" s="32"/>
      <c r="O31" s="26"/>
      <c r="P31" s="28"/>
      <c r="Q31" s="46">
        <v>2304000</v>
      </c>
      <c r="R31" s="39" t="s">
        <v>136</v>
      </c>
      <c r="S31" s="35">
        <v>0.17</v>
      </c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2304000</v>
      </c>
      <c r="X31" s="36">
        <f>IF(NOTA[[#This Row],[JUMLAH]]="","",NOTA[[#This Row],[JUMLAH]]*NOTA[[#This Row],[DISC 1]])</f>
        <v>391680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391680</v>
      </c>
      <c r="AA31" s="36">
        <f>IF(NOTA[[#This Row],[JUMLAH]]="","",NOTA[[#This Row],[JUMLAH]]-NOTA[[#This Row],[DISC]])</f>
        <v>1912320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31" s="36" t="str">
        <f>IF(OR(NOTA[[#This Row],[QTY]]="",NOTA[[#This Row],[HARGA SATUAN]]="",),"",NOTA[[#This Row],[QTY]]*NOTA[[#This Row],[HARGA SATUAN]])</f>
        <v/>
      </c>
      <c r="AF31" s="33">
        <f ca="1">IF(NOTA[ID_H]="","",INDEX(NOTA[TANGGAL],MATCH(,INDIRECT(ADDRESS(ROW(NOTA[TANGGAL]),COLUMN(NOTA[TANGGAL]))&amp;":"&amp;ADDRESS(ROW(),COLUMN(NOTA[TANGGAL]))),-1)))</f>
        <v>44931</v>
      </c>
      <c r="AG31" s="28" t="str">
        <f ca="1">IF(NOTA[[#This Row],[NAMA BARANG]]="","",INDEX(NOTA[SUPPLIER],MATCH(,INDIRECT(ADDRESS(ROW(NOTA[ID]),COLUMN(NOTA[ID]))&amp;":"&amp;ADDRESS(ROW(),COLUMN(NOTA[ID]))),-1)))</f>
        <v>KENKO SINAR INDONESIA</v>
      </c>
      <c r="AH31" s="28" t="str">
        <f ca="1">IF(NOTA[[#This Row],[ID_H]]="","",IF(NOTA[[#This Row],[FAKTUR]]="",INDIRECT(ADDRESS(ROW()-1,COLUMN())),NOTA[[#This Row],[FAKTUR]]))</f>
        <v>ARTO MORO</v>
      </c>
      <c r="AI31" s="38">
        <f ca="1">IF(NOTA[[#This Row],[ID]]="","",COUNTIF(NOTA[ID_H],NOTA[[#This Row],[ID_H]]))</f>
        <v>10</v>
      </c>
      <c r="AJ31" s="38">
        <f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kenkopencil2b0810fluorescent23040000.17</v>
      </c>
      <c r="AM31" s="193">
        <f>IF(NOTA[[#This Row],[CONCAT1]]="","",MATCH(NOTA[[#This Row],[CONCAT1]],[2]!db[NB NOTA_C],0)+1)</f>
        <v>1219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9</v>
      </c>
      <c r="E32" s="30"/>
      <c r="F32" s="26"/>
      <c r="G32" s="26"/>
      <c r="H32" s="31"/>
      <c r="I32" s="32"/>
      <c r="J32" s="33"/>
      <c r="K32" s="32"/>
      <c r="L32" s="26" t="s">
        <v>159</v>
      </c>
      <c r="M32" s="34">
        <v>1</v>
      </c>
      <c r="N32" s="32"/>
      <c r="O32" s="26"/>
      <c r="P32" s="28"/>
      <c r="Q32" s="46">
        <v>2256000</v>
      </c>
      <c r="R32" s="39" t="s">
        <v>136</v>
      </c>
      <c r="S32" s="35">
        <v>0.17</v>
      </c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2256000</v>
      </c>
      <c r="X32" s="36">
        <f>IF(NOTA[[#This Row],[JUMLAH]]="","",NOTA[[#This Row],[JUMLAH]]*NOTA[[#This Row],[DISC 1]])</f>
        <v>383520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383520</v>
      </c>
      <c r="AA32" s="36">
        <f>IF(NOTA[[#This Row],[JUMLAH]]="","",NOTA[[#This Row],[JUMLAH]]-NOTA[[#This Row],[DISC]])</f>
        <v>1872480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32" s="36" t="str">
        <f>IF(OR(NOTA[[#This Row],[QTY]]="",NOTA[[#This Row],[HARGA SATUAN]]="",),"",NOTA[[#This Row],[QTY]]*NOTA[[#This Row],[HARGA SATUAN]])</f>
        <v/>
      </c>
      <c r="AF32" s="33">
        <f ca="1">IF(NOTA[ID_H]="","",INDEX(NOTA[TANGGAL],MATCH(,INDIRECT(ADDRESS(ROW(NOTA[TANGGAL]),COLUMN(NOTA[TANGGAL]))&amp;":"&amp;ADDRESS(ROW(),COLUMN(NOTA[TANGGAL]))),-1)))</f>
        <v>44931</v>
      </c>
      <c r="AG32" s="28" t="str">
        <f ca="1">IF(NOTA[[#This Row],[NAMA BARANG]]="","",INDEX(NOTA[SUPPLIER],MATCH(,INDIRECT(ADDRESS(ROW(NOTA[ID]),COLUMN(NOTA[ID]))&amp;":"&amp;ADDRESS(ROW(),COLUMN(NOTA[ID]))),-1)))</f>
        <v>KENKO SINAR INDONESIA</v>
      </c>
      <c r="AH32" s="28" t="str">
        <f ca="1">IF(NOTA[[#This Row],[ID_H]]="","",IF(NOTA[[#This Row],[FAKTUR]]="",INDIRECT(ADDRESS(ROW()-1,COLUMN())),NOTA[[#This Row],[FAKTUR]]))</f>
        <v>ARTO MORO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kenkopencil2b6906btkbatik22560000.17</v>
      </c>
      <c r="AM32" s="193">
        <f>IF(NOTA[[#This Row],[CONCAT1]]="","",MATCH(NOTA[[#This Row],[CONCAT1]],[2]!db[NB NOTA_C],0)+1)</f>
        <v>1232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9</v>
      </c>
      <c r="E33" s="30"/>
      <c r="F33" s="32"/>
      <c r="G33" s="32"/>
      <c r="H33" s="55"/>
      <c r="I33" s="32"/>
      <c r="J33" s="51"/>
      <c r="K33" s="32"/>
      <c r="L33" s="26" t="s">
        <v>138</v>
      </c>
      <c r="M33" s="34">
        <v>4</v>
      </c>
      <c r="N33" s="32"/>
      <c r="O33" s="26"/>
      <c r="P33" s="28"/>
      <c r="Q33" s="46">
        <v>1695600</v>
      </c>
      <c r="R33" s="39" t="s">
        <v>118</v>
      </c>
      <c r="S33" s="35">
        <v>0.17</v>
      </c>
      <c r="T33" s="35"/>
      <c r="U33" s="36"/>
      <c r="V33" s="37"/>
      <c r="W33" s="36">
        <f>IF(NOTA[[#This Row],[HARGA/ CTN]]="",NOTA[[#This Row],[JUMLAH_H]],NOTA[[#This Row],[HARGA/ CTN]]*IF(NOTA[[#This Row],[C]]="",0,NOTA[[#This Row],[C]]))</f>
        <v>6782400</v>
      </c>
      <c r="X33" s="36">
        <f>IF(NOTA[[#This Row],[JUMLAH]]="","",NOTA[[#This Row],[JUMLAH]]*NOTA[[#This Row],[DISC 1]])</f>
        <v>1153008</v>
      </c>
      <c r="Y33" s="36">
        <f>IF(NOTA[[#This Row],[JUMLAH]]="","",(NOTA[[#This Row],[JUMLAH]]-NOTA[[#This Row],[DISC 1-]])*NOTA[[#This Row],[DISC 2]])</f>
        <v>0</v>
      </c>
      <c r="Z33" s="36">
        <f>IF(NOTA[[#This Row],[JUMLAH]]="","",NOTA[[#This Row],[DISC 1-]]+NOTA[[#This Row],[DISC 2-]])</f>
        <v>1153008</v>
      </c>
      <c r="AA33" s="36">
        <f>IF(NOTA[[#This Row],[JUMLAH]]="","",NOTA[[#This Row],[JUMLAH]]-NOTA[[#This Row],[DISC]])</f>
        <v>5629392</v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44931</v>
      </c>
      <c r="AG33" s="28" t="str">
        <f ca="1">IF(NOTA[[#This Row],[NAMA BARANG]]="","",INDEX(NOTA[SUPPLIER],MATCH(,INDIRECT(ADDRESS(ROW(NOTA[ID]),COLUMN(NOTA[ID]))&amp;":"&amp;ADDRESS(ROW(),COLUMN(NOTA[ID]))),-1)))</f>
        <v>KENKO SINAR INDONESIA</v>
      </c>
      <c r="AH33" s="28" t="str">
        <f ca="1">IF(NOTA[[#This Row],[ID_H]]="","",IF(NOTA[[#This Row],[FAKTUR]]="",INDIRECT(ADDRESS(ROW()-1,COLUMN())),NOTA[[#This Row],[FAKTUR]]))</f>
        <v>ARTO MORO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3" s="193">
        <f>IF(NOTA[[#This Row],[CONCAT1]]="","",MATCH(NOTA[[#This Row],[CONCAT1]],[2]!db[NB NOTA_C],0)+1)</f>
        <v>1091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9</v>
      </c>
      <c r="E34" s="30"/>
      <c r="F34" s="32"/>
      <c r="G34" s="32"/>
      <c r="H34" s="55"/>
      <c r="I34" s="32"/>
      <c r="J34" s="33"/>
      <c r="K34" s="32"/>
      <c r="L34" s="26" t="s">
        <v>140</v>
      </c>
      <c r="M34" s="34">
        <v>1</v>
      </c>
      <c r="N34" s="32"/>
      <c r="O34" s="26"/>
      <c r="P34" s="28"/>
      <c r="Q34" s="46">
        <v>3801600</v>
      </c>
      <c r="R34" s="39" t="s">
        <v>139</v>
      </c>
      <c r="S34" s="35">
        <v>0.17</v>
      </c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3801600</v>
      </c>
      <c r="X34" s="36">
        <f>IF(NOTA[[#This Row],[JUMLAH]]="","",NOTA[[#This Row],[JUMLAH]]*NOTA[[#This Row],[DISC 1]])</f>
        <v>646272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646272</v>
      </c>
      <c r="AA34" s="36">
        <f>IF(NOTA[[#This Row],[JUMLAH]]="","",NOTA[[#This Row],[JUMLAH]]-NOTA[[#This Row],[DISC]])</f>
        <v>3155328</v>
      </c>
      <c r="AB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4" s="36" t="str">
        <f>IF(OR(NOTA[[#This Row],[QTY]]="",NOTA[[#This Row],[HARGA SATUAN]]="",),"",NOTA[[#This Row],[QTY]]*NOTA[[#This Row],[HARGA SATUAN]])</f>
        <v/>
      </c>
      <c r="AF34" s="33">
        <f ca="1">IF(NOTA[ID_H]="","",INDEX(NOTA[TANGGAL],MATCH(,INDIRECT(ADDRESS(ROW(NOTA[TANGGAL]),COLUMN(NOTA[TANGGAL]))&amp;":"&amp;ADDRESS(ROW(),COLUMN(NOTA[TANGGAL]))),-1)))</f>
        <v>44931</v>
      </c>
      <c r="AG34" s="28" t="str">
        <f ca="1">IF(NOTA[[#This Row],[NAMA BARANG]]="","",INDEX(NOTA[SUPPLIER],MATCH(,INDIRECT(ADDRESS(ROW(NOTA[ID]),COLUMN(NOTA[ID]))&amp;":"&amp;ADDRESS(ROW(),COLUMN(NOTA[ID]))),-1)))</f>
        <v>KENKO SINAR INDONESIA</v>
      </c>
      <c r="AH34" s="28" t="str">
        <f ca="1">IF(NOTA[[#This Row],[ID_H]]="","",IF(NOTA[[#This Row],[FAKTUR]]="",INDIRECT(ADDRESS(ROW()-1,COLUMN())),NOTA[[#This Row],[FAKTUR]]))</f>
        <v>ARTO MORO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34" s="193">
        <f>IF(NOTA[[#This Row],[CONCAT1]]="","",MATCH(NOTA[[#This Row],[CONCAT1]],[2]!db[NB NOTA_C],0)+1)</f>
        <v>1079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>
        <f ca="1">IF(NOTA[[#This Row],[NAMA BARANG]]="","",INDEX(NOTA[ID],MATCH(,INDIRECT(ADDRESS(ROW(NOTA[ID]),COLUMN(NOTA[ID]))&amp;":"&amp;ADDRESS(ROW(),COLUMN(NOTA[ID]))),-1)))</f>
        <v>9</v>
      </c>
      <c r="E35" s="30"/>
      <c r="F35" s="26"/>
      <c r="G35" s="26"/>
      <c r="H35" s="55"/>
      <c r="I35" s="32"/>
      <c r="J35" s="33"/>
      <c r="K35" s="32"/>
      <c r="L35" s="26" t="s">
        <v>134</v>
      </c>
      <c r="M35" s="34">
        <v>2</v>
      </c>
      <c r="N35" s="32"/>
      <c r="O35" s="26"/>
      <c r="P35" s="28"/>
      <c r="Q35" s="46">
        <v>2980800</v>
      </c>
      <c r="R35" s="39" t="s">
        <v>124</v>
      </c>
      <c r="S35" s="35">
        <v>0.17</v>
      </c>
      <c r="T35" s="35"/>
      <c r="U35" s="36"/>
      <c r="V35" s="37"/>
      <c r="W35" s="36">
        <f>IF(NOTA[[#This Row],[HARGA/ CTN]]="",NOTA[[#This Row],[JUMLAH_H]],NOTA[[#This Row],[HARGA/ CTN]]*IF(NOTA[[#This Row],[C]]="",0,NOTA[[#This Row],[C]]))</f>
        <v>5961600</v>
      </c>
      <c r="X35" s="36">
        <f>IF(NOTA[[#This Row],[JUMLAH]]="","",NOTA[[#This Row],[JUMLAH]]*NOTA[[#This Row],[DISC 1]])</f>
        <v>1013472.0000000001</v>
      </c>
      <c r="Y35" s="36">
        <f>IF(NOTA[[#This Row],[JUMLAH]]="","",(NOTA[[#This Row],[JUMLAH]]-NOTA[[#This Row],[DISC 1-]])*NOTA[[#This Row],[DISC 2]])</f>
        <v>0</v>
      </c>
      <c r="Z35" s="36">
        <f>IF(NOTA[[#This Row],[JUMLAH]]="","",NOTA[[#This Row],[DISC 1-]]+NOTA[[#This Row],[DISC 2-]])</f>
        <v>1013472.0000000001</v>
      </c>
      <c r="AA35" s="36">
        <f>IF(NOTA[[#This Row],[JUMLAH]]="","",NOTA[[#This Row],[JUMLAH]]-NOTA[[#This Row],[DISC]])</f>
        <v>4948128</v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35" s="36" t="str">
        <f>IF(OR(NOTA[[#This Row],[QTY]]="",NOTA[[#This Row],[HARGA SATUAN]]="",),"",NOTA[[#This Row],[QTY]]*NOTA[[#This Row],[HARGA SATUAN]])</f>
        <v/>
      </c>
      <c r="AF35" s="33">
        <f ca="1">IF(NOTA[ID_H]="","",INDEX(NOTA[TANGGAL],MATCH(,INDIRECT(ADDRESS(ROW(NOTA[TANGGAL]),COLUMN(NOTA[TANGGAL]))&amp;":"&amp;ADDRESS(ROW(),COLUMN(NOTA[TANGGAL]))),-1)))</f>
        <v>44931</v>
      </c>
      <c r="AG35" s="28" t="str">
        <f ca="1">IF(NOTA[[#This Row],[NAMA BARANG]]="","",INDEX(NOTA[SUPPLIER],MATCH(,INDIRECT(ADDRESS(ROW(NOTA[ID]),COLUMN(NOTA[ID]))&amp;":"&amp;ADDRESS(ROW(),COLUMN(NOTA[ID]))),-1)))</f>
        <v>KENKO SINAR INDONESIA</v>
      </c>
      <c r="AH35" s="28" t="str">
        <f ca="1">IF(NOTA[[#This Row],[ID_H]]="","",IF(NOTA[[#This Row],[FAKTUR]]="",INDIRECT(ADDRESS(ROW()-1,COLUMN())),NOTA[[#This Row],[FAKTUR]]))</f>
        <v>ARTO MORO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1</v>
      </c>
      <c r="AK3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3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35" s="193">
        <f>IF(NOTA[[#This Row],[CONCAT1]]="","",MATCH(NOTA[[#This Row],[CONCAT1]],[2]!db[NB NOTA_C],0)+1)</f>
        <v>1022</v>
      </c>
    </row>
    <row r="36" spans="1:39" ht="20.100000000000001" customHeight="1" x14ac:dyDescent="0.25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9" t="str">
        <f>IF(NOTA[[#This Row],[ID_P]]="","",MATCH(NOTA[[#This Row],[ID_P]],[1]!B_MSK[N_ID],0))</f>
        <v/>
      </c>
      <c r="D36" s="29">
        <f ca="1">IF(NOTA[[#This Row],[NAMA BARANG]]="","",INDEX(NOTA[ID],MATCH(,INDIRECT(ADDRESS(ROW(NOTA[ID]),COLUMN(NOTA[ID]))&amp;":"&amp;ADDRESS(ROW(),COLUMN(NOTA[ID]))),-1)))</f>
        <v>9</v>
      </c>
      <c r="E36" s="30"/>
      <c r="F36" s="26"/>
      <c r="G36" s="26"/>
      <c r="H36" s="55"/>
      <c r="I36" s="32"/>
      <c r="J36" s="33"/>
      <c r="K36" s="32"/>
      <c r="L36" s="26" t="s">
        <v>143</v>
      </c>
      <c r="M36" s="34">
        <v>1</v>
      </c>
      <c r="N36" s="32"/>
      <c r="O36" s="26"/>
      <c r="P36" s="28"/>
      <c r="Q36" s="46">
        <v>3542400</v>
      </c>
      <c r="R36" s="39" t="s">
        <v>117</v>
      </c>
      <c r="S36" s="35">
        <v>0.17</v>
      </c>
      <c r="T36" s="35"/>
      <c r="U36" s="36"/>
      <c r="V36" s="37"/>
      <c r="W36" s="36">
        <f>IF(NOTA[[#This Row],[HARGA/ CTN]]="",NOTA[[#This Row],[JUMLAH_H]],NOTA[[#This Row],[HARGA/ CTN]]*IF(NOTA[[#This Row],[C]]="",0,NOTA[[#This Row],[C]]))</f>
        <v>3542400</v>
      </c>
      <c r="X36" s="36">
        <f>IF(NOTA[[#This Row],[JUMLAH]]="","",NOTA[[#This Row],[JUMLAH]]*NOTA[[#This Row],[DISC 1]])</f>
        <v>602208</v>
      </c>
      <c r="Y36" s="36">
        <f>IF(NOTA[[#This Row],[JUMLAH]]="","",(NOTA[[#This Row],[JUMLAH]]-NOTA[[#This Row],[DISC 1-]])*NOTA[[#This Row],[DISC 2]])</f>
        <v>0</v>
      </c>
      <c r="Z36" s="36">
        <f>IF(NOTA[[#This Row],[JUMLAH]]="","",NOTA[[#This Row],[DISC 1-]]+NOTA[[#This Row],[DISC 2-]])</f>
        <v>602208</v>
      </c>
      <c r="AA36" s="36">
        <f>IF(NOTA[[#This Row],[JUMLAH]]="","",NOTA[[#This Row],[JUMLAH]]-NOTA[[#This Row],[DISC]])</f>
        <v>2940192</v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44931</v>
      </c>
      <c r="AG36" s="28" t="str">
        <f ca="1">IF(NOTA[[#This Row],[NAMA BARANG]]="","",INDEX(NOTA[SUPPLIER],MATCH(,INDIRECT(ADDRESS(ROW(NOTA[ID]),COLUMN(NOTA[ID]))&amp;":"&amp;ADDRESS(ROW(),COLUMN(NOTA[ID]))),-1)))</f>
        <v>KENKO SINAR INDONESIA</v>
      </c>
      <c r="AH36" s="28" t="str">
        <f ca="1">IF(NOTA[[#This Row],[ID_H]]="","",IF(NOTA[[#This Row],[FAKTUR]]="",INDIRECT(ADDRESS(ROW()-1,COLUMN())),NOTA[[#This Row],[FAKTUR]]))</f>
        <v>ARTO MORO</v>
      </c>
      <c r="AI36" s="38" t="str">
        <f ca="1">IF(NOTA[[#This Row],[ID]]="","",COUNTIF(NOTA[ID_H],NOTA[[#This Row],[ID_H]]))</f>
        <v/>
      </c>
      <c r="AJ36" s="38">
        <f ca="1"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kenkogelpenke200black35424000.17</v>
      </c>
      <c r="AM36" s="193">
        <f>IF(NOTA[[#This Row],[CONCAT1]]="","",MATCH(NOTA[[#This Row],[CONCAT1]],[2]!db[NB NOTA_C],0)+1)</f>
        <v>1158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9</v>
      </c>
      <c r="E37" s="30"/>
      <c r="F37" s="26"/>
      <c r="G37" s="26"/>
      <c r="H37" s="31"/>
      <c r="I37" s="32"/>
      <c r="J37" s="33"/>
      <c r="K37" s="32"/>
      <c r="L37" s="26" t="s">
        <v>160</v>
      </c>
      <c r="M37" s="34">
        <v>2</v>
      </c>
      <c r="N37" s="32"/>
      <c r="O37" s="26"/>
      <c r="P37" s="28"/>
      <c r="Q37" s="46">
        <v>2112000</v>
      </c>
      <c r="R37" s="39" t="s">
        <v>136</v>
      </c>
      <c r="S37" s="35">
        <v>0.17</v>
      </c>
      <c r="T37" s="35"/>
      <c r="U37" s="36"/>
      <c r="V37" s="37"/>
      <c r="W37" s="36">
        <f>IF(NOTA[[#This Row],[HARGA/ CTN]]="",NOTA[[#This Row],[JUMLAH_H]],NOTA[[#This Row],[HARGA/ CTN]]*IF(NOTA[[#This Row],[C]]="",0,NOTA[[#This Row],[C]]))</f>
        <v>4224000</v>
      </c>
      <c r="X37" s="36">
        <f>IF(NOTA[[#This Row],[JUMLAH]]="","",NOTA[[#This Row],[JUMLAH]]*NOTA[[#This Row],[DISC 1]])</f>
        <v>718080</v>
      </c>
      <c r="Y37" s="36">
        <f>IF(NOTA[[#This Row],[JUMLAH]]="","",(NOTA[[#This Row],[JUMLAH]]-NOTA[[#This Row],[DISC 1-]])*NOTA[[#This Row],[DISC 2]])</f>
        <v>0</v>
      </c>
      <c r="Z37" s="36">
        <f>IF(NOTA[[#This Row],[JUMLAH]]="","",NOTA[[#This Row],[DISC 1-]]+NOTA[[#This Row],[DISC 2-]])</f>
        <v>718080</v>
      </c>
      <c r="AA37" s="36">
        <f>IF(NOTA[[#This Row],[JUMLAH]]="","",NOTA[[#This Row],[JUMLAH]]-NOTA[[#This Row],[DISC]])</f>
        <v>3505920</v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44931</v>
      </c>
      <c r="AG37" s="28" t="str">
        <f ca="1">IF(NOTA[[#This Row],[NAMA BARANG]]="","",INDEX(NOTA[SUPPLIER],MATCH(,INDIRECT(ADDRESS(ROW(NOTA[ID]),COLUMN(NOTA[ID]))&amp;":"&amp;ADDRESS(ROW(),COLUMN(NOTA[ID]))),-1)))</f>
        <v>KENKO SINAR INDONESIA</v>
      </c>
      <c r="AH37" s="28" t="str">
        <f ca="1">IF(NOTA[[#This Row],[ID_H]]="","",IF(NOTA[[#This Row],[FAKTUR]]="",INDIRECT(ADDRESS(ROW()-1,COLUMN())),NOTA[[#This Row],[FAKTUR]]))</f>
        <v>ARTO MORO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Row],[SUPPLIER_H]]="","",AJ74),MONTH(NOTA[[#This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37" s="193">
        <f>IF(NOTA[[#This Row],[CONCAT1]]="","",MATCH(NOTA[[#This Row],[CONCAT1]],[2]!db[NB NOTA_C],0)+1)</f>
        <v>1222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9</v>
      </c>
      <c r="E38" s="30"/>
      <c r="F38" s="26"/>
      <c r="G38" s="26"/>
      <c r="H38" s="31"/>
      <c r="I38" s="32"/>
      <c r="J38" s="33"/>
      <c r="K38" s="32"/>
      <c r="L38" s="26" t="s">
        <v>142</v>
      </c>
      <c r="M38" s="34">
        <v>2</v>
      </c>
      <c r="N38" s="32"/>
      <c r="O38" s="26"/>
      <c r="P38" s="28"/>
      <c r="Q38" s="52">
        <v>3758400</v>
      </c>
      <c r="R38" s="39" t="s">
        <v>117</v>
      </c>
      <c r="S38" s="35">
        <v>0.17</v>
      </c>
      <c r="T38" s="35"/>
      <c r="U38" s="36"/>
      <c r="V38" s="37"/>
      <c r="W38" s="36">
        <f>IF(NOTA[[#This Row],[HARGA/ CTN]]="",NOTA[[#This Row],[JUMLAH_H]],NOTA[[#This Row],[HARGA/ CTN]]*IF(NOTA[[#This Row],[C]]="",0,NOTA[[#This Row],[C]]))</f>
        <v>7516800</v>
      </c>
      <c r="X38" s="36">
        <f>IF(NOTA[[#This Row],[JUMLAH]]="","",NOTA[[#This Row],[JUMLAH]]*NOTA[[#This Row],[DISC 1]])</f>
        <v>1277856</v>
      </c>
      <c r="Y38" s="36">
        <f>IF(NOTA[[#This Row],[JUMLAH]]="","",(NOTA[[#This Row],[JUMLAH]]-NOTA[[#This Row],[DISC 1-]])*NOTA[[#This Row],[DISC 2]])</f>
        <v>0</v>
      </c>
      <c r="Z38" s="36">
        <f>IF(NOTA[[#This Row],[JUMLAH]]="","",NOTA[[#This Row],[DISC 1-]]+NOTA[[#This Row],[DISC 2-]])</f>
        <v>1277856</v>
      </c>
      <c r="AA38" s="36">
        <f>IF(NOTA[[#This Row],[JUMLAH]]="","",NOTA[[#This Row],[JUMLAH]]-NOTA[[#This Row],[DISC]])</f>
        <v>6238944</v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44931</v>
      </c>
      <c r="AG38" s="28" t="str">
        <f ca="1">IF(NOTA[[#This Row],[NAMA BARANG]]="","",INDEX(NOTA[SUPPLIER],MATCH(,INDIRECT(ADDRESS(ROW(NOTA[ID]),COLUMN(NOTA[ID]))&amp;":"&amp;ADDRESS(ROW(),COLUMN(NOTA[ID]))),-1)))</f>
        <v>KENKO SINAR INDONESIA</v>
      </c>
      <c r="AH38" s="28" t="str">
        <f ca="1">IF(NOTA[[#This Row],[ID_H]]="","",IF(NOTA[[#This Row],[FAKTUR]]="",INDIRECT(ADDRESS(ROW()-1,COLUMN())),NOTA[[#This Row],[FAKTUR]]))</f>
        <v>ARTO MORO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kenkogelpenke16dotndotblack37584000.17</v>
      </c>
      <c r="AM38" s="193">
        <f>IF(NOTA[[#This Row],[CONCAT1]]="","",MATCH(NOTA[[#This Row],[CONCAT1]],[2]!db[NB NOTA_C],0)+1)</f>
        <v>1157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9</v>
      </c>
      <c r="E39" s="30"/>
      <c r="F39" s="32"/>
      <c r="G39" s="32"/>
      <c r="H39" s="55"/>
      <c r="I39" s="32"/>
      <c r="J39" s="33"/>
      <c r="K39" s="32"/>
      <c r="L39" s="26" t="s">
        <v>135</v>
      </c>
      <c r="M39" s="34">
        <v>2</v>
      </c>
      <c r="N39" s="32"/>
      <c r="O39" s="26"/>
      <c r="P39" s="28"/>
      <c r="Q39" s="46">
        <v>462000</v>
      </c>
      <c r="R39" s="39" t="s">
        <v>130</v>
      </c>
      <c r="S39" s="35">
        <v>0.17</v>
      </c>
      <c r="T39" s="35"/>
      <c r="U39" s="36"/>
      <c r="V39" s="37"/>
      <c r="W39" s="36">
        <f>IF(NOTA[[#This Row],[HARGA/ CTN]]="",NOTA[[#This Row],[JUMLAH_H]],NOTA[[#This Row],[HARGA/ CTN]]*IF(NOTA[[#This Row],[C]]="",0,NOTA[[#This Row],[C]]))</f>
        <v>924000</v>
      </c>
      <c r="X39" s="36">
        <f>IF(NOTA[[#This Row],[JUMLAH]]="","",NOTA[[#This Row],[JUMLAH]]*NOTA[[#This Row],[DISC 1]])</f>
        <v>157080</v>
      </c>
      <c r="Y39" s="36">
        <f>IF(NOTA[[#This Row],[JUMLAH]]="","",(NOTA[[#This Row],[JUMLAH]]-NOTA[[#This Row],[DISC 1-]])*NOTA[[#This Row],[DISC 2]])</f>
        <v>0</v>
      </c>
      <c r="Z39" s="36">
        <f>IF(NOTA[[#This Row],[JUMLAH]]="","",NOTA[[#This Row],[DISC 1-]]+NOTA[[#This Row],[DISC 2-]])</f>
        <v>157080</v>
      </c>
      <c r="AA39" s="36">
        <f>IF(NOTA[[#This Row],[JUMLAH]]="","",NOTA[[#This Row],[JUMLAH]]-NOTA[[#This Row],[DISC]])</f>
        <v>766920</v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44931</v>
      </c>
      <c r="AG39" s="28" t="str">
        <f ca="1">IF(NOTA[[#This Row],[NAMA BARANG]]="","",INDEX(NOTA[SUPPLIER],MATCH(,INDIRECT(ADDRESS(ROW(NOTA[ID]),COLUMN(NOTA[ID]))&amp;":"&amp;ADDRESS(ROW(),COLUMN(NOTA[ID]))),-1)))</f>
        <v>KENKO SINAR INDONESIA</v>
      </c>
      <c r="AH39" s="28" t="str">
        <f ca="1">IF(NOTA[[#This Row],[ID_H]]="","",IF(NOTA[[#This Row],[FAKTUR]]="",INDIRECT(ADDRESS(ROW()-1,COLUMN())),NOTA[[#This Row],[FAKTUR]]))</f>
        <v>ARTO MORO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9" s="193">
        <f>IF(NOTA[[#This Row],[CONCAT1]]="","",MATCH(NOTA[[#This Row],[CONCAT1]],[2]!db[NB NOTA_C],0)+1)</f>
        <v>1296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9</v>
      </c>
      <c r="E40" s="30"/>
      <c r="F40" s="26"/>
      <c r="G40" s="26"/>
      <c r="H40" s="31"/>
      <c r="I40" s="32"/>
      <c r="J40" s="33"/>
      <c r="K40" s="32"/>
      <c r="L40" s="26" t="s">
        <v>161</v>
      </c>
      <c r="M40" s="34">
        <v>1</v>
      </c>
      <c r="N40" s="32"/>
      <c r="O40" s="26"/>
      <c r="P40" s="28"/>
      <c r="Q40" s="46">
        <v>1416000</v>
      </c>
      <c r="R40" s="39" t="s">
        <v>130</v>
      </c>
      <c r="S40" s="35">
        <v>0.17</v>
      </c>
      <c r="T40" s="35"/>
      <c r="U40" s="36"/>
      <c r="V40" s="37"/>
      <c r="W40" s="36">
        <f>IF(NOTA[[#This Row],[HARGA/ CTN]]="",NOTA[[#This Row],[JUMLAH_H]],NOTA[[#This Row],[HARGA/ CTN]]*IF(NOTA[[#This Row],[C]]="",0,NOTA[[#This Row],[C]]))</f>
        <v>1416000</v>
      </c>
      <c r="X40" s="36">
        <f>IF(NOTA[[#This Row],[JUMLAH]]="","",NOTA[[#This Row],[JUMLAH]]*NOTA[[#This Row],[DISC 1]])</f>
        <v>240720.00000000003</v>
      </c>
      <c r="Y40" s="36">
        <f>IF(NOTA[[#This Row],[JUMLAH]]="","",(NOTA[[#This Row],[JUMLAH]]-NOTA[[#This Row],[DISC 1-]])*NOTA[[#This Row],[DISC 2]])</f>
        <v>0</v>
      </c>
      <c r="Z40" s="36">
        <f>IF(NOTA[[#This Row],[JUMLAH]]="","",NOTA[[#This Row],[DISC 1-]]+NOTA[[#This Row],[DISC 2-]])</f>
        <v>240720.00000000003</v>
      </c>
      <c r="AA40" s="36">
        <f>IF(NOTA[[#This Row],[JUMLAH]]="","",NOTA[[#This Row],[JUMLAH]]-NOTA[[#This Row],[DISC]])</f>
        <v>1175280</v>
      </c>
      <c r="AB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C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44931</v>
      </c>
      <c r="AG40" s="28" t="str">
        <f ca="1">IF(NOTA[[#This Row],[NAMA BARANG]]="","",INDEX(NOTA[SUPPLIER],MATCH(,INDIRECT(ADDRESS(ROW(NOTA[ID]),COLUMN(NOTA[ID]))&amp;":"&amp;ADDRESS(ROW(),COLUMN(NOTA[ID]))),-1)))</f>
        <v>KENKO SINAR INDONESIA</v>
      </c>
      <c r="AH40" s="28" t="str">
        <f ca="1">IF(NOTA[[#This Row],[ID_H]]="","",IF(NOTA[[#This Row],[FAKTUR]]="",INDIRECT(ADDRESS(ROW()-1,COLUMN())),NOTA[[#This Row],[FAKTUR]]))</f>
        <v>ARTO MORO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40" s="193">
        <f>IF(NOTA[[#This Row],[CONCAT1]]="","",MATCH(NOTA[[#This Row],[CONCAT1]],[2]!db[NB NOTA_C],0)+1)</f>
        <v>1252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 t="str">
        <f ca="1">IF(NOTA[[#This Row],[NAMA BARANG]]="","",INDEX(NOTA[ID],MATCH(,INDIRECT(ADDRESS(ROW(NOTA[ID]),COLUMN(NOTA[ID]))&amp;":"&amp;ADDRESS(ROW(),COLUMN(NOTA[ID]))),-1)))</f>
        <v/>
      </c>
      <c r="E41" s="30"/>
      <c r="F41" s="26"/>
      <c r="G41" s="26"/>
      <c r="H41" s="31"/>
      <c r="I41" s="26"/>
      <c r="J41" s="33"/>
      <c r="K41" s="32"/>
      <c r="L41" s="26"/>
      <c r="M41" s="34"/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36" t="str">
        <f>IF(OR(NOTA[[#This Row],[QTY]]="",NOTA[[#This Row],[HARGA SATUAN]]="",),"",NOTA[[#This Row],[QTY]]*NOTA[[#This Row],[HARGA SATUAN]])</f>
        <v/>
      </c>
      <c r="AF41" s="33" t="str">
        <f ca="1">IF(NOTA[ID_H]="","",INDEX(NOTA[TANGGAL],MATCH(,INDIRECT(ADDRESS(ROW(NOTA[TANGGAL]),COLUMN(NOTA[TANGGAL]))&amp;":"&amp;ADDRESS(ROW(),COLUMN(NOTA[TANGGAL]))),-1)))</f>
        <v/>
      </c>
      <c r="AG41" s="28" t="str">
        <f ca="1">IF(NOTA[[#This Row],[NAMA BARANG]]="","",INDEX(NOTA[SUPPLIER],MATCH(,INDIRECT(ADDRESS(ROW(NOTA[ID]),COLUMN(NOTA[ID]))&amp;":"&amp;ADDRESS(ROW(),COLUMN(NOTA[ID]))),-1)))</f>
        <v/>
      </c>
      <c r="AH41" s="28" t="str">
        <f ca="1">IF(NOTA[[#This Row],[ID_H]]="","",IF(NOTA[[#This Row],[FAKTUR]]="",INDIRECT(ADDRESS(ROW()-1,COLUMN())),NOTA[[#This Row],[FAKTUR]]))</f>
        <v/>
      </c>
      <c r="AI41" s="38" t="str">
        <f ca="1">IF(NOTA[[#This Row],[ID]]="","",COUNTIF(NOTA[ID_H],NOTA[[#This Row],[ID_H]]))</f>
        <v/>
      </c>
      <c r="AJ41" s="38" t="str">
        <f ca="1">IF(NOTA[[#This Row],[TGL.NOTA]]="",IF(NOTA[[#This Row],[SUPPLIER_H]]="","",AJ40),MONTH(NOTA[[#This Row],[TGL.NOTA]]))</f>
        <v/>
      </c>
      <c r="AK41" s="38" t="str">
        <f>LOWER(SUBSTITUTE(SUBSTITUTE(SUBSTITUTE(SUBSTITUTE(SUBSTITUTE(SUBSTITUTE(SUBSTITUTE(SUBSTITUTE(SUBSTITUTE(NOTA[NAMA BARANG]," ",),".",""),"-",""),"(",""),")",""),",",""),"/",""),"""",""),"+",""))</f>
        <v/>
      </c>
      <c r="AL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" s="193" t="str">
        <f>IF(NOTA[[#This Row],[CONCAT1]]="","",MATCH(NOTA[[#This Row],[CONCAT1]],[2]!db[NB NOTA_C],0)+1)</f>
        <v/>
      </c>
    </row>
    <row r="42" spans="1:39" ht="20.100000000000001" customHeight="1" x14ac:dyDescent="0.25">
      <c r="A42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42" s="29" t="e">
        <f ca="1">IF(NOTA[[#This Row],[ID_P]]="","",MATCH(NOTA[[#This Row],[ID_P]],[1]!B_MSK[N_ID],0))</f>
        <v>#REF!</v>
      </c>
      <c r="D42" s="29">
        <f ca="1">IF(NOTA[[#This Row],[NAMA BARANG]]="","",INDEX(NOTA[ID],MATCH(,INDIRECT(ADDRESS(ROW(NOTA[ID]),COLUMN(NOTA[ID]))&amp;":"&amp;ADDRESS(ROW(),COLUMN(NOTA[ID]))),-1)))</f>
        <v>10</v>
      </c>
      <c r="E42" s="30"/>
      <c r="F42" s="26" t="s">
        <v>23</v>
      </c>
      <c r="G42" s="26" t="s">
        <v>24</v>
      </c>
      <c r="H42" s="31" t="s">
        <v>162</v>
      </c>
      <c r="I42" s="32"/>
      <c r="J42" s="33">
        <v>44928</v>
      </c>
      <c r="K42" s="32"/>
      <c r="L42" s="26" t="s">
        <v>127</v>
      </c>
      <c r="M42" s="34">
        <v>4</v>
      </c>
      <c r="N42" s="32"/>
      <c r="O42" s="26"/>
      <c r="P42" s="28"/>
      <c r="Q42" s="46">
        <v>1860000</v>
      </c>
      <c r="R42" s="56" t="s">
        <v>171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CTN]]*IF(NOTA[[#This Row],[C]]="",0,NOTA[[#This Row],[C]]))</f>
        <v>7440000</v>
      </c>
      <c r="X42" s="36">
        <f>IF(NOTA[[#This Row],[JUMLAH]]="","",NOTA[[#This Row],[JUMLAH]]*NOTA[[#This Row],[DISC 1]])</f>
        <v>1264800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1264800</v>
      </c>
      <c r="AA42" s="36">
        <f>IF(NOTA[[#This Row],[JUMLAH]]="","",NOTA[[#This Row],[JUMLAH]]-NOTA[[#This Row],[DISC]])</f>
        <v>6175200</v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44931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28" t="str">
        <f ca="1">IF(NOTA[[#This Row],[ID_H]]="","",IF(NOTA[[#This Row],[FAKTUR]]="",INDIRECT(ADDRESS(ROW()-1,COLUMN())),NOTA[[#This Row],[FAKTUR]]))</f>
        <v>ARTO MORO</v>
      </c>
      <c r="AI42" s="38">
        <f ca="1">IF(NOTA[[#This Row],[ID]]="","",COUNTIF(NOTA[ID_H],NOTA[[#This Row],[ID_H]]))</f>
        <v>8</v>
      </c>
      <c r="AJ42" s="38">
        <f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42" s="193">
        <f>IF(NOTA[[#This Row],[CONCAT1]]="","",MATCH(NOTA[[#This Row],[CONCAT1]],[2]!db[NB NOTA_C],0)+1)</f>
        <v>1281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10</v>
      </c>
      <c r="E43" s="30"/>
      <c r="F43" s="32"/>
      <c r="G43" s="32"/>
      <c r="H43" s="55"/>
      <c r="I43" s="32"/>
      <c r="J43" s="33"/>
      <c r="K43" s="32"/>
      <c r="L43" s="26" t="s">
        <v>163</v>
      </c>
      <c r="M43" s="34">
        <v>2</v>
      </c>
      <c r="N43" s="32"/>
      <c r="O43" s="26"/>
      <c r="P43" s="28"/>
      <c r="Q43" s="46">
        <v>2448000</v>
      </c>
      <c r="R43" s="39" t="s">
        <v>136</v>
      </c>
      <c r="S43" s="35">
        <v>0.17</v>
      </c>
      <c r="T43" s="35"/>
      <c r="U43" s="36"/>
      <c r="V43" s="37"/>
      <c r="W43" s="36">
        <f>IF(NOTA[[#This Row],[HARGA/ CTN]]="",NOTA[[#This Row],[JUMLAH_H]],NOTA[[#This Row],[HARGA/ CTN]]*IF(NOTA[[#This Row],[C]]="",0,NOTA[[#This Row],[C]]))</f>
        <v>4896000</v>
      </c>
      <c r="X43" s="36">
        <f>IF(NOTA[[#This Row],[JUMLAH]]="","",NOTA[[#This Row],[JUMLAH]]*NOTA[[#This Row],[DISC 1]])</f>
        <v>832320.00000000012</v>
      </c>
      <c r="Y43" s="36">
        <f>IF(NOTA[[#This Row],[JUMLAH]]="","",(NOTA[[#This Row],[JUMLAH]]-NOTA[[#This Row],[DISC 1-]])*NOTA[[#This Row],[DISC 2]])</f>
        <v>0</v>
      </c>
      <c r="Z43" s="36">
        <f>IF(NOTA[[#This Row],[JUMLAH]]="","",NOTA[[#This Row],[DISC 1-]]+NOTA[[#This Row],[DISC 2-]])</f>
        <v>832320.00000000012</v>
      </c>
      <c r="AA43" s="36">
        <f>IF(NOTA[[#This Row],[JUMLAH]]="","",NOTA[[#This Row],[JUMLAH]]-NOTA[[#This Row],[DISC]])</f>
        <v>4063680</v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44931</v>
      </c>
      <c r="AG43" s="28" t="str">
        <f ca="1">IF(NOTA[[#This Row],[NAMA BARANG]]="","",INDEX(NOTA[SUPPLIER],MATCH(,INDIRECT(ADDRESS(ROW(NOTA[ID]),COLUMN(NOTA[ID]))&amp;":"&amp;ADDRESS(ROW(),COLUMN(NOTA[ID]))),-1)))</f>
        <v>KENKO SINAR INDONESIA</v>
      </c>
      <c r="AH43" s="28" t="str">
        <f ca="1">IF(NOTA[[#This Row],[ID_H]]="","",IF(NOTA[[#This Row],[FAKTUR]]="",INDIRECT(ADDRESS(ROW()-1,COLUMN())),NOTA[[#This Row],[FAKTUR]]))</f>
        <v>ARTO MORO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kenkopencil2b3282hitambintang24480000.17</v>
      </c>
      <c r="AM43" s="193">
        <f>IF(NOTA[[#This Row],[CONCAT1]]="","",MATCH(NOTA[[#This Row],[CONCAT1]],[2]!db[NB NOTA_C],0)+1)</f>
        <v>1223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10</v>
      </c>
      <c r="E44" s="30"/>
      <c r="F44" s="32"/>
      <c r="G44" s="32"/>
      <c r="H44" s="55"/>
      <c r="I44" s="32"/>
      <c r="J44" s="33"/>
      <c r="K44" s="32"/>
      <c r="L44" s="26" t="s">
        <v>164</v>
      </c>
      <c r="M44" s="34">
        <v>2</v>
      </c>
      <c r="N44" s="32"/>
      <c r="O44" s="26"/>
      <c r="P44" s="28"/>
      <c r="Q44" s="46">
        <v>2160000</v>
      </c>
      <c r="R44" s="39" t="s">
        <v>136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4320000</v>
      </c>
      <c r="X44" s="36">
        <f>IF(NOTA[[#This Row],[JUMLAH]]="","",NOTA[[#This Row],[JUMLAH]]*NOTA[[#This Row],[DISC 1]])</f>
        <v>734400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734400</v>
      </c>
      <c r="AA44" s="36">
        <f>IF(NOTA[[#This Row],[JUMLAH]]="","",NOTA[[#This Row],[JUMLAH]]-NOTA[[#This Row],[DISC]])</f>
        <v>3585600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44931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44" s="193">
        <f>IF(NOTA[[#This Row],[CONCAT1]]="","",MATCH(NOTA[[#This Row],[CONCAT1]],[2]!db[NB NOTA_C],0)+1)</f>
        <v>1228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10</v>
      </c>
      <c r="E45" s="30"/>
      <c r="F45" s="32"/>
      <c r="G45" s="32"/>
      <c r="H45" s="55"/>
      <c r="I45" s="32"/>
      <c r="J45" s="33"/>
      <c r="K45" s="32"/>
      <c r="L45" s="26" t="s">
        <v>167</v>
      </c>
      <c r="M45" s="34">
        <v>1</v>
      </c>
      <c r="N45" s="32"/>
      <c r="O45" s="26"/>
      <c r="P45" s="28"/>
      <c r="Q45" s="46">
        <v>2448000</v>
      </c>
      <c r="R45" s="39" t="s">
        <v>121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2448000</v>
      </c>
      <c r="X45" s="36">
        <f>IF(NOTA[[#This Row],[JUMLAH]]="","",NOTA[[#This Row],[JUMLAH]]*NOTA[[#This Row],[DISC 1]])</f>
        <v>416160.00000000006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416160.00000000006</v>
      </c>
      <c r="AA45" s="36">
        <f>IF(NOTA[[#This Row],[JUMLAH]]="","",NOTA[[#This Row],[JUMLAH]]-NOTA[[#This Row],[DISC]])</f>
        <v>2031840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44931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45" s="193">
        <f>IF(NOTA[[#This Row],[CONCAT1]]="","",MATCH(NOTA[[#This Row],[CONCAT1]],[2]!db[NB NOTA_C],0)+1)</f>
        <v>1107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10</v>
      </c>
      <c r="E46" s="30"/>
      <c r="F46" s="32"/>
      <c r="G46" s="32"/>
      <c r="H46" s="55"/>
      <c r="I46" s="32"/>
      <c r="J46" s="33"/>
      <c r="K46" s="32"/>
      <c r="L46" s="26" t="s">
        <v>120</v>
      </c>
      <c r="M46" s="34">
        <v>3</v>
      </c>
      <c r="N46" s="32"/>
      <c r="O46" s="26"/>
      <c r="P46" s="28"/>
      <c r="Q46" s="46">
        <v>2880000</v>
      </c>
      <c r="R46" s="39" t="s">
        <v>121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8640000</v>
      </c>
      <c r="X46" s="36">
        <f>IF(NOTA[[#This Row],[JUMLAH]]="","",NOTA[[#This Row],[JUMLAH]]*NOTA[[#This Row],[DISC 1]])</f>
        <v>1468800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1468800</v>
      </c>
      <c r="AA46" s="36">
        <f>IF(NOTA[[#This Row],[JUMLAH]]="","",NOTA[[#This Row],[JUMLAH]]-NOTA[[#This Row],[DISC]])</f>
        <v>7171200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44931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1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46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46" s="193">
        <f>IF(NOTA[[#This Row],[CONCAT1]]="","",MATCH(NOTA[[#This Row],[CONCAT1]],[2]!db[NB NOTA_C],0)+1)</f>
        <v>1111</v>
      </c>
    </row>
    <row r="47" spans="1:39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10</v>
      </c>
      <c r="E47" s="30"/>
      <c r="F47" s="32"/>
      <c r="G47" s="32"/>
      <c r="H47" s="55"/>
      <c r="I47" s="26" t="s">
        <v>168</v>
      </c>
      <c r="J47" s="33"/>
      <c r="K47" s="32"/>
      <c r="L47" s="26" t="s">
        <v>125</v>
      </c>
      <c r="M47" s="34">
        <v>2</v>
      </c>
      <c r="N47" s="32"/>
      <c r="O47" s="26"/>
      <c r="P47" s="28"/>
      <c r="Q47" s="46">
        <v>5616000</v>
      </c>
      <c r="R47" s="39" t="s">
        <v>117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11232000</v>
      </c>
      <c r="X47" s="36">
        <f>IF(NOTA[[#This Row],[JUMLAH]]="","",NOTA[[#This Row],[JUMLAH]]*NOTA[[#This Row],[DISC 1]])</f>
        <v>1909440.0000000002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1909440.0000000002</v>
      </c>
      <c r="AA47" s="36">
        <f>IF(NOTA[[#This Row],[JUMLAH]]="","",NOTA[[#This Row],[JUMLAH]]-NOTA[[#This Row],[DISC]])</f>
        <v>9322560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44931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1</v>
      </c>
      <c r="AK47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</v>
      </c>
      <c r="AM47" s="193">
        <f>IF(NOTA[[#This Row],[CONCAT1]]="","",MATCH(NOTA[[#This Row],[CONCAT1]],[2]!db[NB NOTA_C],0)+1)</f>
        <v>1142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10</v>
      </c>
      <c r="E48" s="30"/>
      <c r="F48" s="26"/>
      <c r="G48" s="26"/>
      <c r="H48" s="31"/>
      <c r="I48" s="32"/>
      <c r="J48" s="33"/>
      <c r="K48" s="32"/>
      <c r="L48" s="26" t="s">
        <v>165</v>
      </c>
      <c r="M48" s="34">
        <v>3</v>
      </c>
      <c r="N48" s="32"/>
      <c r="O48" s="26"/>
      <c r="P48" s="28"/>
      <c r="Q48" s="46">
        <v>3456000</v>
      </c>
      <c r="R48" s="39" t="s">
        <v>117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10368000</v>
      </c>
      <c r="X48" s="36">
        <f>IF(NOTA[[#This Row],[JUMLAH]]="","",NOTA[[#This Row],[JUMLAH]]*NOTA[[#This Row],[DISC 1]])</f>
        <v>1762560.0000000002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1762560.0000000002</v>
      </c>
      <c r="AA48" s="36">
        <f>IF(NOTA[[#This Row],[JUMLAH]]="","",NOTA[[#This Row],[JUMLAH]]-NOTA[[#This Row],[DISC]])</f>
        <v>8605440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44931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1</v>
      </c>
      <c r="AK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48" s="193">
        <f>IF(NOTA[[#This Row],[CONCAT1]]="","",MATCH(NOTA[[#This Row],[CONCAT1]],[2]!db[NB NOTA_C],0)+1)</f>
        <v>1172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10</v>
      </c>
      <c r="E49" s="30"/>
      <c r="F49" s="26"/>
      <c r="G49" s="26"/>
      <c r="H49" s="31"/>
      <c r="I49" s="32"/>
      <c r="J49" s="33"/>
      <c r="K49" s="32"/>
      <c r="L49" s="26" t="s">
        <v>166</v>
      </c>
      <c r="M49" s="34">
        <v>5</v>
      </c>
      <c r="N49" s="32"/>
      <c r="O49" s="26"/>
      <c r="P49" s="28"/>
      <c r="Q49" s="46">
        <v>3110400</v>
      </c>
      <c r="R49" s="39" t="s">
        <v>117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15552000</v>
      </c>
      <c r="X49" s="36">
        <f>IF(NOTA[[#This Row],[JUMLAH]]="","",NOTA[[#This Row],[JUMLAH]]*NOTA[[#This Row],[DISC 1]])</f>
        <v>2643840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2643840</v>
      </c>
      <c r="AA49" s="36">
        <f>IF(NOTA[[#This Row],[JUMLAH]]="","",NOTA[[#This Row],[JUMLAH]]-NOTA[[#This Row],[DISC]])</f>
        <v>12908160</v>
      </c>
      <c r="AB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C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44931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1</v>
      </c>
      <c r="AK49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49" s="193">
        <f>IF(NOTA[[#This Row],[CONCAT1]]="","",MATCH(NOTA[[#This Row],[CONCAT1]],[2]!db[NB NOTA_C],0)+1)</f>
        <v>1160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 t="str">
        <f ca="1">IF(NOTA[[#This Row],[NAMA BARANG]]="","",INDEX(NOTA[ID],MATCH(,INDIRECT(ADDRESS(ROW(NOTA[ID]),COLUMN(NOTA[ID]))&amp;":"&amp;ADDRESS(ROW(),COLUMN(NOTA[ID]))),-1)))</f>
        <v/>
      </c>
      <c r="E50" s="23"/>
      <c r="F50" s="26"/>
      <c r="G50" s="26"/>
      <c r="H50" s="31"/>
      <c r="I50" s="26"/>
      <c r="J50" s="51"/>
      <c r="K50" s="26"/>
      <c r="L50" s="26"/>
      <c r="M50" s="39"/>
      <c r="N50" s="26"/>
      <c r="O50" s="26"/>
      <c r="P50" s="49"/>
      <c r="Q50" s="52"/>
      <c r="R50" s="39"/>
      <c r="S50" s="53"/>
      <c r="T50" s="53"/>
      <c r="U50" s="54"/>
      <c r="V50" s="37"/>
      <c r="W50" s="59" t="str">
        <f>IF(NOTA[[#This Row],[HARGA/ CTN]]="",NOTA[[#This Row],[JUMLAH_H]],NOTA[[#This Row],[HARGA/ CTN]]*IF(NOTA[[#This Row],[C]]="",0,NOTA[[#This Row],[C]]))</f>
        <v/>
      </c>
      <c r="X50" s="59" t="str">
        <f>IF(NOTA[[#This Row],[JUMLAH]]="","",NOTA[[#This Row],[JUMLAH]]*NOTA[[#This Row],[DISC 1]])</f>
        <v/>
      </c>
      <c r="Y50" s="59" t="str">
        <f>IF(NOTA[[#This Row],[JUMLAH]]="","",(NOTA[[#This Row],[JUMLAH]]-NOTA[[#This Row],[DISC 1-]])*NOTA[[#This Row],[DISC 2]])</f>
        <v/>
      </c>
      <c r="Z50" s="59" t="str">
        <f>IF(NOTA[[#This Row],[JUMLAH]]="","",NOTA[[#This Row],[DISC 1-]]+NOTA[[#This Row],[DISC 2-]])</f>
        <v/>
      </c>
      <c r="AA50" s="59" t="str">
        <f>IF(NOTA[[#This Row],[JUMLAH]]="","",NOTA[[#This Row],[JUMLAH]]-NOTA[[#This Row],[DISC]])</f>
        <v/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" s="59" t="str">
        <f>IF(OR(NOTA[[#This Row],[QTY]]="",NOTA[[#This Row],[HARGA SATUAN]]="",),"",NOTA[[#This Row],[QTY]]*NOTA[[#This Row],[HARGA SATUAN]])</f>
        <v/>
      </c>
      <c r="AF50" s="60" t="str">
        <f ca="1">IF(NOTA[ID_H]="","",INDEX(NOTA[TANGGAL],MATCH(,INDIRECT(ADDRESS(ROW(NOTA[TANGGAL]),COLUMN(NOTA[TANGGAL]))&amp;":"&amp;ADDRESS(ROW(),COLUMN(NOTA[TANGGAL]))),-1)))</f>
        <v/>
      </c>
      <c r="AG50" s="57" t="str">
        <f ca="1">IF(NOTA[[#This Row],[NAMA BARANG]]="","",INDEX(NOTA[SUPPLIER],MATCH(,INDIRECT(ADDRESS(ROW(NOTA[ID]),COLUMN(NOTA[ID]))&amp;":"&amp;ADDRESS(ROW(),COLUMN(NOTA[ID]))),-1)))</f>
        <v/>
      </c>
      <c r="AH50" s="57" t="str">
        <f ca="1">IF(NOTA[[#This Row],[ID_H]]="","",IF(NOTA[[#This Row],[FAKTUR]]="",INDIRECT(ADDRESS(ROW()-1,COLUMN())),NOTA[[#This Row],[FAKTUR]]))</f>
        <v/>
      </c>
      <c r="AI50" s="38" t="str">
        <f ca="1">IF(NOTA[[#This Row],[ID]]="","",COUNTIF(NOTA[ID_H],NOTA[[#This Row],[ID_H]]))</f>
        <v/>
      </c>
      <c r="AJ50" s="38" t="str">
        <f ca="1">IF(NOTA[[#This Row],[TGL.NOTA]]="",IF(NOTA[[#This Row],[SUPPLIER_H]]="","",AJ49),MONTH(NOTA[[#This Row],[TGL.NOTA]]))</f>
        <v/>
      </c>
      <c r="AK50" s="38" t="str">
        <f>LOWER(SUBSTITUTE(SUBSTITUTE(SUBSTITUTE(SUBSTITUTE(SUBSTITUTE(SUBSTITUTE(SUBSTITUTE(SUBSTITUTE(SUBSTITUTE(NOTA[NAMA BARANG]," ",),".",""),"-",""),"(",""),")",""),",",""),"/",""),"""",""),"+",""))</f>
        <v/>
      </c>
      <c r="AL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" s="193" t="str">
        <f>IF(NOTA[[#This Row],[CONCAT1]]="","",MATCH(NOTA[[#This Row],[CONCAT1]],[2]!db[NB NOTA_C],0)+1)</f>
        <v/>
      </c>
    </row>
    <row r="51" spans="1:39" ht="20.100000000000001" customHeight="1" x14ac:dyDescent="0.25">
      <c r="A51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51" s="29" t="e">
        <f ca="1">IF(NOTA[[#This Row],[ID_P]]="","",MATCH(NOTA[[#This Row],[ID_P]],[1]!B_MSK[N_ID],0))</f>
        <v>#REF!</v>
      </c>
      <c r="D51" s="29">
        <f ca="1">IF(NOTA[[#This Row],[NAMA BARANG]]="","",INDEX(NOTA[ID],MATCH(,INDIRECT(ADDRESS(ROW(NOTA[ID]),COLUMN(NOTA[ID]))&amp;":"&amp;ADDRESS(ROW(),COLUMN(NOTA[ID]))),-1)))</f>
        <v>11</v>
      </c>
      <c r="E51" s="189">
        <v>44932</v>
      </c>
      <c r="F51" s="26" t="s">
        <v>172</v>
      </c>
      <c r="G51" s="26" t="s">
        <v>87</v>
      </c>
      <c r="H51" s="31" t="s">
        <v>173</v>
      </c>
      <c r="I51" s="26"/>
      <c r="J51" s="51">
        <v>44929</v>
      </c>
      <c r="K51" s="26"/>
      <c r="L51" s="26" t="s">
        <v>174</v>
      </c>
      <c r="M51" s="39">
        <v>2</v>
      </c>
      <c r="N51" s="26">
        <v>20</v>
      </c>
      <c r="O51" s="26" t="s">
        <v>90</v>
      </c>
      <c r="P51" s="49">
        <v>72000</v>
      </c>
      <c r="Q51" s="52"/>
      <c r="R51" s="39" t="s">
        <v>176</v>
      </c>
      <c r="S51" s="53"/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1440000</v>
      </c>
      <c r="X51" s="36">
        <f>IF(NOTA[[#This Row],[JUMLAH]]="","",NOTA[[#This Row],[JUMLAH]]*NOTA[[#This Row],[DISC 1]])</f>
        <v>0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0</v>
      </c>
      <c r="AA51" s="36">
        <f>IF(NOTA[[#This Row],[JUMLAH]]="","",NOTA[[#This Row],[JUMLAH]]-NOTA[[#This Row],[DISC]])</f>
        <v>1440000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1" s="36">
        <f>IF(OR(NOTA[[#This Row],[QTY]]="",NOTA[[#This Row],[HARGA SATUAN]]="",),"",NOTA[[#This Row],[QTY]]*NOTA[[#This Row],[HARGA SATUAN]])</f>
        <v>1440000</v>
      </c>
      <c r="AF51" s="33">
        <f ca="1">IF(NOTA[ID_H]="","",INDEX(NOTA[TANGGAL],MATCH(,INDIRECT(ADDRESS(ROW(NOTA[TANGGAL]),COLUMN(NOTA[TANGGAL]))&amp;":"&amp;ADDRESS(ROW(),COLUMN(NOTA[TANGGAL]))),-1)))</f>
        <v>44932</v>
      </c>
      <c r="AG51" s="28" t="str">
        <f ca="1">IF(NOTA[[#This Row],[NAMA BARANG]]="","",INDEX(NOTA[SUPPLIER],MATCH(,INDIRECT(ADDRESS(ROW(NOTA[ID]),COLUMN(NOTA[ID]))&amp;":"&amp;ADDRESS(ROW(),COLUMN(NOTA[ID]))),-1)))</f>
        <v>PMJP</v>
      </c>
      <c r="AH51" s="28" t="str">
        <f ca="1">IF(NOTA[[#This Row],[ID_H]]="","",IF(NOTA[[#This Row],[FAKTUR]]="",INDIRECT(ADDRESS(ROW()-1,COLUMN())),NOTA[[#This Row],[FAKTUR]]))</f>
        <v>UNTANA</v>
      </c>
      <c r="AI51" s="38">
        <f ca="1">IF(NOTA[[#This Row],[ID]]="","",COUNTIF(NOTA[ID_H],NOTA[[#This Row],[ID_H]]))</f>
        <v>2</v>
      </c>
      <c r="AJ51" s="38">
        <f>IF(NOTA[[#This Row],[TGL.NOTA]]="",IF(NOTA[[#This Row],[SUPPLIER_H]]="","",AJ50),MONTH(NOTA[[#This Row],[TGL.NOTA]]))</f>
        <v>1</v>
      </c>
      <c r="AK51" s="38" t="str">
        <f>LOWER(SUBSTITUTE(SUBSTITUTE(SUBSTITUTE(SUBSTITUTE(SUBSTITUTE(SUBSTITUTE(SUBSTITUTE(SUBSTITUTE(SUBSTITUTE(NOTA[NAMA BARANG]," ",),".",""),"-",""),"(",""),")",""),",",""),"/",""),"""",""),"+",""))</f>
        <v>celenganl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celenganl720000</v>
      </c>
      <c r="AM51" s="193">
        <f>IF(NOTA[[#This Row],[CONCAT1]]="","",MATCH(NOTA[[#This Row],[CONCAT1]],[2]!db[NB NOTA_C],0)+1)</f>
        <v>448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11</v>
      </c>
      <c r="E52" s="189"/>
      <c r="F52" s="26"/>
      <c r="G52" s="26"/>
      <c r="H52" s="31"/>
      <c r="I52" s="26"/>
      <c r="J52" s="51"/>
      <c r="K52" s="26"/>
      <c r="L52" s="26" t="s">
        <v>175</v>
      </c>
      <c r="M52" s="39">
        <v>2</v>
      </c>
      <c r="N52" s="26">
        <v>12</v>
      </c>
      <c r="O52" s="26" t="s">
        <v>90</v>
      </c>
      <c r="P52" s="49">
        <v>87000</v>
      </c>
      <c r="Q52" s="52"/>
      <c r="R52" s="39" t="s">
        <v>177</v>
      </c>
      <c r="S52" s="53"/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1044000</v>
      </c>
      <c r="X52" s="36">
        <f>IF(NOTA[[#This Row],[JUMLAH]]="","",NOTA[[#This Row],[JUMLAH]]*NOTA[[#This Row],[DISC 1]])</f>
        <v>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0</v>
      </c>
      <c r="AA52" s="36">
        <f>IF(NOTA[[#This Row],[JUMLAH]]="","",NOTA[[#This Row],[JUMLAH]]-NOTA[[#This Row],[DISC]])</f>
        <v>1044000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52" s="36">
        <f>IF(OR(NOTA[[#This Row],[QTY]]="",NOTA[[#This Row],[HARGA SATUAN]]="",),"",NOTA[[#This Row],[QTY]]*NOTA[[#This Row],[HARGA SATUAN]])</f>
        <v>1044000</v>
      </c>
      <c r="AF52" s="33">
        <f ca="1">IF(NOTA[ID_H]="","",INDEX(NOTA[TANGGAL],MATCH(,INDIRECT(ADDRESS(ROW(NOTA[TANGGAL]),COLUMN(NOTA[TANGGAL]))&amp;":"&amp;ADDRESS(ROW(),COLUMN(NOTA[TANGGAL]))),-1)))</f>
        <v>44932</v>
      </c>
      <c r="AG52" s="28" t="str">
        <f ca="1">IF(NOTA[[#This Row],[NAMA BARANG]]="","",INDEX(NOTA[SUPPLIER],MATCH(,INDIRECT(ADDRESS(ROW(NOTA[ID]),COLUMN(NOTA[ID]))&amp;":"&amp;ADDRESS(ROW(),COLUMN(NOTA[ID]))),-1)))</f>
        <v>PMJP</v>
      </c>
      <c r="AH52" s="28" t="str">
        <f ca="1">IF(NOTA[[#This Row],[ID_H]]="","",IF(NOTA[[#This Row],[FAKTUR]]="",INDIRECT(ADDRESS(ROW()-1,COLUMN())),NOTA[[#This Row],[FAKTUR]]))</f>
        <v>UNTANA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1</v>
      </c>
      <c r="AK52" s="38" t="str">
        <f>LOWER(SUBSTITUTE(SUBSTITUTE(SUBSTITUTE(SUBSTITUTE(SUBSTITUTE(SUBSTITUTE(SUBSTITUTE(SUBSTITUTE(SUBSTITUTE(NOTA[NAMA BARANG]," ",),".",""),"-",""),"(",""),")",""),",",""),"/",""),"""",""),"+",""))</f>
        <v>celenganxl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celenganxl522000</v>
      </c>
      <c r="AM52" s="193">
        <f>IF(NOTA[[#This Row],[CONCAT1]]="","",MATCH(NOTA[[#This Row],[CONCAT1]],[2]!db[NB NOTA_C],0)+1)</f>
        <v>451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189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93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12</v>
      </c>
      <c r="E54" s="189"/>
      <c r="F54" s="26" t="s">
        <v>144</v>
      </c>
      <c r="G54" s="26" t="s">
        <v>87</v>
      </c>
      <c r="H54" s="31" t="s">
        <v>178</v>
      </c>
      <c r="I54" s="26"/>
      <c r="J54" s="51">
        <v>44930</v>
      </c>
      <c r="K54" s="26"/>
      <c r="L54" s="26" t="s">
        <v>179</v>
      </c>
      <c r="M54" s="39">
        <v>25</v>
      </c>
      <c r="N54" s="26">
        <v>5000</v>
      </c>
      <c r="O54" s="26" t="s">
        <v>90</v>
      </c>
      <c r="P54" s="49">
        <v>8750</v>
      </c>
      <c r="Q54" s="52"/>
      <c r="R54" s="39" t="s">
        <v>180</v>
      </c>
      <c r="S54" s="53"/>
      <c r="T54" s="53"/>
      <c r="U54" s="54"/>
      <c r="V54" s="37"/>
      <c r="W54" s="36">
        <f>IF(NOTA[[#This Row],[HARGA/ CTN]]="",NOTA[[#This Row],[JUMLAH_H]],NOTA[[#This Row],[HARGA/ CTN]]*IF(NOTA[[#This Row],[C]]="",0,NOTA[[#This Row],[C]]))</f>
        <v>43750000</v>
      </c>
      <c r="X54" s="36">
        <f>IF(NOTA[[#This Row],[JUMLAH]]="","",NOTA[[#This Row],[JUMLAH]]*NOTA[[#This Row],[DISC 1]])</f>
        <v>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0</v>
      </c>
      <c r="AA54" s="36">
        <f>IF(NOTA[[#This Row],[JUMLAH]]="","",NOTA[[#This Row],[JUMLAH]]-NOTA[[#This Row],[DISC]])</f>
        <v>43750000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54" s="36">
        <f>IF(OR(NOTA[[#This Row],[QTY]]="",NOTA[[#This Row],[HARGA SATUAN]]="",),"",NOTA[[#This Row],[QTY]]*NOTA[[#This Row],[HARGA SATUAN]])</f>
        <v>43750000</v>
      </c>
      <c r="AF54" s="33">
        <f ca="1">IF(NOTA[ID_H]="","",INDEX(NOTA[TANGGAL],MATCH(,INDIRECT(ADDRESS(ROW(NOTA[TANGGAL]),COLUMN(NOTA[TANGGAL]))&amp;":"&amp;ADDRESS(ROW(),COLUMN(NOTA[TANGGAL]))),-1)))</f>
        <v>44932</v>
      </c>
      <c r="AG54" s="28" t="str">
        <f ca="1">IF(NOTA[[#This Row],[NAMA BARANG]]="","",INDEX(NOTA[SUPPLIER],MATCH(,INDIRECT(ADDRESS(ROW(NOTA[ID]),COLUMN(NOTA[ID]))&amp;":"&amp;ADDRESS(ROW(),COLUMN(NOTA[ID]))),-1)))</f>
        <v>ETJ</v>
      </c>
      <c r="AH54" s="28" t="str">
        <f ca="1">IF(NOTA[[#This Row],[ID_H]]="","",IF(NOTA[[#This Row],[FAKTUR]]="",INDIRECT(ADDRESS(ROW()-1,COLUMN())),NOTA[[#This Row],[FAKTUR]]))</f>
        <v>UNTANA</v>
      </c>
      <c r="AI54" s="38">
        <f ca="1">IF(NOTA[[#This Row],[ID]]="","",COUNTIF(NOTA[ID_H],NOTA[[#This Row],[ID_H]]))</f>
        <v>9</v>
      </c>
      <c r="AJ54" s="38">
        <f>IF(NOTA[[#This Row],[TGL.NOTA]]="",IF(NOTA[[#This Row],[SUPPLIER_H]]="","",AJ53),MONTH(NOTA[[#This Row],[TGL.NOTA]]))</f>
        <v>1</v>
      </c>
      <c r="AK5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54" s="193">
        <f>IF(NOTA[[#This Row],[CONCAT1]]="","",MATCH(NOTA[[#This Row],[CONCAT1]],[2]!db[NB NOTA_C],0)+1)</f>
        <v>646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189"/>
      <c r="F55" s="26"/>
      <c r="G55" s="26"/>
      <c r="H55" s="31"/>
      <c r="I55" s="26"/>
      <c r="J55" s="51"/>
      <c r="K55" s="26"/>
      <c r="L55" s="26" t="s">
        <v>146</v>
      </c>
      <c r="M55" s="39">
        <v>3</v>
      </c>
      <c r="N55" s="26">
        <v>180</v>
      </c>
      <c r="O55" s="26" t="s">
        <v>90</v>
      </c>
      <c r="P55" s="49">
        <v>17500</v>
      </c>
      <c r="Q55" s="52"/>
      <c r="R55" s="39" t="s">
        <v>91</v>
      </c>
      <c r="S55" s="53"/>
      <c r="T55" s="53"/>
      <c r="U55" s="54"/>
      <c r="V55" s="37"/>
      <c r="W55" s="36">
        <f>IF(NOTA[[#This Row],[HARGA/ CTN]]="",NOTA[[#This Row],[JUMLAH_H]],NOTA[[#This Row],[HARGA/ CTN]]*IF(NOTA[[#This Row],[C]]="",0,NOTA[[#This Row],[C]]))</f>
        <v>3150000</v>
      </c>
      <c r="X55" s="36">
        <f>IF(NOTA[[#This Row],[JUMLAH]]="","",NOTA[[#This Row],[JUMLAH]]*NOTA[[#This Row],[DISC 1]])</f>
        <v>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0</v>
      </c>
      <c r="AA55" s="36">
        <f>IF(NOTA[[#This Row],[JUMLAH]]="","",NOTA[[#This Row],[JUMLAH]]-NOTA[[#This Row],[DISC]])</f>
        <v>3150000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55" s="36">
        <f>IF(OR(NOTA[[#This Row],[QTY]]="",NOTA[[#This Row],[HARGA SATUAN]]="",),"",NOTA[[#This Row],[QTY]]*NOTA[[#This Row],[HARGA SATUAN]])</f>
        <v>3150000</v>
      </c>
      <c r="AF55" s="33">
        <f ca="1">IF(NOTA[ID_H]="","",INDEX(NOTA[TANGGAL],MATCH(,INDIRECT(ADDRESS(ROW(NOTA[TANGGAL]),COLUMN(NOTA[TANGGAL]))&amp;":"&amp;ADDRESS(ROW(),COLUMN(NOTA[TANGGAL]))),-1)))</f>
        <v>44932</v>
      </c>
      <c r="AG55" s="28" t="str">
        <f ca="1">IF(NOTA[[#This Row],[NAMA BARANG]]="","",INDEX(NOTA[SUPPLIER],MATCH(,INDIRECT(ADDRESS(ROW(NOTA[ID]),COLUMN(NOTA[ID]))&amp;":"&amp;ADDRESS(ROW(),COLUMN(NOTA[ID]))),-1)))</f>
        <v>ETJ</v>
      </c>
      <c r="AH55" s="28" t="str">
        <f ca="1">IF(NOTA[[#This Row],[ID_H]]="","",IF(NOTA[[#This Row],[FAKTUR]]="",INDIRECT(ADDRESS(ROW()-1,COLUMN())),NOTA[[#This Row],[FAKTUR]]))</f>
        <v>UNTANA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1</v>
      </c>
      <c r="AK55" s="38" t="str">
        <f>LOWER(SUBSTITUTE(SUBSTITUTE(SUBSTITUTE(SUBSTITUTE(SUBSTITUTE(SUBSTITUTE(SUBSTITUTE(SUBSTITUTE(SUBSTITUTE(NOTA[NAMA BARANG]," ",),".",""),"-",""),"(",""),")",""),",",""),"/",""),"""",""),"+",""))</f>
        <v>enterwbk802</v>
      </c>
      <c r="AL55" s="38" t="str">
        <f>IF(NOTA[C]="",NOTA[[#This Row],[CONCAT1]]&amp;NOTA[[#This Row],[HARGA SATUAN]],NOTA[[#This Row],[CONCAT1]]&amp;NOTA[[#This Row],[HARGA/ CTN_H]]&amp;NOTA[[#This Row],[DISC 1]]&amp;NOTA[[#This Row],[DISC 2]])</f>
        <v>enterwbk8021050000</v>
      </c>
      <c r="AM55" s="193">
        <f>IF(NOTA[[#This Row],[CONCAT1]]="","",MATCH(NOTA[[#This Row],[CONCAT1]],[2]!db[NB NOTA_C],0)+1)</f>
        <v>667</v>
      </c>
    </row>
    <row r="56" spans="1:39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190"/>
      <c r="F56" s="26"/>
      <c r="G56" s="26"/>
      <c r="H56" s="31"/>
      <c r="I56" s="32"/>
      <c r="J56" s="33"/>
      <c r="K56" s="32"/>
      <c r="L56" s="26" t="s">
        <v>181</v>
      </c>
      <c r="M56" s="34">
        <v>3</v>
      </c>
      <c r="N56" s="32">
        <v>144</v>
      </c>
      <c r="O56" s="26" t="s">
        <v>90</v>
      </c>
      <c r="P56" s="28">
        <v>27500</v>
      </c>
      <c r="Q56" s="46"/>
      <c r="R56" s="39" t="s">
        <v>105</v>
      </c>
      <c r="S56" s="35"/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3960000</v>
      </c>
      <c r="X56" s="36">
        <f>IF(NOTA[[#This Row],[JUMLAH]]="","",NOTA[[#This Row],[JUMLAH]]*NOTA[[#This Row],[DISC 1]])</f>
        <v>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0</v>
      </c>
      <c r="AA56" s="36">
        <f>IF(NOTA[[#This Row],[JUMLAH]]="","",NOTA[[#This Row],[JUMLAH]]-NOTA[[#This Row],[DISC]])</f>
        <v>3960000</v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56" s="36">
        <f>IF(OR(NOTA[[#This Row],[QTY]]="",NOTA[[#This Row],[HARGA SATUAN]]="",),"",NOTA[[#This Row],[QTY]]*NOTA[[#This Row],[HARGA SATUAN]])</f>
        <v>3960000</v>
      </c>
      <c r="AF56" s="33">
        <f ca="1">IF(NOTA[ID_H]="","",INDEX(NOTA[TANGGAL],MATCH(,INDIRECT(ADDRESS(ROW(NOTA[TANGGAL]),COLUMN(NOTA[TANGGAL]))&amp;":"&amp;ADDRESS(ROW(),COLUMN(NOTA[TANGGAL]))),-1)))</f>
        <v>44932</v>
      </c>
      <c r="AG56" s="28" t="str">
        <f ca="1">IF(NOTA[[#This Row],[NAMA BARANG]]="","",INDEX(NOTA[SUPPLIER],MATCH(,INDIRECT(ADDRESS(ROW(NOTA[ID]),COLUMN(NOTA[ID]))&amp;":"&amp;ADDRESS(ROW(),COLUMN(NOTA[ID]))),-1)))</f>
        <v>ETJ</v>
      </c>
      <c r="AH56" s="28" t="str">
        <f ca="1">IF(NOTA[[#This Row],[ID_H]]="","",IF(NOTA[[#This Row],[FAKTUR]]="",INDIRECT(ADDRESS(ROW()-1,COLUMN())),NOTA[[#This Row],[FAKTUR]]))</f>
        <v>UNTANA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enterwbb803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enterwbb8031320000</v>
      </c>
      <c r="AM56" s="193">
        <f>IF(NOTA[[#This Row],[CONCAT1]]="","",MATCH(NOTA[[#This Row],[CONCAT1]],[2]!db[NB NOTA_C],0)+1)</f>
        <v>666</v>
      </c>
    </row>
    <row r="57" spans="1:39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>
        <f ca="1">IF(NOTA[[#This Row],[NAMA BARANG]]="","",INDEX(NOTA[ID],MATCH(,INDIRECT(ADDRESS(ROW(NOTA[ID]),COLUMN(NOTA[ID]))&amp;":"&amp;ADDRESS(ROW(),COLUMN(NOTA[ID]))),-1)))</f>
        <v>12</v>
      </c>
      <c r="E57" s="190"/>
      <c r="F57" s="32"/>
      <c r="G57" s="32"/>
      <c r="H57" s="55"/>
      <c r="I57" s="32"/>
      <c r="J57" s="33"/>
      <c r="K57" s="32"/>
      <c r="L57" s="26" t="s">
        <v>249</v>
      </c>
      <c r="M57" s="34">
        <v>2</v>
      </c>
      <c r="N57" s="32">
        <v>16</v>
      </c>
      <c r="O57" s="26" t="s">
        <v>90</v>
      </c>
      <c r="P57" s="28">
        <v>120000</v>
      </c>
      <c r="Q57" s="46"/>
      <c r="R57" s="39" t="s">
        <v>182</v>
      </c>
      <c r="S57" s="35"/>
      <c r="T57" s="35"/>
      <c r="U57" s="36"/>
      <c r="V57" s="37" t="s">
        <v>96</v>
      </c>
      <c r="W57" s="36">
        <f>IF(NOTA[[#This Row],[HARGA/ CTN]]="",NOTA[[#This Row],[JUMLAH_H]],NOTA[[#This Row],[HARGA/ CTN]]*IF(NOTA[[#This Row],[C]]="",0,NOTA[[#This Row],[C]]))</f>
        <v>1920000</v>
      </c>
      <c r="X57" s="36">
        <f>IF(NOTA[[#This Row],[JUMLAH]]="","",NOTA[[#This Row],[JUMLAH]]*NOTA[[#This Row],[DISC 1]])</f>
        <v>0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0</v>
      </c>
      <c r="AA57" s="36">
        <f>IF(NOTA[[#This Row],[JUMLAH]]="","",NOTA[[#This Row],[JUMLAH]]-NOTA[[#This Row],[DISC]])</f>
        <v>1920000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7" s="36">
        <f>IF(OR(NOTA[[#This Row],[QTY]]="",NOTA[[#This Row],[HARGA SATUAN]]="",),"",NOTA[[#This Row],[QTY]]*NOTA[[#This Row],[HARGA SATUAN]])</f>
        <v>1920000</v>
      </c>
      <c r="AF57" s="33">
        <f ca="1">IF(NOTA[ID_H]="","",INDEX(NOTA[TANGGAL],MATCH(,INDIRECT(ADDRESS(ROW(NOTA[TANGGAL]),COLUMN(NOTA[TANGGAL]))&amp;":"&amp;ADDRESS(ROW(),COLUMN(NOTA[TANGGAL]))),-1)))</f>
        <v>44932</v>
      </c>
      <c r="AG57" s="28" t="str">
        <f ca="1">IF(NOTA[[#This Row],[NAMA BARANG]]="","",INDEX(NOTA[SUPPLIER],MATCH(,INDIRECT(ADDRESS(ROW(NOTA[ID]),COLUMN(NOTA[ID]))&amp;":"&amp;ADDRESS(ROW(),COLUMN(NOTA[ID]))),-1)))</f>
        <v>ETJ</v>
      </c>
      <c r="AH57" s="28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enterboxfilebentuk960000</v>
      </c>
      <c r="AM57" s="193">
        <f>IF(NOTA[[#This Row],[CONCAT1]]="","",MATCH(NOTA[[#This Row],[CONCAT1]],[2]!db[NB NOTA_C],0)+1)</f>
        <v>650</v>
      </c>
    </row>
    <row r="58" spans="1:39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12</v>
      </c>
      <c r="E58" s="190"/>
      <c r="F58" s="32"/>
      <c r="G58" s="32"/>
      <c r="H58" s="55"/>
      <c r="I58" s="32"/>
      <c r="J58" s="33"/>
      <c r="K58" s="32"/>
      <c r="L58" s="26" t="s">
        <v>183</v>
      </c>
      <c r="M58" s="34">
        <v>5</v>
      </c>
      <c r="N58" s="32">
        <v>300</v>
      </c>
      <c r="O58" s="26" t="s">
        <v>104</v>
      </c>
      <c r="P58" s="28">
        <v>12000</v>
      </c>
      <c r="Q58" s="46"/>
      <c r="R58" s="39" t="s">
        <v>185</v>
      </c>
      <c r="S58" s="35"/>
      <c r="T58" s="35"/>
      <c r="U58" s="36"/>
      <c r="V58" s="37" t="s">
        <v>184</v>
      </c>
      <c r="W58" s="36">
        <f>IF(NOTA[[#This Row],[HARGA/ CTN]]="",NOTA[[#This Row],[JUMLAH_H]],NOTA[[#This Row],[HARGA/ CTN]]*IF(NOTA[[#This Row],[C]]="",0,NOTA[[#This Row],[C]]))</f>
        <v>3600000</v>
      </c>
      <c r="X58" s="36">
        <f>IF(NOTA[[#This Row],[JUMLAH]]="","",NOTA[[#This Row],[JUMLAH]]*NOTA[[#This Row],[DISC 1]])</f>
        <v>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0</v>
      </c>
      <c r="AA58" s="36">
        <f>IF(NOTA[[#This Row],[JUMLAH]]="","",NOTA[[#This Row],[JUMLAH]]-NOTA[[#This Row],[DISC]])</f>
        <v>3600000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8" s="36">
        <f>IF(OR(NOTA[[#This Row],[QTY]]="",NOTA[[#This Row],[HARGA SATUAN]]="",),"",NOTA[[#This Row],[QTY]]*NOTA[[#This Row],[HARGA SATUAN]])</f>
        <v>3600000</v>
      </c>
      <c r="AF58" s="33">
        <f ca="1">IF(NOTA[ID_H]="","",INDEX(NOTA[TANGGAL],MATCH(,INDIRECT(ADDRESS(ROW(NOTA[TANGGAL]),COLUMN(NOTA[TANGGAL]))&amp;":"&amp;ADDRESS(ROW(),COLUMN(NOTA[TANGGAL]))),-1)))</f>
        <v>44932</v>
      </c>
      <c r="AG58" s="28" t="str">
        <f ca="1">IF(NOTA[[#This Row],[NAMA BARANG]]="","",INDEX(NOTA[SUPPLIER],MATCH(,INDIRECT(ADDRESS(ROW(NOTA[ID]),COLUMN(NOTA[ID]))&amp;":"&amp;ADDRESS(ROW(),COLUMN(NOTA[ID]))),-1)))</f>
        <v>ETJ</v>
      </c>
      <c r="AH58" s="28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L58" s="38" t="str">
        <f>IF(NOTA[C]="",NOTA[[#This Row],[CONCAT1]]&amp;NOTA[[#This Row],[HARGA SATUAN]],NOTA[[#This Row],[CONCAT1]]&amp;NOTA[[#This Row],[HARGA/ CTN_H]]&amp;NOTA[[#This Row],[DISC 1]]&amp;NOTA[[#This Row],[DISC 2]])</f>
        <v>enterboxfilekcgbf567720000</v>
      </c>
      <c r="AM58" s="193">
        <f>IF(NOTA[[#This Row],[CONCAT1]]="","",MATCH(NOTA[[#This Row],[CONCAT1]],[2]!db[NB NOTA_C],0)+1)</f>
        <v>651</v>
      </c>
    </row>
    <row r="59" spans="1:39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12</v>
      </c>
      <c r="E59" s="190"/>
      <c r="F59" s="32"/>
      <c r="G59" s="32"/>
      <c r="H59" s="55"/>
      <c r="I59" s="32"/>
      <c r="J59" s="33"/>
      <c r="K59" s="32"/>
      <c r="L59" s="26" t="s">
        <v>186</v>
      </c>
      <c r="M59" s="34">
        <v>2</v>
      </c>
      <c r="N59" s="32">
        <v>7200</v>
      </c>
      <c r="O59" s="26" t="s">
        <v>104</v>
      </c>
      <c r="P59" s="28">
        <v>550</v>
      </c>
      <c r="Q59" s="46"/>
      <c r="R59" s="39" t="s">
        <v>187</v>
      </c>
      <c r="S59" s="35"/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3960000</v>
      </c>
      <c r="X59" s="36">
        <f>IF(NOTA[[#This Row],[JUMLAH]]="","",NOTA[[#This Row],[JUMLAH]]*NOTA[[#This Row],[DISC 1]])</f>
        <v>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0</v>
      </c>
      <c r="AA59" s="36">
        <f>IF(NOTA[[#This Row],[JUMLAH]]="","",NOTA[[#This Row],[JUMLAH]]-NOTA[[#This Row],[DISC]])</f>
        <v>3960000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9" s="36">
        <f>IF(OR(NOTA[[#This Row],[QTY]]="",NOTA[[#This Row],[HARGA SATUAN]]="",),"",NOTA[[#This Row],[QTY]]*NOTA[[#This Row],[HARGA SATUAN]])</f>
        <v>3960000</v>
      </c>
      <c r="AF59" s="33">
        <f ca="1">IF(NOTA[ID_H]="","",INDEX(NOTA[TANGGAL],MATCH(,INDIRECT(ADDRESS(ROW(NOTA[TANGGAL]),COLUMN(NOTA[TANGGAL]))&amp;":"&amp;ADDRESS(ROW(),COLUMN(NOTA[TANGGAL]))),-1)))</f>
        <v>44932</v>
      </c>
      <c r="AG59" s="28" t="str">
        <f ca="1">IF(NOTA[[#This Row],[NAMA BARANG]]="","",INDEX(NOTA[SUPPLIER],MATCH(,INDIRECT(ADDRESS(ROW(NOTA[ID]),COLUMN(NOTA[ID]))&amp;":"&amp;ADDRESS(ROW(),COLUMN(NOTA[ID]))),-1)))</f>
        <v>ETJ</v>
      </c>
      <c r="AH59" s="28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enterbktabungan1980000</v>
      </c>
      <c r="AM59" s="193">
        <f>IF(NOTA[[#This Row],[CONCAT1]]="","",MATCH(NOTA[[#This Row],[CONCAT1]],[2]!db[NB NOTA_C],0)+1)</f>
        <v>649</v>
      </c>
    </row>
    <row r="60" spans="1:39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12</v>
      </c>
      <c r="E60" s="190"/>
      <c r="F60" s="32"/>
      <c r="G60" s="32"/>
      <c r="H60" s="55"/>
      <c r="I60" s="32"/>
      <c r="J60" s="33"/>
      <c r="K60" s="32"/>
      <c r="L60" s="26" t="s">
        <v>190</v>
      </c>
      <c r="M60" s="34">
        <v>1</v>
      </c>
      <c r="N60" s="32">
        <v>120</v>
      </c>
      <c r="O60" s="26" t="s">
        <v>90</v>
      </c>
      <c r="P60" s="28">
        <v>7500</v>
      </c>
      <c r="Q60" s="46"/>
      <c r="R60" s="39" t="s">
        <v>188</v>
      </c>
      <c r="S60" s="35"/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900000</v>
      </c>
      <c r="X60" s="36">
        <f>IF(NOTA[[#This Row],[JUMLAH]]="","",NOTA[[#This Row],[JUMLAH]]*NOTA[[#This Row],[DISC 1]])</f>
        <v>0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0</v>
      </c>
      <c r="AA60" s="36">
        <f>IF(NOTA[[#This Row],[JUMLAH]]="","",NOTA[[#This Row],[JUMLAH]]-NOTA[[#This Row],[DISC]])</f>
        <v>900000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0" s="36">
        <f>IF(OR(NOTA[[#This Row],[QTY]]="",NOTA[[#This Row],[HARGA SATUAN]]="",),"",NOTA[[#This Row],[QTY]]*NOTA[[#This Row],[HARGA SATUAN]])</f>
        <v>900000</v>
      </c>
      <c r="AF60" s="33">
        <f ca="1">IF(NOTA[ID_H]="","",INDEX(NOTA[TANGGAL],MATCH(,INDIRECT(ADDRESS(ROW(NOTA[TANGGAL]),COLUMN(NOTA[TANGGAL]))&amp;":"&amp;ADDRESS(ROW(),COLUMN(NOTA[TANGGAL]))),-1)))</f>
        <v>44932</v>
      </c>
      <c r="AG60" s="28" t="str">
        <f ca="1">IF(NOTA[[#This Row],[NAMA BARANG]]="","",INDEX(NOTA[SUPPLIER],MATCH(,INDIRECT(ADDRESS(ROW(NOTA[ID]),COLUMN(NOTA[ID]))&amp;":"&amp;ADDRESS(ROW(),COLUMN(NOTA[ID]))),-1)))</f>
        <v>ETJ</v>
      </c>
      <c r="AH60" s="28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palletdopsakura201900000</v>
      </c>
      <c r="AM60" s="193">
        <f>IF(NOTA[[#This Row],[CONCAT1]]="","",MATCH(NOTA[[#This Row],[CONCAT1]],[2]!db[NB NOTA_C],0)+1)</f>
        <v>1598</v>
      </c>
    </row>
    <row r="61" spans="1:39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12</v>
      </c>
      <c r="E61" s="190"/>
      <c r="F61" s="32"/>
      <c r="G61" s="32"/>
      <c r="H61" s="55"/>
      <c r="I61" s="32"/>
      <c r="J61" s="33"/>
      <c r="K61" s="32"/>
      <c r="L61" s="26" t="s">
        <v>189</v>
      </c>
      <c r="M61" s="34">
        <v>1</v>
      </c>
      <c r="N61" s="32">
        <v>120</v>
      </c>
      <c r="O61" s="26" t="s">
        <v>90</v>
      </c>
      <c r="P61" s="28">
        <v>7500</v>
      </c>
      <c r="Q61" s="46"/>
      <c r="R61" s="39" t="s">
        <v>188</v>
      </c>
      <c r="S61" s="35"/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900000</v>
      </c>
      <c r="X61" s="36">
        <f>IF(NOTA[[#This Row],[JUMLAH]]="","",NOTA[[#This Row],[JUMLAH]]*NOTA[[#This Row],[DISC 1]])</f>
        <v>0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0</v>
      </c>
      <c r="AA61" s="36">
        <f>IF(NOTA[[#This Row],[JUMLAH]]="","",NOTA[[#This Row],[JUMLAH]]-NOTA[[#This Row],[DISC]])</f>
        <v>900000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1" s="36">
        <f>IF(OR(NOTA[[#This Row],[QTY]]="",NOTA[[#This Row],[HARGA SATUAN]]="",),"",NOTA[[#This Row],[QTY]]*NOTA[[#This Row],[HARGA SATUAN]])</f>
        <v>900000</v>
      </c>
      <c r="AF61" s="33">
        <f ca="1">IF(NOTA[ID_H]="","",INDEX(NOTA[TANGGAL],MATCH(,INDIRECT(ADDRESS(ROW(NOTA[TANGGAL]),COLUMN(NOTA[TANGGAL]))&amp;":"&amp;ADDRESS(ROW(),COLUMN(NOTA[TANGGAL]))),-1)))</f>
        <v>44932</v>
      </c>
      <c r="AG61" s="28" t="str">
        <f ca="1">IF(NOTA[[#This Row],[NAMA BARANG]]="","",INDEX(NOTA[SUPPLIER],MATCH(,INDIRECT(ADDRESS(ROW(NOTA[ID]),COLUMN(NOTA[ID]))&amp;":"&amp;ADDRESS(ROW(),COLUMN(NOTA[ID]))),-1)))</f>
        <v>ETJ</v>
      </c>
      <c r="AH61" s="28" t="str">
        <f ca="1">IF(NOTA[[#This Row],[ID_H]]="","",IF(NOTA[[#This Row],[FAKTUR]]="",INDIRECT(ADDRESS(ROW()-1,COLUMN())),NOTA[[#This Row],[FAKTUR]]))</f>
        <v>UNTANA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1</v>
      </c>
      <c r="AK61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61" s="38" t="str">
        <f>IF(NOTA[C]="",NOTA[[#This Row],[CONCAT1]]&amp;NOTA[[#This Row],[HARGA SATUAN]],NOTA[[#This Row],[CONCAT1]]&amp;NOTA[[#This Row],[HARGA/ CTN_H]]&amp;NOTA[[#This Row],[DISC 1]]&amp;NOTA[[#This Row],[DISC 2]])</f>
        <v>palletdopkepiting202900000</v>
      </c>
      <c r="AM61" s="193">
        <f>IF(NOTA[[#This Row],[CONCAT1]]="","",MATCH(NOTA[[#This Row],[CONCAT1]],[2]!db[NB NOTA_C],0)+1)</f>
        <v>1597</v>
      </c>
    </row>
    <row r="62" spans="1:39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12</v>
      </c>
      <c r="E62" s="190"/>
      <c r="F62" s="26"/>
      <c r="G62" s="26"/>
      <c r="H62" s="31"/>
      <c r="I62" s="32"/>
      <c r="J62" s="33"/>
      <c r="K62" s="32"/>
      <c r="L62" s="26" t="s">
        <v>191</v>
      </c>
      <c r="M62" s="34">
        <v>1</v>
      </c>
      <c r="N62" s="32">
        <v>8</v>
      </c>
      <c r="O62" s="26" t="s">
        <v>90</v>
      </c>
      <c r="P62" s="28">
        <v>115000</v>
      </c>
      <c r="Q62" s="46"/>
      <c r="R62" s="39" t="s">
        <v>182</v>
      </c>
      <c r="S62" s="35"/>
      <c r="T62" s="35"/>
      <c r="U62" s="36"/>
      <c r="V62" s="37"/>
      <c r="W62" s="36">
        <f>IF(NOTA[[#This Row],[HARGA/ CTN]]="",NOTA[[#This Row],[JUMLAH_H]],NOTA[[#This Row],[HARGA/ CTN]]*IF(NOTA[[#This Row],[C]]="",0,NOTA[[#This Row],[C]]))</f>
        <v>920000</v>
      </c>
      <c r="X62" s="36">
        <f>IF(NOTA[[#This Row],[JUMLAH]]="","",NOTA[[#This Row],[JUMLAH]]*NOTA[[#This Row],[DISC 1]])</f>
        <v>0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0</v>
      </c>
      <c r="AA62" s="36">
        <f>IF(NOTA[[#This Row],[JUMLAH]]="","",NOTA[[#This Row],[JUMLAH]]-NOTA[[#This Row],[DISC]])</f>
        <v>920000</v>
      </c>
      <c r="AB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62" s="36">
        <f>IF(OR(NOTA[[#This Row],[QTY]]="",NOTA[[#This Row],[HARGA SATUAN]]="",),"",NOTA[[#This Row],[QTY]]*NOTA[[#This Row],[HARGA SATUAN]])</f>
        <v>920000</v>
      </c>
      <c r="AF62" s="33">
        <f ca="1">IF(NOTA[ID_H]="","",INDEX(NOTA[TANGGAL],MATCH(,INDIRECT(ADDRESS(ROW(NOTA[TANGGAL]),COLUMN(NOTA[TANGGAL]))&amp;":"&amp;ADDRESS(ROW(),COLUMN(NOTA[TANGGAL]))),-1)))</f>
        <v>44932</v>
      </c>
      <c r="AG62" s="28" t="str">
        <f ca="1">IF(NOTA[[#This Row],[NAMA BARANG]]="","",INDEX(NOTA[SUPPLIER],MATCH(,INDIRECT(ADDRESS(ROW(NOTA[ID]),COLUMN(NOTA[ID]))&amp;":"&amp;ADDRESS(ROW(),COLUMN(NOTA[ID]))),-1)))</f>
        <v>ETJ</v>
      </c>
      <c r="AH62" s="28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entercboard03antipecah920000</v>
      </c>
      <c r="AM62" s="193">
        <f>IF(NOTA[[#This Row],[CONCAT1]]="","",MATCH(NOTA[[#This Row],[CONCAT1]],[2]!db[NB NOTA_C],0)+1)</f>
        <v>655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6" t="str">
        <f>IF(NOTA[[#This Row],[ID_P]]="","",MATCH(NOTA[[#This Row],[ID_P]],[1]!B_MSK[N_ID],0))</f>
        <v/>
      </c>
      <c r="D63" s="26" t="str">
        <f ca="1">IF(NOTA[[#This Row],[NAMA BARANG]]="","",INDEX(NOTA[ID],MATCH(,INDIRECT(ADDRESS(ROW(NOTA[ID]),COLUMN(NOTA[ID]))&amp;":"&amp;ADDRESS(ROW(),COLUMN(NOTA[ID]))),-1)))</f>
        <v/>
      </c>
      <c r="E63" s="189"/>
      <c r="F63" s="26"/>
      <c r="G63" s="26"/>
      <c r="H63" s="31"/>
      <c r="I63" s="51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93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64" s="26" t="e">
        <f ca="1">IF(NOTA[[#This Row],[ID_P]]="","",MATCH(NOTA[[#This Row],[ID_P]],[1]!B_MSK[N_ID],0))</f>
        <v>#REF!</v>
      </c>
      <c r="D64" s="26">
        <f ca="1">IF(NOTA[[#This Row],[NAMA BARANG]]="","",INDEX(NOTA[ID],MATCH(,INDIRECT(ADDRESS(ROW(NOTA[ID]),COLUMN(NOTA[ID]))&amp;":"&amp;ADDRESS(ROW(),COLUMN(NOTA[ID]))),-1)))</f>
        <v>13</v>
      </c>
      <c r="E64" s="189">
        <v>44930</v>
      </c>
      <c r="F64" s="26" t="s">
        <v>144</v>
      </c>
      <c r="G64" s="26" t="s">
        <v>87</v>
      </c>
      <c r="H64" s="31" t="s">
        <v>192</v>
      </c>
      <c r="I64" s="26"/>
      <c r="J64" s="51">
        <v>44930</v>
      </c>
      <c r="K64" s="26"/>
      <c r="L64" s="26" t="s">
        <v>193</v>
      </c>
      <c r="M64" s="39">
        <v>20</v>
      </c>
      <c r="N64" s="26">
        <v>240</v>
      </c>
      <c r="O64" s="26" t="s">
        <v>90</v>
      </c>
      <c r="P64" s="49">
        <v>38000</v>
      </c>
      <c r="Q64" s="52"/>
      <c r="R64" s="39" t="s">
        <v>100</v>
      </c>
      <c r="S64" s="53"/>
      <c r="T64" s="53"/>
      <c r="U64" s="54"/>
      <c r="V64" s="37" t="s">
        <v>194</v>
      </c>
      <c r="W64" s="54">
        <f>IF(NOTA[[#This Row],[HARGA/ CTN]]="",NOTA[[#This Row],[JUMLAH_H]],NOTA[[#This Row],[HARGA/ CTN]]*IF(NOTA[[#This Row],[C]]="",0,NOTA[[#This Row],[C]]))</f>
        <v>9120000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9120000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64" s="54">
        <f>IF(OR(NOTA[[#This Row],[QTY]]="",NOTA[[#This Row],[HARGA SATUAN]]="",),"",NOTA[[#This Row],[QTY]]*NOTA[[#This Row],[HARGA SATUAN]])</f>
        <v>9120000</v>
      </c>
      <c r="AF64" s="51">
        <f ca="1">IF(NOTA[ID_H]="","",INDEX(NOTA[TANGGAL],MATCH(,INDIRECT(ADDRESS(ROW(NOTA[TANGGAL]),COLUMN(NOTA[TANGGAL]))&amp;":"&amp;ADDRESS(ROW(),COLUMN(NOTA[TANGGAL]))),-1)))</f>
        <v>44930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entercboardkayu456000</v>
      </c>
      <c r="AM64" s="193">
        <f>IF(NOTA[[#This Row],[CONCAT1]]="","",MATCH(NOTA[[#This Row],[CONCAT1]],[2]!db[NB NOTA_C],0)+1)</f>
        <v>656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6" t="str">
        <f>IF(NOTA[[#This Row],[ID_P]]="","",MATCH(NOTA[[#This Row],[ID_P]],[1]!B_MSK[N_ID],0))</f>
        <v/>
      </c>
      <c r="D65" s="26" t="str">
        <f ca="1">IF(NOTA[[#This Row],[NAMA BARANG]]="","",INDEX(NOTA[ID],MATCH(,INDIRECT(ADDRESS(ROW(NOTA[ID]),COLUMN(NOTA[ID]))&amp;":"&amp;ADDRESS(ROW(),COLUMN(NOTA[ID]))),-1)))</f>
        <v/>
      </c>
      <c r="E65" s="189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93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66" s="26" t="e">
        <f ca="1">IF(NOTA[[#This Row],[ID_P]]="","",MATCH(NOTA[[#This Row],[ID_P]],[1]!B_MSK[N_ID],0))</f>
        <v>#REF!</v>
      </c>
      <c r="D66" s="26">
        <f ca="1">IF(NOTA[[#This Row],[NAMA BARANG]]="","",INDEX(NOTA[ID],MATCH(,INDIRECT(ADDRESS(ROW(NOTA[ID]),COLUMN(NOTA[ID]))&amp;":"&amp;ADDRESS(ROW(),COLUMN(NOTA[ID]))),-1)))</f>
        <v>14</v>
      </c>
      <c r="E66" s="189"/>
      <c r="F66" s="26" t="s">
        <v>144</v>
      </c>
      <c r="G66" s="26" t="s">
        <v>87</v>
      </c>
      <c r="H66" s="31" t="s">
        <v>195</v>
      </c>
      <c r="I66" s="26"/>
      <c r="J66" s="51">
        <v>44930</v>
      </c>
      <c r="K66" s="26"/>
      <c r="L66" s="26" t="s">
        <v>250</v>
      </c>
      <c r="M66" s="39">
        <v>2</v>
      </c>
      <c r="N66" s="26">
        <v>200</v>
      </c>
      <c r="O66" s="26" t="s">
        <v>95</v>
      </c>
      <c r="P66" s="49">
        <v>17500</v>
      </c>
      <c r="Q66" s="52"/>
      <c r="R66" s="39" t="s">
        <v>122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3500000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3500000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66" s="54">
        <f>IF(OR(NOTA[[#This Row],[QTY]]="",NOTA[[#This Row],[HARGA SATUAN]]="",),"",NOTA[[#This Row],[QTY]]*NOTA[[#This Row],[HARGA SATUAN]])</f>
        <v>3500000</v>
      </c>
      <c r="AF66" s="51">
        <f ca="1">IF(NOTA[ID_H]="","",INDEX(NOTA[TANGGAL],MATCH(,INDIRECT(ADDRESS(ROW(NOTA[TANGGAL]),COLUMN(NOTA[TANGGAL]))&amp;":"&amp;ADDRESS(ROW(),COLUMN(NOTA[TANGGAL]))),-1)))</f>
        <v>44930</v>
      </c>
      <c r="AG66" s="65" t="str">
        <f ca="1">IF(NOTA[[#This Row],[NAMA BARANG]]="","",INDEX(NOTA[SUPPLIER],MATCH(,INDIRECT(ADDRESS(ROW(NOTA[ID]),COLUMN(NOTA[ID]))&amp;":"&amp;ADDRESS(ROW(),COLUMN(NOTA[ID]))),-1)))</f>
        <v>ETJ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Row],[SUPPLIER_H]]="","",AJ65),MONTH(NOTA[[#This Row],[TGL.NOTA]]))</f>
        <v>1</v>
      </c>
      <c r="AK66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kojikokabsendmrh1750000</v>
      </c>
      <c r="AM66" s="193">
        <f>IF(NOTA[[#This Row],[CONCAT1]]="","",MATCH(NOTA[[#This Row],[CONCAT1]],[2]!db[NB NOTA_C],0)+1)</f>
        <v>1322</v>
      </c>
    </row>
    <row r="67" spans="1:39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Row],[ID_P]]="","",MATCH(NOTA[[#This Row],[ID_P]],[1]!B_MSK[N_ID],0))</f>
        <v/>
      </c>
      <c r="D67" s="29">
        <f ca="1">IF(NOTA[[#This Row],[NAMA BARANG]]="","",INDEX(NOTA[ID],MATCH(,INDIRECT(ADDRESS(ROW(NOTA[ID]),COLUMN(NOTA[ID]))&amp;":"&amp;ADDRESS(ROW(),COLUMN(NOTA[ID]))),-1)))</f>
        <v>14</v>
      </c>
      <c r="E67" s="190"/>
      <c r="F67" s="26"/>
      <c r="G67" s="26"/>
      <c r="H67" s="31"/>
      <c r="I67" s="32"/>
      <c r="J67" s="33"/>
      <c r="K67" s="32"/>
      <c r="L67" s="26" t="s">
        <v>196</v>
      </c>
      <c r="M67" s="34">
        <v>2</v>
      </c>
      <c r="N67" s="26">
        <v>32</v>
      </c>
      <c r="O67" s="26" t="s">
        <v>90</v>
      </c>
      <c r="P67" s="28">
        <v>55000</v>
      </c>
      <c r="Q67" s="46"/>
      <c r="R67" s="39" t="s">
        <v>197</v>
      </c>
      <c r="S67" s="35"/>
      <c r="T67" s="35"/>
      <c r="U67" s="36"/>
      <c r="V67" s="37"/>
      <c r="W67" s="36">
        <f>IF(NOTA[[#This Row],[HARGA/ CTN]]="",NOTA[[#This Row],[JUMLAH_H]],NOTA[[#This Row],[HARGA/ CTN]]*IF(NOTA[[#This Row],[C]]="",0,NOTA[[#This Row],[C]]))</f>
        <v>1760000</v>
      </c>
      <c r="X67" s="36">
        <f>IF(NOTA[[#This Row],[JUMLAH]]="","",NOTA[[#This Row],[JUMLAH]]*NOTA[[#This Row],[DISC 1]])</f>
        <v>0</v>
      </c>
      <c r="Y67" s="36">
        <f>IF(NOTA[[#This Row],[JUMLAH]]="","",(NOTA[[#This Row],[JUMLAH]]-NOTA[[#This Row],[DISC 1-]])*NOTA[[#This Row],[DISC 2]])</f>
        <v>0</v>
      </c>
      <c r="Z67" s="36">
        <f>IF(NOTA[[#This Row],[JUMLAH]]="","",NOTA[[#This Row],[DISC 1-]]+NOTA[[#This Row],[DISC 2-]])</f>
        <v>0</v>
      </c>
      <c r="AA67" s="36">
        <f>IF(NOTA[[#This Row],[JUMLAH]]="","",NOTA[[#This Row],[JUMLAH]]-NOTA[[#This Row],[DISC]])</f>
        <v>1760000</v>
      </c>
      <c r="AB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67" s="36">
        <f>IF(OR(NOTA[[#This Row],[QTY]]="",NOTA[[#This Row],[HARGA SATUAN]]="",),"",NOTA[[#This Row],[QTY]]*NOTA[[#This Row],[HARGA SATUAN]])</f>
        <v>1760000</v>
      </c>
      <c r="AF67" s="33">
        <f ca="1">IF(NOTA[ID_H]="","",INDEX(NOTA[TANGGAL],MATCH(,INDIRECT(ADDRESS(ROW(NOTA[TANGGAL]),COLUMN(NOTA[TANGGAL]))&amp;":"&amp;ADDRESS(ROW(),COLUMN(NOTA[TANGGAL]))),-1)))</f>
        <v>44930</v>
      </c>
      <c r="AG67" s="28" t="str">
        <f ca="1">IF(NOTA[[#This Row],[NAMA BARANG]]="","",INDEX(NOTA[SUPPLIER],MATCH(,INDIRECT(ADDRESS(ROW(NOTA[ID]),COLUMN(NOTA[ID]))&amp;":"&amp;ADDRESS(ROW(),COLUMN(NOTA[ID]))),-1)))</f>
        <v>ETJ</v>
      </c>
      <c r="AH67" s="28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Row],[SUPPLIER_H]]="","",AJ36),MONTH(NOTA[[#This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enterbtamukembang880000</v>
      </c>
      <c r="AM67" s="193">
        <f>IF(NOTA[[#This Row],[CONCAT1]]="","",MATCH(NOTA[[#This Row],[CONCAT1]],[2]!db[NB NOTA_C],0)+1)</f>
        <v>648</v>
      </c>
    </row>
    <row r="68" spans="1:39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Row],[ID_P]]="","",MATCH(NOTA[[#This Row],[ID_P]],[1]!B_MSK[N_ID],0))</f>
        <v/>
      </c>
      <c r="D68" s="29">
        <f ca="1">IF(NOTA[[#This Row],[NAMA BARANG]]="","",INDEX(NOTA[ID],MATCH(,INDIRECT(ADDRESS(ROW(NOTA[ID]),COLUMN(NOTA[ID]))&amp;":"&amp;ADDRESS(ROW(),COLUMN(NOTA[ID]))),-1)))</f>
        <v>14</v>
      </c>
      <c r="E68" s="190"/>
      <c r="F68" s="26"/>
      <c r="G68" s="26"/>
      <c r="H68" s="31"/>
      <c r="I68" s="32"/>
      <c r="J68" s="33"/>
      <c r="K68" s="32"/>
      <c r="L68" s="26" t="s">
        <v>198</v>
      </c>
      <c r="M68" s="34">
        <v>2</v>
      </c>
      <c r="N68" s="32">
        <v>20</v>
      </c>
      <c r="O68" s="26" t="s">
        <v>90</v>
      </c>
      <c r="P68" s="28">
        <v>55000</v>
      </c>
      <c r="Q68" s="46"/>
      <c r="R68" s="39" t="s">
        <v>176</v>
      </c>
      <c r="S68" s="35"/>
      <c r="T68" s="35"/>
      <c r="U68" s="36"/>
      <c r="V68" s="37"/>
      <c r="W68" s="36">
        <f>IF(NOTA[[#This Row],[HARGA/ CTN]]="",NOTA[[#This Row],[JUMLAH_H]],NOTA[[#This Row],[HARGA/ CTN]]*IF(NOTA[[#This Row],[C]]="",0,NOTA[[#This Row],[C]]))</f>
        <v>1100000</v>
      </c>
      <c r="X68" s="36">
        <f>IF(NOTA[[#This Row],[JUMLAH]]="","",NOTA[[#This Row],[JUMLAH]]*NOTA[[#This Row],[DISC 1]])</f>
        <v>0</v>
      </c>
      <c r="Y68" s="36">
        <f>IF(NOTA[[#This Row],[JUMLAH]]="","",(NOTA[[#This Row],[JUMLAH]]-NOTA[[#This Row],[DISC 1-]])*NOTA[[#This Row],[DISC 2]])</f>
        <v>0</v>
      </c>
      <c r="Z68" s="36">
        <f>IF(NOTA[[#This Row],[JUMLAH]]="","",NOTA[[#This Row],[DISC 1-]]+NOTA[[#This Row],[DISC 2-]])</f>
        <v>0</v>
      </c>
      <c r="AA68" s="36">
        <f>IF(NOTA[[#This Row],[JUMLAH]]="","",NOTA[[#This Row],[JUMLAH]]-NOTA[[#This Row],[DISC]])</f>
        <v>1100000</v>
      </c>
      <c r="AB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D68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E68" s="36">
        <f>IF(OR(NOTA[[#This Row],[QTY]]="",NOTA[[#This Row],[HARGA SATUAN]]="",),"",NOTA[[#This Row],[QTY]]*NOTA[[#This Row],[HARGA SATUAN]])</f>
        <v>1100000</v>
      </c>
      <c r="AF68" s="33">
        <f ca="1">IF(NOTA[ID_H]="","",INDEX(NOTA[TANGGAL],MATCH(,INDIRECT(ADDRESS(ROW(NOTA[TANGGAL]),COLUMN(NOTA[TANGGAL]))&amp;":"&amp;ADDRESS(ROW(),COLUMN(NOTA[TANGGAL]))),-1)))</f>
        <v>44930</v>
      </c>
      <c r="AG68" s="28" t="str">
        <f ca="1">IF(NOTA[[#This Row],[NAMA BARANG]]="","",INDEX(NOTA[SUPPLIER],MATCH(,INDIRECT(ADDRESS(ROW(NOTA[ID]),COLUMN(NOTA[ID]))&amp;":"&amp;ADDRESS(ROW(),COLUMN(NOTA[ID]))),-1)))</f>
        <v>ETJ</v>
      </c>
      <c r="AH68" s="28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1</v>
      </c>
      <c r="AK68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enterbtamubatik550000</v>
      </c>
      <c r="AM68" s="193">
        <f>IF(NOTA[[#This Row],[CONCAT1]]="","",MATCH(NOTA[[#This Row],[CONCAT1]],[2]!db[NB NOTA_C],0)+1)</f>
        <v>647</v>
      </c>
    </row>
    <row r="69" spans="1:39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Row],[ID_P]]="","",MATCH(NOTA[[#This Row],[ID_P]],[1]!B_MSK[N_ID],0))</f>
        <v/>
      </c>
      <c r="D69" s="29" t="str">
        <f ca="1">IF(NOTA[[#This Row],[NAMA BARANG]]="","",INDEX(NOTA[ID],MATCH(,INDIRECT(ADDRESS(ROW(NOTA[ID]),COLUMN(NOTA[ID]))&amp;":"&amp;ADDRESS(ROW(),COLUMN(NOTA[ID]))),-1)))</f>
        <v/>
      </c>
      <c r="E69" s="30"/>
      <c r="F69" s="26"/>
      <c r="G69" s="26"/>
      <c r="H69" s="31"/>
      <c r="I69" s="32"/>
      <c r="J69" s="33"/>
      <c r="K69" s="32"/>
      <c r="L69" s="26"/>
      <c r="M69" s="34"/>
      <c r="N69" s="32"/>
      <c r="O69" s="26"/>
      <c r="P69" s="28"/>
      <c r="Q69" s="46"/>
      <c r="R69" s="34"/>
      <c r="S69" s="35"/>
      <c r="T69" s="35"/>
      <c r="U69" s="36"/>
      <c r="V69" s="37"/>
      <c r="W69" s="36" t="str">
        <f>IF(NOTA[[#This Row],[HARGA/ CTN]]="",NOTA[[#This Row],[JUMLAH_H]],NOTA[[#This Row],[HARGA/ CTN]]*IF(NOTA[[#This Row],[C]]="",0,NOTA[[#This Row],[C]]))</f>
        <v/>
      </c>
      <c r="X69" s="36" t="str">
        <f>IF(NOTA[[#This Row],[JUMLAH]]="","",NOTA[[#This Row],[JUMLAH]]*NOTA[[#This Row],[DISC 1]])</f>
        <v/>
      </c>
      <c r="Y69" s="36" t="str">
        <f>IF(NOTA[[#This Row],[JUMLAH]]="","",(NOTA[[#This Row],[JUMLAH]]-NOTA[[#This Row],[DISC 1-]])*NOTA[[#This Row],[DISC 2]])</f>
        <v/>
      </c>
      <c r="Z69" s="36" t="str">
        <f>IF(NOTA[[#This Row],[JUMLAH]]="","",NOTA[[#This Row],[DISC 1-]]+NOTA[[#This Row],[DISC 2-]])</f>
        <v/>
      </c>
      <c r="AA69" s="36" t="str">
        <f>IF(NOTA[[#This Row],[JUMLAH]]="","",NOTA[[#This Row],[JUMLAH]]-NOTA[[#This Row],[DISC]])</f>
        <v/>
      </c>
      <c r="AB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36" t="str">
        <f>IF(OR(NOTA[[#This Row],[QTY]]="",NOTA[[#This Row],[HARGA SATUAN]]="",),"",NOTA[[#This Row],[QTY]]*NOTA[[#This Row],[HARGA SATUAN]])</f>
        <v/>
      </c>
      <c r="AF69" s="33" t="str">
        <f ca="1">IF(NOTA[ID_H]="","",INDEX(NOTA[TANGGAL],MATCH(,INDIRECT(ADDRESS(ROW(NOTA[TANGGAL]),COLUMN(NOTA[TANGGAL]))&amp;":"&amp;ADDRESS(ROW(),COLUMN(NOTA[TANGGAL]))),-1)))</f>
        <v/>
      </c>
      <c r="AG69" s="28" t="str">
        <f ca="1">IF(NOTA[[#This Row],[NAMA BARANG]]="","",INDEX(NOTA[SUPPLIER],MATCH(,INDIRECT(ADDRESS(ROW(NOTA[ID]),COLUMN(NOTA[ID]))&amp;":"&amp;ADDRESS(ROW(),COLUMN(NOTA[ID]))),-1)))</f>
        <v/>
      </c>
      <c r="AH69" s="28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93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15</v>
      </c>
      <c r="E70" s="30"/>
      <c r="F70" s="26" t="s">
        <v>199</v>
      </c>
      <c r="G70" s="26" t="s">
        <v>87</v>
      </c>
      <c r="H70" s="31" t="s">
        <v>200</v>
      </c>
      <c r="I70" s="32"/>
      <c r="J70" s="33">
        <v>44930</v>
      </c>
      <c r="K70" s="32"/>
      <c r="L70" s="26" t="s">
        <v>201</v>
      </c>
      <c r="M70" s="34"/>
      <c r="N70" s="32">
        <v>60</v>
      </c>
      <c r="O70" s="26" t="s">
        <v>104</v>
      </c>
      <c r="P70" s="28">
        <v>13000</v>
      </c>
      <c r="Q70" s="46"/>
      <c r="R70" s="39" t="s">
        <v>130</v>
      </c>
      <c r="S70" s="35"/>
      <c r="T70" s="35"/>
      <c r="U70" s="36"/>
      <c r="V70" s="37" t="s">
        <v>210</v>
      </c>
      <c r="W70" s="36">
        <f>IF(NOTA[[#This Row],[HARGA/ CTN]]="",NOTA[[#This Row],[JUMLAH_H]],NOTA[[#This Row],[HARGA/ CTN]]*IF(NOTA[[#This Row],[C]]="",0,NOTA[[#This Row],[C]]))</f>
        <v>780000</v>
      </c>
      <c r="X70" s="36">
        <f>IF(NOTA[[#This Row],[JUMLAH]]="","",NOTA[[#This Row],[JUMLAH]]*NOTA[[#This Row],[DISC 1]])</f>
        <v>0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0</v>
      </c>
      <c r="AA70" s="36">
        <f>IF(NOTA[[#This Row],[JUMLAH]]="","",NOTA[[#This Row],[JUMLAH]]-NOTA[[#This Row],[DISC]])</f>
        <v>780000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0" s="36">
        <f>IF(OR(NOTA[[#This Row],[QTY]]="",NOTA[[#This Row],[HARGA SATUAN]]="",),"",NOTA[[#This Row],[QTY]]*NOTA[[#This Row],[HARGA SATUAN]])</f>
        <v>780000</v>
      </c>
      <c r="AF70" s="33">
        <f ca="1">IF(NOTA[ID_H]="","",INDEX(NOTA[TANGGAL],MATCH(,INDIRECT(ADDRESS(ROW(NOTA[TANGGAL]),COLUMN(NOTA[TANGGAL]))&amp;":"&amp;ADDRESS(ROW(),COLUMN(NOTA[TANGGAL]))),-1)))</f>
        <v>44930</v>
      </c>
      <c r="AG70" s="28" t="str">
        <f ca="1">IF(NOTA[[#This Row],[NAMA BARANG]]="","",INDEX(NOTA[SUPPLIER],MATCH(,INDIRECT(ADDRESS(ROW(NOTA[ID]),COLUMN(NOTA[ID]))&amp;":"&amp;ADDRESS(ROW(),COLUMN(NOTA[ID]))),-1)))</f>
        <v>JAYA MAKMUR</v>
      </c>
      <c r="AH70" s="28" t="str">
        <f ca="1">IF(NOTA[[#This Row],[ID_H]]="","",IF(NOTA[[#This Row],[FAKTUR]]="",INDIRECT(ADDRESS(ROW()-1,COLUMN())),NOTA[[#This Row],[FAKTUR]]))</f>
        <v>UNTANA</v>
      </c>
      <c r="AI70" s="38">
        <f ca="1">IF(NOTA[[#This Row],[ID]]="","",COUNTIF(NOTA[ID_H],NOTA[[#This Row],[ID_H]]))</f>
        <v>16</v>
      </c>
      <c r="AJ70" s="38">
        <f>IF(NOTA[[#This Row],[TGL.NOTA]]="",IF(NOTA[[#This Row],[SUPPLIER_H]]="","",AJ69),MONTH(NOTA[[#This Row],[TGL.NOTA]]))</f>
        <v>1</v>
      </c>
      <c r="AK70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tapedispenser801biru13000</v>
      </c>
      <c r="AM70" s="193">
        <f>IF(NOTA[[#This Row],[CONCAT1]]="","",MATCH(NOTA[[#This Row],[CONCAT1]],[2]!db[NB NOTA_C],0)+1)</f>
        <v>1986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15</v>
      </c>
      <c r="E71" s="30"/>
      <c r="F71" s="26"/>
      <c r="G71" s="26"/>
      <c r="H71" s="31"/>
      <c r="I71" s="32"/>
      <c r="J71" s="33"/>
      <c r="K71" s="32"/>
      <c r="L71" s="26" t="s">
        <v>202</v>
      </c>
      <c r="M71" s="34"/>
      <c r="N71" s="32">
        <v>60</v>
      </c>
      <c r="O71" s="26" t="s">
        <v>104</v>
      </c>
      <c r="P71" s="28">
        <v>13000</v>
      </c>
      <c r="Q71" s="46"/>
      <c r="R71" s="39" t="s">
        <v>130</v>
      </c>
      <c r="S71" s="35"/>
      <c r="T71" s="35"/>
      <c r="U71" s="36"/>
      <c r="V71" s="37" t="s">
        <v>210</v>
      </c>
      <c r="W71" s="36">
        <f>IF(NOTA[[#This Row],[HARGA/ CTN]]="",NOTA[[#This Row],[JUMLAH_H]],NOTA[[#This Row],[HARGA/ CTN]]*IF(NOTA[[#This Row],[C]]="",0,NOTA[[#This Row],[C]]))</f>
        <v>780000</v>
      </c>
      <c r="X71" s="36">
        <f>IF(NOTA[[#This Row],[JUMLAH]]="","",NOTA[[#This Row],[JUMLAH]]*NOTA[[#This Row],[DISC 1]])</f>
        <v>0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0</v>
      </c>
      <c r="AA71" s="36">
        <f>IF(NOTA[[#This Row],[JUMLAH]]="","",NOTA[[#This Row],[JUMLAH]]-NOTA[[#This Row],[DISC]])</f>
        <v>780000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1" s="36">
        <f>IF(OR(NOTA[[#This Row],[QTY]]="",NOTA[[#This Row],[HARGA SATUAN]]="",),"",NOTA[[#This Row],[QTY]]*NOTA[[#This Row],[HARGA SATUAN]])</f>
        <v>780000</v>
      </c>
      <c r="AF71" s="33">
        <f ca="1">IF(NOTA[ID_H]="","",INDEX(NOTA[TANGGAL],MATCH(,INDIRECT(ADDRESS(ROW(NOTA[TANGGAL]),COLUMN(NOTA[TANGGAL]))&amp;":"&amp;ADDRESS(ROW(),COLUMN(NOTA[TANGGAL]))),-1)))</f>
        <v>44930</v>
      </c>
      <c r="AG71" s="28" t="str">
        <f ca="1">IF(NOTA[[#This Row],[NAMA BARANG]]="","",INDEX(NOTA[SUPPLIER],MATCH(,INDIRECT(ADDRESS(ROW(NOTA[ID]),COLUMN(NOTA[ID]))&amp;":"&amp;ADDRESS(ROW(),COLUMN(NOTA[ID]))),-1)))</f>
        <v>JAYA MAKMUR</v>
      </c>
      <c r="AH71" s="28" t="str">
        <f ca="1">IF(NOTA[[#This Row],[ID_H]]="","",IF(NOTA[[#This Row],[FAKTUR]]="",INDIRECT(ADDRESS(ROW()-1,COLUMN())),NOTA[[#This Row],[FAKTUR]]))</f>
        <v>UNTANA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1</v>
      </c>
      <c r="AK71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tapedispenser801hijau13000</v>
      </c>
      <c r="AM71" s="193">
        <f>IF(NOTA[[#This Row],[CONCAT1]]="","",MATCH(NOTA[[#This Row],[CONCAT1]],[2]!db[NB NOTA_C],0)+1)</f>
        <v>1987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15</v>
      </c>
      <c r="E72" s="30"/>
      <c r="F72" s="26"/>
      <c r="G72" s="26"/>
      <c r="H72" s="31"/>
      <c r="I72" s="32"/>
      <c r="J72" s="33"/>
      <c r="K72" s="26"/>
      <c r="L72" s="26" t="s">
        <v>203</v>
      </c>
      <c r="M72" s="34"/>
      <c r="N72" s="32">
        <v>60</v>
      </c>
      <c r="O72" s="26" t="s">
        <v>104</v>
      </c>
      <c r="P72" s="28">
        <v>13000</v>
      </c>
      <c r="Q72" s="46"/>
      <c r="R72" s="39" t="s">
        <v>130</v>
      </c>
      <c r="S72" s="35"/>
      <c r="T72" s="35"/>
      <c r="U72" s="36"/>
      <c r="V72" s="37" t="s">
        <v>210</v>
      </c>
      <c r="W72" s="36">
        <f>IF(NOTA[[#This Row],[HARGA/ CTN]]="",NOTA[[#This Row],[JUMLAH_H]],NOTA[[#This Row],[HARGA/ CTN]]*IF(NOTA[[#This Row],[C]]="",0,NOTA[[#This Row],[C]]))</f>
        <v>780000</v>
      </c>
      <c r="X72" s="36">
        <f>IF(NOTA[[#This Row],[JUMLAH]]="","",NOTA[[#This Row],[JUMLAH]]*NOTA[[#This Row],[DISC 1]])</f>
        <v>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0</v>
      </c>
      <c r="AA72" s="36">
        <f>IF(NOTA[[#This Row],[JUMLAH]]="","",NOTA[[#This Row],[JUMLAH]]-NOTA[[#This Row],[DISC]])</f>
        <v>780000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2" s="36">
        <f>IF(OR(NOTA[[#This Row],[QTY]]="",NOTA[[#This Row],[HARGA SATUAN]]="",),"",NOTA[[#This Row],[QTY]]*NOTA[[#This Row],[HARGA SATUAN]])</f>
        <v>780000</v>
      </c>
      <c r="AF72" s="33">
        <f ca="1">IF(NOTA[ID_H]="","",INDEX(NOTA[TANGGAL],MATCH(,INDIRECT(ADDRESS(ROW(NOTA[TANGGAL]),COLUMN(NOTA[TANGGAL]))&amp;":"&amp;ADDRESS(ROW(),COLUMN(NOTA[TANGGAL]))),-1)))</f>
        <v>44930</v>
      </c>
      <c r="AG72" s="28" t="str">
        <f ca="1">IF(NOTA[[#This Row],[NAMA BARANG]]="","",INDEX(NOTA[SUPPLIER],MATCH(,INDIRECT(ADDRESS(ROW(NOTA[ID]),COLUMN(NOTA[ID]))&amp;":"&amp;ADDRESS(ROW(),COLUMN(NOTA[ID]))),-1)))</f>
        <v>JAYA MAKMUR</v>
      </c>
      <c r="AH72" s="28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1</v>
      </c>
      <c r="AK72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tapedispenser801merah13000</v>
      </c>
      <c r="AM72" s="193">
        <f>IF(NOTA[[#This Row],[CONCAT1]]="","",MATCH(NOTA[[#This Row],[CONCAT1]],[2]!db[NB NOTA_C],0)+1)</f>
        <v>1988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15</v>
      </c>
      <c r="E73" s="30"/>
      <c r="F73" s="26"/>
      <c r="G73" s="26"/>
      <c r="H73" s="31"/>
      <c r="I73" s="32"/>
      <c r="J73" s="33"/>
      <c r="K73" s="26"/>
      <c r="L73" s="26" t="s">
        <v>204</v>
      </c>
      <c r="M73" s="34"/>
      <c r="N73" s="32">
        <v>60</v>
      </c>
      <c r="O73" s="26" t="s">
        <v>104</v>
      </c>
      <c r="P73" s="28">
        <v>13000</v>
      </c>
      <c r="Q73" s="46"/>
      <c r="R73" s="39" t="s">
        <v>130</v>
      </c>
      <c r="S73" s="35"/>
      <c r="T73" s="35"/>
      <c r="U73" s="36"/>
      <c r="V73" s="37" t="s">
        <v>210</v>
      </c>
      <c r="W73" s="36">
        <f>IF(NOTA[[#This Row],[HARGA/ CTN]]="",NOTA[[#This Row],[JUMLAH_H]],NOTA[[#This Row],[HARGA/ CTN]]*IF(NOTA[[#This Row],[C]]="",0,NOTA[[#This Row],[C]]))</f>
        <v>780000</v>
      </c>
      <c r="X73" s="36">
        <f>IF(NOTA[[#This Row],[JUMLAH]]="","",NOTA[[#This Row],[JUMLAH]]*NOTA[[#This Row],[DISC 1]])</f>
        <v>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0</v>
      </c>
      <c r="AA73" s="36">
        <f>IF(NOTA[[#This Row],[JUMLAH]]="","",NOTA[[#This Row],[JUMLAH]]-NOTA[[#This Row],[DISC]])</f>
        <v>780000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3" s="36">
        <f>IF(OR(NOTA[[#This Row],[QTY]]="",NOTA[[#This Row],[HARGA SATUAN]]="",),"",NOTA[[#This Row],[QTY]]*NOTA[[#This Row],[HARGA SATUAN]])</f>
        <v>780000</v>
      </c>
      <c r="AF73" s="33">
        <f ca="1">IF(NOTA[ID_H]="","",INDEX(NOTA[TANGGAL],MATCH(,INDIRECT(ADDRESS(ROW(NOTA[TANGGAL]),COLUMN(NOTA[TANGGAL]))&amp;":"&amp;ADDRESS(ROW(),COLUMN(NOTA[TANGGAL]))),-1)))</f>
        <v>44930</v>
      </c>
      <c r="AG73" s="28" t="str">
        <f ca="1">IF(NOTA[[#This Row],[NAMA BARANG]]="","",INDEX(NOTA[SUPPLIER],MATCH(,INDIRECT(ADDRESS(ROW(NOTA[ID]),COLUMN(NOTA[ID]))&amp;":"&amp;ADDRESS(ROW(),COLUMN(NOTA[ID]))),-1)))</f>
        <v>JAYA MAKMUR</v>
      </c>
      <c r="AH73" s="28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1</v>
      </c>
      <c r="AK73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tapedispenser801ungu13000</v>
      </c>
      <c r="AM73" s="193">
        <f>IF(NOTA[[#This Row],[CONCAT1]]="","",MATCH(NOTA[[#This Row],[CONCAT1]],[2]!db[NB NOTA_C],0)+1)</f>
        <v>1989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15</v>
      </c>
      <c r="E74" s="30"/>
      <c r="F74" s="26"/>
      <c r="G74" s="26"/>
      <c r="H74" s="31"/>
      <c r="I74" s="26"/>
      <c r="J74" s="33"/>
      <c r="K74" s="32"/>
      <c r="L74" s="26" t="s">
        <v>201</v>
      </c>
      <c r="M74" s="34"/>
      <c r="N74" s="32">
        <v>6</v>
      </c>
      <c r="O74" s="26" t="s">
        <v>104</v>
      </c>
      <c r="P74" s="28"/>
      <c r="Q74" s="46"/>
      <c r="R74" s="39" t="s">
        <v>130</v>
      </c>
      <c r="S74" s="35"/>
      <c r="T74" s="35"/>
      <c r="U74" s="54"/>
      <c r="V74" s="37" t="s">
        <v>212</v>
      </c>
      <c r="W74" s="36" t="str">
        <f>IF(NOTA[[#This Row],[HARGA/ CTN]]="",NOTA[[#This Row],[JUMLAH_H]],NOTA[[#This Row],[HARGA/ CTN]]*IF(NOTA[[#This Row],[C]]="",0,NOTA[[#This Row],[C]]))</f>
        <v/>
      </c>
      <c r="X74" s="36" t="str">
        <f>IF(NOTA[[#This Row],[JUMLAH]]="","",NOTA[[#This Row],[JUMLAH]]*NOTA[[#This Row],[DISC 1]])</f>
        <v/>
      </c>
      <c r="Y74" s="36" t="str">
        <f>IF(NOTA[[#This Row],[JUMLAH]]="","",(NOTA[[#This Row],[JUMLAH]]-NOTA[[#This Row],[DISC 1-]])*NOTA[[#This Row],[DISC 2]])</f>
        <v/>
      </c>
      <c r="Z74" s="36" t="str">
        <f>IF(NOTA[[#This Row],[JUMLAH]]="","",NOTA[[#This Row],[DISC 1-]]+NOTA[[#This Row],[DISC 2-]])</f>
        <v/>
      </c>
      <c r="AA74" s="36" t="str">
        <f>IF(NOTA[[#This Row],[JUMLAH]]="","",NOTA[[#This Row],[JUMLAH]]-NOTA[[#This Row],[DISC]])</f>
        <v/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44930</v>
      </c>
      <c r="AG74" s="28" t="str">
        <f ca="1">IF(NOTA[[#This Row],[NAMA BARANG]]="","",INDEX(NOTA[SUPPLIER],MATCH(,INDIRECT(ADDRESS(ROW(NOTA[ID]),COLUMN(NOTA[ID]))&amp;":"&amp;ADDRESS(ROW(),COLUMN(NOTA[ID]))),-1)))</f>
        <v>JAYA MAKMUR</v>
      </c>
      <c r="AH74" s="28" t="str">
        <f ca="1">IF(NOTA[[#This Row],[ID_H]]="","",IF(NOTA[[#This Row],[FAKTUR]]="",INDIRECT(ADDRESS(ROW()-1,COLUMN())),NOTA[[#This Row],[FAKTUR]]))</f>
        <v>UNTANA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1</v>
      </c>
      <c r="AK74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tapedispenser801biru</v>
      </c>
      <c r="AM74" s="193">
        <f>IF(NOTA[[#This Row],[CONCAT1]]="","",MATCH(NOTA[[#This Row],[CONCAT1]],[2]!db[NB NOTA_C],0)+1)</f>
        <v>1986</v>
      </c>
    </row>
    <row r="75" spans="1:39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202</v>
      </c>
      <c r="M75" s="39"/>
      <c r="N75" s="26">
        <v>6</v>
      </c>
      <c r="O75" s="26" t="s">
        <v>104</v>
      </c>
      <c r="P75" s="49"/>
      <c r="Q75" s="52"/>
      <c r="R75" s="39" t="s">
        <v>130</v>
      </c>
      <c r="S75" s="53"/>
      <c r="T75" s="53"/>
      <c r="U75" s="54"/>
      <c r="V75" s="37" t="s">
        <v>212</v>
      </c>
      <c r="W75" s="54" t="str">
        <f>IF(NOTA[[#This Row],[HARGA/ CTN]]="",NOTA[[#This Row],[JUMLAH_H]],NOTA[[#This Row],[HARGA/ CTN]]*IF(NOTA[[#This Row],[C]]="",0,NOTA[[#This Row],[C]]))</f>
        <v/>
      </c>
      <c r="X75" s="54" t="str">
        <f>IF(NOTA[[#This Row],[JUMLAH]]="","",NOTA[[#This Row],[JUMLAH]]*NOTA[[#This Row],[DISC 1]])</f>
        <v/>
      </c>
      <c r="Y75" s="54" t="str">
        <f>IF(NOTA[[#This Row],[JUMLAH]]="","",(NOTA[[#This Row],[JUMLAH]]-NOTA[[#This Row],[DISC 1-]])*NOTA[[#This Row],[DISC 2]])</f>
        <v/>
      </c>
      <c r="Z75" s="54" t="str">
        <f>IF(NOTA[[#This Row],[JUMLAH]]="","",NOTA[[#This Row],[DISC 1-]]+NOTA[[#This Row],[DISC 2-]])</f>
        <v/>
      </c>
      <c r="AA75" s="54" t="str">
        <f>IF(NOTA[[#This Row],[JUMLAH]]="","",NOTA[[#This Row],[JUMLAH]]-NOTA[[#This Row],[DISC]])</f>
        <v/>
      </c>
      <c r="AB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44930</v>
      </c>
      <c r="AG75" s="65" t="str">
        <f ca="1">IF(NOTA[[#This Row],[NAMA BARANG]]="","",INDEX(NOTA[SUPPLIER],MATCH(,INDIRECT(ADDRESS(ROW(NOTA[ID]),COLUMN(NOTA[ID]))&amp;":"&amp;ADDRESS(ROW(),COLUMN(NOTA[ID]))),-1)))</f>
        <v>JAYA MAKMUR</v>
      </c>
      <c r="AH75" s="65" t="str">
        <f ca="1">IF(NOTA[[#This Row],[ID_H]]="","",IF(NOTA[[#This Row],[FAKTUR]]="",INDIRECT(ADDRESS(ROW()-1,COLUMN())),NOTA[[#This Row],[FAKTUR]]))</f>
        <v>UNTANA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Row],[SUPPLIER_H]]="","",AJ66),MONTH(NOTA[[#This Row],[TGL.NOTA]]))</f>
        <v>1</v>
      </c>
      <c r="AK75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tapedispenser801hijau</v>
      </c>
      <c r="AM75" s="193">
        <f>IF(NOTA[[#This Row],[CONCAT1]]="","",MATCH(NOTA[[#This Row],[CONCAT1]],[2]!db[NB NOTA_C],0)+1)</f>
        <v>1987</v>
      </c>
    </row>
    <row r="76" spans="1:39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>
        <f ca="1">IF(NOTA[[#This Row],[NAMA BARANG]]="","",INDEX(NOTA[ID],MATCH(,INDIRECT(ADDRESS(ROW(NOTA[ID]),COLUMN(NOTA[ID]))&amp;":"&amp;ADDRESS(ROW(),COLUMN(NOTA[ID]))),-1)))</f>
        <v>15</v>
      </c>
      <c r="E76" s="23"/>
      <c r="F76" s="26"/>
      <c r="G76" s="26"/>
      <c r="H76" s="31"/>
      <c r="I76" s="26"/>
      <c r="J76" s="51"/>
      <c r="K76" s="26"/>
      <c r="L76" s="26" t="s">
        <v>203</v>
      </c>
      <c r="M76" s="39"/>
      <c r="N76" s="26">
        <v>6</v>
      </c>
      <c r="O76" s="26" t="s">
        <v>104</v>
      </c>
      <c r="P76" s="49"/>
      <c r="Q76" s="52"/>
      <c r="R76" s="39" t="s">
        <v>130</v>
      </c>
      <c r="S76" s="53"/>
      <c r="T76" s="53"/>
      <c r="U76" s="54"/>
      <c r="V76" s="37" t="s">
        <v>212</v>
      </c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6" s="54" t="str">
        <f>IF(OR(NOTA[[#This Row],[QTY]]="",NOTA[[#This Row],[HARGA SATUAN]]="",),"",NOTA[[#This Row],[QTY]]*NOTA[[#This Row],[HARGA SATUAN]])</f>
        <v/>
      </c>
      <c r="AF76" s="51">
        <f ca="1">IF(NOTA[ID_H]="","",INDEX(NOTA[TANGGAL],MATCH(,INDIRECT(ADDRESS(ROW(NOTA[TANGGAL]),COLUMN(NOTA[TANGGAL]))&amp;":"&amp;ADDRESS(ROW(),COLUMN(NOTA[TANGGAL]))),-1)))</f>
        <v>44930</v>
      </c>
      <c r="AG76" s="65" t="str">
        <f ca="1">IF(NOTA[[#This Row],[NAMA BARANG]]="","",INDEX(NOTA[SUPPLIER],MATCH(,INDIRECT(ADDRESS(ROW(NOTA[ID]),COLUMN(NOTA[ID]))&amp;":"&amp;ADDRESS(ROW(),COLUMN(NOTA[ID]))),-1)))</f>
        <v>JAYA MAKMUR</v>
      </c>
      <c r="AH76" s="65" t="str">
        <f ca="1">IF(NOTA[[#This Row],[ID_H]]="","",IF(NOTA[[#This Row],[FAKTUR]]="",INDIRECT(ADDRESS(ROW()-1,COLUMN())),NOTA[[#This Row],[FAKTUR]]))</f>
        <v>UNTANA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1</v>
      </c>
      <c r="AK76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6" s="38" t="str">
        <f>IF(NOTA[C]="",NOTA[[#This Row],[CONCAT1]]&amp;NOTA[[#This Row],[HARGA SATUAN]],NOTA[[#This Row],[CONCAT1]]&amp;NOTA[[#This Row],[HARGA/ CTN_H]]&amp;NOTA[[#This Row],[DISC 1]]&amp;NOTA[[#This Row],[DISC 2]])</f>
        <v>tapedispenser801merah</v>
      </c>
      <c r="AM76" s="193">
        <f>IF(NOTA[[#This Row],[CONCAT1]]="","",MATCH(NOTA[[#This Row],[CONCAT1]],[2]!db[NB NOTA_C],0)+1)</f>
        <v>1988</v>
      </c>
    </row>
    <row r="77" spans="1:39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50" t="str">
        <f>IF(NOTA[[#This Row],[ID_P]]="","",MATCH(NOTA[[#This Row],[ID_P]],[1]!B_MSK[N_ID],0))</f>
        <v/>
      </c>
      <c r="D77" s="50">
        <f ca="1">IF(NOTA[[#This Row],[NAMA BARANG]]="","",INDEX(NOTA[ID],MATCH(,INDIRECT(ADDRESS(ROW(NOTA[ID]),COLUMN(NOTA[ID]))&amp;":"&amp;ADDRESS(ROW(),COLUMN(NOTA[ID]))),-1)))</f>
        <v>15</v>
      </c>
      <c r="E77" s="23"/>
      <c r="F77" s="26"/>
      <c r="G77" s="26"/>
      <c r="H77" s="31"/>
      <c r="I77" s="26"/>
      <c r="J77" s="51"/>
      <c r="K77" s="26"/>
      <c r="L77" s="26" t="s">
        <v>204</v>
      </c>
      <c r="M77" s="39"/>
      <c r="N77" s="26">
        <v>6</v>
      </c>
      <c r="O77" s="26" t="s">
        <v>104</v>
      </c>
      <c r="P77" s="49"/>
      <c r="Q77" s="52"/>
      <c r="R77" s="39" t="s">
        <v>130</v>
      </c>
      <c r="S77" s="53"/>
      <c r="T77" s="53"/>
      <c r="U77" s="54"/>
      <c r="V77" s="37" t="s">
        <v>212</v>
      </c>
      <c r="W77" s="54" t="str">
        <f>IF(NOTA[[#This Row],[HARGA/ CTN]]="",NOTA[[#This Row],[JUMLAH_H]],NOTA[[#This Row],[HARGA/ CTN]]*IF(NOTA[[#This Row],[C]]="",0,NOTA[[#This Row],[C]]))</f>
        <v/>
      </c>
      <c r="X77" s="54" t="str">
        <f>IF(NOTA[[#This Row],[JUMLAH]]="","",NOTA[[#This Row],[JUMLAH]]*NOTA[[#This Row],[DISC 1]])</f>
        <v/>
      </c>
      <c r="Y77" s="54" t="str">
        <f>IF(NOTA[[#This Row],[JUMLAH]]="","",(NOTA[[#This Row],[JUMLAH]]-NOTA[[#This Row],[DISC 1-]])*NOTA[[#This Row],[DISC 2]])</f>
        <v/>
      </c>
      <c r="Z77" s="54" t="str">
        <f>IF(NOTA[[#This Row],[JUMLAH]]="","",NOTA[[#This Row],[DISC 1-]]+NOTA[[#This Row],[DISC 2-]])</f>
        <v/>
      </c>
      <c r="AA77" s="54" t="str">
        <f>IF(NOTA[[#This Row],[JUMLAH]]="","",NOTA[[#This Row],[JUMLAH]]-NOTA[[#This Row],[DISC]])</f>
        <v/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44930</v>
      </c>
      <c r="AG77" s="65" t="str">
        <f ca="1">IF(NOTA[[#This Row],[NAMA BARANG]]="","",INDEX(NOTA[SUPPLIER],MATCH(,INDIRECT(ADDRESS(ROW(NOTA[ID]),COLUMN(NOTA[ID]))&amp;":"&amp;ADDRESS(ROW(),COLUMN(NOTA[ID]))),-1)))</f>
        <v>JAYA MAKMUR</v>
      </c>
      <c r="AH77" s="65" t="str">
        <f ca="1">IF(NOTA[[#This Row],[ID_H]]="","",IF(NOTA[[#This Row],[FAKTUR]]="",INDIRECT(ADDRESS(ROW()-1,COLUMN())),NOTA[[#This Row],[FAKTUR]]))</f>
        <v>UNTANA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1</v>
      </c>
      <c r="AK77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tapedispenser801ungu</v>
      </c>
      <c r="AM77" s="193">
        <f>IF(NOTA[[#This Row],[CONCAT1]]="","",MATCH(NOTA[[#This Row],[CONCAT1]],[2]!db[NB NOTA_C],0)+1)</f>
        <v>1989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205</v>
      </c>
      <c r="M78" s="39"/>
      <c r="N78" s="26">
        <v>90</v>
      </c>
      <c r="O78" s="26" t="s">
        <v>104</v>
      </c>
      <c r="P78" s="49">
        <v>12000</v>
      </c>
      <c r="Q78" s="52"/>
      <c r="R78" s="39" t="s">
        <v>209</v>
      </c>
      <c r="S78" s="53"/>
      <c r="T78" s="53"/>
      <c r="U78" s="54"/>
      <c r="V78" s="37" t="s">
        <v>213</v>
      </c>
      <c r="W78" s="54">
        <f>IF(NOTA[[#This Row],[HARGA/ CTN]]="",NOTA[[#This Row],[JUMLAH_H]],NOTA[[#This Row],[HARGA/ CTN]]*IF(NOTA[[#This Row],[C]]="",0,NOTA[[#This Row],[C]]))</f>
        <v>1080000</v>
      </c>
      <c r="X78" s="54">
        <f>IF(NOTA[[#This Row],[JUMLAH]]="","",NOTA[[#This Row],[JUMLAH]]*NOTA[[#This Row],[DISC 1]])</f>
        <v>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0</v>
      </c>
      <c r="AA78" s="54">
        <f>IF(NOTA[[#This Row],[JUMLAH]]="","",NOTA[[#This Row],[JUMLAH]]-NOTA[[#This Row],[DISC]])</f>
        <v>1080000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8" s="54">
        <f>IF(OR(NOTA[[#This Row],[QTY]]="",NOTA[[#This Row],[HARGA SATUAN]]="",),"",NOTA[[#This Row],[QTY]]*NOTA[[#This Row],[HARGA SATUAN]])</f>
        <v>1080000</v>
      </c>
      <c r="AF78" s="51">
        <f ca="1">IF(NOTA[ID_H]="","",INDEX(NOTA[TANGGAL],MATCH(,INDIRECT(ADDRESS(ROW(NOTA[TANGGAL]),COLUMN(NOTA[TANGGAL]))&amp;":"&amp;ADDRESS(ROW(),COLUMN(NOTA[TANGGAL]))),-1)))</f>
        <v>44930</v>
      </c>
      <c r="AG78" s="65" t="str">
        <f ca="1">IF(NOTA[[#This Row],[NAMA BARANG]]="","",INDEX(NOTA[SUPPLIER],MATCH(,INDIRECT(ADDRESS(ROW(NOTA[ID]),COLUMN(NOTA[ID]))&amp;":"&amp;ADDRESS(ROW(),COLUMN(NOTA[ID]))),-1)))</f>
        <v>JAYA MAKMUR</v>
      </c>
      <c r="AH78" s="65" t="str">
        <f ca="1">IF(NOTA[[#This Row],[ID_H]]="","",IF(NOTA[[#This Row],[FAKTUR]]="",INDIRECT(ADDRESS(ROW()-1,COLUMN())),NOTA[[#This Row],[FAKTUR]]))</f>
        <v>UNTANA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1</v>
      </c>
      <c r="AK78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tapedispenser805biru12000</v>
      </c>
      <c r="AM78" s="193">
        <f>IF(NOTA[[#This Row],[CONCAT1]]="","",MATCH(NOTA[[#This Row],[CONCAT1]],[2]!db[NB NOTA_C],0)+1)</f>
        <v>1990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206</v>
      </c>
      <c r="M79" s="39"/>
      <c r="N79" s="26">
        <v>90</v>
      </c>
      <c r="O79" s="26" t="s">
        <v>104</v>
      </c>
      <c r="P79" s="49">
        <v>12000</v>
      </c>
      <c r="Q79" s="52"/>
      <c r="R79" s="39" t="s">
        <v>209</v>
      </c>
      <c r="S79" s="53"/>
      <c r="T79" s="53"/>
      <c r="U79" s="54"/>
      <c r="V79" s="37" t="s">
        <v>213</v>
      </c>
      <c r="W79" s="54">
        <f>IF(NOTA[[#This Row],[HARGA/ CTN]]="",NOTA[[#This Row],[JUMLAH_H]],NOTA[[#This Row],[HARGA/ CTN]]*IF(NOTA[[#This Row],[C]]="",0,NOTA[[#This Row],[C]]))</f>
        <v>1080000</v>
      </c>
      <c r="X79" s="54">
        <f>IF(NOTA[[#This Row],[JUMLAH]]="","",NOTA[[#This Row],[JUMLAH]]*NOTA[[#This Row],[DISC 1]])</f>
        <v>0</v>
      </c>
      <c r="Y79" s="54">
        <f>IF(NOTA[[#This Row],[JUMLAH]]="","",(NOTA[[#This Row],[JUMLAH]]-NOTA[[#This Row],[DISC 1-]])*NOTA[[#This Row],[DISC 2]])</f>
        <v>0</v>
      </c>
      <c r="Z79" s="54">
        <f>IF(NOTA[[#This Row],[JUMLAH]]="","",NOTA[[#This Row],[DISC 1-]]+NOTA[[#This Row],[DISC 2-]])</f>
        <v>0</v>
      </c>
      <c r="AA79" s="54">
        <f>IF(NOTA[[#This Row],[JUMLAH]]="","",NOTA[[#This Row],[JUMLAH]]-NOTA[[#This Row],[DISC]])</f>
        <v>1080000</v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9" s="54">
        <f>IF(OR(NOTA[[#This Row],[QTY]]="",NOTA[[#This Row],[HARGA SATUAN]]="",),"",NOTA[[#This Row],[QTY]]*NOTA[[#This Row],[HARGA SATUAN]])</f>
        <v>1080000</v>
      </c>
      <c r="AF79" s="51">
        <f ca="1">IF(NOTA[ID_H]="","",INDEX(NOTA[TANGGAL],MATCH(,INDIRECT(ADDRESS(ROW(NOTA[TANGGAL]),COLUMN(NOTA[TANGGAL]))&amp;":"&amp;ADDRESS(ROW(),COLUMN(NOTA[TANGGAL]))),-1)))</f>
        <v>44930</v>
      </c>
      <c r="AG79" s="65" t="str">
        <f ca="1">IF(NOTA[[#This Row],[NAMA BARANG]]="","",INDEX(NOTA[SUPPLIER],MATCH(,INDIRECT(ADDRESS(ROW(NOTA[ID]),COLUMN(NOTA[ID]))&amp;":"&amp;ADDRESS(ROW(),COLUMN(NOTA[ID]))),-1)))</f>
        <v>JAYA MAKMUR</v>
      </c>
      <c r="AH79" s="65" t="str">
        <f ca="1">IF(NOTA[[#This Row],[ID_H]]="","",IF(NOTA[[#This Row],[FAKTUR]]="",INDIRECT(ADDRESS(ROW()-1,COLUMN())),NOTA[[#This Row],[FAKTUR]]))</f>
        <v>UNTANA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1</v>
      </c>
      <c r="AK79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tapedispenser805hijau12000</v>
      </c>
      <c r="AM79" s="193">
        <f>IF(NOTA[[#This Row],[CONCAT1]]="","",MATCH(NOTA[[#This Row],[CONCAT1]],[2]!db[NB NOTA_C],0)+1)</f>
        <v>1991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Row],[ID_P]]="","",MATCH(NOTA[[#This Row],[ID_P]],[1]!B_MSK[N_ID],0))</f>
        <v/>
      </c>
      <c r="D80" s="50">
        <f ca="1">IF(NOTA[[#This Row],[NAMA BARANG]]="","",INDEX(NOTA[ID],MATCH(,INDIRECT(ADDRESS(ROW(NOTA[ID]),COLUMN(NOTA[ID]))&amp;":"&amp;ADDRESS(ROW(),COLUMN(NOTA[ID]))),-1)))</f>
        <v>15</v>
      </c>
      <c r="E80" s="23"/>
      <c r="F80" s="26"/>
      <c r="G80" s="26"/>
      <c r="H80" s="31"/>
      <c r="I80" s="26"/>
      <c r="J80" s="51"/>
      <c r="K80" s="26"/>
      <c r="L80" s="26" t="s">
        <v>207</v>
      </c>
      <c r="M80" s="39"/>
      <c r="N80" s="26">
        <v>90</v>
      </c>
      <c r="O80" s="26" t="s">
        <v>104</v>
      </c>
      <c r="P80" s="49">
        <v>12000</v>
      </c>
      <c r="Q80" s="52"/>
      <c r="R80" s="39" t="s">
        <v>209</v>
      </c>
      <c r="S80" s="53"/>
      <c r="T80" s="53"/>
      <c r="U80" s="54"/>
      <c r="V80" s="37" t="s">
        <v>213</v>
      </c>
      <c r="W80" s="54">
        <f>IF(NOTA[[#This Row],[HARGA/ CTN]]="",NOTA[[#This Row],[JUMLAH_H]],NOTA[[#This Row],[HARGA/ CTN]]*IF(NOTA[[#This Row],[C]]="",0,NOTA[[#This Row],[C]]))</f>
        <v>1080000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1080000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0" s="54">
        <f>IF(OR(NOTA[[#This Row],[QTY]]="",NOTA[[#This Row],[HARGA SATUAN]]="",),"",NOTA[[#This Row],[QTY]]*NOTA[[#This Row],[HARGA SATUAN]])</f>
        <v>1080000</v>
      </c>
      <c r="AF80" s="51">
        <f ca="1">IF(NOTA[ID_H]="","",INDEX(NOTA[TANGGAL],MATCH(,INDIRECT(ADDRESS(ROW(NOTA[TANGGAL]),COLUMN(NOTA[TANGGAL]))&amp;":"&amp;ADDRESS(ROW(),COLUMN(NOTA[TANGGAL]))),-1)))</f>
        <v>44930</v>
      </c>
      <c r="AG80" s="65" t="str">
        <f ca="1">IF(NOTA[[#This Row],[NAMA BARANG]]="","",INDEX(NOTA[SUPPLIER],MATCH(,INDIRECT(ADDRESS(ROW(NOTA[ID]),COLUMN(NOTA[ID]))&amp;":"&amp;ADDRESS(ROW(),COLUMN(NOTA[ID]))),-1)))</f>
        <v>JAYA MAKMUR</v>
      </c>
      <c r="AH80" s="65" t="str">
        <f ca="1">IF(NOTA[[#This Row],[ID_H]]="","",IF(NOTA[[#This Row],[FAKTUR]]="",INDIRECT(ADDRESS(ROW()-1,COLUMN())),NOTA[[#This Row],[FAKTUR]]))</f>
        <v>UNTANA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1</v>
      </c>
      <c r="AK80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0" s="38" t="str">
        <f>IF(NOTA[C]="",NOTA[[#This Row],[CONCAT1]]&amp;NOTA[[#This Row],[HARGA SATUAN]],NOTA[[#This Row],[CONCAT1]]&amp;NOTA[[#This Row],[HARGA/ CTN_H]]&amp;NOTA[[#This Row],[DISC 1]]&amp;NOTA[[#This Row],[DISC 2]])</f>
        <v>tapedispenser805merah12000</v>
      </c>
      <c r="AM80" s="193">
        <f>IF(NOTA[[#This Row],[CONCAT1]]="","",MATCH(NOTA[[#This Row],[CONCAT1]],[2]!db[NB NOTA_C],0)+1)</f>
        <v>1992</v>
      </c>
    </row>
    <row r="81" spans="1:39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15</v>
      </c>
      <c r="E81" s="23"/>
      <c r="F81" s="26"/>
      <c r="G81" s="26"/>
      <c r="H81" s="31"/>
      <c r="I81" s="26"/>
      <c r="J81" s="51"/>
      <c r="K81" s="26"/>
      <c r="L81" s="26" t="s">
        <v>208</v>
      </c>
      <c r="M81" s="39"/>
      <c r="N81" s="26">
        <v>90</v>
      </c>
      <c r="O81" s="26" t="s">
        <v>104</v>
      </c>
      <c r="P81" s="49">
        <v>12000</v>
      </c>
      <c r="Q81" s="52"/>
      <c r="R81" s="39" t="s">
        <v>209</v>
      </c>
      <c r="S81" s="53"/>
      <c r="T81" s="53"/>
      <c r="U81" s="54"/>
      <c r="V81" s="37" t="s">
        <v>213</v>
      </c>
      <c r="W81" s="54">
        <f>IF(NOTA[[#This Row],[HARGA/ CTN]]="",NOTA[[#This Row],[JUMLAH_H]],NOTA[[#This Row],[HARGA/ CTN]]*IF(NOTA[[#This Row],[C]]="",0,NOTA[[#This Row],[C]]))</f>
        <v>1080000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1080000</v>
      </c>
      <c r="AB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1" s="54">
        <f>IF(OR(NOTA[[#This Row],[QTY]]="",NOTA[[#This Row],[HARGA SATUAN]]="",),"",NOTA[[#This Row],[QTY]]*NOTA[[#This Row],[HARGA SATUAN]])</f>
        <v>1080000</v>
      </c>
      <c r="AF81" s="51">
        <f ca="1">IF(NOTA[ID_H]="","",INDEX(NOTA[TANGGAL],MATCH(,INDIRECT(ADDRESS(ROW(NOTA[TANGGAL]),COLUMN(NOTA[TANGGAL]))&amp;":"&amp;ADDRESS(ROW(),COLUMN(NOTA[TANGGAL]))),-1)))</f>
        <v>44930</v>
      </c>
      <c r="AG81" s="65" t="str">
        <f ca="1">IF(NOTA[[#This Row],[NAMA BARANG]]="","",INDEX(NOTA[SUPPLIER],MATCH(,INDIRECT(ADDRESS(ROW(NOTA[ID]),COLUMN(NOTA[ID]))&amp;":"&amp;ADDRESS(ROW(),COLUMN(NOTA[ID]))),-1)))</f>
        <v>JAYA MAKMUR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1</v>
      </c>
      <c r="AK81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tapedispenser805ungu12000</v>
      </c>
      <c r="AM81" s="193">
        <f>IF(NOTA[[#This Row],[CONCAT1]]="","",MATCH(NOTA[[#This Row],[CONCAT1]],[2]!db[NB NOTA_C],0)+1)</f>
        <v>1993</v>
      </c>
    </row>
    <row r="82" spans="1:39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>
        <f ca="1">IF(NOTA[[#This Row],[NAMA BARANG]]="","",INDEX(NOTA[ID],MATCH(,INDIRECT(ADDRESS(ROW(NOTA[ID]),COLUMN(NOTA[ID]))&amp;":"&amp;ADDRESS(ROW(),COLUMN(NOTA[ID]))),-1)))</f>
        <v>15</v>
      </c>
      <c r="E82" s="23"/>
      <c r="F82" s="26"/>
      <c r="G82" s="26"/>
      <c r="H82" s="31"/>
      <c r="I82" s="26"/>
      <c r="J82" s="51"/>
      <c r="K82" s="26"/>
      <c r="L82" s="26" t="s">
        <v>205</v>
      </c>
      <c r="M82" s="39"/>
      <c r="N82" s="26">
        <v>9</v>
      </c>
      <c r="O82" s="26" t="s">
        <v>104</v>
      </c>
      <c r="P82" s="49"/>
      <c r="Q82" s="52"/>
      <c r="R82" s="39" t="s">
        <v>209</v>
      </c>
      <c r="S82" s="53"/>
      <c r="T82" s="53"/>
      <c r="U82" s="54"/>
      <c r="V82" s="37" t="s">
        <v>214</v>
      </c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2" s="54" t="str">
        <f>IF(OR(NOTA[[#This Row],[QTY]]="",NOTA[[#This Row],[HARGA SATUAN]]="",),"",NOTA[[#This Row],[QTY]]*NOTA[[#This Row],[HARGA SATUAN]])</f>
        <v/>
      </c>
      <c r="AF82" s="51">
        <f ca="1">IF(NOTA[ID_H]="","",INDEX(NOTA[TANGGAL],MATCH(,INDIRECT(ADDRESS(ROW(NOTA[TANGGAL]),COLUMN(NOTA[TANGGAL]))&amp;":"&amp;ADDRESS(ROW(),COLUMN(NOTA[TANGGAL]))),-1)))</f>
        <v>44930</v>
      </c>
      <c r="AG82" s="65" t="str">
        <f ca="1">IF(NOTA[[#This Row],[NAMA BARANG]]="","",INDEX(NOTA[SUPPLIER],MATCH(,INDIRECT(ADDRESS(ROW(NOTA[ID]),COLUMN(NOTA[ID]))&amp;":"&amp;ADDRESS(ROW(),COLUMN(NOTA[ID]))),-1)))</f>
        <v>JAYA MAKMUR</v>
      </c>
      <c r="AH82" s="65" t="str">
        <f ca="1">IF(NOTA[[#This Row],[ID_H]]="","",IF(NOTA[[#This Row],[FAKTUR]]="",INDIRECT(ADDRESS(ROW()-1,COLUMN())),NOTA[[#This Row],[FAKTUR]]))</f>
        <v>UNTANA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1</v>
      </c>
      <c r="AK82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tapedispenser805biru</v>
      </c>
      <c r="AM82" s="193">
        <f>IF(NOTA[[#This Row],[CONCAT1]]="","",MATCH(NOTA[[#This Row],[CONCAT1]],[2]!db[NB NOTA_C],0)+1)</f>
        <v>1990</v>
      </c>
    </row>
    <row r="83" spans="1:39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50" t="str">
        <f>IF(NOTA[[#This Row],[ID_P]]="","",MATCH(NOTA[[#This Row],[ID_P]],[1]!B_MSK[N_ID],0))</f>
        <v/>
      </c>
      <c r="D83" s="50">
        <f ca="1">IF(NOTA[[#This Row],[NAMA BARANG]]="","",INDEX(NOTA[ID],MATCH(,INDIRECT(ADDRESS(ROW(NOTA[ID]),COLUMN(NOTA[ID]))&amp;":"&amp;ADDRESS(ROW(),COLUMN(NOTA[ID]))),-1)))</f>
        <v>15</v>
      </c>
      <c r="E83" s="23"/>
      <c r="F83" s="26"/>
      <c r="G83" s="26"/>
      <c r="H83" s="31"/>
      <c r="I83" s="26"/>
      <c r="J83" s="51"/>
      <c r="K83" s="26"/>
      <c r="L83" s="26" t="s">
        <v>206</v>
      </c>
      <c r="M83" s="39"/>
      <c r="N83" s="26">
        <v>9</v>
      </c>
      <c r="O83" s="26" t="s">
        <v>104</v>
      </c>
      <c r="P83" s="49"/>
      <c r="Q83" s="52"/>
      <c r="R83" s="39" t="s">
        <v>209</v>
      </c>
      <c r="S83" s="53"/>
      <c r="T83" s="53"/>
      <c r="U83" s="54"/>
      <c r="V83" s="37" t="s">
        <v>214</v>
      </c>
      <c r="W83" s="54" t="str">
        <f>IF(NOTA[[#This Row],[HARGA/ CTN]]="",NOTA[[#This Row],[JUMLAH_H]],NOTA[[#This Row],[HARGA/ CTN]]*IF(NOTA[[#This Row],[C]]="",0,NOTA[[#This Row],[C]]))</f>
        <v/>
      </c>
      <c r="X83" s="54" t="str">
        <f>IF(NOTA[[#This Row],[JUMLAH]]="","",NOTA[[#This Row],[JUMLAH]]*NOTA[[#This Row],[DISC 1]])</f>
        <v/>
      </c>
      <c r="Y83" s="54" t="str">
        <f>IF(NOTA[[#This Row],[JUMLAH]]="","",(NOTA[[#This Row],[JUMLAH]]-NOTA[[#This Row],[DISC 1-]])*NOTA[[#This Row],[DISC 2]])</f>
        <v/>
      </c>
      <c r="Z83" s="54" t="str">
        <f>IF(NOTA[[#This Row],[JUMLAH]]="","",NOTA[[#This Row],[DISC 1-]]+NOTA[[#This Row],[DISC 2-]])</f>
        <v/>
      </c>
      <c r="AA83" s="54" t="str">
        <f>IF(NOTA[[#This Row],[JUMLAH]]="","",NOTA[[#This Row],[JUMLAH]]-NOTA[[#This Row],[DISC]])</f>
        <v/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" s="54" t="str">
        <f>IF(OR(NOTA[[#This Row],[QTY]]="",NOTA[[#This Row],[HARGA SATUAN]]="",),"",NOTA[[#This Row],[QTY]]*NOTA[[#This Row],[HARGA SATUAN]])</f>
        <v/>
      </c>
      <c r="AF83" s="51">
        <f ca="1">IF(NOTA[ID_H]="","",INDEX(NOTA[TANGGAL],MATCH(,INDIRECT(ADDRESS(ROW(NOTA[TANGGAL]),COLUMN(NOTA[TANGGAL]))&amp;":"&amp;ADDRESS(ROW(),COLUMN(NOTA[TANGGAL]))),-1)))</f>
        <v>44930</v>
      </c>
      <c r="AG83" s="65" t="str">
        <f ca="1">IF(NOTA[[#This Row],[NAMA BARANG]]="","",INDEX(NOTA[SUPPLIER],MATCH(,INDIRECT(ADDRESS(ROW(NOTA[ID]),COLUMN(NOTA[ID]))&amp;":"&amp;ADDRESS(ROW(),COLUMN(NOTA[ID]))),-1)))</f>
        <v>JAYA MAKMUR</v>
      </c>
      <c r="AH83" s="65" t="str">
        <f ca="1">IF(NOTA[[#This Row],[ID_H]]="","",IF(NOTA[[#This Row],[FAKTUR]]="",INDIRECT(ADDRESS(ROW()-1,COLUMN())),NOTA[[#This Row],[FAKTUR]]))</f>
        <v>UNTANA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1</v>
      </c>
      <c r="AK83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tapedispenser805hijau</v>
      </c>
      <c r="AM83" s="193">
        <f>IF(NOTA[[#This Row],[CONCAT1]]="","",MATCH(NOTA[[#This Row],[CONCAT1]],[2]!db[NB NOTA_C],0)+1)</f>
        <v>1991</v>
      </c>
    </row>
    <row r="84" spans="1:39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>
        <f ca="1">IF(NOTA[[#This Row],[NAMA BARANG]]="","",INDEX(NOTA[ID],MATCH(,INDIRECT(ADDRESS(ROW(NOTA[ID]),COLUMN(NOTA[ID]))&amp;":"&amp;ADDRESS(ROW(),COLUMN(NOTA[ID]))),-1)))</f>
        <v>15</v>
      </c>
      <c r="E84" s="23"/>
      <c r="F84" s="26"/>
      <c r="G84" s="26"/>
      <c r="H84" s="31"/>
      <c r="I84" s="26"/>
      <c r="J84" s="51"/>
      <c r="K84" s="26"/>
      <c r="L84" s="26" t="s">
        <v>207</v>
      </c>
      <c r="M84" s="39"/>
      <c r="N84" s="26">
        <v>9</v>
      </c>
      <c r="O84" s="26" t="s">
        <v>104</v>
      </c>
      <c r="P84" s="49"/>
      <c r="Q84" s="52"/>
      <c r="R84" s="39" t="s">
        <v>209</v>
      </c>
      <c r="S84" s="53"/>
      <c r="T84" s="53"/>
      <c r="U84" s="54"/>
      <c r="V84" s="37" t="s">
        <v>214</v>
      </c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4" s="54" t="str">
        <f>IF(OR(NOTA[[#This Row],[QTY]]="",NOTA[[#This Row],[HARGA SATUAN]]="",),"",NOTA[[#This Row],[QTY]]*NOTA[[#This Row],[HARGA SATUAN]])</f>
        <v/>
      </c>
      <c r="AF84" s="51">
        <f ca="1">IF(NOTA[ID_H]="","",INDEX(NOTA[TANGGAL],MATCH(,INDIRECT(ADDRESS(ROW(NOTA[TANGGAL]),COLUMN(NOTA[TANGGAL]))&amp;":"&amp;ADDRESS(ROW(),COLUMN(NOTA[TANGGAL]))),-1)))</f>
        <v>44930</v>
      </c>
      <c r="AG84" s="65" t="str">
        <f ca="1">IF(NOTA[[#This Row],[NAMA BARANG]]="","",INDEX(NOTA[SUPPLIER],MATCH(,INDIRECT(ADDRESS(ROW(NOTA[ID]),COLUMN(NOTA[ID]))&amp;":"&amp;ADDRESS(ROW(),COLUMN(NOTA[ID]))),-1)))</f>
        <v>JAYA MAKMUR</v>
      </c>
      <c r="AH84" s="65" t="str">
        <f ca="1">IF(NOTA[[#This Row],[ID_H]]="","",IF(NOTA[[#This Row],[FAKTUR]]="",INDIRECT(ADDRESS(ROW()-1,COLUMN())),NOTA[[#This Row],[FAKTUR]]))</f>
        <v>UNTANA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1</v>
      </c>
      <c r="AK84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tapedispenser805merah</v>
      </c>
      <c r="AM84" s="193">
        <f>IF(NOTA[[#This Row],[CONCAT1]]="","",MATCH(NOTA[[#This Row],[CONCAT1]],[2]!db[NB NOTA_C],0)+1)</f>
        <v>1992</v>
      </c>
    </row>
    <row r="85" spans="1:39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50" t="str">
        <f>IF(NOTA[[#This Row],[ID_P]]="","",MATCH(NOTA[[#This Row],[ID_P]],[1]!B_MSK[N_ID],0))</f>
        <v/>
      </c>
      <c r="D85" s="50">
        <f ca="1">IF(NOTA[[#This Row],[NAMA BARANG]]="","",INDEX(NOTA[ID],MATCH(,INDIRECT(ADDRESS(ROW(NOTA[ID]),COLUMN(NOTA[ID]))&amp;":"&amp;ADDRESS(ROW(),COLUMN(NOTA[ID]))),-1)))</f>
        <v>15</v>
      </c>
      <c r="E85" s="23"/>
      <c r="F85" s="26"/>
      <c r="G85" s="26"/>
      <c r="H85" s="31"/>
      <c r="I85" s="26"/>
      <c r="J85" s="51"/>
      <c r="K85" s="26"/>
      <c r="L85" s="26" t="s">
        <v>208</v>
      </c>
      <c r="M85" s="39"/>
      <c r="N85" s="26">
        <v>9</v>
      </c>
      <c r="O85" s="26" t="s">
        <v>104</v>
      </c>
      <c r="P85" s="49"/>
      <c r="Q85" s="52"/>
      <c r="R85" s="39" t="s">
        <v>209</v>
      </c>
      <c r="S85" s="53"/>
      <c r="T85" s="53"/>
      <c r="U85" s="54"/>
      <c r="V85" s="37" t="s">
        <v>214</v>
      </c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5" s="54" t="str">
        <f>IF(OR(NOTA[[#This Row],[QTY]]="",NOTA[[#This Row],[HARGA SATUAN]]="",),"",NOTA[[#This Row],[QTY]]*NOTA[[#This Row],[HARGA SATUAN]])</f>
        <v/>
      </c>
      <c r="AF85" s="51">
        <f ca="1">IF(NOTA[ID_H]="","",INDEX(NOTA[TANGGAL],MATCH(,INDIRECT(ADDRESS(ROW(NOTA[TANGGAL]),COLUMN(NOTA[TANGGAL]))&amp;":"&amp;ADDRESS(ROW(),COLUMN(NOTA[TANGGAL]))),-1)))</f>
        <v>44930</v>
      </c>
      <c r="AG85" s="65" t="str">
        <f ca="1">IF(NOTA[[#This Row],[NAMA BARANG]]="","",INDEX(NOTA[SUPPLIER],MATCH(,INDIRECT(ADDRESS(ROW(NOTA[ID]),COLUMN(NOTA[ID]))&amp;":"&amp;ADDRESS(ROW(),COLUMN(NOTA[ID]))),-1)))</f>
        <v>JAYA MAKMUR</v>
      </c>
      <c r="AH85" s="65" t="str">
        <f ca="1">IF(NOTA[[#This Row],[ID_H]]="","",IF(NOTA[[#This Row],[FAKTUR]]="",INDIRECT(ADDRESS(ROW()-1,COLUMN())),NOTA[[#This Row],[FAKTUR]]))</f>
        <v>UNTANA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1</v>
      </c>
      <c r="AK85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tapedispenser805ungu</v>
      </c>
      <c r="AM85" s="193">
        <f>IF(NOTA[[#This Row],[CONCAT1]]="","",MATCH(NOTA[[#This Row],[CONCAT1]],[2]!db[NB NOTA_C],0)+1)</f>
        <v>1993</v>
      </c>
    </row>
    <row r="86" spans="1:39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" s="193" t="str">
        <f>IF(NOTA[[#This Row],[CONCAT1]]="","",MATCH(NOTA[[#This Row],[CONCAT1]],[2]!db[NB NOTA_C],0)+1)</f>
        <v/>
      </c>
    </row>
    <row r="87" spans="1:39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16</v>
      </c>
      <c r="E87" s="23">
        <v>44933</v>
      </c>
      <c r="F87" s="26" t="s">
        <v>215</v>
      </c>
      <c r="G87" s="26" t="s">
        <v>87</v>
      </c>
      <c r="H87" s="31" t="s">
        <v>216</v>
      </c>
      <c r="I87" s="26"/>
      <c r="J87" s="51">
        <v>44933</v>
      </c>
      <c r="K87" s="26"/>
      <c r="L87" s="26" t="s">
        <v>217</v>
      </c>
      <c r="M87" s="39"/>
      <c r="N87" s="26">
        <v>7</v>
      </c>
      <c r="O87" s="26" t="s">
        <v>90</v>
      </c>
      <c r="P87" s="49">
        <v>161000</v>
      </c>
      <c r="Q87" s="52"/>
      <c r="R87" s="39"/>
      <c r="S87" s="53"/>
      <c r="T87" s="53"/>
      <c r="U87" s="54"/>
      <c r="V87" s="37" t="s">
        <v>219</v>
      </c>
      <c r="W87" s="54">
        <f>IF(NOTA[[#This Row],[HARGA/ CTN]]="",NOTA[[#This Row],[JUMLAH_H]],NOTA[[#This Row],[HARGA/ CTN]]*IF(NOTA[[#This Row],[C]]="",0,NOTA[[#This Row],[C]]))</f>
        <v>1127000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1127000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87" s="54">
        <f>IF(OR(NOTA[[#This Row],[QTY]]="",NOTA[[#This Row],[HARGA SATUAN]]="",),"",NOTA[[#This Row],[QTY]]*NOTA[[#This Row],[HARGA SATUAN]])</f>
        <v>1127000</v>
      </c>
      <c r="AF87" s="51">
        <f ca="1">IF(NOTA[ID_H]="","",INDEX(NOTA[TANGGAL],MATCH(,INDIRECT(ADDRESS(ROW(NOTA[TANGGAL]),COLUMN(NOTA[TANGGAL]))&amp;":"&amp;ADDRESS(ROW(),COLUMN(NOTA[TANGGAL]))),-1)))</f>
        <v>44933</v>
      </c>
      <c r="AG87" s="65" t="str">
        <f ca="1">IF(NOTA[[#This Row],[NAMA BARANG]]="","",INDEX(NOTA[SUPPLIER],MATCH(,INDIRECT(ADDRESS(ROW(NOTA[ID]),COLUMN(NOTA[ID]))&amp;":"&amp;ADDRESS(ROW(),COLUMN(NOTA[ID]))),-1)))</f>
        <v>GLORY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1</v>
      </c>
      <c r="AK87" s="38" t="str">
        <f>LOWER(SUBSTITUTE(SUBSTITUTE(SUBSTITUTE(SUBSTITUTE(SUBSTITUTE(SUBSTITUTE(SUBSTITUTE(SUBSTITUTE(SUBSTITUTE(NOTA[NAMA BARANG]," ",),".",""),"-",""),"(",""),")",""),",",""),"/",""),"""",""),"+",""))</f>
        <v>btbatik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87" s="193">
        <f>IF(NOTA[[#This Row],[CONCAT1]]="","",MATCH(NOTA[[#This Row],[CONCAT1]],[2]!db[NB NOTA_C],0)+1)</f>
        <v>335</v>
      </c>
    </row>
    <row r="88" spans="1:39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16</v>
      </c>
      <c r="E88" s="23"/>
      <c r="F88" s="26"/>
      <c r="G88" s="26"/>
      <c r="H88" s="31"/>
      <c r="I88" s="26"/>
      <c r="J88" s="51"/>
      <c r="K88" s="26"/>
      <c r="L88" s="26" t="s">
        <v>218</v>
      </c>
      <c r="M88" s="39"/>
      <c r="N88" s="26">
        <v>120</v>
      </c>
      <c r="O88" s="26" t="s">
        <v>104</v>
      </c>
      <c r="P88" s="49">
        <v>13000</v>
      </c>
      <c r="Q88" s="52"/>
      <c r="R88" s="39"/>
      <c r="S88" s="53"/>
      <c r="T88" s="53"/>
      <c r="U88" s="54">
        <v>135000</v>
      </c>
      <c r="V88" s="37" t="s">
        <v>219</v>
      </c>
      <c r="W88" s="54">
        <f>IF(NOTA[[#This Row],[HARGA/ CTN]]="",NOTA[[#This Row],[JUMLAH_H]],NOTA[[#This Row],[HARGA/ CTN]]*IF(NOTA[[#This Row],[C]]="",0,NOTA[[#This Row],[C]]))</f>
        <v>1560000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1560000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8" s="54">
        <f>IF(OR(NOTA[[#This Row],[QTY]]="",NOTA[[#This Row],[HARGA SATUAN]]="",),"",NOTA[[#This Row],[QTY]]*NOTA[[#This Row],[HARGA SATUAN]])</f>
        <v>1560000</v>
      </c>
      <c r="AF88" s="51">
        <f ca="1">IF(NOTA[ID_H]="","",INDEX(NOTA[TANGGAL],MATCH(,INDIRECT(ADDRESS(ROW(NOTA[TANGGAL]),COLUMN(NOTA[TANGGAL]))&amp;":"&amp;ADDRESS(ROW(),COLUMN(NOTA[TANGGAL]))),-1)))</f>
        <v>44933</v>
      </c>
      <c r="AG88" s="65" t="str">
        <f ca="1">IF(NOTA[[#This Row],[NAMA BARANG]]="","",INDEX(NOTA[SUPPLIER],MATCH(,INDIRECT(ADDRESS(ROW(NOTA[ID]),COLUMN(NOTA[ID]))&amp;":"&amp;ADDRESS(ROW(),COLUMN(NOTA[ID]))),-1)))</f>
        <v>GLORY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1</v>
      </c>
      <c r="AK88" s="38" t="str">
        <f>LOWER(SUBSTITUTE(SUBSTITUTE(SUBSTITUTE(SUBSTITUTE(SUBSTITUTE(SUBSTITUTE(SUBSTITUTE(SUBSTITUTE(SUBSTITUTE(NOTA[NAMA BARANG]," ",),".",""),"-",""),"(",""),")",""),",",""),"/",""),"""",""),"+",""))</f>
        <v>agckpolos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agckpolos13000</v>
      </c>
      <c r="AM88" s="193">
        <f>IF(NOTA[[#This Row],[CONCAT1]]="","",MATCH(NOTA[[#This Row],[CONCAT1]],[2]!db[NB NOTA_C],0)+1)</f>
        <v>39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" s="193" t="str">
        <f>IF(NOTA[[#This Row],[CONCAT1]]="","",MATCH(NOTA[[#This Row],[CONCAT1]],[2]!db[NB NOTA_C],0)+1)</f>
        <v/>
      </c>
    </row>
    <row r="90" spans="1:39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DBS_0602_723-2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17</v>
      </c>
      <c r="E90" s="23">
        <v>44963</v>
      </c>
      <c r="F90" s="26" t="s">
        <v>220</v>
      </c>
      <c r="G90" s="26" t="s">
        <v>87</v>
      </c>
      <c r="H90" s="31" t="s">
        <v>221</v>
      </c>
      <c r="I90" s="26"/>
      <c r="J90" s="51">
        <v>44565</v>
      </c>
      <c r="K90" s="26"/>
      <c r="L90" s="26" t="s">
        <v>222</v>
      </c>
      <c r="M90" s="39">
        <v>7</v>
      </c>
      <c r="N90" s="26">
        <v>672</v>
      </c>
      <c r="O90" s="26" t="s">
        <v>90</v>
      </c>
      <c r="P90" s="49">
        <v>31500</v>
      </c>
      <c r="Q90" s="52"/>
      <c r="R90" s="39" t="s">
        <v>223</v>
      </c>
      <c r="S90" s="53"/>
      <c r="T90" s="53"/>
      <c r="U90" s="54"/>
      <c r="V90" s="37"/>
      <c r="W90" s="54">
        <f>IF(NOTA[[#This Row],[HARGA/ CTN]]="",NOTA[[#This Row],[JUMLAH_H]],NOTA[[#This Row],[HARGA/ CTN]]*IF(NOTA[[#This Row],[C]]="",0,NOTA[[#This Row],[C]]))</f>
        <v>21168000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21168000</v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0" s="54">
        <f>IF(OR(NOTA[[#This Row],[QTY]]="",NOTA[[#This Row],[HARGA SATUAN]]="",),"",NOTA[[#This Row],[QTY]]*NOTA[[#This Row],[HARGA SATUAN]])</f>
        <v>21168000</v>
      </c>
      <c r="AF90" s="51">
        <f ca="1">IF(NOTA[ID_H]="","",INDEX(NOTA[TANGGAL],MATCH(,INDIRECT(ADDRESS(ROW(NOTA[TANGGAL]),COLUMN(NOTA[TANGGAL]))&amp;":"&amp;ADDRESS(ROW(),COLUMN(NOTA[TANGGAL]))),-1)))</f>
        <v>44963</v>
      </c>
      <c r="AG90" s="65" t="str">
        <f ca="1">IF(NOTA[[#This Row],[NAMA BARANG]]="","",INDEX(NOTA[SUPPLIER],MATCH(,INDIRECT(ADDRESS(ROW(NOTA[ID]),COLUMN(NOTA[ID]))&amp;":"&amp;ADDRESS(ROW(),COLUMN(NOTA[ID]))),-1)))</f>
        <v>DB STATIONERY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2</v>
      </c>
      <c r="AJ90" s="38">
        <f>IF(NOTA[[#This Row],[TGL.NOTA]]="",IF(NOTA[[#This Row],[SUPPLIER_H]]="","",AJ89),MONTH(NOTA[[#This Row],[TGL.NOTA]]))</f>
        <v>1</v>
      </c>
      <c r="AK90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90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90" s="193">
        <f>IF(NOTA[[#This Row],[CONCAT1]]="","",MATCH(NOTA[[#This Row],[CONCAT1]],[2]!db[NB NOTA_C],0)+1)</f>
        <v>751</v>
      </c>
    </row>
    <row r="91" spans="1:39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/>
      <c r="G91" s="26"/>
      <c r="H91" s="31"/>
      <c r="I91" s="26"/>
      <c r="J91" s="51"/>
      <c r="K91" s="26"/>
      <c r="L91" s="26" t="s">
        <v>251</v>
      </c>
      <c r="M91" s="39">
        <v>3</v>
      </c>
      <c r="N91" s="26">
        <v>288</v>
      </c>
      <c r="O91" s="26" t="s">
        <v>90</v>
      </c>
      <c r="P91" s="49">
        <v>31500</v>
      </c>
      <c r="Q91" s="52"/>
      <c r="R91" s="39" t="s">
        <v>223</v>
      </c>
      <c r="S91" s="53"/>
      <c r="T91" s="53"/>
      <c r="U91" s="54"/>
      <c r="V91" s="37"/>
      <c r="W91" s="54">
        <f>IF(NOTA[[#This Row],[HARGA/ CTN]]="",NOTA[[#This Row],[JUMLAH_H]],NOTA[[#This Row],[HARGA/ CTN]]*IF(NOTA[[#This Row],[C]]="",0,NOTA[[#This Row],[C]]))</f>
        <v>9072000</v>
      </c>
      <c r="X91" s="54">
        <f>IF(NOTA[[#This Row],[JUMLAH]]="","",NOTA[[#This Row],[JUMLAH]]*NOTA[[#This Row],[DISC 1]])</f>
        <v>0</v>
      </c>
      <c r="Y91" s="54">
        <f>IF(NOTA[[#This Row],[JUMLAH]]="","",(NOTA[[#This Row],[JUMLAH]]-NOTA[[#This Row],[DISC 1-]])*NOTA[[#This Row],[DISC 2]])</f>
        <v>0</v>
      </c>
      <c r="Z91" s="54">
        <f>IF(NOTA[[#This Row],[JUMLAH]]="","",NOTA[[#This Row],[DISC 1-]]+NOTA[[#This Row],[DISC 2-]])</f>
        <v>0</v>
      </c>
      <c r="AA91" s="54">
        <f>IF(NOTA[[#This Row],[JUMLAH]]="","",NOTA[[#This Row],[JUMLAH]]-NOTA[[#This Row],[DISC]])</f>
        <v>9072000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1" s="54">
        <f>IF(OR(NOTA[[#This Row],[QTY]]="",NOTA[[#This Row],[HARGA SATUAN]]="",),"",NOTA[[#This Row],[QTY]]*NOTA[[#This Row],[HARGA SATUAN]])</f>
        <v>9072000</v>
      </c>
      <c r="AF91" s="51">
        <f ca="1">IF(NOTA[ID_H]="","",INDEX(NOTA[TANGGAL],MATCH(,INDIRECT(ADDRESS(ROW(NOTA[TANGGAL]),COLUMN(NOTA[TANGGAL]))&amp;":"&amp;ADDRESS(ROW(),COLUMN(NOTA[TANGGAL]))),-1)))</f>
        <v>44963</v>
      </c>
      <c r="AG91" s="65" t="str">
        <f ca="1">IF(NOTA[[#This Row],[NAMA BARANG]]="","",INDEX(NOTA[SUPPLIER],MATCH(,INDIRECT(ADDRESS(ROW(NOTA[ID]),COLUMN(NOTA[ID]))&amp;":"&amp;ADDRESS(ROW(),COLUMN(NOTA[ID]))),-1)))</f>
        <v>DB STATIONERY</v>
      </c>
      <c r="AH91" s="65" t="str">
        <f ca="1">IF(NOTA[[#This Row],[ID_H]]="","",IF(NOTA[[#This Row],[FAKTUR]]="",INDIRECT(ADDRESS(ROW()-1,COLUMN())),NOTA[[#This Row],[FAKTUR]]))</f>
        <v>UNTANA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1</v>
      </c>
      <c r="AK91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gel10tg340bibiru3024000</v>
      </c>
      <c r="AM91" s="193">
        <f>IF(NOTA[[#This Row],[CONCAT1]]="","",MATCH(NOTA[[#This Row],[CONCAT1]],[2]!db[NB NOTA_C],0)+1)</f>
        <v>705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93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GRA_0602_001-3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86</v>
      </c>
      <c r="G93" s="26" t="s">
        <v>87</v>
      </c>
      <c r="H93" s="31" t="s">
        <v>224</v>
      </c>
      <c r="I93" s="26"/>
      <c r="J93" s="51">
        <v>44928</v>
      </c>
      <c r="K93" s="26"/>
      <c r="L93" s="26" t="s">
        <v>225</v>
      </c>
      <c r="M93" s="39">
        <v>3</v>
      </c>
      <c r="N93" s="26">
        <v>150</v>
      </c>
      <c r="O93" s="26" t="s">
        <v>90</v>
      </c>
      <c r="P93" s="49">
        <v>18250</v>
      </c>
      <c r="Q93" s="52"/>
      <c r="R93" s="39" t="s">
        <v>227</v>
      </c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2737500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2737500</v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93" s="54">
        <f>IF(OR(NOTA[[#This Row],[QTY]]="",NOTA[[#This Row],[HARGA SATUAN]]="",),"",NOTA[[#This Row],[QTY]]*NOTA[[#This Row],[HARGA SATUAN]])</f>
        <v>2737500</v>
      </c>
      <c r="AF93" s="51">
        <f ca="1">IF(NOTA[ID_H]="","",INDEX(NOTA[TANGGAL],MATCH(,INDIRECT(ADDRESS(ROW(NOTA[TANGGAL]),COLUMN(NOTA[TANGGAL]))&amp;":"&amp;ADDRESS(ROW(),COLUMN(NOTA[TANGGAL]))),-1)))</f>
        <v>44963</v>
      </c>
      <c r="AG93" s="65" t="str">
        <f ca="1">IF(NOTA[[#This Row],[NAMA BARANG]]="","",INDEX(NOTA[SUPPLIER],MATCH(,INDIRECT(ADDRESS(ROW(NOTA[ID]),COLUMN(NOTA[ID]))&amp;":"&amp;ADDRESS(ROW(),COLUMN(NOTA[ID]))),-1)))</f>
        <v>GRAFINDO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3</v>
      </c>
      <c r="AJ93" s="38">
        <f>IF(NOTA[[#This Row],[TGL.NOTA]]="",IF(NOTA[[#This Row],[SUPPLIER_H]]="","",AJ92),MONTH(NOTA[[#This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mapkancingsikaac05kuning912500</v>
      </c>
      <c r="AM93" s="193">
        <f>IF(NOTA[[#This Row],[CONCAT1]]="","",MATCH(NOTA[[#This Row],[CONCAT1]],[2]!db[NB NOTA_C],0)+1)</f>
        <v>1435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18</v>
      </c>
      <c r="E94" s="23"/>
      <c r="F94" s="26"/>
      <c r="G94" s="26"/>
      <c r="H94" s="31"/>
      <c r="I94" s="26"/>
      <c r="J94" s="51"/>
      <c r="K94" s="26"/>
      <c r="L94" s="26" t="s">
        <v>226</v>
      </c>
      <c r="M94" s="39">
        <v>1</v>
      </c>
      <c r="N94" s="26">
        <v>50</v>
      </c>
      <c r="O94" s="26" t="s">
        <v>90</v>
      </c>
      <c r="P94" s="49"/>
      <c r="Q94" s="52"/>
      <c r="R94" s="39" t="s">
        <v>227</v>
      </c>
      <c r="S94" s="53"/>
      <c r="T94" s="53"/>
      <c r="U94" s="54"/>
      <c r="V94" s="37" t="s">
        <v>211</v>
      </c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4" s="54" t="str">
        <f>IF(OR(NOTA[[#This Row],[QTY]]="",NOTA[[#This Row],[HARGA SATUAN]]="",),"",NOTA[[#This Row],[QTY]]*NOTA[[#This Row],[HARGA SATUAN]])</f>
        <v/>
      </c>
      <c r="AF94" s="51">
        <f ca="1">IF(NOTA[ID_H]="","",INDEX(NOTA[TANGGAL],MATCH(,INDIRECT(ADDRESS(ROW(NOTA[TANGGAL]),COLUMN(NOTA[TANGGAL]))&amp;":"&amp;ADDRESS(ROW(),COLUMN(NOTA[TANGGAL]))),-1)))</f>
        <v>44963</v>
      </c>
      <c r="AG94" s="65" t="str">
        <f ca="1">IF(NOTA[[#This Row],[NAMA BARANG]]="","",INDEX(NOTA[SUPPLIER],MATCH(,INDIRECT(ADDRESS(ROW(NOTA[ID]),COLUMN(NOTA[ID]))&amp;":"&amp;ADDRESS(ROW(),COLUMN(NOTA[ID]))),-1)))</f>
        <v>GRAFINDO</v>
      </c>
      <c r="AH94" s="65" t="str">
        <f ca="1">IF(NOTA[[#This Row],[ID_H]]="","",IF(NOTA[[#This Row],[FAKTUR]]="",INDIRECT(ADDRESS(ROW()-1,COLUMN())),NOTA[[#This Row],[FAKTUR]]))</f>
        <v>UNTANA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1</v>
      </c>
      <c r="AK94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4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4" s="193">
        <f>IF(NOTA[[#This Row],[CONCAT1]]="","",MATCH(NOTA[[#This Row],[CONCAT1]],[2]!db[NB NOTA_C],0)+1)</f>
        <v>379</v>
      </c>
    </row>
    <row r="95" spans="1:39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18</v>
      </c>
      <c r="E95" s="23"/>
      <c r="F95" s="26"/>
      <c r="G95" s="26"/>
      <c r="H95" s="31"/>
      <c r="I95" s="26"/>
      <c r="J95" s="51"/>
      <c r="K95" s="26"/>
      <c r="L95" s="26" t="s">
        <v>252</v>
      </c>
      <c r="M95" s="39">
        <v>2</v>
      </c>
      <c r="N95" s="26">
        <v>100</v>
      </c>
      <c r="O95" s="26" t="s">
        <v>90</v>
      </c>
      <c r="P95" s="49"/>
      <c r="Q95" s="52"/>
      <c r="R95" s="39" t="s">
        <v>227</v>
      </c>
      <c r="S95" s="53"/>
      <c r="T95" s="53"/>
      <c r="U95" s="54"/>
      <c r="V95" s="37" t="s">
        <v>211</v>
      </c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5" s="54" t="str">
        <f>IF(OR(NOTA[[#This Row],[QTY]]="",NOTA[[#This Row],[HARGA SATUAN]]="",),"",NOTA[[#This Row],[QTY]]*NOTA[[#This Row],[HARGA SATUAN]])</f>
        <v/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GRAFINDO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1</v>
      </c>
      <c r="AK95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businessfilesikaac106putih0</v>
      </c>
      <c r="AM95" s="193">
        <f>IF(NOTA[[#This Row],[CONCAT1]]="","",MATCH(NOTA[[#This Row],[CONCAT1]],[2]!db[NB NOTA_C],0)+1)</f>
        <v>381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93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GRA_0602_014-1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19</v>
      </c>
      <c r="E97" s="23"/>
      <c r="F97" s="26" t="s">
        <v>86</v>
      </c>
      <c r="G97" s="26" t="s">
        <v>87</v>
      </c>
      <c r="H97" s="31" t="s">
        <v>228</v>
      </c>
      <c r="I97" s="26"/>
      <c r="J97" s="51">
        <v>44929</v>
      </c>
      <c r="K97" s="26"/>
      <c r="L97" s="26" t="s">
        <v>226</v>
      </c>
      <c r="M97" s="39">
        <v>3</v>
      </c>
      <c r="N97" s="26">
        <v>150</v>
      </c>
      <c r="O97" s="26" t="s">
        <v>90</v>
      </c>
      <c r="P97" s="49"/>
      <c r="Q97" s="52"/>
      <c r="R97" s="39" t="s">
        <v>227</v>
      </c>
      <c r="S97" s="53"/>
      <c r="T97" s="53"/>
      <c r="U97" s="54"/>
      <c r="V97" s="37" t="s">
        <v>88</v>
      </c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GRAFINDO</v>
      </c>
      <c r="AH97" s="65" t="str">
        <f ca="1">IF(NOTA[[#This Row],[ID_H]]="","",IF(NOTA[[#This Row],[FAKTUR]]="",INDIRECT(ADDRESS(ROW()-1,COLUMN())),NOTA[[#This Row],[FAKTUR]]))</f>
        <v>UNTANA</v>
      </c>
      <c r="AI97" s="38">
        <f ca="1">IF(NOTA[[#This Row],[ID]]="","",COUNTIF(NOTA[ID_H],NOTA[[#This Row],[ID_H]]))</f>
        <v>1</v>
      </c>
      <c r="AJ97" s="38">
        <f>IF(NOTA[[#This Row],[TGL.NOTA]]="",IF(NOTA[[#This Row],[SUPPLIER_H]]="","",AJ96),MONTH(NOTA[[#This Row],[TGL.NOTA]]))</f>
        <v>1</v>
      </c>
      <c r="AK97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7" s="193">
        <f>IF(NOTA[[#This Row],[CONCAT1]]="","",MATCH(NOTA[[#This Row],[CONCAT1]],[2]!db[NB NOTA_C],0)+1)</f>
        <v>379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" s="193" t="str">
        <f>IF(NOTA[[#This Row],[CONCAT1]]="","",MATCH(NOTA[[#This Row],[CONCAT1]],[2]!db[NB NOTA_C],0)+1)</f>
        <v/>
      </c>
    </row>
    <row r="99" spans="1:39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TRI_0602_720-1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 t="s">
        <v>229</v>
      </c>
      <c r="G99" s="26" t="s">
        <v>87</v>
      </c>
      <c r="H99" s="31" t="s">
        <v>230</v>
      </c>
      <c r="I99" s="26"/>
      <c r="J99" s="51">
        <v>44930</v>
      </c>
      <c r="K99" s="26"/>
      <c r="L99" s="26" t="s">
        <v>253</v>
      </c>
      <c r="M99" s="39">
        <v>26</v>
      </c>
      <c r="N99" s="26">
        <v>3120</v>
      </c>
      <c r="O99" s="26" t="s">
        <v>133</v>
      </c>
      <c r="P99" s="49">
        <v>4615</v>
      </c>
      <c r="Q99" s="52"/>
      <c r="R99" s="39" t="s">
        <v>132</v>
      </c>
      <c r="S99" s="53"/>
      <c r="T99" s="53"/>
      <c r="U99" s="54">
        <v>287976</v>
      </c>
      <c r="V99" s="37"/>
      <c r="W99" s="54">
        <f>IF(NOTA[[#This Row],[HARGA/ CTN]]="",NOTA[[#This Row],[JUMLAH_H]],NOTA[[#This Row],[HARGA/ CTN]]*IF(NOTA[[#This Row],[C]]="",0,NOTA[[#This Row],[C]]))</f>
        <v>14398800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14398800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E99" s="54">
        <f>IF(OR(NOTA[[#This Row],[QTY]]="",NOTA[[#This Row],[HARGA SATUAN]]="",),"",NOTA[[#This Row],[QTY]]*NOTA[[#This Row],[HARGA SATUAN]])</f>
        <v>14398800</v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TRI MITRA SEJATI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1</v>
      </c>
      <c r="AK99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elecnational20mx120roll553800</v>
      </c>
      <c r="AM99" s="193">
        <f>IF(NOTA[[#This Row],[CONCAT1]]="","",MATCH(NOTA[[#This Row],[CONCAT1]],[2]!db[NB NOTA_C],0)+1)</f>
        <v>644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" s="193" t="str">
        <f>IF(NOTA[[#This Row],[CONCAT1]]="","",MATCH(NOTA[[#This Row],[CONCAT1]],[2]!db[NB NOTA_C],0)+1)</f>
        <v/>
      </c>
    </row>
    <row r="101" spans="1:39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21</v>
      </c>
      <c r="E101" s="23">
        <v>44932</v>
      </c>
      <c r="F101" s="26" t="s">
        <v>231</v>
      </c>
      <c r="G101" s="26" t="s">
        <v>87</v>
      </c>
      <c r="H101" s="31" t="s">
        <v>232</v>
      </c>
      <c r="I101" s="26"/>
      <c r="J101" s="51">
        <v>44932</v>
      </c>
      <c r="K101" s="26"/>
      <c r="L101" s="26" t="s">
        <v>233</v>
      </c>
      <c r="M101" s="39">
        <v>1</v>
      </c>
      <c r="N101" s="26">
        <v>7</v>
      </c>
      <c r="O101" s="26" t="s">
        <v>90</v>
      </c>
      <c r="P101" s="49">
        <v>195000</v>
      </c>
      <c r="Q101" s="52"/>
      <c r="R101" s="39"/>
      <c r="S101" s="53"/>
      <c r="T101" s="53"/>
      <c r="U101" s="54"/>
      <c r="V101" s="37"/>
      <c r="W101" s="54">
        <f>IF(NOTA[[#This Row],[HARGA/ CTN]]="",NOTA[[#This Row],[JUMLAH_H]],NOTA[[#This Row],[HARGA/ CTN]]*IF(NOTA[[#This Row],[C]]="",0,NOTA[[#This Row],[C]]))</f>
        <v>1365000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1365000</v>
      </c>
      <c r="AB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E101" s="54">
        <f>IF(OR(NOTA[[#This Row],[QTY]]="",NOTA[[#This Row],[HARGA SATUAN]]="",),"",NOTA[[#This Row],[QTY]]*NOTA[[#This Row],[HARGA SATUAN]])</f>
        <v>1365000</v>
      </c>
      <c r="AF101" s="51">
        <f ca="1">IF(NOTA[ID_H]="","",INDEX(NOTA[TANGGAL],MATCH(,INDIRECT(ADDRESS(ROW(NOTA[TANGGAL]),COLUMN(NOTA[TANGGAL]))&amp;":"&amp;ADDRESS(ROW(),COLUMN(NOTA[TANGGAL]))),-1)))</f>
        <v>44932</v>
      </c>
      <c r="AG101" s="65" t="str">
        <f ca="1">IF(NOTA[[#This Row],[NAMA BARANG]]="","",INDEX(NOTA[SUPPLIER],MATCH(,INDIRECT(ADDRESS(ROW(NOTA[ID]),COLUMN(NOTA[ID]))&amp;":"&amp;ADDRESS(ROW(),COLUMN(NOTA[ID]))),-1)))</f>
        <v>COMBI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1</v>
      </c>
      <c r="AJ101" s="38">
        <f>IF(NOTA[[#This Row],[TGL.NOTA]]="",IF(NOTA[[#This Row],[SUPPLIER_H]]="","",AJ100),MONTH(NOTA[[#This Row],[TGL.NOTA]]))</f>
        <v>1</v>
      </c>
      <c r="AK10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>docritprestige1365000</v>
      </c>
      <c r="AM101" s="193">
        <f>IF(NOTA[[#This Row],[CONCAT1]]="","",MATCH(NOTA[[#This Row],[CONCAT1]],[2]!db[NB NOTA_C],0)+1)</f>
        <v>601</v>
      </c>
    </row>
    <row r="102" spans="1:39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 t="str">
        <f ca="1">IF(NOTA[[#This Row],[NAMA BARANG]]="","",INDEX(NOTA[ID],MATCH(,INDIRECT(ADDRESS(ROW(NOTA[ID]),COLUMN(NOTA[ID]))&amp;":"&amp;ADDRESS(ROW(),COLUMN(NOTA[ID]))),-1)))</f>
        <v/>
      </c>
      <c r="E102" s="23"/>
      <c r="F102" s="26"/>
      <c r="G102" s="26"/>
      <c r="H102" s="31"/>
      <c r="I102" s="26"/>
      <c r="J102" s="51"/>
      <c r="K102" s="26"/>
      <c r="L102" s="26"/>
      <c r="M102" s="39"/>
      <c r="N102" s="26"/>
      <c r="O102" s="26"/>
      <c r="P102" s="49"/>
      <c r="Q102" s="52"/>
      <c r="R102" s="39"/>
      <c r="S102" s="53"/>
      <c r="T102" s="53"/>
      <c r="U102" s="54"/>
      <c r="V102" s="37"/>
      <c r="W102" s="54" t="str">
        <f>IF(NOTA[[#This Row],[HARGA/ CTN]]="",NOTA[[#This Row],[JUMLAH_H]],NOTA[[#This Row],[HARGA/ CTN]]*IF(NOTA[[#This Row],[C]]="",0,NOTA[[#This Row],[C]]))</f>
        <v/>
      </c>
      <c r="X102" s="54" t="str">
        <f>IF(NOTA[[#This Row],[JUMLAH]]="","",NOTA[[#This Row],[JUMLAH]]*NOTA[[#This Row],[DISC 1]])</f>
        <v/>
      </c>
      <c r="Y102" s="54" t="str">
        <f>IF(NOTA[[#This Row],[JUMLAH]]="","",(NOTA[[#This Row],[JUMLAH]]-NOTA[[#This Row],[DISC 1-]])*NOTA[[#This Row],[DISC 2]])</f>
        <v/>
      </c>
      <c r="Z102" s="54" t="str">
        <f>IF(NOTA[[#This Row],[JUMLAH]]="","",NOTA[[#This Row],[DISC 1-]]+NOTA[[#This Row],[DISC 2-]])</f>
        <v/>
      </c>
      <c r="AA102" s="54" t="str">
        <f>IF(NOTA[[#This Row],[JUMLAH]]="","",NOTA[[#This Row],[JUMLAH]]-NOTA[[#This Row],[DISC]])</f>
        <v/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54" t="str">
        <f>IF(OR(NOTA[[#This Row],[QTY]]="",NOTA[[#This Row],[HARGA SATUAN]]="",),"",NOTA[[#This Row],[QTY]]*NOTA[[#This Row],[HARGA SATUAN]])</f>
        <v/>
      </c>
      <c r="AF102" s="51" t="str">
        <f ca="1">IF(NOTA[ID_H]="","",INDEX(NOTA[TANGGAL],MATCH(,INDIRECT(ADDRESS(ROW(NOTA[TANGGAL]),COLUMN(NOTA[TANGGAL]))&amp;":"&amp;ADDRESS(ROW(),COLUMN(NOTA[TANGGAL]))),-1)))</f>
        <v/>
      </c>
      <c r="AG102" s="65" t="str">
        <f ca="1">IF(NOTA[[#This Row],[NAMA BARANG]]="","",INDEX(NOTA[SUPPLIER],MATCH(,INDIRECT(ADDRESS(ROW(NOTA[ID]),COLUMN(NOTA[ID]))&amp;":"&amp;ADDRESS(ROW(),COLUMN(NOTA[ID]))),-1)))</f>
        <v/>
      </c>
      <c r="AH102" s="65" t="str">
        <f ca="1">IF(NOTA[[#This Row],[ID_H]]="","",IF(NOTA[[#This Row],[FAKTUR]]="",INDIRECT(ADDRESS(ROW()-1,COLUMN())),NOTA[[#This Row],[FAKTUR]]))</f>
        <v/>
      </c>
      <c r="AI102" s="38" t="str">
        <f ca="1">IF(NOTA[[#This Row],[ID]]="","",COUNTIF(NOTA[ID_H],NOTA[[#This Row],[ID_H]]))</f>
        <v/>
      </c>
      <c r="AJ102" s="38" t="str">
        <f ca="1">IF(NOTA[[#This Row],[TGL.NOTA]]="",IF(NOTA[[#This Row],[SUPPLIER_H]]="","",AJ101),MONTH(NOTA[[#This Row],[TGL.NOTA]]))</f>
        <v/>
      </c>
      <c r="AK102" s="38" t="str">
        <f>LOWER(SUBSTITUTE(SUBSTITUTE(SUBSTITUTE(SUBSTITUTE(SUBSTITUTE(SUBSTITUTE(SUBSTITUTE(SUBSTITUTE(SUBSTITUTE(NOTA[NAMA BARANG]," ",),".",""),"-",""),"(",""),")",""),",",""),"/",""),"""",""),"+",""))</f>
        <v/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2" s="193" t="str">
        <f>IF(NOTA[[#This Row],[CONCAT1]]="","",MATCH(NOTA[[#This Row],[CONCAT1]],[2]!db[NB NOTA_C],0)+1)</f>
        <v/>
      </c>
    </row>
    <row r="103" spans="1:39" ht="20.100000000000001" customHeight="1" x14ac:dyDescent="0.25">
      <c r="A103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3" s="50" t="e">
        <f ca="1">IF(NOTA[[#This Row],[ID_P]]="","",MATCH(NOTA[[#This Row],[ID_P]],[1]!B_MSK[N_ID],0))</f>
        <v>#REF!</v>
      </c>
      <c r="D103" s="50">
        <f ca="1">IF(NOTA[[#This Row],[NAMA BARANG]]="","",INDEX(NOTA[ID],MATCH(,INDIRECT(ADDRESS(ROW(NOTA[ID]),COLUMN(NOTA[ID]))&amp;":"&amp;ADDRESS(ROW(),COLUMN(NOTA[ID]))),-1)))</f>
        <v>22</v>
      </c>
      <c r="E103" s="23"/>
      <c r="F103" s="26" t="s">
        <v>234</v>
      </c>
      <c r="G103" s="26" t="s">
        <v>87</v>
      </c>
      <c r="H103" s="31" t="s">
        <v>235</v>
      </c>
      <c r="I103" s="26"/>
      <c r="J103" s="51">
        <v>44917</v>
      </c>
      <c r="K103" s="26"/>
      <c r="L103" s="26" t="s">
        <v>236</v>
      </c>
      <c r="M103" s="39">
        <v>50</v>
      </c>
      <c r="N103" s="26">
        <v>500</v>
      </c>
      <c r="O103" s="26" t="s">
        <v>104</v>
      </c>
      <c r="P103" s="49">
        <v>48000</v>
      </c>
      <c r="Q103" s="52"/>
      <c r="R103" s="39"/>
      <c r="S103" s="53"/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24000000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24000000</v>
      </c>
      <c r="AB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03" s="54">
        <f>IF(OR(NOTA[[#This Row],[QTY]]="",NOTA[[#This Row],[HARGA SATUAN]]="",),"",NOTA[[#This Row],[QTY]]*NOTA[[#This Row],[HARGA SATUAN]])</f>
        <v>24000000</v>
      </c>
      <c r="AF103" s="51">
        <f ca="1">IF(NOTA[ID_H]="","",INDEX(NOTA[TANGGAL],MATCH(,INDIRECT(ADDRESS(ROW(NOTA[TANGGAL]),COLUMN(NOTA[TANGGAL]))&amp;":"&amp;ADDRESS(ROW(),COLUMN(NOTA[TANGGAL]))),-1)))</f>
        <v>44932</v>
      </c>
      <c r="AG103" s="65" t="str">
        <f ca="1">IF(NOTA[[#This Row],[NAMA BARANG]]="","",INDEX(NOTA[SUPPLIER],MATCH(,INDIRECT(ADDRESS(ROW(NOTA[ID]),COLUMN(NOTA[ID]))&amp;":"&amp;ADDRESS(ROW(),COLUMN(NOTA[ID]))),-1)))</f>
        <v>SAPUTRO OFFICE</v>
      </c>
      <c r="AH103" s="65" t="str">
        <f ca="1">IF(NOTA[[#This Row],[ID_H]]="","",IF(NOTA[[#This Row],[FAKTUR]]="",INDIRECT(ADDRESS(ROW()-1,COLUMN())),NOTA[[#This Row],[FAKTUR]]))</f>
        <v>UNTANA</v>
      </c>
      <c r="AI103" s="38">
        <f ca="1">IF(NOTA[[#This Row],[ID]]="","",COUNTIF(NOTA[ID_H],NOTA[[#This Row],[ID_H]]))</f>
        <v>1</v>
      </c>
      <c r="AJ103" s="38">
        <f>IF(NOTA[[#This Row],[TGL.NOTA]]="",IF(NOTA[[#This Row],[SUPPLIER_H]]="","",AJ102),MONTH(NOTA[[#This Row],[TGL.NOTA]]))</f>
        <v>12</v>
      </c>
      <c r="AK10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03" s="193">
        <f>IF(NOTA[[#This Row],[CONCAT1]]="","",MATCH(NOTA[[#This Row],[CONCAT1]],[2]!db[NB NOTA_C],0)+1)</f>
        <v>1480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 t="str">
        <f ca="1">IF(NOTA[[#This Row],[NAMA BARANG]]="","",INDEX(NOTA[ID],MATCH(,INDIRECT(ADDRESS(ROW(NOTA[ID]),COLUMN(NOTA[ID]))&amp;":"&amp;ADDRESS(ROW(),COLUMN(NOTA[ID]))),-1)))</f>
        <v/>
      </c>
      <c r="E104" s="23"/>
      <c r="F104" s="26"/>
      <c r="G104" s="26"/>
      <c r="H104" s="31"/>
      <c r="I104" s="26"/>
      <c r="J104" s="51"/>
      <c r="K104" s="26"/>
      <c r="L104" s="26"/>
      <c r="M104" s="39"/>
      <c r="N104" s="26"/>
      <c r="O104" s="26"/>
      <c r="P104" s="49"/>
      <c r="Q104" s="52"/>
      <c r="R104" s="39"/>
      <c r="S104" s="53"/>
      <c r="T104" s="53"/>
      <c r="U104" s="54"/>
      <c r="V104" s="37"/>
      <c r="W104" s="54" t="str">
        <f>IF(NOTA[[#This Row],[HARGA/ CTN]]="",NOTA[[#This Row],[JUMLAH_H]],NOTA[[#This Row],[HARGA/ CTN]]*IF(NOTA[[#This Row],[C]]="",0,NOTA[[#This Row],[C]]))</f>
        <v/>
      </c>
      <c r="X104" s="54" t="str">
        <f>IF(NOTA[[#This Row],[JUMLAH]]="","",NOTA[[#This Row],[JUMLAH]]*NOTA[[#This Row],[DISC 1]])</f>
        <v/>
      </c>
      <c r="Y104" s="54" t="str">
        <f>IF(NOTA[[#This Row],[JUMLAH]]="","",(NOTA[[#This Row],[JUMLAH]]-NOTA[[#This Row],[DISC 1-]])*NOTA[[#This Row],[DISC 2]])</f>
        <v/>
      </c>
      <c r="Z104" s="54" t="str">
        <f>IF(NOTA[[#This Row],[JUMLAH]]="","",NOTA[[#This Row],[DISC 1-]]+NOTA[[#This Row],[DISC 2-]])</f>
        <v/>
      </c>
      <c r="AA104" s="54" t="str">
        <f>IF(NOTA[[#This Row],[JUMLAH]]="","",NOTA[[#This Row],[JUMLAH]]-NOTA[[#This Row],[DISC]])</f>
        <v/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54" t="str">
        <f>IF(OR(NOTA[[#This Row],[QTY]]="",NOTA[[#This Row],[HARGA SATUAN]]="",),"",NOTA[[#This Row],[QTY]]*NOTA[[#This Row],[HARGA SATUAN]])</f>
        <v/>
      </c>
      <c r="AF104" s="51" t="str">
        <f ca="1">IF(NOTA[ID_H]="","",INDEX(NOTA[TANGGAL],MATCH(,INDIRECT(ADDRESS(ROW(NOTA[TANGGAL]),COLUMN(NOTA[TANGGAL]))&amp;":"&amp;ADDRESS(ROW(),COLUMN(NOTA[TANGGAL]))),-1)))</f>
        <v/>
      </c>
      <c r="AG104" s="65" t="str">
        <f ca="1">IF(NOTA[[#This Row],[NAMA BARANG]]="","",INDEX(NOTA[SUPPLIER],MATCH(,INDIRECT(ADDRESS(ROW(NOTA[ID]),COLUMN(NOTA[ID]))&amp;":"&amp;ADDRESS(ROW(),COLUMN(NOTA[ID]))),-1)))</f>
        <v/>
      </c>
      <c r="AH104" s="65" t="str">
        <f ca="1">IF(NOTA[[#This Row],[ID_H]]="","",IF(NOTA[[#This Row],[FAKTUR]]="",INDIRECT(ADDRESS(ROW()-1,COLUMN())),NOTA[[#This Row],[FAKTUR]]))</f>
        <v/>
      </c>
      <c r="AI104" s="38" t="str">
        <f ca="1">IF(NOTA[[#This Row],[ID]]="","",COUNTIF(NOTA[ID_H],NOTA[[#This Row],[ID_H]]))</f>
        <v/>
      </c>
      <c r="AJ104" s="38" t="str">
        <f ca="1">IF(NOTA[[#This Row],[TGL.NOTA]]="",IF(NOTA[[#This Row],[SUPPLIER_H]]="","",AJ103),MONTH(NOTA[[#This Row],[TGL.NOTA]]))</f>
        <v/>
      </c>
      <c r="AK104" s="38" t="str">
        <f>LOWER(SUBSTITUTE(SUBSTITUTE(SUBSTITUTE(SUBSTITUTE(SUBSTITUTE(SUBSTITUTE(SUBSTITUTE(SUBSTITUTE(SUBSTITUTE(NOTA[NAMA BARANG]," ",),".",""),"-",""),"(",""),")",""),",",""),"/",""),"""",""),"+",""))</f>
        <v/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4" s="193" t="str">
        <f>IF(NOTA[[#This Row],[CONCAT1]]="","",MATCH(NOTA[[#This Row],[CONCAT1]],[2]!db[NB NOTA_C],0)+1)</f>
        <v/>
      </c>
    </row>
    <row r="105" spans="1:39" ht="20.100000000000001" customHeight="1" x14ac:dyDescent="0.25">
      <c r="A10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105" s="50" t="e">
        <f ca="1">IF(NOTA[[#This Row],[ID_P]]="","",MATCH(NOTA[[#This Row],[ID_P]],[1]!B_MSK[N_ID],0))</f>
        <v>#REF!</v>
      </c>
      <c r="D105" s="50">
        <f ca="1">IF(NOTA[[#This Row],[NAMA BARANG]]="","",INDEX(NOTA[ID],MATCH(,INDIRECT(ADDRESS(ROW(NOTA[ID]),COLUMN(NOTA[ID]))&amp;":"&amp;ADDRESS(ROW(),COLUMN(NOTA[ID]))),-1)))</f>
        <v>23</v>
      </c>
      <c r="E105" s="23">
        <v>44931</v>
      </c>
      <c r="F105" s="26" t="s">
        <v>237</v>
      </c>
      <c r="G105" s="26" t="s">
        <v>87</v>
      </c>
      <c r="H105" s="31" t="s">
        <v>238</v>
      </c>
      <c r="I105" s="26"/>
      <c r="J105" s="51">
        <v>44928</v>
      </c>
      <c r="K105" s="26"/>
      <c r="L105" s="26" t="s">
        <v>239</v>
      </c>
      <c r="M105" s="39">
        <v>1</v>
      </c>
      <c r="N105" s="26">
        <v>200</v>
      </c>
      <c r="O105" s="26" t="s">
        <v>90</v>
      </c>
      <c r="P105" s="49">
        <v>10000</v>
      </c>
      <c r="Q105" s="52"/>
      <c r="R105" s="39" t="s">
        <v>240</v>
      </c>
      <c r="S105" s="53"/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2000000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2000000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105" s="54">
        <f>IF(OR(NOTA[[#This Row],[QTY]]="",NOTA[[#This Row],[HARGA SATUAN]]="",),"",NOTA[[#This Row],[QTY]]*NOTA[[#This Row],[HARGA SATUAN]])</f>
        <v>2000000</v>
      </c>
      <c r="AF105" s="51">
        <f ca="1">IF(NOTA[ID_H]="","",INDEX(NOTA[TANGGAL],MATCH(,INDIRECT(ADDRESS(ROW(NOTA[TANGGAL]),COLUMN(NOTA[TANGGAL]))&amp;":"&amp;ADDRESS(ROW(),COLUMN(NOTA[TANGGAL]))),-1)))</f>
        <v>44931</v>
      </c>
      <c r="AG105" s="65" t="str">
        <f ca="1">IF(NOTA[[#This Row],[NAMA BARANG]]="","",INDEX(NOTA[SUPPLIER],MATCH(,INDIRECT(ADDRESS(ROW(NOTA[ID]),COLUMN(NOTA[ID]))&amp;":"&amp;ADDRESS(ROW(),COLUMN(NOTA[ID]))),-1)))</f>
        <v>DUTA BUANA</v>
      </c>
      <c r="AH105" s="65" t="str">
        <f ca="1">IF(NOTA[[#This Row],[ID_H]]="","",IF(NOTA[[#This Row],[FAKTUR]]="",INDIRECT(ADDRESS(ROW()-1,COLUMN())),NOTA[[#This Row],[FAKTUR]]))</f>
        <v>UNTANA</v>
      </c>
      <c r="AI105" s="38">
        <f ca="1">IF(NOTA[[#This Row],[ID]]="","",COUNTIF(NOTA[ID_H],NOTA[[#This Row],[ID_H]]))</f>
        <v>2</v>
      </c>
      <c r="AJ105" s="38">
        <f>IF(NOTA[[#This Row],[TGL.NOTA]]="",IF(NOTA[[#This Row],[SUPPLIER_H]]="","",AJ104),MONTH(NOTA[[#This Row],[TGL.NOTA]]))</f>
        <v>1</v>
      </c>
      <c r="AK105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garisantf1990busurbolong180degree2000000</v>
      </c>
      <c r="AM105" s="193">
        <f>IF(NOTA[[#This Row],[CONCAT1]]="","",MATCH(NOTA[[#This Row],[CONCAT1]],[2]!db[NB NOTA_C],0)+1)</f>
        <v>697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23</v>
      </c>
      <c r="E106" s="23"/>
      <c r="F106" s="26"/>
      <c r="G106" s="26"/>
      <c r="H106" s="31"/>
      <c r="I106" s="26"/>
      <c r="J106" s="51"/>
      <c r="K106" s="26"/>
      <c r="L106" s="26" t="s">
        <v>254</v>
      </c>
      <c r="M106" s="39">
        <v>1</v>
      </c>
      <c r="N106" s="26">
        <v>48</v>
      </c>
      <c r="O106" s="26" t="s">
        <v>90</v>
      </c>
      <c r="P106" s="49">
        <v>25000</v>
      </c>
      <c r="Q106" s="52"/>
      <c r="R106" s="39" t="s">
        <v>241</v>
      </c>
      <c r="S106" s="53"/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1200000</v>
      </c>
      <c r="X106" s="54">
        <f>IF(NOTA[[#This Row],[JUMLAH]]="","",NOTA[[#This Row],[JUMLAH]]*NOTA[[#This Row],[DISC 1]])</f>
        <v>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0</v>
      </c>
      <c r="AA106" s="54">
        <f>IF(NOTA[[#This Row],[JUMLAH]]="","",NOTA[[#This Row],[JUMLAH]]-NOTA[[#This Row],[DISC]])</f>
        <v>1200000</v>
      </c>
      <c r="AB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06" s="54">
        <f>IF(OR(NOTA[[#This Row],[QTY]]="",NOTA[[#This Row],[HARGA SATUAN]]="",),"",NOTA[[#This Row],[QTY]]*NOTA[[#This Row],[HARGA SATUAN]])</f>
        <v>1200000</v>
      </c>
      <c r="AF106" s="51">
        <f ca="1">IF(NOTA[ID_H]="","",INDEX(NOTA[TANGGAL],MATCH(,INDIRECT(ADDRESS(ROW(NOTA[TANGGAL]),COLUMN(NOTA[TANGGAL]))&amp;":"&amp;ADDRESS(ROW(),COLUMN(NOTA[TANGGAL]))),-1)))</f>
        <v>44931</v>
      </c>
      <c r="AG106" s="65" t="str">
        <f ca="1">IF(NOTA[[#This Row],[NAMA BARANG]]="","",INDEX(NOTA[SUPPLIER],MATCH(,INDIRECT(ADDRESS(ROW(NOTA[ID]),COLUMN(NOTA[ID]))&amp;":"&amp;ADDRESS(ROW(),COLUMN(NOTA[ID]))),-1)))</f>
        <v>DUTA BUANA</v>
      </c>
      <c r="AH106" s="65" t="str">
        <f ca="1">IF(NOTA[[#This Row],[ID_H]]="","",IF(NOTA[[#This Row],[FAKTUR]]="",INDIRECT(ADDRESS(ROW()-1,COLUMN())),NOTA[[#This Row],[FAKTUR]]))</f>
        <v>UNTANA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1</v>
      </c>
      <c r="AK106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garisantf1991busur360degreek1200000</v>
      </c>
      <c r="AM106" s="193">
        <f>IF(NOTA[[#This Row],[CONCAT1]]="","",MATCH(NOTA[[#This Row],[CONCAT1]],[2]!db[NB NOTA_C],0)+1)</f>
        <v>698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 t="str">
        <f ca="1">IF(NOTA[[#This Row],[NAMA BARANG]]="","",INDEX(NOTA[ID],MATCH(,INDIRECT(ADDRESS(ROW(NOTA[ID]),COLUMN(NOTA[ID]))&amp;":"&amp;ADDRESS(ROW(),COLUMN(NOTA[ID]))),-1)))</f>
        <v/>
      </c>
      <c r="E107" s="23"/>
      <c r="F107" s="26"/>
      <c r="G107" s="26"/>
      <c r="H107" s="31"/>
      <c r="I107" s="26"/>
      <c r="J107" s="51"/>
      <c r="K107" s="26"/>
      <c r="L107" s="26"/>
      <c r="M107" s="39"/>
      <c r="N107" s="26"/>
      <c r="O107" s="26"/>
      <c r="P107" s="49"/>
      <c r="Q107" s="52"/>
      <c r="R107" s="39"/>
      <c r="S107" s="53"/>
      <c r="T107" s="53"/>
      <c r="U107" s="54"/>
      <c r="V107" s="37"/>
      <c r="W107" s="54" t="str">
        <f>IF(NOTA[[#This Row],[HARGA/ CTN]]="",NOTA[[#This Row],[JUMLAH_H]],NOTA[[#This Row],[HARGA/ CTN]]*IF(NOTA[[#This Row],[C]]="",0,NOTA[[#This Row],[C]]))</f>
        <v/>
      </c>
      <c r="X107" s="54" t="str">
        <f>IF(NOTA[[#This Row],[JUMLAH]]="","",NOTA[[#This Row],[JUMLAH]]*NOTA[[#This Row],[DISC 1]])</f>
        <v/>
      </c>
      <c r="Y107" s="54" t="str">
        <f>IF(NOTA[[#This Row],[JUMLAH]]="","",(NOTA[[#This Row],[JUMLAH]]-NOTA[[#This Row],[DISC 1-]])*NOTA[[#This Row],[DISC 2]])</f>
        <v/>
      </c>
      <c r="Z107" s="54" t="str">
        <f>IF(NOTA[[#This Row],[JUMLAH]]="","",NOTA[[#This Row],[DISC 1-]]+NOTA[[#This Row],[DISC 2-]])</f>
        <v/>
      </c>
      <c r="AA107" s="54" t="str">
        <f>IF(NOTA[[#This Row],[JUMLAH]]="","",NOTA[[#This Row],[JUMLAH]]-NOTA[[#This Row],[DISC]])</f>
        <v/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7" s="54" t="str">
        <f>IF(OR(NOTA[[#This Row],[QTY]]="",NOTA[[#This Row],[HARGA SATUAN]]="",),"",NOTA[[#This Row],[QTY]]*NOTA[[#This Row],[HARGA SATUAN]])</f>
        <v/>
      </c>
      <c r="AF107" s="51" t="str">
        <f ca="1">IF(NOTA[ID_H]="","",INDEX(NOTA[TANGGAL],MATCH(,INDIRECT(ADDRESS(ROW(NOTA[TANGGAL]),COLUMN(NOTA[TANGGAL]))&amp;":"&amp;ADDRESS(ROW(),COLUMN(NOTA[TANGGAL]))),-1)))</f>
        <v/>
      </c>
      <c r="AG107" s="65" t="str">
        <f ca="1">IF(NOTA[[#This Row],[NAMA BARANG]]="","",INDEX(NOTA[SUPPLIER],MATCH(,INDIRECT(ADDRESS(ROW(NOTA[ID]),COLUMN(NOTA[ID]))&amp;":"&amp;ADDRESS(ROW(),COLUMN(NOTA[ID]))),-1)))</f>
        <v/>
      </c>
      <c r="AH107" s="65" t="str">
        <f ca="1">IF(NOTA[[#This Row],[ID_H]]="","",IF(NOTA[[#This Row],[FAKTUR]]="",INDIRECT(ADDRESS(ROW()-1,COLUMN())),NOTA[[#This Row],[FAKTUR]]))</f>
        <v/>
      </c>
      <c r="AI107" s="38" t="str">
        <f ca="1">IF(NOTA[[#This Row],[ID]]="","",COUNTIF(NOTA[ID_H],NOTA[[#This Row],[ID_H]]))</f>
        <v/>
      </c>
      <c r="AJ107" s="38" t="str">
        <f ca="1">IF(NOTA[[#This Row],[TGL.NOTA]]="",IF(NOTA[[#This Row],[SUPPLIER_H]]="","",AJ106),MONTH(NOTA[[#This Row],[TGL.NOTA]]))</f>
        <v/>
      </c>
      <c r="AK107" s="38" t="str">
        <f>LOWER(SUBSTITUTE(SUBSTITUTE(SUBSTITUTE(SUBSTITUTE(SUBSTITUTE(SUBSTITUTE(SUBSTITUTE(SUBSTITUTE(SUBSTITUTE(NOTA[NAMA BARANG]," ",),".",""),"-",""),"(",""),")",""),",",""),"/",""),"""",""),"+",""))</f>
        <v/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7" s="193" t="str">
        <f>IF(NOTA[[#This Row],[CONCAT1]]="","",MATCH(NOTA[[#This Row],[CONCAT1]],[2]!db[NB NOTA_C],0)+1)</f>
        <v/>
      </c>
    </row>
    <row r="108" spans="1:39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108" s="50" t="e">
        <f ca="1">IF(NOTA[[#This Row],[ID_P]]="","",MATCH(NOTA[[#This Row],[ID_P]],[1]!B_MSK[N_ID],0))</f>
        <v>#REF!</v>
      </c>
      <c r="D108" s="50">
        <f ca="1">IF(NOTA[[#This Row],[NAMA BARANG]]="","",INDEX(NOTA[ID],MATCH(,INDIRECT(ADDRESS(ROW(NOTA[ID]),COLUMN(NOTA[ID]))&amp;":"&amp;ADDRESS(ROW(),COLUMN(NOTA[ID]))),-1)))</f>
        <v>24</v>
      </c>
      <c r="E108" s="23"/>
      <c r="F108" s="26" t="s">
        <v>237</v>
      </c>
      <c r="G108" s="26" t="s">
        <v>87</v>
      </c>
      <c r="H108" s="31" t="s">
        <v>242</v>
      </c>
      <c r="I108" s="26"/>
      <c r="J108" s="51">
        <v>44930</v>
      </c>
      <c r="K108" s="26"/>
      <c r="L108" s="26" t="s">
        <v>255</v>
      </c>
      <c r="M108" s="39">
        <v>5</v>
      </c>
      <c r="N108" s="26">
        <v>480</v>
      </c>
      <c r="O108" s="26" t="s">
        <v>90</v>
      </c>
      <c r="P108" s="49">
        <v>30500</v>
      </c>
      <c r="Q108" s="52"/>
      <c r="R108" s="39" t="s">
        <v>223</v>
      </c>
      <c r="S108" s="53"/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14640000</v>
      </c>
      <c r="X108" s="54">
        <f>IF(NOTA[[#This Row],[JUMLAH]]="","",NOTA[[#This Row],[JUMLAH]]*NOTA[[#This Row],[DISC 1]])</f>
        <v>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0</v>
      </c>
      <c r="AA108" s="54">
        <f>IF(NOTA[[#This Row],[JUMLAH]]="","",NOTA[[#This Row],[JUMLAH]]-NOTA[[#This Row],[DISC]])</f>
        <v>14640000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108" s="54">
        <f>IF(OR(NOTA[[#This Row],[QTY]]="",NOTA[[#This Row],[HARGA SATUAN]]="",),"",NOTA[[#This Row],[QTY]]*NOTA[[#This Row],[HARGA SATUAN]])</f>
        <v>14640000</v>
      </c>
      <c r="AF108" s="51">
        <f ca="1">IF(NOTA[ID_H]="","",INDEX(NOTA[TANGGAL],MATCH(,INDIRECT(ADDRESS(ROW(NOTA[TANGGAL]),COLUMN(NOTA[TANGGAL]))&amp;":"&amp;ADDRESS(ROW(),COLUMN(NOTA[TANGGAL]))),-1)))</f>
        <v>44931</v>
      </c>
      <c r="AG108" s="65" t="str">
        <f ca="1">IF(NOTA[[#This Row],[NAMA BARANG]]="","",INDEX(NOTA[SUPPLIER],MATCH(,INDIRECT(ADDRESS(ROW(NOTA[ID]),COLUMN(NOTA[ID]))&amp;":"&amp;ADDRESS(ROW(),COLUMN(NOTA[ID]))),-1)))</f>
        <v>DUTA BUANA</v>
      </c>
      <c r="AH108" s="65" t="str">
        <f ca="1">IF(NOTA[[#This Row],[ID_H]]="","",IF(NOTA[[#This Row],[FAKTUR]]="",INDIRECT(ADDRESS(ROW()-1,COLUMN())),NOTA[[#This Row],[FAKTUR]]))</f>
        <v>UNTANA</v>
      </c>
      <c r="AI108" s="38">
        <f ca="1">IF(NOTA[[#This Row],[ID]]="","",COUNTIF(NOTA[ID_H],NOTA[[#This Row],[ID_H]]))</f>
        <v>1</v>
      </c>
      <c r="AJ108" s="38">
        <f>IF(NOTA[[#This Row],[TGL.NOTA]]="",IF(NOTA[[#This Row],[SUPPLIER_H]]="","",AJ107),MONTH(NOTA[[#This Row],[TGL.NOTA]]))</f>
        <v>1</v>
      </c>
      <c r="AK108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ballpengeltf311503mmhightechknock2928000</v>
      </c>
      <c r="AM108" s="193">
        <f>IF(NOTA[[#This Row],[CONCAT1]]="","",MATCH(NOTA[[#This Row],[CONCAT1]],[2]!db[NB NOTA_C],0)+1)</f>
        <v>93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93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25</v>
      </c>
      <c r="E110" s="23"/>
      <c r="F110" s="26" t="s">
        <v>243</v>
      </c>
      <c r="G110" s="26" t="s">
        <v>87</v>
      </c>
      <c r="H110" s="31" t="s">
        <v>244</v>
      </c>
      <c r="I110" s="26"/>
      <c r="J110" s="51">
        <v>44928</v>
      </c>
      <c r="K110" s="26"/>
      <c r="L110" s="26" t="s">
        <v>256</v>
      </c>
      <c r="M110" s="39">
        <v>25</v>
      </c>
      <c r="N110" s="26">
        <f>25*216</f>
        <v>5400</v>
      </c>
      <c r="O110" s="26" t="s">
        <v>131</v>
      </c>
      <c r="P110" s="49">
        <v>9000</v>
      </c>
      <c r="Q110" s="52"/>
      <c r="R110" s="39" t="s">
        <v>247</v>
      </c>
      <c r="S110" s="53">
        <v>0.2</v>
      </c>
      <c r="T110" s="53">
        <v>2.5000000000000001E-2</v>
      </c>
      <c r="U110" s="54"/>
      <c r="V110" s="37"/>
      <c r="W110" s="54">
        <f>IF(NOTA[[#This Row],[HARGA/ CTN]]="",NOTA[[#This Row],[JUMLAH_H]],NOTA[[#This Row],[HARGA/ CTN]]*IF(NOTA[[#This Row],[C]]="",0,NOTA[[#This Row],[C]]))</f>
        <v>48600000</v>
      </c>
      <c r="X110" s="54">
        <f>IF(NOTA[[#This Row],[JUMLAH]]="","",NOTA[[#This Row],[JUMLAH]]*NOTA[[#This Row],[DISC 1]])</f>
        <v>9720000</v>
      </c>
      <c r="Y110" s="54">
        <f>IF(NOTA[[#This Row],[JUMLAH]]="","",(NOTA[[#This Row],[JUMLAH]]-NOTA[[#This Row],[DISC 1-]])*NOTA[[#This Row],[DISC 2]])</f>
        <v>972000</v>
      </c>
      <c r="Z110" s="54">
        <f>IF(NOTA[[#This Row],[JUMLAH]]="","",NOTA[[#This Row],[DISC 1-]]+NOTA[[#This Row],[DISC 2-]])</f>
        <v>10692000</v>
      </c>
      <c r="AA110" s="54">
        <f>IF(NOTA[[#This Row],[JUMLAH]]="","",NOTA[[#This Row],[JUMLAH]]-NOTA[[#This Row],[DISC]])</f>
        <v>37908000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0" s="54">
        <f>IF(OR(NOTA[[#This Row],[QTY]]="",NOTA[[#This Row],[HARGA SATUAN]]="",),"",NOTA[[#This Row],[QTY]]*NOTA[[#This Row],[HARGA SATUAN]])</f>
        <v>48600000</v>
      </c>
      <c r="AF110" s="51">
        <f ca="1">IF(NOTA[ID_H]="","",INDEX(NOTA[TANGGAL],MATCH(,INDIRECT(ADDRESS(ROW(NOTA[TANGGAL]),COLUMN(NOTA[TANGGAL]))&amp;":"&amp;ADDRESS(ROW(),COLUMN(NOTA[TANGGAL]))),-1)))</f>
        <v>44931</v>
      </c>
      <c r="AG110" s="65" t="str">
        <f ca="1">IF(NOTA[[#This Row],[NAMA BARANG]]="","",INDEX(NOTA[SUPPLIER],MATCH(,INDIRECT(ADDRESS(ROW(NOTA[ID]),COLUMN(NOTA[ID]))&amp;":"&amp;ADDRESS(ROW(),COLUMN(NOTA[ID]))),-1)))</f>
        <v>SURYA PRATAMA</v>
      </c>
      <c r="AH110" s="65" t="str">
        <f ca="1">IF(NOTA[[#This Row],[ID_H]]="","",IF(NOTA[[#This Row],[FAKTUR]]="",INDIRECT(ADDRESS(ROW()-1,COLUMN())),NOTA[[#This Row],[FAKTUR]]))</f>
        <v>UNTANA</v>
      </c>
      <c r="AI110" s="38">
        <f ca="1">IF(NOTA[[#This Row],[ID]]="","",COUNTIF(NOTA[ID_H],NOTA[[#This Row],[ID_H]]))</f>
        <v>2</v>
      </c>
      <c r="AJ110" s="38">
        <f>IF(NOTA[[#This Row],[TGL.NOTA]]="",IF(NOTA[[#This Row],[SUPPLIER_H]]="","",AJ109),MONTH(NOTA[[#This Row],[TGL.NOTA]]))</f>
        <v>1</v>
      </c>
      <c r="AK110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catairopini110@21619440000.20.025</v>
      </c>
      <c r="AM110" s="193">
        <f>IF(NOTA[[#This Row],[CONCAT1]]="","",MATCH(NOTA[[#This Row],[CONCAT1]],[2]!db[NB NOTA_C],0)+1)</f>
        <v>444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25</v>
      </c>
      <c r="E111" s="23"/>
      <c r="F111" s="26"/>
      <c r="G111" s="26"/>
      <c r="H111" s="31"/>
      <c r="I111" s="26"/>
      <c r="J111" s="51"/>
      <c r="K111" s="26"/>
      <c r="L111" s="26" t="s">
        <v>257</v>
      </c>
      <c r="M111" s="39">
        <v>15</v>
      </c>
      <c r="N111" s="26">
        <f>15*144</f>
        <v>2160</v>
      </c>
      <c r="O111" s="26" t="s">
        <v>245</v>
      </c>
      <c r="P111" s="49">
        <v>9400</v>
      </c>
      <c r="Q111" s="52"/>
      <c r="R111" s="39" t="s">
        <v>246</v>
      </c>
      <c r="S111" s="53">
        <v>0.2</v>
      </c>
      <c r="T111" s="53">
        <v>2.5000000000000001E-2</v>
      </c>
      <c r="U111" s="54"/>
      <c r="V111" s="37"/>
      <c r="W111" s="54">
        <f>IF(NOTA[[#This Row],[HARGA/ CTN]]="",NOTA[[#This Row],[JUMLAH_H]],NOTA[[#This Row],[HARGA/ CTN]]*IF(NOTA[[#This Row],[C]]="",0,NOTA[[#This Row],[C]]))</f>
        <v>20304000</v>
      </c>
      <c r="X111" s="54">
        <f>IF(NOTA[[#This Row],[JUMLAH]]="","",NOTA[[#This Row],[JUMLAH]]*NOTA[[#This Row],[DISC 1]])</f>
        <v>4060800</v>
      </c>
      <c r="Y111" s="54">
        <f>IF(NOTA[[#This Row],[JUMLAH]]="","",(NOTA[[#This Row],[JUMLAH]]-NOTA[[#This Row],[DISC 1-]])*NOTA[[#This Row],[DISC 2]])</f>
        <v>406080</v>
      </c>
      <c r="Z111" s="54">
        <f>IF(NOTA[[#This Row],[JUMLAH]]="","",NOTA[[#This Row],[DISC 1-]]+NOTA[[#This Row],[DISC 2-]])</f>
        <v>4466880</v>
      </c>
      <c r="AA111" s="54">
        <f>IF(NOTA[[#This Row],[JUMLAH]]="","",NOTA[[#This Row],[JUMLAH]]-NOTA[[#This Row],[DISC]])</f>
        <v>15837120</v>
      </c>
      <c r="AB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E111" s="54">
        <f>IF(OR(NOTA[[#This Row],[QTY]]="",NOTA[[#This Row],[HARGA SATUAN]]="",),"",NOTA[[#This Row],[QTY]]*NOTA[[#This Row],[HARGA SATUAN]])</f>
        <v>20304000</v>
      </c>
      <c r="AF111" s="51">
        <f ca="1">IF(NOTA[ID_H]="","",INDEX(NOTA[TANGGAL],MATCH(,INDIRECT(ADDRESS(ROW(NOTA[TANGGAL]),COLUMN(NOTA[TANGGAL]))&amp;":"&amp;ADDRESS(ROW(),COLUMN(NOTA[TANGGAL]))),-1)))</f>
        <v>44931</v>
      </c>
      <c r="AG111" s="65" t="str">
        <f ca="1">IF(NOTA[[#This Row],[NAMA BARANG]]="","",INDEX(NOTA[SUPPLIER],MATCH(,INDIRECT(ADDRESS(ROW(NOTA[ID]),COLUMN(NOTA[ID]))&amp;":"&amp;ADDRESS(ROW(),COLUMN(NOTA[ID]))),-1)))</f>
        <v>SURYA PRATAMA</v>
      </c>
      <c r="AH111" s="65" t="str">
        <f ca="1">IF(NOTA[[#This Row],[ID_H]]="","",IF(NOTA[[#This Row],[FAKTUR]]="",INDIRECT(ADDRESS(ROW()-1,COLUMN())),NOTA[[#This Row],[FAKTUR]]))</f>
        <v>UNTANA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1</v>
      </c>
      <c r="AK111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catairopini120@14413536000.20.025</v>
      </c>
      <c r="AM111" s="193">
        <f>IF(NOTA[[#This Row],[CONCAT1]]="","",MATCH(NOTA[[#This Row],[CONCAT1]],[2]!db[NB NOTA_C],0)+1)</f>
        <v>445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 t="str">
        <f ca="1">IF(NOTA[[#This Row],[NAMA BARANG]]="","",INDEX(NOTA[ID],MATCH(,INDIRECT(ADDRESS(ROW(NOTA[ID]),COLUMN(NOTA[ID]))&amp;":"&amp;ADDRESS(ROW(),COLUMN(NOTA[ID]))),-1)))</f>
        <v/>
      </c>
      <c r="E112" s="23"/>
      <c r="F112" s="26"/>
      <c r="G112" s="26"/>
      <c r="H112" s="31"/>
      <c r="I112" s="26"/>
      <c r="J112" s="51"/>
      <c r="K112" s="26"/>
      <c r="L112" s="26"/>
      <c r="M112" s="39"/>
      <c r="N112" s="26"/>
      <c r="O112" s="26"/>
      <c r="P112" s="49"/>
      <c r="Q112" s="52"/>
      <c r="R112" s="39"/>
      <c r="S112" s="53"/>
      <c r="T112" s="53"/>
      <c r="U112" s="54"/>
      <c r="V112" s="37"/>
      <c r="W112" s="54" t="str">
        <f>IF(NOTA[[#This Row],[HARGA/ CTN]]="",NOTA[[#This Row],[JUMLAH_H]],NOTA[[#This Row],[HARGA/ CTN]]*IF(NOTA[[#This Row],[C]]="",0,NOTA[[#This Row],[C]]))</f>
        <v/>
      </c>
      <c r="X112" s="54" t="str">
        <f>IF(NOTA[[#This Row],[JUMLAH]]="","",NOTA[[#This Row],[JUMLAH]]*NOTA[[#This Row],[DISC 1]])</f>
        <v/>
      </c>
      <c r="Y112" s="54" t="str">
        <f>IF(NOTA[[#This Row],[JUMLAH]]="","",(NOTA[[#This Row],[JUMLAH]]-NOTA[[#This Row],[DISC 1-]])*NOTA[[#This Row],[DISC 2]])</f>
        <v/>
      </c>
      <c r="Z112" s="54" t="str">
        <f>IF(NOTA[[#This Row],[JUMLAH]]="","",NOTA[[#This Row],[DISC 1-]]+NOTA[[#This Row],[DISC 2-]])</f>
        <v/>
      </c>
      <c r="AA112" s="54" t="str">
        <f>IF(NOTA[[#This Row],[JUMLAH]]="","",NOTA[[#This Row],[JUMLAH]]-NOTA[[#This Row],[DISC]])</f>
        <v/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2" s="54" t="str">
        <f>IF(OR(NOTA[[#This Row],[QTY]]="",NOTA[[#This Row],[HARGA SATUAN]]="",),"",NOTA[[#This Row],[QTY]]*NOTA[[#This Row],[HARGA SATUAN]])</f>
        <v/>
      </c>
      <c r="AF112" s="51" t="str">
        <f ca="1">IF(NOTA[ID_H]="","",INDEX(NOTA[TANGGAL],MATCH(,INDIRECT(ADDRESS(ROW(NOTA[TANGGAL]),COLUMN(NOTA[TANGGAL]))&amp;":"&amp;ADDRESS(ROW(),COLUMN(NOTA[TANGGAL]))),-1)))</f>
        <v/>
      </c>
      <c r="AG112" s="65" t="str">
        <f ca="1">IF(NOTA[[#This Row],[NAMA BARANG]]="","",INDEX(NOTA[SUPPLIER],MATCH(,INDIRECT(ADDRESS(ROW(NOTA[ID]),COLUMN(NOTA[ID]))&amp;":"&amp;ADDRESS(ROW(),COLUMN(NOTA[ID]))),-1)))</f>
        <v/>
      </c>
      <c r="AH112" s="65" t="str">
        <f ca="1">IF(NOTA[[#This Row],[ID_H]]="","",IF(NOTA[[#This Row],[FAKTUR]]="",INDIRECT(ADDRESS(ROW()-1,COLUMN())),NOTA[[#This Row],[FAKTUR]]))</f>
        <v/>
      </c>
      <c r="AI112" s="38" t="str">
        <f ca="1">IF(NOTA[[#This Row],[ID]]="","",COUNTIF(NOTA[ID_H],NOTA[[#This Row],[ID_H]]))</f>
        <v/>
      </c>
      <c r="AJ112" s="38" t="str">
        <f ca="1">IF(NOTA[[#This Row],[TGL.NOTA]]="",IF(NOTA[[#This Row],[SUPPLIER_H]]="","",AJ111),MONTH(NOTA[[#This Row],[TGL.NOTA]]))</f>
        <v/>
      </c>
      <c r="AK112" s="38" t="str">
        <f>LOWER(SUBSTITUTE(SUBSTITUTE(SUBSTITUTE(SUBSTITUTE(SUBSTITUTE(SUBSTITUTE(SUBSTITUTE(SUBSTITUTE(SUBSTITUTE(NOTA[NAMA BARANG]," ",),".",""),"-",""),"(",""),")",""),",",""),"/",""),"""",""),"+",""))</f>
        <v/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2" s="193" t="str">
        <f>IF(NOTA[[#This Row],[CONCAT1]]="","",MATCH(NOTA[[#This Row],[CONCAT1]],[2]!db[NB NOTA_C],0)+1)</f>
        <v/>
      </c>
    </row>
    <row r="113" spans="1:39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e">
        <f ca="1">IF(NOTA[[#This Row],[ID_P]]="","",MATCH(NOTA[[#This Row],[ID_P]],[1]!B_MSK[N_ID],0))</f>
        <v>#REF!</v>
      </c>
      <c r="D113" s="50">
        <f ca="1">IF(NOTA[[#This Row],[NAMA BARANG]]="","",INDEX(NOTA[ID],MATCH(,INDIRECT(ADDRESS(ROW(NOTA[ID]),COLUMN(NOTA[ID]))&amp;":"&amp;ADDRESS(ROW(),COLUMN(NOTA[ID]))),-1)))</f>
        <v>26</v>
      </c>
      <c r="E113" s="23">
        <v>44933</v>
      </c>
      <c r="F113" s="26" t="s">
        <v>25</v>
      </c>
      <c r="G113" s="26" t="s">
        <v>24</v>
      </c>
      <c r="H113" s="31" t="s">
        <v>262</v>
      </c>
      <c r="I113" s="26"/>
      <c r="J113" s="51">
        <v>44931</v>
      </c>
      <c r="K113" s="26"/>
      <c r="L113" s="26" t="s">
        <v>263</v>
      </c>
      <c r="M113" s="39">
        <v>1</v>
      </c>
      <c r="N113" s="26">
        <v>144</v>
      </c>
      <c r="O113" s="26" t="s">
        <v>128</v>
      </c>
      <c r="P113" s="49">
        <v>18600</v>
      </c>
      <c r="Q113" s="52"/>
      <c r="R113" s="39" t="s">
        <v>264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2678400</v>
      </c>
      <c r="X113" s="54">
        <f>IF(NOTA[[#This Row],[JUMLAH]]="","",NOTA[[#This Row],[JUMLAH]]*NOTA[[#This Row],[DISC 1]])</f>
        <v>334800</v>
      </c>
      <c r="Y113" s="54">
        <f>IF(NOTA[[#This Row],[JUMLAH]]="","",(NOTA[[#This Row],[JUMLAH]]-NOTA[[#This Row],[DISC 1-]])*NOTA[[#This Row],[DISC 2]])</f>
        <v>117180</v>
      </c>
      <c r="Z113" s="54">
        <f>IF(NOTA[[#This Row],[JUMLAH]]="","",NOTA[[#This Row],[DISC 1-]]+NOTA[[#This Row],[DISC 2-]])</f>
        <v>451980</v>
      </c>
      <c r="AA113" s="54">
        <f>IF(NOTA[[#This Row],[JUMLAH]]="","",NOTA[[#This Row],[JUMLAH]]-NOTA[[#This Row],[DISC]])</f>
        <v>2226420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13" s="54">
        <f>IF(OR(NOTA[[#This Row],[QTY]]="",NOTA[[#This Row],[HARGA SATUAN]]="",),"",NOTA[[#This Row],[QTY]]*NOTA[[#This Row],[HARGA SATUAN]])</f>
        <v>2678400</v>
      </c>
      <c r="AF113" s="51">
        <f ca="1">IF(NOTA[ID_H]="","",INDEX(NOTA[TANGGAL],MATCH(,INDIRECT(ADDRESS(ROW(NOTA[TANGGAL]),COLUMN(NOTA[TANGGAL]))&amp;":"&amp;ADDRESS(ROW(),COLUMN(NOTA[TANGGAL]))),-1)))</f>
        <v>44933</v>
      </c>
      <c r="AG113" s="65" t="str">
        <f ca="1">IF(NOTA[[#This Row],[NAMA BARANG]]="","",INDEX(NOTA[SUPPLIER],MATCH(,INDIRECT(ADDRESS(ROW(NOTA[ID]),COLUMN(NOTA[ID]))&amp;":"&amp;ADDRESS(ROW(),COLUMN(NOTA[ID]))),-1)))</f>
        <v>ATALI MAKMUR</v>
      </c>
      <c r="AH113" s="65" t="str">
        <f ca="1">IF(NOTA[[#This Row],[ID_H]]="","",IF(NOTA[[#This Row],[FAKTUR]]="",INDIRECT(ADDRESS(ROW()-1,COLUMN())),NOTA[[#This Row],[FAKTUR]]))</f>
        <v>ARTO MORO</v>
      </c>
      <c r="AI113" s="38">
        <f ca="1">IF(NOTA[[#This Row],[ID]]="","",COUNTIF(NOTA[ID_H],NOTA[[#This Row],[ID_H]]))</f>
        <v>9</v>
      </c>
      <c r="AJ113" s="38">
        <f>IF(NOTA[[#This Row],[TGL.NOTA]]="",IF(NOTA[[#This Row],[SUPPLIER_H]]="","",AJ112),MONTH(NOTA[[#This Row],[TGL.NOTA]]))</f>
        <v>1</v>
      </c>
      <c r="AK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113" s="193">
        <f>IF(NOTA[[#This Row],[CONCAT1]]="","",MATCH(NOTA[[#This Row],[CONCAT1]],[2]!db[NB NOTA_C],0)+1)</f>
        <v>550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26</v>
      </c>
      <c r="E114" s="23"/>
      <c r="F114" s="26"/>
      <c r="G114" s="26"/>
      <c r="H114" s="31"/>
      <c r="I114" s="26"/>
      <c r="J114" s="51"/>
      <c r="K114" s="26"/>
      <c r="L114" s="26" t="s">
        <v>265</v>
      </c>
      <c r="M114" s="39">
        <v>1</v>
      </c>
      <c r="N114" s="26">
        <v>360</v>
      </c>
      <c r="O114" s="26" t="s">
        <v>104</v>
      </c>
      <c r="P114" s="49">
        <v>11000</v>
      </c>
      <c r="Q114" s="52"/>
      <c r="R114" s="39" t="s">
        <v>266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3960000</v>
      </c>
      <c r="X114" s="54">
        <f>IF(NOTA[[#This Row],[JUMLAH]]="","",NOTA[[#This Row],[JUMLAH]]*NOTA[[#This Row],[DISC 1]])</f>
        <v>495000</v>
      </c>
      <c r="Y114" s="54">
        <f>IF(NOTA[[#This Row],[JUMLAH]]="","",(NOTA[[#This Row],[JUMLAH]]-NOTA[[#This Row],[DISC 1-]])*NOTA[[#This Row],[DISC 2]])</f>
        <v>173250</v>
      </c>
      <c r="Z114" s="54">
        <f>IF(NOTA[[#This Row],[JUMLAH]]="","",NOTA[[#This Row],[DISC 1-]]+NOTA[[#This Row],[DISC 2-]])</f>
        <v>668250</v>
      </c>
      <c r="AA114" s="54">
        <f>IF(NOTA[[#This Row],[JUMLAH]]="","",NOTA[[#This Row],[JUMLAH]]-NOTA[[#This Row],[DISC]])</f>
        <v>3291750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14" s="54">
        <f>IF(OR(NOTA[[#This Row],[QTY]]="",NOTA[[#This Row],[HARGA SATUAN]]="",),"",NOTA[[#This Row],[QTY]]*NOTA[[#This Row],[HARGA SATUAN]])</f>
        <v>3960000</v>
      </c>
      <c r="AF114" s="51">
        <f ca="1">IF(NOTA[ID_H]="","",INDEX(NOTA[TANGGAL],MATCH(,INDIRECT(ADDRESS(ROW(NOTA[TANGGAL]),COLUMN(NOTA[TANGGAL]))&amp;":"&amp;ADDRESS(ROW(),COLUMN(NOTA[TANGGAL]))),-1)))</f>
        <v>44933</v>
      </c>
      <c r="AG114" s="65" t="str">
        <f ca="1">IF(NOTA[[#This Row],[NAMA BARANG]]="","",INDEX(NOTA[SUPPLIER],MATCH(,INDIRECT(ADDRESS(ROW(NOTA[ID]),COLUMN(NOTA[ID]))&amp;":"&amp;ADDRESS(ROW(),COLUMN(NOTA[ID]))),-1)))</f>
        <v>ATALI MAKMUR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1</v>
      </c>
      <c r="AK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correctiontapect520jk39600000.1250.05</v>
      </c>
      <c r="AM114" s="193">
        <f>IF(NOTA[[#This Row],[CONCAT1]]="","",MATCH(NOTA[[#This Row],[CONCAT1]],[2]!db[NB NOTA_C],0)+1)</f>
        <v>520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26</v>
      </c>
      <c r="E115" s="23"/>
      <c r="F115" s="26"/>
      <c r="G115" s="26"/>
      <c r="H115" s="31"/>
      <c r="I115" s="26"/>
      <c r="J115" s="51"/>
      <c r="K115" s="26"/>
      <c r="L115" s="26" t="s">
        <v>268</v>
      </c>
      <c r="M115" s="39">
        <v>1</v>
      </c>
      <c r="N115" s="26">
        <v>500</v>
      </c>
      <c r="O115" s="26" t="s">
        <v>133</v>
      </c>
      <c r="P115" s="49">
        <v>3050</v>
      </c>
      <c r="Q115" s="52"/>
      <c r="R115" s="39" t="s">
        <v>267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1525000</v>
      </c>
      <c r="X115" s="54">
        <f>IF(NOTA[[#This Row],[JUMLAH]]="","",NOTA[[#This Row],[JUMLAH]]*NOTA[[#This Row],[DISC 1]])</f>
        <v>190625</v>
      </c>
      <c r="Y115" s="54">
        <f>IF(NOTA[[#This Row],[JUMLAH]]="","",(NOTA[[#This Row],[JUMLAH]]-NOTA[[#This Row],[DISC 1-]])*NOTA[[#This Row],[DISC 2]])</f>
        <v>66718.75</v>
      </c>
      <c r="Z115" s="54">
        <f>IF(NOTA[[#This Row],[JUMLAH]]="","",NOTA[[#This Row],[DISC 1-]]+NOTA[[#This Row],[DISC 2-]])</f>
        <v>257343.75</v>
      </c>
      <c r="AA115" s="54">
        <f>IF(NOTA[[#This Row],[JUMLAH]]="","",NOTA[[#This Row],[JUMLAH]]-NOTA[[#This Row],[DISC]])</f>
        <v>1267656.25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15" s="54">
        <f>IF(OR(NOTA[[#This Row],[QTY]]="",NOTA[[#This Row],[HARGA SATUAN]]="",),"",NOTA[[#This Row],[QTY]]*NOTA[[#This Row],[HARGA SATUAN]])</f>
        <v>1525000</v>
      </c>
      <c r="AF115" s="51">
        <f ca="1">IF(NOTA[ID_H]="","",INDEX(NOTA[TANGGAL],MATCH(,INDIRECT(ADDRESS(ROW(NOTA[TANGGAL]),COLUMN(NOTA[TANGGAL]))&amp;":"&amp;ADDRESS(ROW(),COLUMN(NOTA[TANGGAL]))),-1)))</f>
        <v>44933</v>
      </c>
      <c r="AG115" s="65" t="str">
        <f ca="1">IF(NOTA[[#This Row],[NAMA BARANG]]="","",INDEX(NOTA[SUPPLIER],MATCH(,INDIRECT(ADDRESS(ROW(NOTA[ID]),COLUMN(NOTA[ID]))&amp;":"&amp;ADDRESS(ROW(),COLUMN(NOTA[ID]))),-1)))</f>
        <v>ATALI MAKMUR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1</v>
      </c>
      <c r="AK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115" s="193">
        <f>IF(NOTA[[#This Row],[CONCAT1]]="","",MATCH(NOTA[[#This Row],[CONCAT1]],[2]!db[NB NOTA_C],0)+1)</f>
        <v>1342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26</v>
      </c>
      <c r="E116" s="23"/>
      <c r="F116" s="26"/>
      <c r="G116" s="26"/>
      <c r="H116" s="31"/>
      <c r="I116" s="26"/>
      <c r="J116" s="51"/>
      <c r="K116" s="26"/>
      <c r="L116" s="26" t="s">
        <v>269</v>
      </c>
      <c r="M116" s="39">
        <v>2</v>
      </c>
      <c r="N116" s="26">
        <v>48</v>
      </c>
      <c r="O116" s="26" t="s">
        <v>104</v>
      </c>
      <c r="P116" s="49">
        <v>19000</v>
      </c>
      <c r="Q116" s="52"/>
      <c r="R116" s="39" t="s">
        <v>130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912000</v>
      </c>
      <c r="X116" s="54">
        <f>IF(NOTA[[#This Row],[JUMLAH]]="","",NOTA[[#This Row],[JUMLAH]]*NOTA[[#This Row],[DISC 1]])</f>
        <v>114000</v>
      </c>
      <c r="Y116" s="54">
        <f>IF(NOTA[[#This Row],[JUMLAH]]="","",(NOTA[[#This Row],[JUMLAH]]-NOTA[[#This Row],[DISC 1-]])*NOTA[[#This Row],[DISC 2]])</f>
        <v>39900</v>
      </c>
      <c r="Z116" s="54">
        <f>IF(NOTA[[#This Row],[JUMLAH]]="","",NOTA[[#This Row],[DISC 1-]]+NOTA[[#This Row],[DISC 2-]])</f>
        <v>153900</v>
      </c>
      <c r="AA116" s="54">
        <f>IF(NOTA[[#This Row],[JUMLAH]]="","",NOTA[[#This Row],[JUMLAH]]-NOTA[[#This Row],[DISC]])</f>
        <v>758100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16" s="54">
        <f>IF(OR(NOTA[[#This Row],[QTY]]="",NOTA[[#This Row],[HARGA SATUAN]]="",),"",NOTA[[#This Row],[QTY]]*NOTA[[#This Row],[HARGA SATUAN]])</f>
        <v>912000</v>
      </c>
      <c r="AF116" s="51">
        <f ca="1">IF(NOTA[ID_H]="","",INDEX(NOTA[TANGGAL],MATCH(,INDIRECT(ADDRESS(ROW(NOTA[TANGGAL]),COLUMN(NOTA[TANGGAL]))&amp;":"&amp;ADDRESS(ROW(),COLUMN(NOTA[TANGGAL]))),-1)))</f>
        <v>44933</v>
      </c>
      <c r="AG116" s="65" t="str">
        <f ca="1">IF(NOTA[[#This Row],[NAMA BARANG]]="","",INDEX(NOTA[SUPPLIER],MATCH(,INDIRECT(ADDRESS(ROW(NOTA[ID]),COLUMN(NOTA[ID]))&amp;":"&amp;ADDRESS(ROW(),COLUMN(NOTA[ID]))),-1)))</f>
        <v>ATALI MAKMUR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1</v>
      </c>
      <c r="AK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116" s="193">
        <f>IF(NOTA[[#This Row],[CONCAT1]]="","",MATCH(NOTA[[#This Row],[CONCAT1]],[2]!db[NB NOTA_C],0)+1)</f>
        <v>1981</v>
      </c>
    </row>
    <row r="117" spans="1:39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26</v>
      </c>
      <c r="E117" s="23"/>
      <c r="F117" s="26"/>
      <c r="G117" s="26"/>
      <c r="H117" s="31"/>
      <c r="I117" s="26"/>
      <c r="J117" s="51"/>
      <c r="K117" s="26"/>
      <c r="L117" s="26" t="s">
        <v>270</v>
      </c>
      <c r="M117" s="39">
        <v>1</v>
      </c>
      <c r="N117" s="26">
        <v>144</v>
      </c>
      <c r="O117" s="26" t="s">
        <v>104</v>
      </c>
      <c r="P117" s="49">
        <v>4350</v>
      </c>
      <c r="Q117" s="52"/>
      <c r="R117" s="39" t="s">
        <v>271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626400</v>
      </c>
      <c r="X117" s="54">
        <f>IF(NOTA[[#This Row],[JUMLAH]]="","",NOTA[[#This Row],[JUMLAH]]*NOTA[[#This Row],[DISC 1]])</f>
        <v>78300</v>
      </c>
      <c r="Y117" s="54">
        <f>IF(NOTA[[#This Row],[JUMLAH]]="","",(NOTA[[#This Row],[JUMLAH]]-NOTA[[#This Row],[DISC 1-]])*NOTA[[#This Row],[DISC 2]])</f>
        <v>27405</v>
      </c>
      <c r="Z117" s="54">
        <f>IF(NOTA[[#This Row],[JUMLAH]]="","",NOTA[[#This Row],[DISC 1-]]+NOTA[[#This Row],[DISC 2-]])</f>
        <v>105705</v>
      </c>
      <c r="AA117" s="54">
        <f>IF(NOTA[[#This Row],[JUMLAH]]="","",NOTA[[#This Row],[JUMLAH]]-NOTA[[#This Row],[DISC]])</f>
        <v>520695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17" s="54">
        <f>IF(OR(NOTA[[#This Row],[QTY]]="",NOTA[[#This Row],[HARGA SATUAN]]="",),"",NOTA[[#This Row],[QTY]]*NOTA[[#This Row],[HARGA SATUAN]])</f>
        <v>626400</v>
      </c>
      <c r="AF117" s="51">
        <f ca="1">IF(NOTA[ID_H]="","",INDEX(NOTA[TANGGAL],MATCH(,INDIRECT(ADDRESS(ROW(NOTA[TANGGAL]),COLUMN(NOTA[TANGGAL]))&amp;":"&amp;ADDRESS(ROW(),COLUMN(NOTA[TANGGAL]))),-1)))</f>
        <v>44933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1</v>
      </c>
      <c r="AK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117" s="193">
        <f>IF(NOTA[[#This Row],[CONCAT1]]="","",MATCH(NOTA[[#This Row],[CONCAT1]],[2]!db[NB NOTA_C],0)+1)</f>
        <v>1881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26</v>
      </c>
      <c r="E118" s="23"/>
      <c r="F118" s="26"/>
      <c r="G118" s="26"/>
      <c r="H118" s="31"/>
      <c r="I118" s="26"/>
      <c r="J118" s="51"/>
      <c r="K118" s="26"/>
      <c r="L118" s="26" t="s">
        <v>291</v>
      </c>
      <c r="M118" s="39">
        <v>1</v>
      </c>
      <c r="N118" s="26">
        <v>144</v>
      </c>
      <c r="O118" s="26" t="s">
        <v>104</v>
      </c>
      <c r="P118" s="49">
        <v>6500</v>
      </c>
      <c r="Q118" s="52"/>
      <c r="R118" s="39" t="s">
        <v>271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936000</v>
      </c>
      <c r="X118" s="54">
        <f>IF(NOTA[[#This Row],[JUMLAH]]="","",NOTA[[#This Row],[JUMLAH]]*NOTA[[#This Row],[DISC 1]])</f>
        <v>117000</v>
      </c>
      <c r="Y118" s="54">
        <f>IF(NOTA[[#This Row],[JUMLAH]]="","",(NOTA[[#This Row],[JUMLAH]]-NOTA[[#This Row],[DISC 1-]])*NOTA[[#This Row],[DISC 2]])</f>
        <v>40950</v>
      </c>
      <c r="Z118" s="54">
        <f>IF(NOTA[[#This Row],[JUMLAH]]="","",NOTA[[#This Row],[DISC 1-]]+NOTA[[#This Row],[DISC 2-]])</f>
        <v>157950</v>
      </c>
      <c r="AA118" s="54">
        <f>IF(NOTA[[#This Row],[JUMLAH]]="","",NOTA[[#This Row],[JUMLAH]]-NOTA[[#This Row],[DISC]])</f>
        <v>778050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18" s="54">
        <f>IF(OR(NOTA[[#This Row],[QTY]]="",NOTA[[#This Row],[HARGA SATUAN]]="",),"",NOTA[[#This Row],[QTY]]*NOTA[[#This Row],[HARGA SATUAN]])</f>
        <v>936000</v>
      </c>
      <c r="AF118" s="51">
        <f ca="1">IF(NOTA[ID_H]="","",INDEX(NOTA[TANGGAL],MATCH(,INDIRECT(ADDRESS(ROW(NOTA[TANGGAL]),COLUMN(NOTA[TANGGAL]))&amp;":"&amp;ADDRESS(ROW(),COLUMN(NOTA[TANGGAL]))),-1)))</f>
        <v>44933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1</v>
      </c>
      <c r="AK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118" s="193">
        <f>IF(NOTA[[#This Row],[CONCAT1]]="","",MATCH(NOTA[[#This Row],[CONCAT1]],[2]!db[NB NOTA_C],0)+1)</f>
        <v>1882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26</v>
      </c>
      <c r="E119" s="23"/>
      <c r="F119" s="26"/>
      <c r="G119" s="26"/>
      <c r="H119" s="31"/>
      <c r="I119" s="26"/>
      <c r="J119" s="51"/>
      <c r="K119" s="26"/>
      <c r="L119" s="26" t="s">
        <v>272</v>
      </c>
      <c r="M119" s="39">
        <v>1</v>
      </c>
      <c r="N119" s="26">
        <v>144</v>
      </c>
      <c r="O119" s="26" t="s">
        <v>104</v>
      </c>
      <c r="P119" s="49">
        <v>9750</v>
      </c>
      <c r="Q119" s="52"/>
      <c r="R119" s="39" t="s">
        <v>271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1404000</v>
      </c>
      <c r="X119" s="54">
        <f>IF(NOTA[[#This Row],[JUMLAH]]="","",NOTA[[#This Row],[JUMLAH]]*NOTA[[#This Row],[DISC 1]])</f>
        <v>175500</v>
      </c>
      <c r="Y119" s="54">
        <f>IF(NOTA[[#This Row],[JUMLAH]]="","",(NOTA[[#This Row],[JUMLAH]]-NOTA[[#This Row],[DISC 1-]])*NOTA[[#This Row],[DISC 2]])</f>
        <v>61425</v>
      </c>
      <c r="Z119" s="54">
        <f>IF(NOTA[[#This Row],[JUMLAH]]="","",NOTA[[#This Row],[DISC 1-]]+NOTA[[#This Row],[DISC 2-]])</f>
        <v>236925</v>
      </c>
      <c r="AA119" s="54">
        <f>IF(NOTA[[#This Row],[JUMLAH]]="","",NOTA[[#This Row],[JUMLAH]]-NOTA[[#This Row],[DISC]])</f>
        <v>1167075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119" s="54">
        <f>IF(OR(NOTA[[#This Row],[QTY]]="",NOTA[[#This Row],[HARGA SATUAN]]="",),"",NOTA[[#This Row],[QTY]]*NOTA[[#This Row],[HARGA SATUAN]])</f>
        <v>1404000</v>
      </c>
      <c r="AF119" s="51">
        <f ca="1">IF(NOTA[ID_H]="","",INDEX(NOTA[TANGGAL],MATCH(,INDIRECT(ADDRESS(ROW(NOTA[TANGGAL]),COLUMN(NOTA[TANGGAL]))&amp;":"&amp;ADDRESS(ROW(),COLUMN(NOTA[TANGGAL]))),-1)))</f>
        <v>44933</v>
      </c>
      <c r="AG119" s="65" t="str">
        <f ca="1">IF(NOTA[[#This Row],[NAMA BARANG]]="","",INDEX(NOTA[SUPPLIER],MATCH(,INDIRECT(ADDRESS(ROW(NOTA[ID]),COLUMN(NOTA[ID]))&amp;":"&amp;ADDRESS(ROW(),COLUMN(NOTA[ID]))),-1)))</f>
        <v>ATALI MAKMUR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1</v>
      </c>
      <c r="AK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119" s="193">
        <f>IF(NOTA[[#This Row],[CONCAT1]]="","",MATCH(NOTA[[#This Row],[CONCAT1]],[2]!db[NB NOTA_C],0)+1)</f>
        <v>1884</v>
      </c>
    </row>
    <row r="120" spans="1:39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26</v>
      </c>
      <c r="E120" s="23"/>
      <c r="F120" s="26"/>
      <c r="G120" s="26"/>
      <c r="H120" s="31"/>
      <c r="I120" s="26"/>
      <c r="J120" s="51"/>
      <c r="K120" s="26"/>
      <c r="L120" s="26" t="s">
        <v>273</v>
      </c>
      <c r="M120" s="39">
        <v>2</v>
      </c>
      <c r="N120" s="26">
        <v>40</v>
      </c>
      <c r="O120" s="26" t="s">
        <v>274</v>
      </c>
      <c r="P120" s="49">
        <v>67800</v>
      </c>
      <c r="Q120" s="52"/>
      <c r="R120" s="39" t="s">
        <v>136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2712000</v>
      </c>
      <c r="X120" s="54">
        <f>IF(NOTA[[#This Row],[JUMLAH]]="","",NOTA[[#This Row],[JUMLAH]]*NOTA[[#This Row],[DISC 1]])</f>
        <v>339000</v>
      </c>
      <c r="Y120" s="54">
        <f>IF(NOTA[[#This Row],[JUMLAH]]="","",(NOTA[[#This Row],[JUMLAH]]-NOTA[[#This Row],[DISC 1-]])*NOTA[[#This Row],[DISC 2]])</f>
        <v>118650</v>
      </c>
      <c r="Z120" s="54">
        <f>IF(NOTA[[#This Row],[JUMLAH]]="","",NOTA[[#This Row],[DISC 1-]]+NOTA[[#This Row],[DISC 2-]])</f>
        <v>457650</v>
      </c>
      <c r="AA120" s="54">
        <f>IF(NOTA[[#This Row],[JUMLAH]]="","",NOTA[[#This Row],[JUMLAH]]-NOTA[[#This Row],[DISC]])</f>
        <v>2254350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120" s="54">
        <f>IF(OR(NOTA[[#This Row],[QTY]]="",NOTA[[#This Row],[HARGA SATUAN]]="",),"",NOTA[[#This Row],[QTY]]*NOTA[[#This Row],[HARGA SATUAN]])</f>
        <v>2712000</v>
      </c>
      <c r="AF120" s="51">
        <f ca="1">IF(NOTA[ID_H]="","",INDEX(NOTA[TANGGAL],MATCH(,INDIRECT(ADDRESS(ROW(NOTA[TANGGAL]),COLUMN(NOTA[TANGGAL]))&amp;":"&amp;ADDRESS(ROW(),COLUMN(NOTA[TANGGAL]))),-1)))</f>
        <v>44933</v>
      </c>
      <c r="AG120" s="65" t="str">
        <f ca="1">IF(NOTA[[#This Row],[NAMA BARANG]]="","",INDEX(NOTA[SUPPLIER],MATCH(,INDIRECT(ADDRESS(ROW(NOTA[ID]),COLUMN(NOTA[ID]))&amp;":"&amp;ADDRESS(ROW(),COLUMN(NOTA[ID]))),-1)))</f>
        <v>ATALI MAKMUR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1</v>
      </c>
      <c r="AK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120" s="193">
        <f>IF(NOTA[[#This Row],[CONCAT1]]="","",MATCH(NOTA[[#This Row],[CONCAT1]],[2]!db[NB NOTA_C],0)+1)</f>
        <v>200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26</v>
      </c>
      <c r="E121" s="67"/>
      <c r="F121" s="68"/>
      <c r="G121" s="68"/>
      <c r="H121" s="69"/>
      <c r="I121" s="68"/>
      <c r="J121" s="70"/>
      <c r="K121" s="68"/>
      <c r="L121" s="38" t="s">
        <v>275</v>
      </c>
      <c r="M121" s="71"/>
      <c r="N121" s="68">
        <v>48</v>
      </c>
      <c r="O121" s="38" t="s">
        <v>104</v>
      </c>
      <c r="P121" s="72">
        <v>2350</v>
      </c>
      <c r="Q121" s="73"/>
      <c r="R121" s="56" t="s">
        <v>276</v>
      </c>
      <c r="S121" s="74">
        <v>0.1</v>
      </c>
      <c r="T121" s="75">
        <v>0.05</v>
      </c>
      <c r="U121" s="76">
        <v>96444</v>
      </c>
      <c r="V121" s="77"/>
      <c r="W121" s="54">
        <f>IF(NOTA[[#This Row],[HARGA/ CTN]]="",NOTA[[#This Row],[JUMLAH_H]],NOTA[[#This Row],[HARGA/ CTN]]*IF(NOTA[[#This Row],[C]]="",0,NOTA[[#This Row],[C]]))</f>
        <v>112800</v>
      </c>
      <c r="X121" s="54">
        <f>IF(NOTA[[#This Row],[JUMLAH]]="","",NOTA[[#This Row],[JUMLAH]]*NOTA[[#This Row],[DISC 1]])</f>
        <v>11280</v>
      </c>
      <c r="Y121" s="54">
        <f>IF(NOTA[[#This Row],[JUMLAH]]="","",(NOTA[[#This Row],[JUMLAH]]-NOTA[[#This Row],[DISC 1-]])*NOTA[[#This Row],[DISC 2]])</f>
        <v>5076</v>
      </c>
      <c r="Z121" s="54">
        <f>IF(NOTA[[#This Row],[JUMLAH]]="","",NOTA[[#This Row],[DISC 1-]]+NOTA[[#This Row],[DISC 2-]])</f>
        <v>16356</v>
      </c>
      <c r="AA121" s="54">
        <f>IF(NOTA[[#This Row],[JUMLAH]]="","",NOTA[[#This Row],[JUMLAH]]-NOTA[[#This Row],[DISC]])</f>
        <v>96444</v>
      </c>
      <c r="AB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121" s="54">
        <f>IF(OR(NOTA[[#This Row],[QTY]]="",NOTA[[#This Row],[HARGA SATUAN]]="",),"",NOTA[[#This Row],[QTY]]*NOTA[[#This Row],[HARGA SATUAN]])</f>
        <v>112800</v>
      </c>
      <c r="AF121" s="51">
        <f ca="1">IF(NOTA[ID_H]="","",INDEX(NOTA[TANGGAL],MATCH(,INDIRECT(ADDRESS(ROW(NOTA[TANGGAL]),COLUMN(NOTA[TANGGAL]))&amp;":"&amp;ADDRESS(ROW(),COLUMN(NOTA[TANGGAL]))),-1)))</f>
        <v>44933</v>
      </c>
      <c r="AG121" s="65" t="str">
        <f ca="1">IF(NOTA[[#This Row],[NAMA BARANG]]="","",INDEX(NOTA[SUPPLIER],MATCH(,INDIRECT(ADDRESS(ROW(NOTA[ID]),COLUMN(NOTA[ID]))&amp;":"&amp;ADDRESS(ROW(),COLUMN(NOTA[ID]))),-1)))</f>
        <v>ATALI MAKMUR</v>
      </c>
      <c r="AH121" s="65" t="str">
        <f ca="1">IF(NOTA[[#This Row],[ID_H]]="","",IF(NOTA[[#This Row],[FAKTUR]]="",INDIRECT(ADDRESS(ROW()-1,COLUMN())),NOTA[[#This Row],[FAKTUR]]))</f>
        <v>ARTO MORO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1</v>
      </c>
      <c r="AK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21" s="193">
        <f>IF(NOTA[[#This Row],[CONCAT1]]="","",MATCH(NOTA[[#This Row],[CONCAT1]],[2]!db[NB NOTA_C],0)+1)</f>
        <v>1798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 t="str">
        <f ca="1">IF(NOTA[[#This Row],[NAMA BARANG]]="","",INDEX(NOTA[ID],MATCH(,INDIRECT(ADDRESS(ROW(NOTA[ID]),COLUMN(NOTA[ID]))&amp;":"&amp;ADDRESS(ROW(),COLUMN(NOTA[ID]))),-1)))</f>
        <v/>
      </c>
      <c r="E122" s="23"/>
      <c r="F122" s="26"/>
      <c r="G122" s="26"/>
      <c r="H122" s="31"/>
      <c r="I122" s="26"/>
      <c r="J122" s="51"/>
      <c r="K122" s="26"/>
      <c r="L122" s="26"/>
      <c r="M122" s="39"/>
      <c r="N122" s="26"/>
      <c r="O122" s="26"/>
      <c r="P122" s="49"/>
      <c r="Q122" s="52"/>
      <c r="R122" s="39"/>
      <c r="S122" s="53"/>
      <c r="T122" s="53"/>
      <c r="U122" s="54"/>
      <c r="V122" s="37"/>
      <c r="W122" s="54" t="str">
        <f>IF(NOTA[[#This Row],[HARGA/ CTN]]="",NOTA[[#This Row],[JUMLAH_H]],NOTA[[#This Row],[HARGA/ CTN]]*IF(NOTA[[#This Row],[C]]="",0,NOTA[[#This Row],[C]]))</f>
        <v/>
      </c>
      <c r="X122" s="54" t="str">
        <f>IF(NOTA[[#This Row],[JUMLAH]]="","",NOTA[[#This Row],[JUMLAH]]*NOTA[[#This Row],[DISC 1]])</f>
        <v/>
      </c>
      <c r="Y122" s="54" t="str">
        <f>IF(NOTA[[#This Row],[JUMLAH]]="","",(NOTA[[#This Row],[JUMLAH]]-NOTA[[#This Row],[DISC 1-]])*NOTA[[#This Row],[DISC 2]])</f>
        <v/>
      </c>
      <c r="Z122" s="54" t="str">
        <f>IF(NOTA[[#This Row],[JUMLAH]]="","",NOTA[[#This Row],[DISC 1-]]+NOTA[[#This Row],[DISC 2-]])</f>
        <v/>
      </c>
      <c r="AA122" s="54" t="str">
        <f>IF(NOTA[[#This Row],[JUMLAH]]="","",NOTA[[#This Row],[JUMLAH]]-NOTA[[#This Row],[DISC]])</f>
        <v/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2" s="54" t="str">
        <f>IF(OR(NOTA[[#This Row],[QTY]]="",NOTA[[#This Row],[HARGA SATUAN]]="",),"",NOTA[[#This Row],[QTY]]*NOTA[[#This Row],[HARGA SATUAN]])</f>
        <v/>
      </c>
      <c r="AF122" s="51" t="str">
        <f ca="1">IF(NOTA[ID_H]="","",INDEX(NOTA[TANGGAL],MATCH(,INDIRECT(ADDRESS(ROW(NOTA[TANGGAL]),COLUMN(NOTA[TANGGAL]))&amp;":"&amp;ADDRESS(ROW(),COLUMN(NOTA[TANGGAL]))),-1)))</f>
        <v/>
      </c>
      <c r="AG122" s="65" t="str">
        <f ca="1">IF(NOTA[[#This Row],[NAMA BARANG]]="","",INDEX(NOTA[SUPPLIER],MATCH(,INDIRECT(ADDRESS(ROW(NOTA[ID]),COLUMN(NOTA[ID]))&amp;":"&amp;ADDRESS(ROW(),COLUMN(NOTA[ID]))),-1)))</f>
        <v/>
      </c>
      <c r="AH122" s="65" t="str">
        <f ca="1">IF(NOTA[[#This Row],[ID_H]]="","",IF(NOTA[[#This Row],[FAKTUR]]="",INDIRECT(ADDRESS(ROW()-1,COLUMN())),NOTA[[#This Row],[FAKTUR]]))</f>
        <v/>
      </c>
      <c r="AI122" s="38" t="str">
        <f ca="1">IF(NOTA[[#This Row],[ID]]="","",COUNTIF(NOTA[ID_H],NOTA[[#This Row],[ID_H]]))</f>
        <v/>
      </c>
      <c r="AJ122" s="38" t="str">
        <f ca="1">IF(NOTA[[#This Row],[TGL.NOTA]]="",IF(NOTA[[#This Row],[SUPPLIER_H]]="","",AJ121),MONTH(NOTA[[#This Row],[TGL.NOTA]]))</f>
        <v/>
      </c>
      <c r="AK122" s="38" t="str">
        <f>LOWER(SUBSTITUTE(SUBSTITUTE(SUBSTITUTE(SUBSTITUTE(SUBSTITUTE(SUBSTITUTE(SUBSTITUTE(SUBSTITUTE(SUBSTITUTE(NOTA[NAMA BARANG]," ",),".",""),"-",""),"(",""),")",""),",",""),"/",""),"""",""),"+",""))</f>
        <v/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2" s="193" t="str">
        <f>IF(NOTA[[#This Row],[CONCAT1]]="","",MATCH(NOTA[[#This Row],[CONCAT1]],[2]!db[NB NOTA_C],0)+1)</f>
        <v/>
      </c>
    </row>
    <row r="123" spans="1:39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e">
        <f ca="1">IF(NOTA[[#This Row],[ID_P]]="","",MATCH(NOTA[[#This Row],[ID_P]],[1]!B_MSK[N_ID],0))</f>
        <v>#REF!</v>
      </c>
      <c r="D123" s="50">
        <f ca="1">IF(NOTA[[#This Row],[NAMA BARANG]]="","",INDEX(NOTA[ID],MATCH(,INDIRECT(ADDRESS(ROW(NOTA[ID]),COLUMN(NOTA[ID]))&amp;":"&amp;ADDRESS(ROW(),COLUMN(NOTA[ID]))),-1)))</f>
        <v>27</v>
      </c>
      <c r="E123" s="23"/>
      <c r="F123" s="26" t="s">
        <v>25</v>
      </c>
      <c r="G123" s="26" t="s">
        <v>24</v>
      </c>
      <c r="H123" s="31" t="s">
        <v>277</v>
      </c>
      <c r="I123" s="26"/>
      <c r="J123" s="51">
        <v>44930</v>
      </c>
      <c r="K123" s="26"/>
      <c r="L123" s="26" t="s">
        <v>278</v>
      </c>
      <c r="M123" s="39">
        <v>3</v>
      </c>
      <c r="N123" s="26">
        <v>150</v>
      </c>
      <c r="O123" s="26" t="s">
        <v>131</v>
      </c>
      <c r="P123" s="49">
        <v>28300</v>
      </c>
      <c r="Q123" s="52"/>
      <c r="R123" s="39" t="s">
        <v>279</v>
      </c>
      <c r="S123" s="53">
        <v>0.125</v>
      </c>
      <c r="T123" s="53">
        <v>0.05</v>
      </c>
      <c r="U123" s="54"/>
      <c r="V123" s="37"/>
      <c r="W123" s="54">
        <f>IF(NOTA[[#This Row],[HARGA/ CTN]]="",NOTA[[#This Row],[JUMLAH_H]],NOTA[[#This Row],[HARGA/ CTN]]*IF(NOTA[[#This Row],[C]]="",0,NOTA[[#This Row],[C]]))</f>
        <v>4245000</v>
      </c>
      <c r="X123" s="54">
        <f>IF(NOTA[[#This Row],[JUMLAH]]="","",NOTA[[#This Row],[JUMLAH]]*NOTA[[#This Row],[DISC 1]])</f>
        <v>530625</v>
      </c>
      <c r="Y123" s="54">
        <f>IF(NOTA[[#This Row],[JUMLAH]]="","",(NOTA[[#This Row],[JUMLAH]]-NOTA[[#This Row],[DISC 1-]])*NOTA[[#This Row],[DISC 2]])</f>
        <v>185718.75</v>
      </c>
      <c r="Z123" s="54">
        <f>IF(NOTA[[#This Row],[JUMLAH]]="","",NOTA[[#This Row],[DISC 1-]]+NOTA[[#This Row],[DISC 2-]])</f>
        <v>716343.75</v>
      </c>
      <c r="AA123" s="54">
        <f>IF(NOTA[[#This Row],[JUMLAH]]="","",NOTA[[#This Row],[JUMLAH]]-NOTA[[#This Row],[DISC]])</f>
        <v>3528656.25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3" s="54">
        <f>IF(OR(NOTA[[#This Row],[QTY]]="",NOTA[[#This Row],[HARGA SATUAN]]="",),"",NOTA[[#This Row],[QTY]]*NOTA[[#This Row],[HARGA SATUAN]])</f>
        <v>4245000</v>
      </c>
      <c r="AF123" s="51">
        <f ca="1">IF(NOTA[ID_H]="","",INDEX(NOTA[TANGGAL],MATCH(,INDIRECT(ADDRESS(ROW(NOTA[TANGGAL]),COLUMN(NOTA[TANGGAL]))&amp;":"&amp;ADDRESS(ROW(),COLUMN(NOTA[TANGGAL]))),-1)))</f>
        <v>44933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>
        <f ca="1">IF(NOTA[[#This Row],[ID]]="","",COUNTIF(NOTA[ID_H],NOTA[[#This Row],[ID_H]]))</f>
        <v>2</v>
      </c>
      <c r="AJ123" s="38">
        <f>IF(NOTA[[#This Row],[TGL.NOTA]]="",IF(NOTA[[#This Row],[SUPPLIER_H]]="","",AJ122),MONTH(NOTA[[#This Row],[TGL.NOTA]]))</f>
        <v>1</v>
      </c>
      <c r="AK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3" s="193">
        <f>IF(NOTA[[#This Row],[CONCAT1]]="","",MATCH(NOTA[[#This Row],[CONCAT1]],[2]!db[NB NOTA_C],0)+1)</f>
        <v>673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27</v>
      </c>
      <c r="E124" s="23"/>
      <c r="F124" s="26"/>
      <c r="G124" s="26"/>
      <c r="H124" s="31"/>
      <c r="I124" s="26"/>
      <c r="J124" s="51"/>
      <c r="K124" s="26"/>
      <c r="L124" s="26" t="s">
        <v>280</v>
      </c>
      <c r="M124" s="39">
        <v>2</v>
      </c>
      <c r="N124" s="26">
        <v>100</v>
      </c>
      <c r="O124" s="26" t="s">
        <v>131</v>
      </c>
      <c r="P124" s="49">
        <v>34100</v>
      </c>
      <c r="Q124" s="52"/>
      <c r="R124" s="39" t="s">
        <v>281</v>
      </c>
      <c r="S124" s="53">
        <v>0.125</v>
      </c>
      <c r="T124" s="53">
        <v>0.05</v>
      </c>
      <c r="U124" s="54"/>
      <c r="V124" s="37"/>
      <c r="W124" s="54">
        <f>IF(NOTA[[#This Row],[HARGA/ CTN]]="",NOTA[[#This Row],[JUMLAH_H]],NOTA[[#This Row],[HARGA/ CTN]]*IF(NOTA[[#This Row],[C]]="",0,NOTA[[#This Row],[C]]))</f>
        <v>3410000</v>
      </c>
      <c r="X124" s="54">
        <f>IF(NOTA[[#This Row],[JUMLAH]]="","",NOTA[[#This Row],[JUMLAH]]*NOTA[[#This Row],[DISC 1]])</f>
        <v>426250</v>
      </c>
      <c r="Y124" s="54">
        <f>IF(NOTA[[#This Row],[JUMLAH]]="","",(NOTA[[#This Row],[JUMLAH]]-NOTA[[#This Row],[DISC 1-]])*NOTA[[#This Row],[DISC 2]])</f>
        <v>149187.5</v>
      </c>
      <c r="Z124" s="54">
        <f>IF(NOTA[[#This Row],[JUMLAH]]="","",NOTA[[#This Row],[DISC 1-]]+NOTA[[#This Row],[DISC 2-]])</f>
        <v>575437.5</v>
      </c>
      <c r="AA124" s="54">
        <f>IF(NOTA[[#This Row],[JUMLAH]]="","",NOTA[[#This Row],[JUMLAH]]-NOTA[[#This Row],[DISC]])</f>
        <v>2834562.5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4" s="54">
        <f>IF(OR(NOTA[[#This Row],[QTY]]="",NOTA[[#This Row],[HARGA SATUAN]]="",),"",NOTA[[#This Row],[QTY]]*NOTA[[#This Row],[HARGA SATUAN]])</f>
        <v>3410000</v>
      </c>
      <c r="AF124" s="51">
        <f ca="1">IF(NOTA[ID_H]="","",INDEX(NOTA[TANGGAL],MATCH(,INDIRECT(ADDRESS(ROW(NOTA[TANGGAL]),COLUMN(NOTA[TANGGAL]))&amp;":"&amp;ADDRESS(ROW(),COLUMN(NOTA[TANGGAL]))),-1)))</f>
        <v>44933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1</v>
      </c>
      <c r="AK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4" s="193">
        <f>IF(NOTA[[#This Row],[CONCAT1]]="","",MATCH(NOTA[[#This Row],[CONCAT1]],[2]!db[NB NOTA_C],0)+1)</f>
        <v>671</v>
      </c>
    </row>
    <row r="125" spans="1:39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5" s="193" t="str">
        <f>IF(NOTA[[#This Row],[CONCAT1]]="","",MATCH(NOTA[[#This Row],[CONCAT1]],[2]!db[NB NOTA_C],0)+1)</f>
        <v/>
      </c>
    </row>
    <row r="126" spans="1:39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28</v>
      </c>
      <c r="E126" s="23"/>
      <c r="F126" s="26" t="s">
        <v>25</v>
      </c>
      <c r="G126" s="26" t="s">
        <v>24</v>
      </c>
      <c r="H126" s="31" t="s">
        <v>282</v>
      </c>
      <c r="I126" s="26"/>
      <c r="J126" s="51">
        <v>44564</v>
      </c>
      <c r="K126" s="26"/>
      <c r="L126" s="26" t="s">
        <v>278</v>
      </c>
      <c r="M126" s="39">
        <v>5</v>
      </c>
      <c r="N126" s="26">
        <v>250</v>
      </c>
      <c r="O126" s="26" t="s">
        <v>131</v>
      </c>
      <c r="P126" s="49">
        <v>28300</v>
      </c>
      <c r="Q126" s="52"/>
      <c r="R126" s="39" t="s">
        <v>279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7075000</v>
      </c>
      <c r="X126" s="54">
        <f>IF(NOTA[[#This Row],[JUMLAH]]="","",NOTA[[#This Row],[JUMLAH]]*NOTA[[#This Row],[DISC 1]])</f>
        <v>884375</v>
      </c>
      <c r="Y126" s="54">
        <f>IF(NOTA[[#This Row],[JUMLAH]]="","",(NOTA[[#This Row],[JUMLAH]]-NOTA[[#This Row],[DISC 1-]])*NOTA[[#This Row],[DISC 2]])</f>
        <v>309531.25</v>
      </c>
      <c r="Z126" s="54">
        <f>IF(NOTA[[#This Row],[JUMLAH]]="","",NOTA[[#This Row],[DISC 1-]]+NOTA[[#This Row],[DISC 2-]])</f>
        <v>1193906.25</v>
      </c>
      <c r="AA126" s="54">
        <f>IF(NOTA[[#This Row],[JUMLAH]]="","",NOTA[[#This Row],[JUMLAH]]-NOTA[[#This Row],[DISC]])</f>
        <v>5881093.75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6" s="54">
        <f>IF(OR(NOTA[[#This Row],[QTY]]="",NOTA[[#This Row],[HARGA SATUAN]]="",),"",NOTA[[#This Row],[QTY]]*NOTA[[#This Row],[HARGA SATUAN]])</f>
        <v>7075000</v>
      </c>
      <c r="AF126" s="51">
        <f ca="1">IF(NOTA[ID_H]="","",INDEX(NOTA[TANGGAL],MATCH(,INDIRECT(ADDRESS(ROW(NOTA[TANGGAL]),COLUMN(NOTA[TANGGAL]))&amp;":"&amp;ADDRESS(ROW(),COLUMN(NOTA[TANGGAL]))),-1)))</f>
        <v>44933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4</v>
      </c>
      <c r="AJ126" s="38">
        <f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6" s="193">
        <f>IF(NOTA[[#This Row],[CONCAT1]]="","",MATCH(NOTA[[#This Row],[CONCAT1]],[2]!db[NB NOTA_C],0)+1)</f>
        <v>673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28</v>
      </c>
      <c r="E127" s="23"/>
      <c r="F127" s="26"/>
      <c r="G127" s="26"/>
      <c r="H127" s="31"/>
      <c r="I127" s="26"/>
      <c r="J127" s="51"/>
      <c r="K127" s="26"/>
      <c r="L127" s="26" t="s">
        <v>283</v>
      </c>
      <c r="M127" s="39">
        <v>5</v>
      </c>
      <c r="N127" s="26">
        <v>250</v>
      </c>
      <c r="O127" s="26" t="s">
        <v>131</v>
      </c>
      <c r="P127" s="49">
        <v>28300</v>
      </c>
      <c r="Q127" s="52"/>
      <c r="R127" s="39" t="s">
        <v>279</v>
      </c>
      <c r="S127" s="53">
        <v>0.125</v>
      </c>
      <c r="T127" s="53">
        <v>0.05</v>
      </c>
      <c r="U127" s="54"/>
      <c r="V127" s="37"/>
      <c r="W127" s="54">
        <f>IF(NOTA[[#This Row],[HARGA/ CTN]]="",NOTA[[#This Row],[JUMLAH_H]],NOTA[[#This Row],[HARGA/ CTN]]*IF(NOTA[[#This Row],[C]]="",0,NOTA[[#This Row],[C]]))</f>
        <v>7075000</v>
      </c>
      <c r="X127" s="54">
        <f>IF(NOTA[[#This Row],[JUMLAH]]="","",NOTA[[#This Row],[JUMLAH]]*NOTA[[#This Row],[DISC 1]])</f>
        <v>884375</v>
      </c>
      <c r="Y127" s="54">
        <f>IF(NOTA[[#This Row],[JUMLAH]]="","",(NOTA[[#This Row],[JUMLAH]]-NOTA[[#This Row],[DISC 1-]])*NOTA[[#This Row],[DISC 2]])</f>
        <v>309531.25</v>
      </c>
      <c r="Z127" s="54">
        <f>IF(NOTA[[#This Row],[JUMLAH]]="","",NOTA[[#This Row],[DISC 1-]]+NOTA[[#This Row],[DISC 2-]])</f>
        <v>1193906.25</v>
      </c>
      <c r="AA127" s="54">
        <f>IF(NOTA[[#This Row],[JUMLAH]]="","",NOTA[[#This Row],[JUMLAH]]-NOTA[[#This Row],[DISC]])</f>
        <v>5881093.75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7" s="54">
        <f>IF(OR(NOTA[[#This Row],[QTY]]="",NOTA[[#This Row],[HARGA SATUAN]]="",),"",NOTA[[#This Row],[QTY]]*NOTA[[#This Row],[HARGA SATUAN]])</f>
        <v>7075000</v>
      </c>
      <c r="AF127" s="51">
        <f ca="1">IF(NOTA[ID_H]="","",INDEX(NOTA[TANGGAL],MATCH(,INDIRECT(ADDRESS(ROW(NOTA[TANGGAL]),COLUMN(NOTA[TANGGAL]))&amp;":"&amp;ADDRESS(ROW(),COLUMN(NOTA[TANGGAL]))),-1)))</f>
        <v>44933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127" s="193">
        <f>IF(NOTA[[#This Row],[CONCAT1]]="","",MATCH(NOTA[[#This Row],[CONCAT1]],[2]!db[NB NOTA_C],0)+1)</f>
        <v>672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28</v>
      </c>
      <c r="E128" s="23"/>
      <c r="F128" s="26"/>
      <c r="G128" s="26"/>
      <c r="H128" s="31"/>
      <c r="I128" s="26"/>
      <c r="J128" s="51"/>
      <c r="K128" s="26"/>
      <c r="L128" s="26" t="s">
        <v>280</v>
      </c>
      <c r="M128" s="39">
        <v>5</v>
      </c>
      <c r="N128" s="26">
        <v>250</v>
      </c>
      <c r="O128" s="26" t="s">
        <v>131</v>
      </c>
      <c r="P128" s="49">
        <v>34100</v>
      </c>
      <c r="Q128" s="52"/>
      <c r="R128" s="39" t="s">
        <v>281</v>
      </c>
      <c r="S128" s="53">
        <v>0.125</v>
      </c>
      <c r="T128" s="53">
        <v>0.05</v>
      </c>
      <c r="U128" s="54"/>
      <c r="V128" s="37"/>
      <c r="W128" s="54">
        <f>IF(NOTA[[#This Row],[HARGA/ CTN]]="",NOTA[[#This Row],[JUMLAH_H]],NOTA[[#This Row],[HARGA/ CTN]]*IF(NOTA[[#This Row],[C]]="",0,NOTA[[#This Row],[C]]))</f>
        <v>8525000</v>
      </c>
      <c r="X128" s="54">
        <f>IF(NOTA[[#This Row],[JUMLAH]]="","",NOTA[[#This Row],[JUMLAH]]*NOTA[[#This Row],[DISC 1]])</f>
        <v>1065625</v>
      </c>
      <c r="Y128" s="54">
        <f>IF(NOTA[[#This Row],[JUMLAH]]="","",(NOTA[[#This Row],[JUMLAH]]-NOTA[[#This Row],[DISC 1-]])*NOTA[[#This Row],[DISC 2]])</f>
        <v>372968.75</v>
      </c>
      <c r="Z128" s="54">
        <f>IF(NOTA[[#This Row],[JUMLAH]]="","",NOTA[[#This Row],[DISC 1-]]+NOTA[[#This Row],[DISC 2-]])</f>
        <v>1438593.75</v>
      </c>
      <c r="AA128" s="54">
        <f>IF(NOTA[[#This Row],[JUMLAH]]="","",NOTA[[#This Row],[JUMLAH]]-NOTA[[#This Row],[DISC]])</f>
        <v>7086406.25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8" s="54">
        <f>IF(OR(NOTA[[#This Row],[QTY]]="",NOTA[[#This Row],[HARGA SATUAN]]="",),"",NOTA[[#This Row],[QTY]]*NOTA[[#This Row],[HARGA SATUAN]])</f>
        <v>8525000</v>
      </c>
      <c r="AF128" s="51">
        <f ca="1">IF(NOTA[ID_H]="","",INDEX(NOTA[TANGGAL],MATCH(,INDIRECT(ADDRESS(ROW(NOTA[TANGGAL]),COLUMN(NOTA[TANGGAL]))&amp;":"&amp;ADDRESS(ROW(),COLUMN(NOTA[TANGGAL]))),-1)))</f>
        <v>44933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8" s="193">
        <f>IF(NOTA[[#This Row],[CONCAT1]]="","",MATCH(NOTA[[#This Row],[CONCAT1]],[2]!db[NB NOTA_C],0)+1)</f>
        <v>671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28</v>
      </c>
      <c r="E129" s="23"/>
      <c r="F129" s="26"/>
      <c r="G129" s="26"/>
      <c r="H129" s="31"/>
      <c r="I129" s="26"/>
      <c r="J129" s="51"/>
      <c r="K129" s="26"/>
      <c r="L129" s="26" t="s">
        <v>284</v>
      </c>
      <c r="M129" s="39">
        <v>3</v>
      </c>
      <c r="N129" s="26">
        <v>150</v>
      </c>
      <c r="O129" s="26" t="s">
        <v>131</v>
      </c>
      <c r="P129" s="49">
        <v>34100</v>
      </c>
      <c r="Q129" s="52"/>
      <c r="R129" s="39" t="s">
        <v>281</v>
      </c>
      <c r="S129" s="53">
        <v>0.125</v>
      </c>
      <c r="T129" s="53">
        <v>0.05</v>
      </c>
      <c r="U129" s="54"/>
      <c r="V129" s="37"/>
      <c r="W129" s="54">
        <f>IF(NOTA[[#This Row],[HARGA/ CTN]]="",NOTA[[#This Row],[JUMLAH_H]],NOTA[[#This Row],[HARGA/ CTN]]*IF(NOTA[[#This Row],[C]]="",0,NOTA[[#This Row],[C]]))</f>
        <v>5115000</v>
      </c>
      <c r="X129" s="54">
        <f>IF(NOTA[[#This Row],[JUMLAH]]="","",NOTA[[#This Row],[JUMLAH]]*NOTA[[#This Row],[DISC 1]])</f>
        <v>639375</v>
      </c>
      <c r="Y129" s="54">
        <f>IF(NOTA[[#This Row],[JUMLAH]]="","",(NOTA[[#This Row],[JUMLAH]]-NOTA[[#This Row],[DISC 1-]])*NOTA[[#This Row],[DISC 2]])</f>
        <v>223781.25</v>
      </c>
      <c r="Z129" s="54">
        <f>IF(NOTA[[#This Row],[JUMLAH]]="","",NOTA[[#This Row],[DISC 1-]]+NOTA[[#This Row],[DISC 2-]])</f>
        <v>863156.25</v>
      </c>
      <c r="AA129" s="54">
        <f>IF(NOTA[[#This Row],[JUMLAH]]="","",NOTA[[#This Row],[JUMLAH]]-NOTA[[#This Row],[DISC]])</f>
        <v>4251843.75</v>
      </c>
      <c r="AB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9" s="54">
        <f>IF(OR(NOTA[[#This Row],[QTY]]="",NOTA[[#This Row],[HARGA SATUAN]]="",),"",NOTA[[#This Row],[QTY]]*NOTA[[#This Row],[HARGA SATUAN]])</f>
        <v>5115000</v>
      </c>
      <c r="AF129" s="51">
        <f ca="1">IF(NOTA[ID_H]="","",INDEX(NOTA[TANGGAL],MATCH(,INDIRECT(ADDRESS(ROW(NOTA[TANGGAL]),COLUMN(NOTA[TANGGAL]))&amp;":"&amp;ADDRESS(ROW(),COLUMN(NOTA[TANGGAL]))),-1)))</f>
        <v>44933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65" t="str">
        <f ca="1">IF(NOTA[[#This Row],[ID_H]]="","",IF(NOTA[[#This Row],[FAKTUR]]="",INDIRECT(ADDRESS(ROW()-1,COLUMN())),NOTA[[#This Row],[FAKTUR]]))</f>
        <v>ARTO MORO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129" s="193">
        <f>IF(NOTA[[#This Row],[CONCAT1]]="","",MATCH(NOTA[[#This Row],[CONCAT1]],[2]!db[NB NOTA_C],0)+1)</f>
        <v>680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 t="str">
        <f ca="1">IF(NOTA[[#This Row],[NAMA BARANG]]="","",INDEX(NOTA[ID],MATCH(,INDIRECT(ADDRESS(ROW(NOTA[ID]),COLUMN(NOTA[ID]))&amp;":"&amp;ADDRESS(ROW(),COLUMN(NOTA[ID]))),-1)))</f>
        <v/>
      </c>
      <c r="E130" s="23"/>
      <c r="F130" s="26"/>
      <c r="G130" s="26"/>
      <c r="H130" s="31"/>
      <c r="I130" s="26"/>
      <c r="J130" s="51"/>
      <c r="K130" s="26"/>
      <c r="L130" s="26"/>
      <c r="M130" s="39"/>
      <c r="N130" s="26"/>
      <c r="O130" s="26"/>
      <c r="P130" s="49"/>
      <c r="Q130" s="52"/>
      <c r="R130" s="39"/>
      <c r="S130" s="53"/>
      <c r="T130" s="53"/>
      <c r="U130" s="54"/>
      <c r="V130" s="37"/>
      <c r="W130" s="54" t="str">
        <f>IF(NOTA[[#This Row],[HARGA/ CTN]]="",NOTA[[#This Row],[JUMLAH_H]],NOTA[[#This Row],[HARGA/ CTN]]*IF(NOTA[[#This Row],[C]]="",0,NOTA[[#This Row],[C]]))</f>
        <v/>
      </c>
      <c r="X130" s="54" t="str">
        <f>IF(NOTA[[#This Row],[JUMLAH]]="","",NOTA[[#This Row],[JUMLAH]]*NOTA[[#This Row],[DISC 1]])</f>
        <v/>
      </c>
      <c r="Y130" s="54" t="str">
        <f>IF(NOTA[[#This Row],[JUMLAH]]="","",(NOTA[[#This Row],[JUMLAH]]-NOTA[[#This Row],[DISC 1-]])*NOTA[[#This Row],[DISC 2]])</f>
        <v/>
      </c>
      <c r="Z130" s="54" t="str">
        <f>IF(NOTA[[#This Row],[JUMLAH]]="","",NOTA[[#This Row],[DISC 1-]]+NOTA[[#This Row],[DISC 2-]])</f>
        <v/>
      </c>
      <c r="AA130" s="54" t="str">
        <f>IF(NOTA[[#This Row],[JUMLAH]]="","",NOTA[[#This Row],[JUMLAH]]-NOTA[[#This Row],[DISC]])</f>
        <v/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0" s="54" t="str">
        <f>IF(OR(NOTA[[#This Row],[QTY]]="",NOTA[[#This Row],[HARGA SATUAN]]="",),"",NOTA[[#This Row],[QTY]]*NOTA[[#This Row],[HARGA SATUAN]])</f>
        <v/>
      </c>
      <c r="AF130" s="51" t="str">
        <f ca="1">IF(NOTA[ID_H]="","",INDEX(NOTA[TANGGAL],MATCH(,INDIRECT(ADDRESS(ROW(NOTA[TANGGAL]),COLUMN(NOTA[TANGGAL]))&amp;":"&amp;ADDRESS(ROW(),COLUMN(NOTA[TANGGAL]))),-1)))</f>
        <v/>
      </c>
      <c r="AG130" s="65" t="str">
        <f ca="1">IF(NOTA[[#This Row],[NAMA BARANG]]="","",INDEX(NOTA[SUPPLIER],MATCH(,INDIRECT(ADDRESS(ROW(NOTA[ID]),COLUMN(NOTA[ID]))&amp;":"&amp;ADDRESS(ROW(),COLUMN(NOTA[ID]))),-1)))</f>
        <v/>
      </c>
      <c r="AH130" s="65" t="str">
        <f ca="1">IF(NOTA[[#This Row],[ID_H]]="","",IF(NOTA[[#This Row],[FAKTUR]]="",INDIRECT(ADDRESS(ROW()-1,COLUMN())),NOTA[[#This Row],[FAKTUR]]))</f>
        <v/>
      </c>
      <c r="AI130" s="38" t="str">
        <f ca="1">IF(NOTA[[#This Row],[ID]]="","",COUNTIF(NOTA[ID_H],NOTA[[#This Row],[ID_H]]))</f>
        <v/>
      </c>
      <c r="AJ130" s="38" t="str">
        <f ca="1">IF(NOTA[[#This Row],[TGL.NOTA]]="",IF(NOTA[[#This Row],[SUPPLIER_H]]="","",AJ129),MONTH(NOTA[[#This Row],[TGL.NOTA]]))</f>
        <v/>
      </c>
      <c r="AK130" s="38" t="str">
        <f>LOWER(SUBSTITUTE(SUBSTITUTE(SUBSTITUTE(SUBSTITUTE(SUBSTITUTE(SUBSTITUTE(SUBSTITUTE(SUBSTITUTE(SUBSTITUTE(NOTA[NAMA BARANG]," ",),".",""),"-",""),"(",""),")",""),",",""),"/",""),"""",""),"+",""))</f>
        <v/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0" s="193" t="str">
        <f>IF(NOTA[[#This Row],[CONCAT1]]="","",MATCH(NOTA[[#This Row],[CONCAT1]],[2]!db[NB NOTA_C],0)+1)</f>
        <v/>
      </c>
    </row>
    <row r="131" spans="1:39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e">
        <f ca="1">IF(NOTA[[#This Row],[ID_P]]="","",MATCH(NOTA[[#This Row],[ID_P]],[1]!B_MSK[N_ID],0))</f>
        <v>#REF!</v>
      </c>
      <c r="D131" s="50">
        <f ca="1">IF(NOTA[[#This Row],[NAMA BARANG]]="","",INDEX(NOTA[ID],MATCH(,INDIRECT(ADDRESS(ROW(NOTA[ID]),COLUMN(NOTA[ID]))&amp;":"&amp;ADDRESS(ROW(),COLUMN(NOTA[ID]))),-1)))</f>
        <v>29</v>
      </c>
      <c r="E131" s="23"/>
      <c r="F131" s="26" t="s">
        <v>285</v>
      </c>
      <c r="G131" s="26" t="s">
        <v>87</v>
      </c>
      <c r="H131" s="31" t="s">
        <v>286</v>
      </c>
      <c r="I131" s="26"/>
      <c r="J131" s="51">
        <v>45237</v>
      </c>
      <c r="K131" s="26"/>
      <c r="L131" s="26" t="s">
        <v>287</v>
      </c>
      <c r="M131" s="39"/>
      <c r="N131" s="26">
        <v>1</v>
      </c>
      <c r="O131" s="26" t="s">
        <v>90</v>
      </c>
      <c r="P131" s="49">
        <v>13000</v>
      </c>
      <c r="Q131" s="52"/>
      <c r="R131" s="39"/>
      <c r="S131" s="53"/>
      <c r="T131" s="53"/>
      <c r="U131" s="54"/>
      <c r="V131" s="37" t="s">
        <v>288</v>
      </c>
      <c r="W131" s="54">
        <f>IF(NOTA[[#This Row],[HARGA/ CTN]]="",NOTA[[#This Row],[JUMLAH_H]],NOTA[[#This Row],[HARGA/ CTN]]*IF(NOTA[[#This Row],[C]]="",0,NOTA[[#This Row],[C]]))</f>
        <v>13000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13000</v>
      </c>
      <c r="AB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E131" s="54">
        <f>IF(OR(NOTA[[#This Row],[QTY]]="",NOTA[[#This Row],[HARGA SATUAN]]="",),"",NOTA[[#This Row],[QTY]]*NOTA[[#This Row],[HARGA SATUAN]])</f>
        <v>13000</v>
      </c>
      <c r="AF131" s="51">
        <f ca="1">IF(NOTA[ID_H]="","",INDEX(NOTA[TANGGAL],MATCH(,INDIRECT(ADDRESS(ROW(NOTA[TANGGAL]),COLUMN(NOTA[TANGGAL]))&amp;":"&amp;ADDRESS(ROW(),COLUMN(NOTA[TANGGAL]))),-1)))</f>
        <v>44933</v>
      </c>
      <c r="AG131" s="65" t="str">
        <f ca="1">IF(NOTA[[#This Row],[NAMA BARANG]]="","",INDEX(NOTA[SUPPLIER],MATCH(,INDIRECT(ADDRESS(ROW(NOTA[ID]),COLUMN(NOTA[ID]))&amp;":"&amp;ADDRESS(ROW(),COLUMN(NOTA[ID]))),-1)))</f>
        <v>HANSA</v>
      </c>
      <c r="AH131" s="65" t="str">
        <f ca="1">IF(NOTA[[#This Row],[ID_H]]="","",IF(NOTA[[#This Row],[FAKTUR]]="",INDIRECT(ADDRESS(ROW()-1,COLUMN())),NOTA[[#This Row],[FAKTUR]]))</f>
        <v>UNTANA</v>
      </c>
      <c r="AI131" s="38">
        <f ca="1">IF(NOTA[[#This Row],[ID]]="","",COUNTIF(NOTA[ID_H],NOTA[[#This Row],[ID_H]]))</f>
        <v>1</v>
      </c>
      <c r="AJ131" s="38">
        <f>IF(NOTA[[#This Row],[TGL.NOTA]]="",IF(NOTA[[#This Row],[SUPPLIER_H]]="","",#REF!),MONTH(NOTA[[#This Row],[TGL.NOTA]]))</f>
        <v>11</v>
      </c>
      <c r="AK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131" s="193">
        <f>IF(NOTA[[#This Row],[CONCAT1]]="","",MATCH(NOTA[[#This Row],[CONCAT1]],[2]!db[NB NOTA_C],0)+1)</f>
        <v>1364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 t="str">
        <f ca="1">IF(NOTA[[#This Row],[NAMA BARANG]]="","",INDEX(NOTA[ID],MATCH(,INDIRECT(ADDRESS(ROW(NOTA[ID]),COLUMN(NOTA[ID]))&amp;":"&amp;ADDRESS(ROW(),COLUMN(NOTA[ID]))),-1)))</f>
        <v/>
      </c>
      <c r="E132" s="23"/>
      <c r="F132" s="26"/>
      <c r="G132" s="26"/>
      <c r="H132" s="31"/>
      <c r="I132" s="26"/>
      <c r="J132" s="51"/>
      <c r="K132" s="26"/>
      <c r="L132" s="26"/>
      <c r="M132" s="39"/>
      <c r="N132" s="26"/>
      <c r="O132" s="26"/>
      <c r="P132" s="49"/>
      <c r="Q132" s="52"/>
      <c r="R132" s="39"/>
      <c r="S132" s="53"/>
      <c r="T132" s="53"/>
      <c r="U132" s="54"/>
      <c r="V132" s="37"/>
      <c r="W132" s="54" t="str">
        <f>IF(NOTA[[#This Row],[HARGA/ CTN]]="",NOTA[[#This Row],[JUMLAH_H]],NOTA[[#This Row],[HARGA/ CTN]]*IF(NOTA[[#This Row],[C]]="",0,NOTA[[#This Row],[C]]))</f>
        <v/>
      </c>
      <c r="X132" s="54" t="str">
        <f>IF(NOTA[[#This Row],[JUMLAH]]="","",NOTA[[#This Row],[JUMLAH]]*NOTA[[#This Row],[DISC 1]])</f>
        <v/>
      </c>
      <c r="Y132" s="54" t="str">
        <f>IF(NOTA[[#This Row],[JUMLAH]]="","",(NOTA[[#This Row],[JUMLAH]]-NOTA[[#This Row],[DISC 1-]])*NOTA[[#This Row],[DISC 2]])</f>
        <v/>
      </c>
      <c r="Z132" s="54" t="str">
        <f>IF(NOTA[[#This Row],[JUMLAH]]="","",NOTA[[#This Row],[DISC 1-]]+NOTA[[#This Row],[DISC 2-]])</f>
        <v/>
      </c>
      <c r="AA132" s="54" t="str">
        <f>IF(NOTA[[#This Row],[JUMLAH]]="","",NOTA[[#This Row],[JUMLAH]]-NOTA[[#This Row],[DISC]])</f>
        <v/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54" t="str">
        <f>IF(OR(NOTA[[#This Row],[QTY]]="",NOTA[[#This Row],[HARGA SATUAN]]="",),"",NOTA[[#This Row],[QTY]]*NOTA[[#This Row],[HARGA SATUAN]])</f>
        <v/>
      </c>
      <c r="AF132" s="51" t="str">
        <f ca="1">IF(NOTA[ID_H]="","",INDEX(NOTA[TANGGAL],MATCH(,INDIRECT(ADDRESS(ROW(NOTA[TANGGAL]),COLUMN(NOTA[TANGGAL]))&amp;":"&amp;ADDRESS(ROW(),COLUMN(NOTA[TANGGAL]))),-1)))</f>
        <v/>
      </c>
      <c r="AG132" s="65" t="str">
        <f ca="1">IF(NOTA[[#This Row],[NAMA BARANG]]="","",INDEX(NOTA[SUPPLIER],MATCH(,INDIRECT(ADDRESS(ROW(NOTA[ID]),COLUMN(NOTA[ID]))&amp;":"&amp;ADDRESS(ROW(),COLUMN(NOTA[ID]))),-1)))</f>
        <v/>
      </c>
      <c r="AH132" s="65" t="str">
        <f ca="1">IF(NOTA[[#This Row],[ID_H]]="","",IF(NOTA[[#This Row],[FAKTUR]]="",INDIRECT(ADDRESS(ROW()-1,COLUMN())),NOTA[[#This Row],[FAKTUR]]))</f>
        <v/>
      </c>
      <c r="AI132" s="38" t="str">
        <f ca="1">IF(NOTA[[#This Row],[ID]]="","",COUNTIF(NOTA[ID_H],NOTA[[#This Row],[ID_H]]))</f>
        <v/>
      </c>
      <c r="AJ132" s="38" t="str">
        <f ca="1">IF(NOTA[[#This Row],[TGL.NOTA]]="",IF(NOTA[[#This Row],[SUPPLIER_H]]="","",AJ131),MONTH(NOTA[[#This Row],[TGL.NOTA]]))</f>
        <v/>
      </c>
      <c r="AK132" s="38" t="str">
        <f>LOWER(SUBSTITUTE(SUBSTITUTE(SUBSTITUTE(SUBSTITUTE(SUBSTITUTE(SUBSTITUTE(SUBSTITUTE(SUBSTITUTE(SUBSTITUTE(NOTA[NAMA BARANG]," ",),".",""),"-",""),"(",""),")",""),",",""),"/",""),"""",""),"+",""))</f>
        <v/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2" s="193" t="str">
        <f>IF(NOTA[[#This Row],[CONCAT1]]="","",MATCH(NOTA[[#This Row],[CONCAT1]],[2]!db[NB NOTA_C],0)+1)</f>
        <v/>
      </c>
    </row>
    <row r="133" spans="1:39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e">
        <f ca="1">IF(NOTA[[#This Row],[ID_P]]="","",MATCH(NOTA[[#This Row],[ID_P]],[1]!B_MSK[N_ID],0))</f>
        <v>#REF!</v>
      </c>
      <c r="D133" s="50">
        <f ca="1">IF(NOTA[[#This Row],[NAMA BARANG]]="","",INDEX(NOTA[ID],MATCH(,INDIRECT(ADDRESS(ROW(NOTA[ID]),COLUMN(NOTA[ID]))&amp;":"&amp;ADDRESS(ROW(),COLUMN(NOTA[ID]))),-1)))</f>
        <v>30</v>
      </c>
      <c r="E133" s="23"/>
      <c r="F133" s="26" t="s">
        <v>237</v>
      </c>
      <c r="G133" s="26" t="s">
        <v>87</v>
      </c>
      <c r="H133" s="31" t="s">
        <v>289</v>
      </c>
      <c r="I133" s="26"/>
      <c r="J133" s="51">
        <v>44932</v>
      </c>
      <c r="K133" s="26"/>
      <c r="L133" s="26" t="s">
        <v>290</v>
      </c>
      <c r="M133" s="39">
        <v>15</v>
      </c>
      <c r="N133" s="26">
        <v>1440</v>
      </c>
      <c r="O133" s="26" t="s">
        <v>90</v>
      </c>
      <c r="P133" s="49">
        <v>26500</v>
      </c>
      <c r="Q133" s="52"/>
      <c r="R133" s="39" t="s">
        <v>223</v>
      </c>
      <c r="S133" s="53"/>
      <c r="T133" s="53"/>
      <c r="U133" s="54"/>
      <c r="V133" s="37"/>
      <c r="W133" s="54">
        <f>IF(NOTA[[#This Row],[HARGA/ CTN]]="",NOTA[[#This Row],[JUMLAH_H]],NOTA[[#This Row],[HARGA/ CTN]]*IF(NOTA[[#This Row],[C]]="",0,NOTA[[#This Row],[C]]))</f>
        <v>38160000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38160000</v>
      </c>
      <c r="AB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33" s="54">
        <f>IF(OR(NOTA[[#This Row],[QTY]]="",NOTA[[#This Row],[HARGA SATUAN]]="",),"",NOTA[[#This Row],[QTY]]*NOTA[[#This Row],[HARGA SATUAN]])</f>
        <v>38160000</v>
      </c>
      <c r="AF133" s="51">
        <f ca="1">IF(NOTA[ID_H]="","",INDEX(NOTA[TANGGAL],MATCH(,INDIRECT(ADDRESS(ROW(NOTA[TANGGAL]),COLUMN(NOTA[TANGGAL]))&amp;":"&amp;ADDRESS(ROW(),COLUMN(NOTA[TANGGAL]))),-1)))</f>
        <v>44933</v>
      </c>
      <c r="AG133" s="65" t="str">
        <f ca="1">IF(NOTA[[#This Row],[NAMA BARANG]]="","",INDEX(NOTA[SUPPLIER],MATCH(,INDIRECT(ADDRESS(ROW(NOTA[ID]),COLUMN(NOTA[ID]))&amp;":"&amp;ADDRESS(ROW(),COLUMN(NOTA[ID]))),-1)))</f>
        <v>DUTA BUANA</v>
      </c>
      <c r="AH133" s="65" t="str">
        <f ca="1">IF(NOTA[[#This Row],[ID_H]]="","",IF(NOTA[[#This Row],[FAKTUR]]="",INDIRECT(ADDRESS(ROW()-1,COLUMN())),NOTA[[#This Row],[FAKTUR]]))</f>
        <v>UNTANA</v>
      </c>
      <c r="AI133" s="38">
        <f ca="1">IF(NOTA[[#This Row],[ID]]="","",COUNTIF(NOTA[ID_H],NOTA[[#This Row],[ID_H]]))</f>
        <v>1</v>
      </c>
      <c r="AJ133" s="38">
        <f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ballpengeltf1190htm03mmhightech2544000</v>
      </c>
      <c r="AM133" s="193">
        <f>IF(NOTA[[#This Row],[CONCAT1]]="","",MATCH(NOTA[[#This Row],[CONCAT1]],[2]!db[NB NOTA_C],0)+1)</f>
        <v>91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 t="str">
        <f ca="1">IF(NOTA[[#This Row],[NAMA BARANG]]="","",INDEX(NOTA[ID],MATCH(,INDIRECT(ADDRESS(ROW(NOTA[ID]),COLUMN(NOTA[ID]))&amp;":"&amp;ADDRESS(ROW(),COLUMN(NOTA[ID]))),-1)))</f>
        <v/>
      </c>
      <c r="E134" s="23"/>
      <c r="F134" s="26"/>
      <c r="G134" s="26"/>
      <c r="H134" s="31"/>
      <c r="I134" s="26"/>
      <c r="J134" s="51"/>
      <c r="K134" s="26"/>
      <c r="L134" s="26"/>
      <c r="M134" s="39"/>
      <c r="N134" s="26"/>
      <c r="O134" s="26"/>
      <c r="P134" s="49"/>
      <c r="Q134" s="52"/>
      <c r="R134" s="39"/>
      <c r="S134" s="53"/>
      <c r="T134" s="53"/>
      <c r="U134" s="54"/>
      <c r="V134" s="37"/>
      <c r="W134" s="54" t="str">
        <f>IF(NOTA[[#This Row],[HARGA/ CTN]]="",NOTA[[#This Row],[JUMLAH_H]],NOTA[[#This Row],[HARGA/ CTN]]*IF(NOTA[[#This Row],[C]]="",0,NOTA[[#This Row],[C]]))</f>
        <v/>
      </c>
      <c r="X134" s="54" t="str">
        <f>IF(NOTA[[#This Row],[JUMLAH]]="","",NOTA[[#This Row],[JUMLAH]]*NOTA[[#This Row],[DISC 1]])</f>
        <v/>
      </c>
      <c r="Y134" s="54" t="str">
        <f>IF(NOTA[[#This Row],[JUMLAH]]="","",(NOTA[[#This Row],[JUMLAH]]-NOTA[[#This Row],[DISC 1-]])*NOTA[[#This Row],[DISC 2]])</f>
        <v/>
      </c>
      <c r="Z134" s="54" t="str">
        <f>IF(NOTA[[#This Row],[JUMLAH]]="","",NOTA[[#This Row],[DISC 1-]]+NOTA[[#This Row],[DISC 2-]])</f>
        <v/>
      </c>
      <c r="AA134" s="54" t="str">
        <f>IF(NOTA[[#This Row],[JUMLAH]]="","",NOTA[[#This Row],[JUMLAH]]-NOTA[[#This Row],[DISC]])</f>
        <v/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4" s="54" t="str">
        <f>IF(OR(NOTA[[#This Row],[QTY]]="",NOTA[[#This Row],[HARGA SATUAN]]="",),"",NOTA[[#This Row],[QTY]]*NOTA[[#This Row],[HARGA SATUAN]])</f>
        <v/>
      </c>
      <c r="AF134" s="51" t="str">
        <f ca="1">IF(NOTA[ID_H]="","",INDEX(NOTA[TANGGAL],MATCH(,INDIRECT(ADDRESS(ROW(NOTA[TANGGAL]),COLUMN(NOTA[TANGGAL]))&amp;":"&amp;ADDRESS(ROW(),COLUMN(NOTA[TANGGAL]))),-1)))</f>
        <v/>
      </c>
      <c r="AG134" s="65" t="str">
        <f ca="1">IF(NOTA[[#This Row],[NAMA BARANG]]="","",INDEX(NOTA[SUPPLIER],MATCH(,INDIRECT(ADDRESS(ROW(NOTA[ID]),COLUMN(NOTA[ID]))&amp;":"&amp;ADDRESS(ROW(),COLUMN(NOTA[ID]))),-1)))</f>
        <v/>
      </c>
      <c r="AH134" s="65" t="str">
        <f ca="1">IF(NOTA[[#This Row],[ID_H]]="","",IF(NOTA[[#This Row],[FAKTUR]]="",INDIRECT(ADDRESS(ROW()-1,COLUMN())),NOTA[[#This Row],[FAKTUR]]))</f>
        <v/>
      </c>
      <c r="AI134" s="38" t="str">
        <f ca="1">IF(NOTA[[#This Row],[ID]]="","",COUNTIF(NOTA[ID_H],NOTA[[#This Row],[ID_H]]))</f>
        <v/>
      </c>
      <c r="AJ134" s="38" t="str">
        <f ca="1">IF(NOTA[[#This Row],[TGL.NOTA]]="",IF(NOTA[[#This Row],[SUPPLIER_H]]="","",AJ133),MONTH(NOTA[[#This Row],[TGL.NOTA]]))</f>
        <v/>
      </c>
      <c r="AK134" s="38" t="str">
        <f>LOWER(SUBSTITUTE(SUBSTITUTE(SUBSTITUTE(SUBSTITUTE(SUBSTITUTE(SUBSTITUTE(SUBSTITUTE(SUBSTITUTE(SUBSTITUTE(NOTA[NAMA BARANG]," ",),".",""),"-",""),"(",""),")",""),",",""),"/",""),"""",""),"+",""))</f>
        <v/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4" s="193" t="str">
        <f>IF(NOTA[[#This Row],[CONCAT1]]="","",MATCH(NOTA[[#This Row],[CONCAT1]],[2]!db[NB NOTA_C],0)+1)</f>
        <v/>
      </c>
    </row>
    <row r="135" spans="1:39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e">
        <f ca="1">IF(NOTA[[#This Row],[ID_P]]="","",MATCH(NOTA[[#This Row],[ID_P]],[1]!B_MSK[N_ID],0))</f>
        <v>#REF!</v>
      </c>
      <c r="D135" s="50">
        <f ca="1">IF(NOTA[[#This Row],[NAMA BARANG]]="","",INDEX(NOTA[ID],MATCH(,INDIRECT(ADDRESS(ROW(NOTA[ID]),COLUMN(NOTA[ID]))&amp;":"&amp;ADDRESS(ROW(),COLUMN(NOTA[ID]))),-1)))</f>
        <v>31</v>
      </c>
      <c r="E135" s="23">
        <v>44935</v>
      </c>
      <c r="F135" s="26" t="s">
        <v>292</v>
      </c>
      <c r="G135" s="26" t="s">
        <v>87</v>
      </c>
      <c r="H135" s="31" t="s">
        <v>293</v>
      </c>
      <c r="I135" s="26"/>
      <c r="J135" s="51">
        <v>44931</v>
      </c>
      <c r="K135" s="26"/>
      <c r="L135" s="26" t="s">
        <v>294</v>
      </c>
      <c r="M135" s="39">
        <v>40</v>
      </c>
      <c r="N135" s="26">
        <v>3360</v>
      </c>
      <c r="O135" s="26" t="s">
        <v>90</v>
      </c>
      <c r="P135" s="49">
        <v>7000</v>
      </c>
      <c r="Q135" s="52"/>
      <c r="R135" s="39" t="s">
        <v>295</v>
      </c>
      <c r="S135" s="53"/>
      <c r="T135" s="53"/>
      <c r="U135" s="54"/>
      <c r="V135" s="37"/>
      <c r="W135" s="54">
        <f>IF(NOTA[[#This Row],[HARGA/ CTN]]="",NOTA[[#This Row],[JUMLAH_H]],NOTA[[#This Row],[HARGA/ CTN]]*IF(NOTA[[#This Row],[C]]="",0,NOTA[[#This Row],[C]]))</f>
        <v>23520000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23520000</v>
      </c>
      <c r="AB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135" s="54">
        <f>IF(OR(NOTA[[#This Row],[QTY]]="",NOTA[[#This Row],[HARGA SATUAN]]="",),"",NOTA[[#This Row],[QTY]]*NOTA[[#This Row],[HARGA SATUAN]])</f>
        <v>23520000</v>
      </c>
      <c r="AF135" s="51">
        <f ca="1">IF(NOTA[ID_H]="","",INDEX(NOTA[TANGGAL],MATCH(,INDIRECT(ADDRESS(ROW(NOTA[TANGGAL]),COLUMN(NOTA[TANGGAL]))&amp;":"&amp;ADDRESS(ROW(),COLUMN(NOTA[TANGGAL]))),-1)))</f>
        <v>44935</v>
      </c>
      <c r="AG135" s="65" t="str">
        <f ca="1">IF(NOTA[[#This Row],[NAMA BARANG]]="","",INDEX(NOTA[SUPPLIER],MATCH(,INDIRECT(ADDRESS(ROW(NOTA[ID]),COLUMN(NOTA[ID]))&amp;":"&amp;ADDRESS(ROW(),COLUMN(NOTA[ID]))),-1)))</f>
        <v>CAHAYA GEMILANG</v>
      </c>
      <c r="AH135" s="65" t="str">
        <f ca="1">IF(NOTA[[#This Row],[ID_H]]="","",IF(NOTA[[#This Row],[FAKTUR]]="",INDIRECT(ADDRESS(ROW()-1,COLUMN())),NOTA[[#This Row],[FAKTUR]]))</f>
        <v>UNTANA</v>
      </c>
      <c r="AI135" s="38">
        <f ca="1">IF(NOTA[[#This Row],[ID]]="","",COUNTIF(NOTA[ID_H],NOTA[[#This Row],[ID_H]]))</f>
        <v>1</v>
      </c>
      <c r="AJ135" s="38">
        <f>IF(NOTA[[#This Row],[TGL.NOTA]]="",IF(NOTA[[#This Row],[SUPPLIER_H]]="","",#REF!),MONTH(NOTA[[#This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paletcatairbiasadof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paletcatairbiasadof588000</v>
      </c>
      <c r="AM135" s="193" t="e">
        <f>IF(NOTA[[#This Row],[CONCAT1]]="","",MATCH(NOTA[[#This Row],[CONCAT1]],[2]!db[NB NOTA_C],0)+1)</f>
        <v>#N/A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 t="str">
        <f ca="1">IF(NOTA[[#This Row],[NAMA BARANG]]="","",INDEX(NOTA[ID],MATCH(,INDIRECT(ADDRESS(ROW(NOTA[ID]),COLUMN(NOTA[ID]))&amp;":"&amp;ADDRESS(ROW(),COLUMN(NOTA[ID]))),-1)))</f>
        <v/>
      </c>
      <c r="E136" s="23"/>
      <c r="F136" s="26"/>
      <c r="G136" s="26"/>
      <c r="H136" s="31"/>
      <c r="I136" s="26"/>
      <c r="J136" s="51"/>
      <c r="K136" s="26"/>
      <c r="L136" s="26"/>
      <c r="M136" s="39"/>
      <c r="N136" s="26"/>
      <c r="O136" s="26"/>
      <c r="P136" s="49"/>
      <c r="Q136" s="52"/>
      <c r="R136" s="39"/>
      <c r="S136" s="53"/>
      <c r="T136" s="53"/>
      <c r="U136" s="54"/>
      <c r="V136" s="37"/>
      <c r="W136" s="54" t="str">
        <f>IF(NOTA[[#This Row],[HARGA/ CTN]]="",NOTA[[#This Row],[JUMLAH_H]],NOTA[[#This Row],[HARGA/ CTN]]*IF(NOTA[[#This Row],[C]]="",0,NOTA[[#This Row],[C]]))</f>
        <v/>
      </c>
      <c r="X136" s="54" t="str">
        <f>IF(NOTA[[#This Row],[JUMLAH]]="","",NOTA[[#This Row],[JUMLAH]]*NOTA[[#This Row],[DISC 1]])</f>
        <v/>
      </c>
      <c r="Y136" s="54" t="str">
        <f>IF(NOTA[[#This Row],[JUMLAH]]="","",(NOTA[[#This Row],[JUMLAH]]-NOTA[[#This Row],[DISC 1-]])*NOTA[[#This Row],[DISC 2]])</f>
        <v/>
      </c>
      <c r="Z136" s="54" t="str">
        <f>IF(NOTA[[#This Row],[JUMLAH]]="","",NOTA[[#This Row],[DISC 1-]]+NOTA[[#This Row],[DISC 2-]])</f>
        <v/>
      </c>
      <c r="AA136" s="54" t="str">
        <f>IF(NOTA[[#This Row],[JUMLAH]]="","",NOTA[[#This Row],[JUMLAH]]-NOTA[[#This Row],[DISC]])</f>
        <v/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6" s="54" t="str">
        <f>IF(OR(NOTA[[#This Row],[QTY]]="",NOTA[[#This Row],[HARGA SATUAN]]="",),"",NOTA[[#This Row],[QTY]]*NOTA[[#This Row],[HARGA SATUAN]])</f>
        <v/>
      </c>
      <c r="AF136" s="51" t="str">
        <f ca="1">IF(NOTA[ID_H]="","",INDEX(NOTA[TANGGAL],MATCH(,INDIRECT(ADDRESS(ROW(NOTA[TANGGAL]),COLUMN(NOTA[TANGGAL]))&amp;":"&amp;ADDRESS(ROW(),COLUMN(NOTA[TANGGAL]))),-1)))</f>
        <v/>
      </c>
      <c r="AG136" s="65" t="str">
        <f ca="1">IF(NOTA[[#This Row],[NAMA BARANG]]="","",INDEX(NOTA[SUPPLIER],MATCH(,INDIRECT(ADDRESS(ROW(NOTA[ID]),COLUMN(NOTA[ID]))&amp;":"&amp;ADDRESS(ROW(),COLUMN(NOTA[ID]))),-1)))</f>
        <v/>
      </c>
      <c r="AH136" s="65" t="str">
        <f ca="1">IF(NOTA[[#This Row],[ID_H]]="","",IF(NOTA[[#This Row],[FAKTUR]]="",INDIRECT(ADDRESS(ROW()-1,COLUMN())),NOTA[[#This Row],[FAKTUR]]))</f>
        <v/>
      </c>
      <c r="AI136" s="38" t="str">
        <f ca="1">IF(NOTA[[#This Row],[ID]]="","",COUNTIF(NOTA[ID_H],NOTA[[#This Row],[ID_H]]))</f>
        <v/>
      </c>
      <c r="AJ136" s="38" t="str">
        <f ca="1">IF(NOTA[[#This Row],[TGL.NOTA]]="",IF(NOTA[[#This Row],[SUPPLIER_H]]="","",AJ135),MONTH(NOTA[[#This Row],[TGL.NOTA]]))</f>
        <v/>
      </c>
      <c r="AK136" s="38" t="str">
        <f>LOWER(SUBSTITUTE(SUBSTITUTE(SUBSTITUTE(SUBSTITUTE(SUBSTITUTE(SUBSTITUTE(SUBSTITUTE(SUBSTITUTE(SUBSTITUTE(NOTA[NAMA BARANG]," ",),".",""),"-",""),"(",""),")",""),",",""),"/",""),"""",""),"+",""))</f>
        <v/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6" s="193" t="str">
        <f>IF(NOTA[[#This Row],[CONCAT1]]="","",MATCH(NOTA[[#This Row],[CONCAT1]],[2]!db[NB NOTA_C],0)+1)</f>
        <v/>
      </c>
    </row>
    <row r="137" spans="1:39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e">
        <f ca="1">IF(NOTA[[#This Row],[ID_P]]="","",MATCH(NOTA[[#This Row],[ID_P]],[1]!B_MSK[N_ID],0))</f>
        <v>#REF!</v>
      </c>
      <c r="D137" s="50">
        <f ca="1">IF(NOTA[[#This Row],[NAMA BARANG]]="","",INDEX(NOTA[ID],MATCH(,INDIRECT(ADDRESS(ROW(NOTA[ID]),COLUMN(NOTA[ID]))&amp;":"&amp;ADDRESS(ROW(),COLUMN(NOTA[ID]))),-1)))</f>
        <v>32</v>
      </c>
      <c r="E137" s="23"/>
      <c r="F137" s="26" t="s">
        <v>296</v>
      </c>
      <c r="G137" s="26" t="s">
        <v>87</v>
      </c>
      <c r="H137" s="31" t="s">
        <v>297</v>
      </c>
      <c r="I137" s="26"/>
      <c r="J137" s="51">
        <v>44930</v>
      </c>
      <c r="K137" s="26"/>
      <c r="L137" s="26" t="s">
        <v>298</v>
      </c>
      <c r="M137" s="39">
        <v>2</v>
      </c>
      <c r="N137" s="26">
        <v>20</v>
      </c>
      <c r="O137" s="26" t="s">
        <v>90</v>
      </c>
      <c r="P137" s="49">
        <v>116500</v>
      </c>
      <c r="Q137" s="52"/>
      <c r="R137" s="39" t="s">
        <v>176</v>
      </c>
      <c r="S137" s="53"/>
      <c r="T137" s="53"/>
      <c r="U137" s="54"/>
      <c r="V137" s="37"/>
      <c r="W137" s="54">
        <f>IF(NOTA[[#This Row],[HARGA/ CTN]]="",NOTA[[#This Row],[JUMLAH_H]],NOTA[[#This Row],[HARGA/ CTN]]*IF(NOTA[[#This Row],[C]]="",0,NOTA[[#This Row],[C]]))</f>
        <v>2330000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2330000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E137" s="54">
        <f>IF(OR(NOTA[[#This Row],[QTY]]="",NOTA[[#This Row],[HARGA SATUAN]]="",),"",NOTA[[#This Row],[QTY]]*NOTA[[#This Row],[HARGA SATUAN]])</f>
        <v>2330000</v>
      </c>
      <c r="AF137" s="51">
        <f ca="1">IF(NOTA[ID_H]="","",INDEX(NOTA[TANGGAL],MATCH(,INDIRECT(ADDRESS(ROW(NOTA[TANGGAL]),COLUMN(NOTA[TANGGAL]))&amp;":"&amp;ADDRESS(ROW(),COLUMN(NOTA[TANGGAL]))),-1)))</f>
        <v>44935</v>
      </c>
      <c r="AG137" s="65" t="str">
        <f ca="1">IF(NOTA[[#This Row],[NAMA BARANG]]="","",INDEX(NOTA[SUPPLIER],MATCH(,INDIRECT(ADDRESS(ROW(NOTA[ID]),COLUMN(NOTA[ID]))&amp;":"&amp;ADDRESS(ROW(),COLUMN(NOTA[ID]))),-1)))</f>
        <v>LESTARY STATIONERY</v>
      </c>
      <c r="AH137" s="65" t="str">
        <f ca="1">IF(NOTA[[#This Row],[ID_H]]="","",IF(NOTA[[#This Row],[FAKTUR]]="",INDIRECT(ADDRESS(ROW()-1,COLUMN())),NOTA[[#This Row],[FAKTUR]]))</f>
        <v>UNTANA</v>
      </c>
      <c r="AI137" s="38">
        <f ca="1">IF(NOTA[[#This Row],[ID]]="","",COUNTIF(NOTA[ID_H],NOTA[[#This Row],[ID_H]]))</f>
        <v>4</v>
      </c>
      <c r="AJ137" s="38">
        <f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>bag35*40*20beltbg150251165000</v>
      </c>
      <c r="AM137" s="193">
        <f>IF(NOTA[[#This Row],[CONCAT1]]="","",MATCH(NOTA[[#This Row],[CONCAT1]],[2]!db[NB NOTA_C],0)+1)</f>
        <v>48</v>
      </c>
    </row>
    <row r="138" spans="1:39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32</v>
      </c>
      <c r="E138" s="23"/>
      <c r="F138" s="26"/>
      <c r="G138" s="26"/>
      <c r="H138" s="31"/>
      <c r="I138" s="26"/>
      <c r="J138" s="51"/>
      <c r="K138" s="26"/>
      <c r="L138" s="26" t="s">
        <v>299</v>
      </c>
      <c r="M138" s="39">
        <v>2</v>
      </c>
      <c r="N138" s="26">
        <v>20</v>
      </c>
      <c r="O138" s="26" t="s">
        <v>90</v>
      </c>
      <c r="P138" s="49">
        <v>130500</v>
      </c>
      <c r="Q138" s="52"/>
      <c r="R138" s="39" t="s">
        <v>176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2610000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2610000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E138" s="54">
        <f>IF(OR(NOTA[[#This Row],[QTY]]="",NOTA[[#This Row],[HARGA SATUAN]]="",),"",NOTA[[#This Row],[QTY]]*NOTA[[#This Row],[HARGA SATUAN]])</f>
        <v>2610000</v>
      </c>
      <c r="AF138" s="51">
        <f ca="1">IF(NOTA[ID_H]="","",INDEX(NOTA[TANGGAL],MATCH(,INDIRECT(ADDRESS(ROW(NOTA[TANGGAL]),COLUMN(NOTA[TANGGAL]))&amp;":"&amp;ADDRESS(ROW(),COLUMN(NOTA[TANGGAL]))),-1)))</f>
        <v>44935</v>
      </c>
      <c r="AG138" s="65" t="str">
        <f ca="1">IF(NOTA[[#This Row],[NAMA BARANG]]="","",INDEX(NOTA[SUPPLIER],MATCH(,INDIRECT(ADDRESS(ROW(NOTA[ID]),COLUMN(NOTA[ID]))&amp;":"&amp;ADDRESS(ROW(),COLUMN(NOTA[ID]))),-1)))</f>
        <v>LESTARY STATIONERY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bag40*45*20beltbg150261305000</v>
      </c>
      <c r="AM138" s="193">
        <f>IF(NOTA[[#This Row],[CONCAT1]]="","",MATCH(NOTA[[#This Row],[CONCAT1]],[2]!db[NB NOTA_C],0)+1)</f>
        <v>50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32</v>
      </c>
      <c r="E139" s="23"/>
      <c r="F139" s="26"/>
      <c r="G139" s="26"/>
      <c r="H139" s="31"/>
      <c r="I139" s="26"/>
      <c r="J139" s="51"/>
      <c r="K139" s="26"/>
      <c r="L139" s="26" t="s">
        <v>300</v>
      </c>
      <c r="M139" s="39">
        <v>2</v>
      </c>
      <c r="N139" s="26">
        <v>20</v>
      </c>
      <c r="O139" s="26" t="s">
        <v>90</v>
      </c>
      <c r="P139" s="49">
        <v>147500</v>
      </c>
      <c r="Q139" s="52"/>
      <c r="R139" s="39" t="s">
        <v>176</v>
      </c>
      <c r="S139" s="53"/>
      <c r="T139" s="53"/>
      <c r="U139" s="54"/>
      <c r="V139" s="37"/>
      <c r="W139" s="54">
        <f>IF(NOTA[[#This Row],[HARGA/ CTN]]="",NOTA[[#This Row],[JUMLAH_H]],NOTA[[#This Row],[HARGA/ CTN]]*IF(NOTA[[#This Row],[C]]="",0,NOTA[[#This Row],[C]]))</f>
        <v>2950000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2950000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E139" s="54">
        <f>IF(OR(NOTA[[#This Row],[QTY]]="",NOTA[[#This Row],[HARGA SATUAN]]="",),"",NOTA[[#This Row],[QTY]]*NOTA[[#This Row],[HARGA SATUAN]])</f>
        <v>2950000</v>
      </c>
      <c r="AF139" s="51">
        <f ca="1">IF(NOTA[ID_H]="","",INDEX(NOTA[TANGGAL],MATCH(,INDIRECT(ADDRESS(ROW(NOTA[TANGGAL]),COLUMN(NOTA[TANGGAL]))&amp;":"&amp;ADDRESS(ROW(),COLUMN(NOTA[TANGGAL]))),-1)))</f>
        <v>44935</v>
      </c>
      <c r="AG139" s="65" t="str">
        <f ca="1">IF(NOTA[[#This Row],[NAMA BARANG]]="","",INDEX(NOTA[SUPPLIER],MATCH(,INDIRECT(ADDRESS(ROW(NOTA[ID]),COLUMN(NOTA[ID]))&amp;":"&amp;ADDRESS(ROW(),COLUMN(NOTA[ID]))),-1)))</f>
        <v>LESTARY STATIONERY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>bag45*50*20beltbg150271475000</v>
      </c>
      <c r="AM139" s="193">
        <f>IF(NOTA[[#This Row],[CONCAT1]]="","",MATCH(NOTA[[#This Row],[CONCAT1]],[2]!db[NB NOTA_C],0)+1)</f>
        <v>52</v>
      </c>
    </row>
    <row r="140" spans="1:39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32</v>
      </c>
      <c r="E140" s="23"/>
      <c r="F140" s="26"/>
      <c r="G140" s="26"/>
      <c r="H140" s="31"/>
      <c r="I140" s="26"/>
      <c r="J140" s="51"/>
      <c r="K140" s="26"/>
      <c r="L140" s="26" t="s">
        <v>735</v>
      </c>
      <c r="M140" s="39">
        <v>2</v>
      </c>
      <c r="N140" s="26">
        <v>20</v>
      </c>
      <c r="O140" s="26" t="s">
        <v>90</v>
      </c>
      <c r="P140" s="49">
        <v>242000</v>
      </c>
      <c r="Q140" s="52"/>
      <c r="R140" s="39" t="s">
        <v>176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4840000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4840000</v>
      </c>
      <c r="AB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E140" s="54">
        <f>IF(OR(NOTA[[#This Row],[QTY]]="",NOTA[[#This Row],[HARGA SATUAN]]="",),"",NOTA[[#This Row],[QTY]]*NOTA[[#This Row],[HARGA SATUAN]])</f>
        <v>4840000</v>
      </c>
      <c r="AF140" s="51">
        <f ca="1">IF(NOTA[ID_H]="","",INDEX(NOTA[TANGGAL],MATCH(,INDIRECT(ADDRESS(ROW(NOTA[TANGGAL]),COLUMN(NOTA[TANGGAL]))&amp;":"&amp;ADDRESS(ROW(),COLUMN(NOTA[TANGGAL]))),-1)))</f>
        <v>44935</v>
      </c>
      <c r="AG140" s="65" t="str">
        <f ca="1">IF(NOTA[[#This Row],[NAMA BARANG]]="","",INDEX(NOTA[SUPPLIER],MATCH(,INDIRECT(ADDRESS(ROW(NOTA[ID]),COLUMN(NOTA[ID]))&amp;":"&amp;ADDRESS(ROW(),COLUMN(NOTA[ID]))),-1)))</f>
        <v>LESTARY STATIONERY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bag60*70*25beltbg150292420000</v>
      </c>
      <c r="AM140" s="193">
        <f>IF(NOTA[[#This Row],[CONCAT1]]="","",MATCH(NOTA[[#This Row],[CONCAT1]],[2]!db[NB NOTA_C],0)+1)</f>
        <v>56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 t="str">
        <f ca="1">IF(NOTA[[#This Row],[NAMA BARANG]]="","",INDEX(NOTA[ID],MATCH(,INDIRECT(ADDRESS(ROW(NOTA[ID]),COLUMN(NOTA[ID]))&amp;":"&amp;ADDRESS(ROW(),COLUMN(NOTA[ID]))),-1)))</f>
        <v/>
      </c>
      <c r="E141" s="23"/>
      <c r="F141" s="26"/>
      <c r="G141" s="26"/>
      <c r="H141" s="31"/>
      <c r="I141" s="26"/>
      <c r="J141" s="51"/>
      <c r="K141" s="26"/>
      <c r="L141" s="26"/>
      <c r="M141" s="39"/>
      <c r="N141" s="26"/>
      <c r="O141" s="26"/>
      <c r="P141" s="49"/>
      <c r="Q141" s="52"/>
      <c r="R141" s="39"/>
      <c r="S141" s="53"/>
      <c r="T141" s="53"/>
      <c r="U141" s="54"/>
      <c r="V141" s="37"/>
      <c r="W141" s="54" t="str">
        <f>IF(NOTA[[#This Row],[HARGA/ CTN]]="",NOTA[[#This Row],[JUMLAH_H]],NOTA[[#This Row],[HARGA/ CTN]]*IF(NOTA[[#This Row],[C]]="",0,NOTA[[#This Row],[C]]))</f>
        <v/>
      </c>
      <c r="X141" s="54" t="str">
        <f>IF(NOTA[[#This Row],[JUMLAH]]="","",NOTA[[#This Row],[JUMLAH]]*NOTA[[#This Row],[DISC 1]])</f>
        <v/>
      </c>
      <c r="Y141" s="54" t="str">
        <f>IF(NOTA[[#This Row],[JUMLAH]]="","",(NOTA[[#This Row],[JUMLAH]]-NOTA[[#This Row],[DISC 1-]])*NOTA[[#This Row],[DISC 2]])</f>
        <v/>
      </c>
      <c r="Z141" s="54" t="str">
        <f>IF(NOTA[[#This Row],[JUMLAH]]="","",NOTA[[#This Row],[DISC 1-]]+NOTA[[#This Row],[DISC 2-]])</f>
        <v/>
      </c>
      <c r="AA141" s="54" t="str">
        <f>IF(NOTA[[#This Row],[JUMLAH]]="","",NOTA[[#This Row],[JUMLAH]]-NOTA[[#This Row],[DISC]])</f>
        <v/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1" s="54" t="str">
        <f>IF(OR(NOTA[[#This Row],[QTY]]="",NOTA[[#This Row],[HARGA SATUAN]]="",),"",NOTA[[#This Row],[QTY]]*NOTA[[#This Row],[HARGA SATUAN]])</f>
        <v/>
      </c>
      <c r="AF141" s="51" t="str">
        <f ca="1">IF(NOTA[ID_H]="","",INDEX(NOTA[TANGGAL],MATCH(,INDIRECT(ADDRESS(ROW(NOTA[TANGGAL]),COLUMN(NOTA[TANGGAL]))&amp;":"&amp;ADDRESS(ROW(),COLUMN(NOTA[TANGGAL]))),-1)))</f>
        <v/>
      </c>
      <c r="AG141" s="65" t="str">
        <f ca="1">IF(NOTA[[#This Row],[NAMA BARANG]]="","",INDEX(NOTA[SUPPLIER],MATCH(,INDIRECT(ADDRESS(ROW(NOTA[ID]),COLUMN(NOTA[ID]))&amp;":"&amp;ADDRESS(ROW(),COLUMN(NOTA[ID]))),-1)))</f>
        <v/>
      </c>
      <c r="AH141" s="65" t="str">
        <f ca="1">IF(NOTA[[#This Row],[ID_H]]="","",IF(NOTA[[#This Row],[FAKTUR]]="",INDIRECT(ADDRESS(ROW()-1,COLUMN())),NOTA[[#This Row],[FAKTUR]]))</f>
        <v/>
      </c>
      <c r="AI141" s="38" t="str">
        <f ca="1">IF(NOTA[[#This Row],[ID]]="","",COUNTIF(NOTA[ID_H],NOTA[[#This Row],[ID_H]]))</f>
        <v/>
      </c>
      <c r="AJ141" s="38" t="str">
        <f ca="1">IF(NOTA[[#This Row],[TGL.NOTA]]="",IF(NOTA[[#This Row],[SUPPLIER_H]]="","",AJ140),MONTH(NOTA[[#This Row],[TGL.NOTA]]))</f>
        <v/>
      </c>
      <c r="AK141" s="38" t="str">
        <f>LOWER(SUBSTITUTE(SUBSTITUTE(SUBSTITUTE(SUBSTITUTE(SUBSTITUTE(SUBSTITUTE(SUBSTITUTE(SUBSTITUTE(SUBSTITUTE(NOTA[NAMA BARANG]," ",),".",""),"-",""),"(",""),")",""),",",""),"/",""),"""",""),"+",""))</f>
        <v/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1" s="193" t="str">
        <f>IF(NOTA[[#This Row],[CONCAT1]]="","",MATCH(NOTA[[#This Row],[CONCAT1]],[2]!db[NB NOTA_C],0)+1)</f>
        <v/>
      </c>
    </row>
    <row r="142" spans="1:39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e">
        <f ca="1">IF(NOTA[[#This Row],[ID_P]]="","",MATCH(NOTA[[#This Row],[ID_P]],[1]!B_MSK[N_ID],0))</f>
        <v>#REF!</v>
      </c>
      <c r="D142" s="50">
        <f ca="1">IF(NOTA[[#This Row],[NAMA BARANG]]="","",INDEX(NOTA[ID],MATCH(,INDIRECT(ADDRESS(ROW(NOTA[ID]),COLUMN(NOTA[ID]))&amp;":"&amp;ADDRESS(ROW(),COLUMN(NOTA[ID]))),-1)))</f>
        <v>33</v>
      </c>
      <c r="E142" s="23"/>
      <c r="F142" s="26" t="s">
        <v>92</v>
      </c>
      <c r="G142" s="26" t="s">
        <v>87</v>
      </c>
      <c r="H142" s="31" t="s">
        <v>301</v>
      </c>
      <c r="I142" s="26"/>
      <c r="J142" s="51">
        <v>44930</v>
      </c>
      <c r="K142" s="26"/>
      <c r="L142" s="26" t="s">
        <v>302</v>
      </c>
      <c r="M142" s="39">
        <v>3</v>
      </c>
      <c r="N142" s="26">
        <v>90</v>
      </c>
      <c r="O142" s="26" t="s">
        <v>90</v>
      </c>
      <c r="P142" s="49">
        <v>25500</v>
      </c>
      <c r="Q142" s="52"/>
      <c r="R142" s="39" t="s">
        <v>303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2295000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2295000</v>
      </c>
      <c r="AB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142" s="54">
        <f>IF(OR(NOTA[[#This Row],[QTY]]="",NOTA[[#This Row],[HARGA SATUAN]]="",),"",NOTA[[#This Row],[QTY]]*NOTA[[#This Row],[HARGA SATUAN]])</f>
        <v>2295000</v>
      </c>
      <c r="AF142" s="51">
        <f ca="1">IF(NOTA[ID_H]="","",INDEX(NOTA[TANGGAL],MATCH(,INDIRECT(ADDRESS(ROW(NOTA[TANGGAL]),COLUMN(NOTA[TANGGAL]))&amp;":"&amp;ADDRESS(ROW(),COLUMN(NOTA[TANGGAL]))),-1)))</f>
        <v>44935</v>
      </c>
      <c r="AG142" s="65" t="str">
        <f ca="1">IF(NOTA[[#This Row],[NAMA BARANG]]="","",INDEX(NOTA[SUPPLIER],MATCH(,INDIRECT(ADDRESS(ROW(NOTA[ID]),COLUMN(NOTA[ID]))&amp;":"&amp;ADDRESS(ROW(),COLUMN(NOTA[ID]))),-1)))</f>
        <v>BINTANG SAUDARA</v>
      </c>
      <c r="AH142" s="65" t="str">
        <f ca="1">IF(NOTA[[#This Row],[ID_H]]="","",IF(NOTA[[#This Row],[FAKTUR]]="",INDIRECT(ADDRESS(ROW()-1,COLUMN())),NOTA[[#This Row],[FAKTUR]]))</f>
        <v>UNTANA</v>
      </c>
      <c r="AI142" s="38">
        <f ca="1">IF(NOTA[[#This Row],[ID]]="","",COUNTIF(NOTA[ID_H],NOTA[[#This Row],[ID_H]]))</f>
        <v>1</v>
      </c>
      <c r="AJ142" s="38">
        <f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paperbagcoklatbesartebal765000</v>
      </c>
      <c r="AM142" s="193">
        <f>IF(NOTA[[#This Row],[CONCAT1]]="","",MATCH(NOTA[[#This Row],[CONCAT1]],[2]!db[NB NOTA_C],0)+1)</f>
        <v>1599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 t="str">
        <f ca="1">IF(NOTA[[#This Row],[NAMA BARANG]]="","",INDEX(NOTA[ID],MATCH(,INDIRECT(ADDRESS(ROW(NOTA[ID]),COLUMN(NOTA[ID]))&amp;":"&amp;ADDRESS(ROW(),COLUMN(NOTA[ID]))),-1)))</f>
        <v/>
      </c>
      <c r="E143" s="23"/>
      <c r="F143" s="26"/>
      <c r="G143" s="26"/>
      <c r="H143" s="31"/>
      <c r="I143" s="26"/>
      <c r="J143" s="51"/>
      <c r="K143" s="26"/>
      <c r="L143" s="26"/>
      <c r="M143" s="39"/>
      <c r="N143" s="26"/>
      <c r="O143" s="26"/>
      <c r="P143" s="49"/>
      <c r="Q143" s="52"/>
      <c r="R143" s="39"/>
      <c r="S143" s="53"/>
      <c r="T143" s="53"/>
      <c r="U143" s="54"/>
      <c r="V143" s="37"/>
      <c r="W143" s="54" t="str">
        <f>IF(NOTA[[#This Row],[HARGA/ CTN]]="",NOTA[[#This Row],[JUMLAH_H]],NOTA[[#This Row],[HARGA/ CTN]]*IF(NOTA[[#This Row],[C]]="",0,NOTA[[#This Row],[C]]))</f>
        <v/>
      </c>
      <c r="X143" s="54" t="str">
        <f>IF(NOTA[[#This Row],[JUMLAH]]="","",NOTA[[#This Row],[JUMLAH]]*NOTA[[#This Row],[DISC 1]])</f>
        <v/>
      </c>
      <c r="Y143" s="54" t="str">
        <f>IF(NOTA[[#This Row],[JUMLAH]]="","",(NOTA[[#This Row],[JUMLAH]]-NOTA[[#This Row],[DISC 1-]])*NOTA[[#This Row],[DISC 2]])</f>
        <v/>
      </c>
      <c r="Z143" s="54" t="str">
        <f>IF(NOTA[[#This Row],[JUMLAH]]="","",NOTA[[#This Row],[DISC 1-]]+NOTA[[#This Row],[DISC 2-]])</f>
        <v/>
      </c>
      <c r="AA143" s="54" t="str">
        <f>IF(NOTA[[#This Row],[JUMLAH]]="","",NOTA[[#This Row],[JUMLAH]]-NOTA[[#This Row],[DISC]])</f>
        <v/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3" s="54" t="str">
        <f>IF(OR(NOTA[[#This Row],[QTY]]="",NOTA[[#This Row],[HARGA SATUAN]]="",),"",NOTA[[#This Row],[QTY]]*NOTA[[#This Row],[HARGA SATUAN]])</f>
        <v/>
      </c>
      <c r="AF143" s="51" t="str">
        <f ca="1">IF(NOTA[ID_H]="","",INDEX(NOTA[TANGGAL],MATCH(,INDIRECT(ADDRESS(ROW(NOTA[TANGGAL]),COLUMN(NOTA[TANGGAL]))&amp;":"&amp;ADDRESS(ROW(),COLUMN(NOTA[TANGGAL]))),-1)))</f>
        <v/>
      </c>
      <c r="AG143" s="65" t="str">
        <f ca="1">IF(NOTA[[#This Row],[NAMA BARANG]]="","",INDEX(NOTA[SUPPLIER],MATCH(,INDIRECT(ADDRESS(ROW(NOTA[ID]),COLUMN(NOTA[ID]))&amp;":"&amp;ADDRESS(ROW(),COLUMN(NOTA[ID]))),-1)))</f>
        <v/>
      </c>
      <c r="AH143" s="65" t="str">
        <f ca="1">IF(NOTA[[#This Row],[ID_H]]="","",IF(NOTA[[#This Row],[FAKTUR]]="",INDIRECT(ADDRESS(ROW()-1,COLUMN())),NOTA[[#This Row],[FAKTUR]]))</f>
        <v/>
      </c>
      <c r="AI143" s="38" t="str">
        <f ca="1">IF(NOTA[[#This Row],[ID]]="","",COUNTIF(NOTA[ID_H],NOTA[[#This Row],[ID_H]]))</f>
        <v/>
      </c>
      <c r="AJ143" s="38" t="str">
        <f ca="1">IF(NOTA[[#This Row],[TGL.NOTA]]="",IF(NOTA[[#This Row],[SUPPLIER_H]]="","",AJ142),MONTH(NOTA[[#This Row],[TGL.NOTA]]))</f>
        <v/>
      </c>
      <c r="AK143" s="38" t="str">
        <f>LOWER(SUBSTITUTE(SUBSTITUTE(SUBSTITUTE(SUBSTITUTE(SUBSTITUTE(SUBSTITUTE(SUBSTITUTE(SUBSTITUTE(SUBSTITUTE(NOTA[NAMA BARANG]," ",),".",""),"-",""),"(",""),")",""),",",""),"/",""),"""",""),"+",""))</f>
        <v/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3" s="193" t="str">
        <f>IF(NOTA[[#This Row],[CONCAT1]]="","",MATCH(NOTA[[#This Row],[CONCAT1]],[2]!db[NB NOTA_C],0)+1)</f>
        <v/>
      </c>
    </row>
    <row r="144" spans="1:39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e">
        <f ca="1">IF(NOTA[[#This Row],[ID_P]]="","",MATCH(NOTA[[#This Row],[ID_P]],[1]!B_MSK[N_ID],0))</f>
        <v>#REF!</v>
      </c>
      <c r="D144" s="50">
        <f ca="1">IF(NOTA[[#This Row],[NAMA BARANG]]="","",INDEX(NOTA[ID],MATCH(,INDIRECT(ADDRESS(ROW(NOTA[ID]),COLUMN(NOTA[ID]))&amp;":"&amp;ADDRESS(ROW(),COLUMN(NOTA[ID]))),-1)))</f>
        <v>34</v>
      </c>
      <c r="E144" s="23"/>
      <c r="F144" s="26" t="s">
        <v>220</v>
      </c>
      <c r="G144" s="26" t="s">
        <v>87</v>
      </c>
      <c r="H144" s="31" t="s">
        <v>304</v>
      </c>
      <c r="I144" s="26"/>
      <c r="J144" s="51">
        <v>44932</v>
      </c>
      <c r="K144" s="26"/>
      <c r="L144" s="26" t="s">
        <v>305</v>
      </c>
      <c r="M144" s="39">
        <v>3</v>
      </c>
      <c r="N144" s="26">
        <v>540</v>
      </c>
      <c r="O144" s="26" t="s">
        <v>104</v>
      </c>
      <c r="P144" s="49">
        <v>16800</v>
      </c>
      <c r="Q144" s="52"/>
      <c r="R144" s="39" t="s">
        <v>306</v>
      </c>
      <c r="S144" s="53">
        <v>2.5000000000000001E-2</v>
      </c>
      <c r="T144" s="53"/>
      <c r="U144" s="54"/>
      <c r="V144" s="37"/>
      <c r="W144" s="54">
        <f>IF(NOTA[[#This Row],[HARGA/ CTN]]="",NOTA[[#This Row],[JUMLAH_H]],NOTA[[#This Row],[HARGA/ CTN]]*IF(NOTA[[#This Row],[C]]="",0,NOTA[[#This Row],[C]]))</f>
        <v>9072000</v>
      </c>
      <c r="X144" s="54">
        <f>IF(NOTA[[#This Row],[JUMLAH]]="","",NOTA[[#This Row],[JUMLAH]]*NOTA[[#This Row],[DISC 1]])</f>
        <v>226800</v>
      </c>
      <c r="Y144" s="54">
        <f>IF(NOTA[[#This Row],[JUMLAH]]="","",(NOTA[[#This Row],[JUMLAH]]-NOTA[[#This Row],[DISC 1-]])*NOTA[[#This Row],[DISC 2]])</f>
        <v>0</v>
      </c>
      <c r="Z144" s="54">
        <f>IF(NOTA[[#This Row],[JUMLAH]]="","",NOTA[[#This Row],[DISC 1-]]+NOTA[[#This Row],[DISC 2-]])</f>
        <v>226800</v>
      </c>
      <c r="AA144" s="54">
        <f>IF(NOTA[[#This Row],[JUMLAH]]="","",NOTA[[#This Row],[JUMLAH]]-NOTA[[#This Row],[DISC]])</f>
        <v>8845200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144" s="54">
        <f>IF(OR(NOTA[[#This Row],[QTY]]="",NOTA[[#This Row],[HARGA SATUAN]]="",),"",NOTA[[#This Row],[QTY]]*NOTA[[#This Row],[HARGA SATUAN]])</f>
        <v>9072000</v>
      </c>
      <c r="AF144" s="51">
        <f ca="1">IF(NOTA[ID_H]="","",INDEX(NOTA[TANGGAL],MATCH(,INDIRECT(ADDRESS(ROW(NOTA[TANGGAL]),COLUMN(NOTA[TANGGAL]))&amp;":"&amp;ADDRESS(ROW(),COLUMN(NOTA[TANGGAL]))),-1)))</f>
        <v>44935</v>
      </c>
      <c r="AG144" s="65" t="str">
        <f ca="1">IF(NOTA[[#This Row],[NAMA BARANG]]="","",INDEX(NOTA[SUPPLIER],MATCH(,INDIRECT(ADDRESS(ROW(NOTA[ID]),COLUMN(NOTA[ID]))&amp;":"&amp;ADDRESS(ROW(),COLUMN(NOTA[ID]))),-1)))</f>
        <v>DB STATIONERY</v>
      </c>
      <c r="AH144" s="65" t="str">
        <f ca="1">IF(NOTA[[#This Row],[ID_H]]="","",IF(NOTA[[#This Row],[FAKTUR]]="",INDIRECT(ADDRESS(ROW()-1,COLUMN())),NOTA[[#This Row],[FAKTUR]]))</f>
        <v>UNTANA</v>
      </c>
      <c r="AI144" s="38">
        <f ca="1">IF(NOTA[[#This Row],[ID]]="","",COUNTIF(NOTA[ID_H],NOTA[[#This Row],[ID_H]]))</f>
        <v>4</v>
      </c>
      <c r="AJ144" s="38">
        <f>IF(NOTA[[#This Row],[TGL.NOTA]]="",IF(NOTA[[#This Row],[SUPPLIER_H]]="","",AJ143),MONTH(NOTA[[#This Row],[TGL.NOTA]]))</f>
        <v>1</v>
      </c>
      <c r="AK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>tpbd1912630240000.025</v>
      </c>
      <c r="AM144" s="193" t="e">
        <f>IF(NOTA[[#This Row],[CONCAT1]]="","",MATCH(NOTA[[#This Row],[CONCAT1]],[2]!db[NB NOTA_C],0)+1)</f>
        <v>#N/A</v>
      </c>
    </row>
    <row r="145" spans="1:39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34</v>
      </c>
      <c r="E145" s="23"/>
      <c r="F145" s="26"/>
      <c r="G145" s="26"/>
      <c r="H145" s="31"/>
      <c r="I145" s="26"/>
      <c r="J145" s="51"/>
      <c r="K145" s="26"/>
      <c r="L145" s="26" t="s">
        <v>307</v>
      </c>
      <c r="M145" s="39">
        <v>3</v>
      </c>
      <c r="N145" s="26">
        <v>540</v>
      </c>
      <c r="O145" s="26" t="s">
        <v>104</v>
      </c>
      <c r="P145" s="49">
        <v>24500</v>
      </c>
      <c r="Q145" s="52"/>
      <c r="R145" s="39" t="s">
        <v>306</v>
      </c>
      <c r="S145" s="53">
        <v>2.5000000000000001E-2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13230000</v>
      </c>
      <c r="X145" s="54">
        <f>IF(NOTA[[#This Row],[JUMLAH]]="","",NOTA[[#This Row],[JUMLAH]]*NOTA[[#This Row],[DISC 1]])</f>
        <v>330750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330750</v>
      </c>
      <c r="AA145" s="54">
        <f>IF(NOTA[[#This Row],[JUMLAH]]="","",NOTA[[#This Row],[JUMLAH]]-NOTA[[#This Row],[DISC]])</f>
        <v>12899250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E145" s="54">
        <f>IF(OR(NOTA[[#This Row],[QTY]]="",NOTA[[#This Row],[HARGA SATUAN]]="",),"",NOTA[[#This Row],[QTY]]*NOTA[[#This Row],[HARGA SATUAN]])</f>
        <v>13230000</v>
      </c>
      <c r="AF145" s="51">
        <f ca="1">IF(NOTA[ID_H]="","",INDEX(NOTA[TANGGAL],MATCH(,INDIRECT(ADDRESS(ROW(NOTA[TANGGAL]),COLUMN(NOTA[TANGGAL]))&amp;":"&amp;ADDRESS(ROW(),COLUMN(NOTA[TANGGAL]))),-1)))</f>
        <v>44935</v>
      </c>
      <c r="AG145" s="65" t="str">
        <f ca="1">IF(NOTA[[#This Row],[NAMA BARANG]]="","",INDEX(NOTA[SUPPLIER],MATCH(,INDIRECT(ADDRESS(ROW(NOTA[ID]),COLUMN(NOTA[ID]))&amp;":"&amp;ADDRESS(ROW(),COLUMN(NOTA[ID]))),-1)))</f>
        <v>DB STATIONERY</v>
      </c>
      <c r="AH145" s="65" t="str">
        <f ca="1">IF(NOTA[[#This Row],[ID_H]]="","",IF(NOTA[[#This Row],[FAKTUR]]="",INDIRECT(ADDRESS(ROW()-1,COLUMN())),NOTA[[#This Row],[FAKTUR]]))</f>
        <v>UNTANA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1</v>
      </c>
      <c r="AK145" s="38" t="str">
        <f>LOWER(SUBSTITUTE(SUBSTITUTE(SUBSTITUTE(SUBSTITUTE(SUBSTITUTE(SUBSTITUTE(SUBSTITUTE(SUBSTITUTE(SUBSTITUTE(NOTA[NAMA BARANG]," ",),".",""),"-",""),"(",""),")",""),",",""),"/",""),"""",""),"+",""))</f>
        <v>tpbd933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tpbd93344100000.025</v>
      </c>
      <c r="AM145" s="193" t="e">
        <f>IF(NOTA[[#This Row],[CONCAT1]]="","",MATCH(NOTA[[#This Row],[CONCAT1]],[2]!db[NB NOTA_C],0)+1)</f>
        <v>#N/A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34</v>
      </c>
      <c r="E146" s="23"/>
      <c r="F146" s="26"/>
      <c r="G146" s="26"/>
      <c r="H146" s="31"/>
      <c r="I146" s="26"/>
      <c r="J146" s="51"/>
      <c r="K146" s="26"/>
      <c r="L146" s="26" t="s">
        <v>308</v>
      </c>
      <c r="M146" s="39">
        <v>3</v>
      </c>
      <c r="N146" s="26">
        <v>540</v>
      </c>
      <c r="O146" s="26" t="s">
        <v>104</v>
      </c>
      <c r="P146" s="49">
        <v>11000</v>
      </c>
      <c r="Q146" s="52"/>
      <c r="R146" s="39" t="s">
        <v>306</v>
      </c>
      <c r="S146" s="53">
        <v>2.5000000000000001E-2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5940000</v>
      </c>
      <c r="X146" s="54">
        <f>IF(NOTA[[#This Row],[JUMLAH]]="","",NOTA[[#This Row],[JUMLAH]]*NOTA[[#This Row],[DISC 1]])</f>
        <v>148500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148500</v>
      </c>
      <c r="AA146" s="54">
        <f>IF(NOTA[[#This Row],[JUMLAH]]="","",NOTA[[#This Row],[JUMLAH]]-NOTA[[#This Row],[DISC]])</f>
        <v>5791500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46" s="54">
        <f>IF(OR(NOTA[[#This Row],[QTY]]="",NOTA[[#This Row],[HARGA SATUAN]]="",),"",NOTA[[#This Row],[QTY]]*NOTA[[#This Row],[HARGA SATUAN]])</f>
        <v>5940000</v>
      </c>
      <c r="AF146" s="51">
        <f ca="1">IF(NOTA[ID_H]="","",INDEX(NOTA[TANGGAL],MATCH(,INDIRECT(ADDRESS(ROW(NOTA[TANGGAL]),COLUMN(NOTA[TANGGAL]))&amp;":"&amp;ADDRESS(ROW(),COLUMN(NOTA[TANGGAL]))),-1)))</f>
        <v>44935</v>
      </c>
      <c r="AG146" s="65" t="str">
        <f ca="1">IF(NOTA[[#This Row],[NAMA BARANG]]="","",INDEX(NOTA[SUPPLIER],MATCH(,INDIRECT(ADDRESS(ROW(NOTA[ID]),COLUMN(NOTA[ID]))&amp;":"&amp;ADDRESS(ROW(),COLUMN(NOTA[ID]))),-1)))</f>
        <v>DB STATIONERY</v>
      </c>
      <c r="AH146" s="65" t="str">
        <f ca="1">IF(NOTA[[#This Row],[ID_H]]="","",IF(NOTA[[#This Row],[FAKTUR]]="",INDIRECT(ADDRESS(ROW()-1,COLUMN())),NOTA[[#This Row],[FAKTUR]]))</f>
        <v>UNTANA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1</v>
      </c>
      <c r="AK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tpensilbdxlgbd1802619800000.025</v>
      </c>
      <c r="AM146" s="193">
        <f>IF(NOTA[[#This Row],[CONCAT1]]="","",MATCH(NOTA[[#This Row],[CONCAT1]],[2]!db[NB NOTA_C],0)+1)</f>
        <v>1963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34</v>
      </c>
      <c r="E147" s="23"/>
      <c r="F147" s="26"/>
      <c r="G147" s="26"/>
      <c r="H147" s="31"/>
      <c r="I147" s="26"/>
      <c r="J147" s="51"/>
      <c r="K147" s="26"/>
      <c r="L147" s="26" t="s">
        <v>309</v>
      </c>
      <c r="M147" s="39">
        <v>3</v>
      </c>
      <c r="N147" s="26">
        <v>540</v>
      </c>
      <c r="O147" s="26" t="s">
        <v>104</v>
      </c>
      <c r="P147" s="49">
        <v>18000</v>
      </c>
      <c r="Q147" s="52"/>
      <c r="R147" s="39" t="s">
        <v>306</v>
      </c>
      <c r="S147" s="53">
        <v>2.5000000000000001E-2</v>
      </c>
      <c r="T147" s="53"/>
      <c r="U147" s="54"/>
      <c r="V147" s="37"/>
      <c r="W147" s="54">
        <f>IF(NOTA[[#This Row],[HARGA/ CTN]]="",NOTA[[#This Row],[JUMLAH_H]],NOTA[[#This Row],[HARGA/ CTN]]*IF(NOTA[[#This Row],[C]]="",0,NOTA[[#This Row],[C]]))</f>
        <v>9720000</v>
      </c>
      <c r="X147" s="54">
        <f>IF(NOTA[[#This Row],[JUMLAH]]="","",NOTA[[#This Row],[JUMLAH]]*NOTA[[#This Row],[DISC 1]])</f>
        <v>243000</v>
      </c>
      <c r="Y147" s="54">
        <f>IF(NOTA[[#This Row],[JUMLAH]]="","",(NOTA[[#This Row],[JUMLAH]]-NOTA[[#This Row],[DISC 1-]])*NOTA[[#This Row],[DISC 2]])</f>
        <v>0</v>
      </c>
      <c r="Z147" s="54">
        <f>IF(NOTA[[#This Row],[JUMLAH]]="","",NOTA[[#This Row],[DISC 1-]]+NOTA[[#This Row],[DISC 2-]])</f>
        <v>243000</v>
      </c>
      <c r="AA147" s="54">
        <f>IF(NOTA[[#This Row],[JUMLAH]]="","",NOTA[[#This Row],[JUMLAH]]-NOTA[[#This Row],[DISC]])</f>
        <v>9477000</v>
      </c>
      <c r="AB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47" s="54">
        <f>IF(OR(NOTA[[#This Row],[QTY]]="",NOTA[[#This Row],[HARGA SATUAN]]="",),"",NOTA[[#This Row],[QTY]]*NOTA[[#This Row],[HARGA SATUAN]])</f>
        <v>9720000</v>
      </c>
      <c r="AF147" s="51">
        <f ca="1">IF(NOTA[ID_H]="","",INDEX(NOTA[TANGGAL],MATCH(,INDIRECT(ADDRESS(ROW(NOTA[TANGGAL]),COLUMN(NOTA[TANGGAL]))&amp;":"&amp;ADDRESS(ROW(),COLUMN(NOTA[TANGGAL]))),-1)))</f>
        <v>44935</v>
      </c>
      <c r="AG147" s="65" t="str">
        <f ca="1">IF(NOTA[[#This Row],[NAMA BARANG]]="","",INDEX(NOTA[SUPPLIER],MATCH(,INDIRECT(ADDRESS(ROW(NOTA[ID]),COLUMN(NOTA[ID]))&amp;":"&amp;ADDRESS(ROW(),COLUMN(NOTA[ID]))),-1)))</f>
        <v>DB STATIONERY</v>
      </c>
      <c r="AH147" s="65" t="str">
        <f ca="1">IF(NOTA[[#This Row],[ID_H]]="","",IF(NOTA[[#This Row],[FAKTUR]]="",INDIRECT(ADDRESS(ROW()-1,COLUMN())),NOTA[[#This Row],[FAKTUR]]))</f>
        <v>UNTANA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1</v>
      </c>
      <c r="AK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>tpbdbd93132400000.025</v>
      </c>
      <c r="AM147" s="193">
        <f>IF(NOTA[[#This Row],[CONCAT1]]="","",MATCH(NOTA[[#This Row],[CONCAT1]],[2]!db[NB NOTA_C],0)+1)</f>
        <v>2022</v>
      </c>
    </row>
    <row r="148" spans="1:39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 t="str">
        <f ca="1">IF(NOTA[[#This Row],[NAMA BARANG]]="","",INDEX(NOTA[ID],MATCH(,INDIRECT(ADDRESS(ROW(NOTA[ID]),COLUMN(NOTA[ID]))&amp;":"&amp;ADDRESS(ROW(),COLUMN(NOTA[ID]))),-1)))</f>
        <v/>
      </c>
      <c r="E148" s="23"/>
      <c r="F148" s="26"/>
      <c r="G148" s="26"/>
      <c r="H148" s="31"/>
      <c r="I148" s="26"/>
      <c r="J148" s="51"/>
      <c r="K148" s="26"/>
      <c r="L148" s="26"/>
      <c r="M148" s="39"/>
      <c r="N148" s="26"/>
      <c r="O148" s="26"/>
      <c r="P148" s="49"/>
      <c r="Q148" s="52"/>
      <c r="R148" s="39"/>
      <c r="S148" s="53"/>
      <c r="T148" s="53"/>
      <c r="U148" s="54"/>
      <c r="V148" s="37"/>
      <c r="W148" s="54" t="str">
        <f>IF(NOTA[[#This Row],[HARGA/ CTN]]="",NOTA[[#This Row],[JUMLAH_H]],NOTA[[#This Row],[HARGA/ CTN]]*IF(NOTA[[#This Row],[C]]="",0,NOTA[[#This Row],[C]]))</f>
        <v/>
      </c>
      <c r="X148" s="54" t="str">
        <f>IF(NOTA[[#This Row],[JUMLAH]]="","",NOTA[[#This Row],[JUMLAH]]*NOTA[[#This Row],[DISC 1]])</f>
        <v/>
      </c>
      <c r="Y148" s="54" t="str">
        <f>IF(NOTA[[#This Row],[JUMLAH]]="","",(NOTA[[#This Row],[JUMLAH]]-NOTA[[#This Row],[DISC 1-]])*NOTA[[#This Row],[DISC 2]])</f>
        <v/>
      </c>
      <c r="Z148" s="54" t="str">
        <f>IF(NOTA[[#This Row],[JUMLAH]]="","",NOTA[[#This Row],[DISC 1-]]+NOTA[[#This Row],[DISC 2-]])</f>
        <v/>
      </c>
      <c r="AA148" s="54" t="str">
        <f>IF(NOTA[[#This Row],[JUMLAH]]="","",NOTA[[#This Row],[JUMLAH]]-NOTA[[#This Row],[DISC]])</f>
        <v/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8" s="54" t="str">
        <f>IF(OR(NOTA[[#This Row],[QTY]]="",NOTA[[#This Row],[HARGA SATUAN]]="",),"",NOTA[[#This Row],[QTY]]*NOTA[[#This Row],[HARGA SATUAN]])</f>
        <v/>
      </c>
      <c r="AF148" s="51" t="str">
        <f ca="1">IF(NOTA[ID_H]="","",INDEX(NOTA[TANGGAL],MATCH(,INDIRECT(ADDRESS(ROW(NOTA[TANGGAL]),COLUMN(NOTA[TANGGAL]))&amp;":"&amp;ADDRESS(ROW(),COLUMN(NOTA[TANGGAL]))),-1)))</f>
        <v/>
      </c>
      <c r="AG148" s="65" t="str">
        <f ca="1">IF(NOTA[[#This Row],[NAMA BARANG]]="","",INDEX(NOTA[SUPPLIER],MATCH(,INDIRECT(ADDRESS(ROW(NOTA[ID]),COLUMN(NOTA[ID]))&amp;":"&amp;ADDRESS(ROW(),COLUMN(NOTA[ID]))),-1)))</f>
        <v/>
      </c>
      <c r="AH148" s="65" t="str">
        <f ca="1">IF(NOTA[[#This Row],[ID_H]]="","",IF(NOTA[[#This Row],[FAKTUR]]="",INDIRECT(ADDRESS(ROW()-1,COLUMN())),NOTA[[#This Row],[FAKTUR]]))</f>
        <v/>
      </c>
      <c r="AI148" s="38" t="str">
        <f ca="1">IF(NOTA[[#This Row],[ID]]="","",COUNTIF(NOTA[ID_H],NOTA[[#This Row],[ID_H]]))</f>
        <v/>
      </c>
      <c r="AJ148" s="38" t="str">
        <f ca="1">IF(NOTA[[#This Row],[TGL.NOTA]]="",IF(NOTA[[#This Row],[SUPPLIER_H]]="","",AJ147),MONTH(NOTA[[#This Row],[TGL.NOTA]]))</f>
        <v/>
      </c>
      <c r="AK148" s="38" t="str">
        <f>LOWER(SUBSTITUTE(SUBSTITUTE(SUBSTITUTE(SUBSTITUTE(SUBSTITUTE(SUBSTITUTE(SUBSTITUTE(SUBSTITUTE(SUBSTITUTE(NOTA[NAMA BARANG]," ",),".",""),"-",""),"(",""),")",""),",",""),"/",""),"""",""),"+",""))</f>
        <v/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8" s="193" t="str">
        <f>IF(NOTA[[#This Row],[CONCAT1]]="","",MATCH(NOTA[[#This Row],[CONCAT1]],[2]!db[NB NOTA_C],0)+1)</f>
        <v/>
      </c>
    </row>
    <row r="149" spans="1:39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e">
        <f ca="1">IF(NOTA[[#This Row],[ID_P]]="","",MATCH(NOTA[[#This Row],[ID_P]],[1]!B_MSK[N_ID],0))</f>
        <v>#REF!</v>
      </c>
      <c r="D149" s="50">
        <f ca="1">IF(NOTA[[#This Row],[NAMA BARANG]]="","",INDEX(NOTA[ID],MATCH(,INDIRECT(ADDRESS(ROW(NOTA[ID]),COLUMN(NOTA[ID]))&amp;":"&amp;ADDRESS(ROW(),COLUMN(NOTA[ID]))),-1)))</f>
        <v>35</v>
      </c>
      <c r="E149" s="23"/>
      <c r="F149" s="26" t="s">
        <v>101</v>
      </c>
      <c r="G149" s="26" t="s">
        <v>87</v>
      </c>
      <c r="H149" s="31" t="s">
        <v>310</v>
      </c>
      <c r="I149" s="26"/>
      <c r="J149" s="51">
        <v>44929</v>
      </c>
      <c r="K149" s="26"/>
      <c r="L149" s="26" t="s">
        <v>311</v>
      </c>
      <c r="M149" s="39">
        <v>2</v>
      </c>
      <c r="N149" s="26">
        <v>32</v>
      </c>
      <c r="O149" s="26" t="s">
        <v>131</v>
      </c>
      <c r="P149" s="49">
        <v>118000</v>
      </c>
      <c r="Q149" s="52"/>
      <c r="R149" s="39" t="s">
        <v>965</v>
      </c>
      <c r="S149" s="53"/>
      <c r="T149" s="53"/>
      <c r="U149" s="54"/>
      <c r="V149" s="37"/>
      <c r="W149" s="54">
        <f>IF(NOTA[[#This Row],[HARGA/ CTN]]="",NOTA[[#This Row],[JUMLAH_H]],NOTA[[#This Row],[HARGA/ CTN]]*IF(NOTA[[#This Row],[C]]="",0,NOTA[[#This Row],[C]]))</f>
        <v>3776000</v>
      </c>
      <c r="X149" s="54">
        <f>IF(NOTA[[#This Row],[JUMLAH]]="","",NOTA[[#This Row],[JUMLAH]]*NOTA[[#This Row],[DISC 1]])</f>
        <v>0</v>
      </c>
      <c r="Y149" s="54">
        <f>IF(NOTA[[#This Row],[JUMLAH]]="","",(NOTA[[#This Row],[JUMLAH]]-NOTA[[#This Row],[DISC 1-]])*NOTA[[#This Row],[DISC 2]])</f>
        <v>0</v>
      </c>
      <c r="Z149" s="54">
        <f>IF(NOTA[[#This Row],[JUMLAH]]="","",NOTA[[#This Row],[DISC 1-]]+NOTA[[#This Row],[DISC 2-]])</f>
        <v>0</v>
      </c>
      <c r="AA149" s="54">
        <f>IF(NOTA[[#This Row],[JUMLAH]]="","",NOTA[[#This Row],[JUMLAH]]-NOTA[[#This Row],[DISC]])</f>
        <v>3776000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49" s="54">
        <f>IF(OR(NOTA[[#This Row],[QTY]]="",NOTA[[#This Row],[HARGA SATUAN]]="",),"",NOTA[[#This Row],[QTY]]*NOTA[[#This Row],[HARGA SATUAN]])</f>
        <v>3776000</v>
      </c>
      <c r="AF149" s="51">
        <f ca="1">IF(NOTA[ID_H]="","",INDEX(NOTA[TANGGAL],MATCH(,INDIRECT(ADDRESS(ROW(NOTA[TANGGAL]),COLUMN(NOTA[TANGGAL]))&amp;":"&amp;ADDRESS(ROW(),COLUMN(NOTA[TANGGAL]))),-1)))</f>
        <v>44935</v>
      </c>
      <c r="AG149" s="65" t="str">
        <f ca="1">IF(NOTA[[#This Row],[NAMA BARANG]]="","",INDEX(NOTA[SUPPLIER],MATCH(,INDIRECT(ADDRESS(ROW(NOTA[ID]),COLUMN(NOTA[ID]))&amp;":"&amp;ADDRESS(ROW(),COLUMN(NOTA[ID]))),-1)))</f>
        <v>SBS</v>
      </c>
      <c r="AH149" s="65" t="str">
        <f ca="1">IF(NOTA[[#This Row],[ID_H]]="","",IF(NOTA[[#This Row],[FAKTUR]]="",INDIRECT(ADDRESS(ROW()-1,COLUMN())),NOTA[[#This Row],[FAKTUR]]))</f>
        <v>UNTANA</v>
      </c>
      <c r="AI149" s="38">
        <f ca="1">IF(NOTA[[#This Row],[ID]]="","",COUNTIF(NOTA[ID_H],NOTA[[#This Row],[ID_H]]))</f>
        <v>8</v>
      </c>
      <c r="AJ149" s="38">
        <f>IF(NOTA[[#This Row],[TGL.NOTA]]="",IF(NOTA[[#This Row],[SUPPLIER_H]]="","",AJ148),MONTH(NOTA[[#This Row],[TGL.NOTA]]))</f>
        <v>1</v>
      </c>
      <c r="AK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penggarissetpayups880120cmpkdino1888000</v>
      </c>
      <c r="AM149" s="193" t="e">
        <f>IF(NOTA[[#This Row],[CONCAT1]]="","",MATCH(NOTA[[#This Row],[CONCAT1]],[2]!db[NB NOTA_C],0)+1)</f>
        <v>#N/A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35</v>
      </c>
      <c r="E150" s="23"/>
      <c r="F150" s="26"/>
      <c r="G150" s="26"/>
      <c r="H150" s="31"/>
      <c r="I150" s="26"/>
      <c r="J150" s="51"/>
      <c r="K150" s="26"/>
      <c r="L150" s="26" t="s">
        <v>312</v>
      </c>
      <c r="M150" s="39">
        <v>2</v>
      </c>
      <c r="N150" s="26">
        <v>32</v>
      </c>
      <c r="O150" s="26" t="s">
        <v>131</v>
      </c>
      <c r="P150" s="49">
        <v>118000</v>
      </c>
      <c r="Q150" s="52"/>
      <c r="R150" s="39" t="s">
        <v>965</v>
      </c>
      <c r="S150" s="53"/>
      <c r="T150" s="53"/>
      <c r="U150" s="54"/>
      <c r="V150" s="37"/>
      <c r="W150" s="54">
        <f>IF(NOTA[[#This Row],[HARGA/ CTN]]="",NOTA[[#This Row],[JUMLAH_H]],NOTA[[#This Row],[HARGA/ CTN]]*IF(NOTA[[#This Row],[C]]="",0,NOTA[[#This Row],[C]]))</f>
        <v>3776000</v>
      </c>
      <c r="X150" s="54">
        <f>IF(NOTA[[#This Row],[JUMLAH]]="","",NOTA[[#This Row],[JUMLAH]]*NOTA[[#This Row],[DISC 1]])</f>
        <v>0</v>
      </c>
      <c r="Y150" s="54">
        <f>IF(NOTA[[#This Row],[JUMLAH]]="","",(NOTA[[#This Row],[JUMLAH]]-NOTA[[#This Row],[DISC 1-]])*NOTA[[#This Row],[DISC 2]])</f>
        <v>0</v>
      </c>
      <c r="Z150" s="54">
        <f>IF(NOTA[[#This Row],[JUMLAH]]="","",NOTA[[#This Row],[DISC 1-]]+NOTA[[#This Row],[DISC 2-]])</f>
        <v>0</v>
      </c>
      <c r="AA150" s="54">
        <f>IF(NOTA[[#This Row],[JUMLAH]]="","",NOTA[[#This Row],[JUMLAH]]-NOTA[[#This Row],[DISC]])</f>
        <v>3776000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0" s="54">
        <f>IF(OR(NOTA[[#This Row],[QTY]]="",NOTA[[#This Row],[HARGA SATUAN]]="",),"",NOTA[[#This Row],[QTY]]*NOTA[[#This Row],[HARGA SATUAN]])</f>
        <v>3776000</v>
      </c>
      <c r="AF150" s="51">
        <f ca="1">IF(NOTA[ID_H]="","",INDEX(NOTA[TANGGAL],MATCH(,INDIRECT(ADDRESS(ROW(NOTA[TANGGAL]),COLUMN(NOTA[TANGGAL]))&amp;":"&amp;ADDRESS(ROW(),COLUMN(NOTA[TANGGAL]))),-1)))</f>
        <v>44935</v>
      </c>
      <c r="AG150" s="65" t="str">
        <f ca="1">IF(NOTA[[#This Row],[NAMA BARANG]]="","",INDEX(NOTA[SUPPLIER],MATCH(,INDIRECT(ADDRESS(ROW(NOTA[ID]),COLUMN(NOTA[ID]))&amp;":"&amp;ADDRESS(ROW(),COLUMN(NOTA[ID]))),-1)))</f>
        <v>SBS</v>
      </c>
      <c r="AH150" s="65" t="str">
        <f ca="1">IF(NOTA[[#This Row],[ID_H]]="","",IF(NOTA[[#This Row],[FAKTUR]]="",INDIRECT(ADDRESS(ROW()-1,COLUMN())),NOTA[[#This Row],[FAKTUR]]))</f>
        <v>UNTANA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1</v>
      </c>
      <c r="AK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penggarissetpayups880220cmpkastro1888000</v>
      </c>
      <c r="AM150" s="193" t="e">
        <f>IF(NOTA[[#This Row],[CONCAT1]]="","",MATCH(NOTA[[#This Row],[CONCAT1]],[2]!db[NB NOTA_C],0)+1)</f>
        <v>#N/A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35</v>
      </c>
      <c r="E151" s="23"/>
      <c r="F151" s="26"/>
      <c r="G151" s="26"/>
      <c r="H151" s="31"/>
      <c r="I151" s="26"/>
      <c r="J151" s="51"/>
      <c r="K151" s="26"/>
      <c r="L151" s="26" t="s">
        <v>313</v>
      </c>
      <c r="M151" s="39">
        <v>2</v>
      </c>
      <c r="N151" s="26">
        <v>32</v>
      </c>
      <c r="O151" s="26" t="s">
        <v>131</v>
      </c>
      <c r="P151" s="49">
        <v>118000</v>
      </c>
      <c r="Q151" s="52"/>
      <c r="R151" s="39" t="s">
        <v>965</v>
      </c>
      <c r="S151" s="53"/>
      <c r="T151" s="53"/>
      <c r="U151" s="54"/>
      <c r="V151" s="37"/>
      <c r="W151" s="54">
        <f>IF(NOTA[[#This Row],[HARGA/ CTN]]="",NOTA[[#This Row],[JUMLAH_H]],NOTA[[#This Row],[HARGA/ CTN]]*IF(NOTA[[#This Row],[C]]="",0,NOTA[[#This Row],[C]]))</f>
        <v>3776000</v>
      </c>
      <c r="X151" s="54">
        <f>IF(NOTA[[#This Row],[JUMLAH]]="","",NOTA[[#This Row],[JUMLAH]]*NOTA[[#This Row],[DISC 1]])</f>
        <v>0</v>
      </c>
      <c r="Y151" s="54">
        <f>IF(NOTA[[#This Row],[JUMLAH]]="","",(NOTA[[#This Row],[JUMLAH]]-NOTA[[#This Row],[DISC 1-]])*NOTA[[#This Row],[DISC 2]])</f>
        <v>0</v>
      </c>
      <c r="Z151" s="54">
        <f>IF(NOTA[[#This Row],[JUMLAH]]="","",NOTA[[#This Row],[DISC 1-]]+NOTA[[#This Row],[DISC 2-]])</f>
        <v>0</v>
      </c>
      <c r="AA151" s="54">
        <f>IF(NOTA[[#This Row],[JUMLAH]]="","",NOTA[[#This Row],[JUMLAH]]-NOTA[[#This Row],[DISC]])</f>
        <v>3776000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1" s="54">
        <f>IF(OR(NOTA[[#This Row],[QTY]]="",NOTA[[#This Row],[HARGA SATUAN]]="",),"",NOTA[[#This Row],[QTY]]*NOTA[[#This Row],[HARGA SATUAN]])</f>
        <v>3776000</v>
      </c>
      <c r="AF151" s="51">
        <f ca="1">IF(NOTA[ID_H]="","",INDEX(NOTA[TANGGAL],MATCH(,INDIRECT(ADDRESS(ROW(NOTA[TANGGAL]),COLUMN(NOTA[TANGGAL]))&amp;":"&amp;ADDRESS(ROW(),COLUMN(NOTA[TANGGAL]))),-1)))</f>
        <v>44935</v>
      </c>
      <c r="AG151" s="65" t="str">
        <f ca="1">IF(NOTA[[#This Row],[NAMA BARANG]]="","",INDEX(NOTA[SUPPLIER],MATCH(,INDIRECT(ADDRESS(ROW(NOTA[ID]),COLUMN(NOTA[ID]))&amp;":"&amp;ADDRESS(ROW(),COLUMN(NOTA[ID]))),-1)))</f>
        <v>SBS</v>
      </c>
      <c r="AH151" s="65" t="str">
        <f ca="1">IF(NOTA[[#This Row],[ID_H]]="","",IF(NOTA[[#This Row],[FAKTUR]]="",INDIRECT(ADDRESS(ROW()-1,COLUMN())),NOTA[[#This Row],[FAKTUR]]))</f>
        <v>UNTANA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1</v>
      </c>
      <c r="AK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penggarissetpayups880320cmpkmilk1888000</v>
      </c>
      <c r="AM151" s="193" t="e">
        <f>IF(NOTA[[#This Row],[CONCAT1]]="","",MATCH(NOTA[[#This Row],[CONCAT1]],[2]!db[NB NOTA_C],0)+1)</f>
        <v>#N/A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35</v>
      </c>
      <c r="E152" s="23"/>
      <c r="F152" s="26"/>
      <c r="G152" s="26"/>
      <c r="H152" s="69"/>
      <c r="I152" s="31"/>
      <c r="J152" s="51"/>
      <c r="K152" s="26"/>
      <c r="L152" s="26" t="s">
        <v>314</v>
      </c>
      <c r="M152" s="39">
        <v>2</v>
      </c>
      <c r="N152" s="26">
        <v>32</v>
      </c>
      <c r="O152" s="26" t="s">
        <v>131</v>
      </c>
      <c r="P152" s="49">
        <v>118000</v>
      </c>
      <c r="Q152" s="52"/>
      <c r="R152" s="39" t="s">
        <v>965</v>
      </c>
      <c r="S152" s="53"/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3776000</v>
      </c>
      <c r="X152" s="54">
        <f>IF(NOTA[[#This Row],[JUMLAH]]="","",NOTA[[#This Row],[JUMLAH]]*NOTA[[#This Row],[DISC 1]])</f>
        <v>0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0</v>
      </c>
      <c r="AA152" s="54">
        <f>IF(NOTA[[#This Row],[JUMLAH]]="","",NOTA[[#This Row],[JUMLAH]]-NOTA[[#This Row],[DISC]])</f>
        <v>3776000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2" s="54">
        <f>IF(OR(NOTA[[#This Row],[QTY]]="",NOTA[[#This Row],[HARGA SATUAN]]="",),"",NOTA[[#This Row],[QTY]]*NOTA[[#This Row],[HARGA SATUAN]])</f>
        <v>3776000</v>
      </c>
      <c r="AF152" s="51">
        <f ca="1">IF(NOTA[ID_H]="","",INDEX(NOTA[TANGGAL],MATCH(,INDIRECT(ADDRESS(ROW(NOTA[TANGGAL]),COLUMN(NOTA[TANGGAL]))&amp;":"&amp;ADDRESS(ROW(),COLUMN(NOTA[TANGGAL]))),-1)))</f>
        <v>44935</v>
      </c>
      <c r="AG152" s="65" t="str">
        <f ca="1">IF(NOTA[[#This Row],[NAMA BARANG]]="","",INDEX(NOTA[SUPPLIER],MATCH(,INDIRECT(ADDRESS(ROW(NOTA[ID]),COLUMN(NOTA[ID]))&amp;":"&amp;ADDRESS(ROW(),COLUMN(NOTA[ID]))),-1)))</f>
        <v>SBS</v>
      </c>
      <c r="AH152" s="65" t="str">
        <f ca="1">IF(NOTA[[#This Row],[ID_H]]="","",IF(NOTA[[#This Row],[FAKTUR]]="",INDIRECT(ADDRESS(ROW()-1,COLUMN())),NOTA[[#This Row],[FAKTUR]]))</f>
        <v>UNTANA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1</v>
      </c>
      <c r="AK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penggarissetpayups880420cmpkbear1888000</v>
      </c>
      <c r="AM152" s="193" t="e">
        <f>IF(NOTA[[#This Row],[CONCAT1]]="","",MATCH(NOTA[[#This Row],[CONCAT1]],[2]!db[NB NOTA_C],0)+1)</f>
        <v>#N/A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35</v>
      </c>
      <c r="E153" s="23"/>
      <c r="F153" s="26"/>
      <c r="G153" s="26"/>
      <c r="H153" s="31"/>
      <c r="I153" s="26"/>
      <c r="J153" s="51"/>
      <c r="K153" s="26"/>
      <c r="L153" s="26" t="s">
        <v>315</v>
      </c>
      <c r="M153" s="39">
        <v>2</v>
      </c>
      <c r="N153" s="26">
        <v>32</v>
      </c>
      <c r="O153" s="26" t="s">
        <v>131</v>
      </c>
      <c r="P153" s="49">
        <v>118000</v>
      </c>
      <c r="Q153" s="52"/>
      <c r="R153" s="39" t="s">
        <v>965</v>
      </c>
      <c r="S153" s="53"/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3776000</v>
      </c>
      <c r="X153" s="54">
        <f>IF(NOTA[[#This Row],[JUMLAH]]="","",NOTA[[#This Row],[JUMLAH]]*NOTA[[#This Row],[DISC 1]])</f>
        <v>0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0</v>
      </c>
      <c r="AA153" s="54">
        <f>IF(NOTA[[#This Row],[JUMLAH]]="","",NOTA[[#This Row],[JUMLAH]]-NOTA[[#This Row],[DISC]])</f>
        <v>3776000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3" s="54">
        <f>IF(OR(NOTA[[#This Row],[QTY]]="",NOTA[[#This Row],[HARGA SATUAN]]="",),"",NOTA[[#This Row],[QTY]]*NOTA[[#This Row],[HARGA SATUAN]])</f>
        <v>3776000</v>
      </c>
      <c r="AF153" s="51">
        <f ca="1">IF(NOTA[ID_H]="","",INDEX(NOTA[TANGGAL],MATCH(,INDIRECT(ADDRESS(ROW(NOTA[TANGGAL]),COLUMN(NOTA[TANGGAL]))&amp;":"&amp;ADDRESS(ROW(),COLUMN(NOTA[TANGGAL]))),-1)))</f>
        <v>44935</v>
      </c>
      <c r="AG153" s="65" t="str">
        <f ca="1">IF(NOTA[[#This Row],[NAMA BARANG]]="","",INDEX(NOTA[SUPPLIER],MATCH(,INDIRECT(ADDRESS(ROW(NOTA[ID]),COLUMN(NOTA[ID]))&amp;":"&amp;ADDRESS(ROW(),COLUMN(NOTA[ID]))),-1)))</f>
        <v>SBS</v>
      </c>
      <c r="AH153" s="65" t="str">
        <f ca="1">IF(NOTA[[#This Row],[ID_H]]="","",IF(NOTA[[#This Row],[FAKTUR]]="",INDIRECT(ADDRESS(ROW()-1,COLUMN())),NOTA[[#This Row],[FAKTUR]]))</f>
        <v>UNTANA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1</v>
      </c>
      <c r="AK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penggarissetpayups880520cmpklucu1888000</v>
      </c>
      <c r="AM153" s="193" t="e">
        <f>IF(NOTA[[#This Row],[CONCAT1]]="","",MATCH(NOTA[[#This Row],[CONCAT1]],[2]!db[NB NOTA_C],0)+1)</f>
        <v>#N/A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35</v>
      </c>
      <c r="E154" s="23"/>
      <c r="F154" s="26"/>
      <c r="G154" s="26"/>
      <c r="H154" s="31"/>
      <c r="I154" s="26"/>
      <c r="J154" s="51"/>
      <c r="K154" s="26"/>
      <c r="L154" s="26" t="s">
        <v>316</v>
      </c>
      <c r="M154" s="39">
        <v>2</v>
      </c>
      <c r="N154" s="26">
        <v>32</v>
      </c>
      <c r="O154" s="26" t="s">
        <v>131</v>
      </c>
      <c r="P154" s="49">
        <v>118000</v>
      </c>
      <c r="Q154" s="52"/>
      <c r="R154" s="39" t="s">
        <v>965</v>
      </c>
      <c r="S154" s="53"/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3776000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3776000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4" s="54">
        <f>IF(OR(NOTA[[#This Row],[QTY]]="",NOTA[[#This Row],[HARGA SATUAN]]="",),"",NOTA[[#This Row],[QTY]]*NOTA[[#This Row],[HARGA SATUAN]])</f>
        <v>3776000</v>
      </c>
      <c r="AF154" s="51">
        <f ca="1">IF(NOTA[ID_H]="","",INDEX(NOTA[TANGGAL],MATCH(,INDIRECT(ADDRESS(ROW(NOTA[TANGGAL]),COLUMN(NOTA[TANGGAL]))&amp;":"&amp;ADDRESS(ROW(),COLUMN(NOTA[TANGGAL]))),-1)))</f>
        <v>44935</v>
      </c>
      <c r="AG154" s="65" t="str">
        <f ca="1">IF(NOTA[[#This Row],[NAMA BARANG]]="","",INDEX(NOTA[SUPPLIER],MATCH(,INDIRECT(ADDRESS(ROW(NOTA[ID]),COLUMN(NOTA[ID]))&amp;":"&amp;ADDRESS(ROW(),COLUMN(NOTA[ID]))),-1)))</f>
        <v>SBS</v>
      </c>
      <c r="AH154" s="65" t="str">
        <f ca="1">IF(NOTA[[#This Row],[ID_H]]="","",IF(NOTA[[#This Row],[FAKTUR]]="",INDIRECT(ADDRESS(ROW()-1,COLUMN())),NOTA[[#This Row],[FAKTUR]]))</f>
        <v>UNTANA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1</v>
      </c>
      <c r="AK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penggarissetps981020cmppkunicorn1888000</v>
      </c>
      <c r="AM154" s="193" t="e">
        <f>IF(NOTA[[#This Row],[CONCAT1]]="","",MATCH(NOTA[[#This Row],[CONCAT1]],[2]!db[NB NOTA_C],0)+1)</f>
        <v>#N/A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35</v>
      </c>
      <c r="E155" s="23"/>
      <c r="F155" s="26"/>
      <c r="G155" s="26"/>
      <c r="H155" s="31"/>
      <c r="I155" s="26"/>
      <c r="J155" s="51"/>
      <c r="K155" s="26"/>
      <c r="L155" s="26" t="s">
        <v>317</v>
      </c>
      <c r="M155" s="39">
        <v>2</v>
      </c>
      <c r="N155" s="26">
        <v>32</v>
      </c>
      <c r="O155" s="26" t="s">
        <v>131</v>
      </c>
      <c r="P155" s="49">
        <v>118000</v>
      </c>
      <c r="Q155" s="52"/>
      <c r="R155" s="39" t="s">
        <v>965</v>
      </c>
      <c r="S155" s="53"/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3776000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3776000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5" s="54">
        <f>IF(OR(NOTA[[#This Row],[QTY]]="",NOTA[[#This Row],[HARGA SATUAN]]="",),"",NOTA[[#This Row],[QTY]]*NOTA[[#This Row],[HARGA SATUAN]])</f>
        <v>3776000</v>
      </c>
      <c r="AF155" s="51">
        <f ca="1">IF(NOTA[ID_H]="","",INDEX(NOTA[TANGGAL],MATCH(,INDIRECT(ADDRESS(ROW(NOTA[TANGGAL]),COLUMN(NOTA[TANGGAL]))&amp;":"&amp;ADDRESS(ROW(),COLUMN(NOTA[TANGGAL]))),-1)))</f>
        <v>44935</v>
      </c>
      <c r="AG155" s="65" t="str">
        <f ca="1">IF(NOTA[[#This Row],[NAMA BARANG]]="","",INDEX(NOTA[SUPPLIER],MATCH(,INDIRECT(ADDRESS(ROW(NOTA[ID]),COLUMN(NOTA[ID]))&amp;":"&amp;ADDRESS(ROW(),COLUMN(NOTA[ID]))),-1)))</f>
        <v>SBS</v>
      </c>
      <c r="AH155" s="65" t="str">
        <f ca="1">IF(NOTA[[#This Row],[ID_H]]="","",IF(NOTA[[#This Row],[FAKTUR]]="",INDIRECT(ADDRESS(ROW()-1,COLUMN())),NOTA[[#This Row],[FAKTUR]]))</f>
        <v>UNTANA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1</v>
      </c>
      <c r="AK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penggarissetps981120cmppkbt211888000</v>
      </c>
      <c r="AM155" s="193" t="e">
        <f>IF(NOTA[[#This Row],[CONCAT1]]="","",MATCH(NOTA[[#This Row],[CONCAT1]],[2]!db[NB NOTA_C],0)+1)</f>
        <v>#N/A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35</v>
      </c>
      <c r="E156" s="23"/>
      <c r="F156" s="26"/>
      <c r="G156" s="26"/>
      <c r="H156" s="31"/>
      <c r="I156" s="26"/>
      <c r="J156" s="51"/>
      <c r="K156" s="26"/>
      <c r="L156" s="26" t="s">
        <v>318</v>
      </c>
      <c r="M156" s="39">
        <v>2</v>
      </c>
      <c r="N156" s="26">
        <v>32</v>
      </c>
      <c r="O156" s="26" t="s">
        <v>131</v>
      </c>
      <c r="P156" s="49">
        <v>118000</v>
      </c>
      <c r="Q156" s="52"/>
      <c r="R156" s="39" t="s">
        <v>965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3776000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3776000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6" s="54">
        <f>IF(OR(NOTA[[#This Row],[QTY]]="",NOTA[[#This Row],[HARGA SATUAN]]="",),"",NOTA[[#This Row],[QTY]]*NOTA[[#This Row],[HARGA SATUAN]])</f>
        <v>3776000</v>
      </c>
      <c r="AF156" s="51">
        <f ca="1">IF(NOTA[ID_H]="","",INDEX(NOTA[TANGGAL],MATCH(,INDIRECT(ADDRESS(ROW(NOTA[TANGGAL]),COLUMN(NOTA[TANGGAL]))&amp;":"&amp;ADDRESS(ROW(),COLUMN(NOTA[TANGGAL]))),-1)))</f>
        <v>44935</v>
      </c>
      <c r="AG156" s="65" t="str">
        <f ca="1">IF(NOTA[[#This Row],[NAMA BARANG]]="","",INDEX(NOTA[SUPPLIER],MATCH(,INDIRECT(ADDRESS(ROW(NOTA[ID]),COLUMN(NOTA[ID]))&amp;":"&amp;ADDRESS(ROW(),COLUMN(NOTA[ID]))),-1)))</f>
        <v>SBS</v>
      </c>
      <c r="AH156" s="65" t="str">
        <f ca="1">IF(NOTA[[#This Row],[ID_H]]="","",IF(NOTA[[#This Row],[FAKTUR]]="",INDIRECT(ADDRESS(ROW()-1,COLUMN())),NOTA[[#This Row],[FAKTUR]]))</f>
        <v>UNTANA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1</v>
      </c>
      <c r="AK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penggarissetps981220cmppkd1888000</v>
      </c>
      <c r="AM156" s="193" t="e">
        <f>IF(NOTA[[#This Row],[CONCAT1]]="","",MATCH(NOTA[[#This Row],[CONCAT1]],[2]!db[NB NOTA_C],0)+1)</f>
        <v>#N/A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93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36</v>
      </c>
      <c r="E158" s="23">
        <v>44936</v>
      </c>
      <c r="F158" s="26" t="s">
        <v>319</v>
      </c>
      <c r="G158" s="26" t="s">
        <v>87</v>
      </c>
      <c r="H158" s="31"/>
      <c r="I158" s="26"/>
      <c r="J158" s="51">
        <v>44931</v>
      </c>
      <c r="K158" s="26"/>
      <c r="L158" s="26" t="s">
        <v>320</v>
      </c>
      <c r="M158" s="39">
        <v>10</v>
      </c>
      <c r="N158" s="26"/>
      <c r="O158" s="26"/>
      <c r="P158" s="49"/>
      <c r="Q158" s="52">
        <v>1200000</v>
      </c>
      <c r="R158" s="39" t="s">
        <v>321</v>
      </c>
      <c r="S158" s="53">
        <v>0.1</v>
      </c>
      <c r="T158" s="53">
        <v>0.1</v>
      </c>
      <c r="U158" s="54"/>
      <c r="V158" s="37"/>
      <c r="W158" s="54">
        <f>IF(NOTA[[#This Row],[HARGA/ CTN]]="",NOTA[[#This Row],[JUMLAH_H]],NOTA[[#This Row],[HARGA/ CTN]]*IF(NOTA[[#This Row],[C]]="",0,NOTA[[#This Row],[C]]))</f>
        <v>12000000</v>
      </c>
      <c r="X158" s="54">
        <f>IF(NOTA[[#This Row],[JUMLAH]]="","",NOTA[[#This Row],[JUMLAH]]*NOTA[[#This Row],[DISC 1]])</f>
        <v>1200000</v>
      </c>
      <c r="Y158" s="54">
        <f>IF(NOTA[[#This Row],[JUMLAH]]="","",(NOTA[[#This Row],[JUMLAH]]-NOTA[[#This Row],[DISC 1-]])*NOTA[[#This Row],[DISC 2]])</f>
        <v>1080000</v>
      </c>
      <c r="Z158" s="54">
        <f>IF(NOTA[[#This Row],[JUMLAH]]="","",NOTA[[#This Row],[DISC 1-]]+NOTA[[#This Row],[DISC 2-]])</f>
        <v>2280000</v>
      </c>
      <c r="AA158" s="54">
        <f>IF(NOTA[[#This Row],[JUMLAH]]="","",NOTA[[#This Row],[JUMLAH]]-NOTA[[#This Row],[DISC]])</f>
        <v>9720000</v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8" s="54" t="str">
        <f>IF(OR(NOTA[[#This Row],[QTY]]="",NOTA[[#This Row],[HARGA SATUAN]]="",),"",NOTA[[#This Row],[QTY]]*NOTA[[#This Row],[HARGA SATUAN]])</f>
        <v/>
      </c>
      <c r="AF158" s="51">
        <f ca="1">IF(NOTA[ID_H]="","",INDEX(NOTA[TANGGAL],MATCH(,INDIRECT(ADDRESS(ROW(NOTA[TANGGAL]),COLUMN(NOTA[TANGGAL]))&amp;":"&amp;ADDRESS(ROW(),COLUMN(NOTA[TANGGAL]))),-1)))</f>
        <v>44936</v>
      </c>
      <c r="AG158" s="65" t="str">
        <f ca="1">IF(NOTA[[#This Row],[NAMA BARANG]]="","",INDEX(NOTA[SUPPLIER],MATCH(,INDIRECT(ADDRESS(ROW(NOTA[ID]),COLUMN(NOTA[ID]))&amp;":"&amp;ADDRESS(ROW(),COLUMN(NOTA[ID]))),-1)))</f>
        <v>PARAMA</v>
      </c>
      <c r="AH158" s="65" t="str">
        <f ca="1">IF(NOTA[[#This Row],[ID_H]]="","",IF(NOTA[[#This Row],[FAKTUR]]="",INDIRECT(ADDRESS(ROW()-1,COLUMN())),NOTA[[#This Row],[FAKTUR]]))</f>
        <v>UNTANA</v>
      </c>
      <c r="AI158" s="38">
        <f ca="1">IF(NOTA[[#This Row],[ID]]="","",COUNTIF(NOTA[ID_H],NOTA[[#This Row],[ID_H]]))</f>
        <v>4</v>
      </c>
      <c r="AJ158" s="38">
        <f>IF(NOTA[[#This Row],[TGL.NOTA]]="",IF(NOTA[[#This Row],[SUPPLIER_H]]="","",AJ157),MONTH(NOTA[[#This Row],[TGL.NOTA]]))</f>
        <v>1</v>
      </c>
      <c r="AK158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sampulsamsonkwartobatik12000000.10.1</v>
      </c>
      <c r="AM158" s="193">
        <f>IF(NOTA[[#This Row],[CONCAT1]]="","",MATCH(NOTA[[#This Row],[CONCAT1]],[2]!db[NB NOTA_C],0)+1)</f>
        <v>1875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>
        <f ca="1">IF(NOTA[[#This Row],[NAMA BARANG]]="","",INDEX(NOTA[ID],MATCH(,INDIRECT(ADDRESS(ROW(NOTA[ID]),COLUMN(NOTA[ID]))&amp;":"&amp;ADDRESS(ROW(),COLUMN(NOTA[ID]))),-1)))</f>
        <v>36</v>
      </c>
      <c r="E159" s="23"/>
      <c r="F159" s="26"/>
      <c r="G159" s="26"/>
      <c r="H159" s="31"/>
      <c r="I159" s="26"/>
      <c r="J159" s="51"/>
      <c r="K159" s="26"/>
      <c r="L159" s="26" t="s">
        <v>322</v>
      </c>
      <c r="M159" s="39">
        <v>4</v>
      </c>
      <c r="N159" s="26"/>
      <c r="O159" s="26"/>
      <c r="P159" s="49"/>
      <c r="Q159" s="52">
        <v>1200000</v>
      </c>
      <c r="R159" s="39" t="s">
        <v>323</v>
      </c>
      <c r="S159" s="53">
        <v>0.1</v>
      </c>
      <c r="T159" s="53">
        <v>0.1</v>
      </c>
      <c r="U159" s="54"/>
      <c r="V159" s="37"/>
      <c r="W159" s="54">
        <f>IF(NOTA[[#This Row],[HARGA/ CTN]]="",NOTA[[#This Row],[JUMLAH_H]],NOTA[[#This Row],[HARGA/ CTN]]*IF(NOTA[[#This Row],[C]]="",0,NOTA[[#This Row],[C]]))</f>
        <v>4800000</v>
      </c>
      <c r="X159" s="54">
        <f>IF(NOTA[[#This Row],[JUMLAH]]="","",NOTA[[#This Row],[JUMLAH]]*NOTA[[#This Row],[DISC 1]])</f>
        <v>480000</v>
      </c>
      <c r="Y159" s="54">
        <f>IF(NOTA[[#This Row],[JUMLAH]]="","",(NOTA[[#This Row],[JUMLAH]]-NOTA[[#This Row],[DISC 1-]])*NOTA[[#This Row],[DISC 2]])</f>
        <v>432000</v>
      </c>
      <c r="Z159" s="54">
        <f>IF(NOTA[[#This Row],[JUMLAH]]="","",NOTA[[#This Row],[DISC 1-]]+NOTA[[#This Row],[DISC 2-]])</f>
        <v>912000</v>
      </c>
      <c r="AA159" s="54">
        <f>IF(NOTA[[#This Row],[JUMLAH]]="","",NOTA[[#This Row],[JUMLAH]]-NOTA[[#This Row],[DISC]])</f>
        <v>3888000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44936</v>
      </c>
      <c r="AG159" s="65" t="str">
        <f ca="1">IF(NOTA[[#This Row],[NAMA BARANG]]="","",INDEX(NOTA[SUPPLIER],MATCH(,INDIRECT(ADDRESS(ROW(NOTA[ID]),COLUMN(NOTA[ID]))&amp;":"&amp;ADDRESS(ROW(),COLUMN(NOTA[ID]))),-1)))</f>
        <v>PARAMA</v>
      </c>
      <c r="AH159" s="65" t="str">
        <f ca="1">IF(NOTA[[#This Row],[ID_H]]="","",IF(NOTA[[#This Row],[FAKTUR]]="",INDIRECT(ADDRESS(ROW()-1,COLUMN())),NOTA[[#This Row],[FAKTUR]]))</f>
        <v>UNTANA</v>
      </c>
      <c r="AI159" s="38" t="str">
        <f ca="1">IF(NOTA[[#This Row],[ID]]="","",COUNTIF(NOTA[ID_H],NOTA[[#This Row],[ID_H]]))</f>
        <v/>
      </c>
      <c r="AJ159" s="38">
        <f ca="1">IF(NOTA[[#This Row],[TGL.NOTA]]="",IF(NOTA[[#This Row],[SUPPLIER_H]]="","",AJ158),MONTH(NOTA[[#This Row],[TGL.NOTA]]))</f>
        <v>1</v>
      </c>
      <c r="AK159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>sampulsamsonkwartofancy12000000.10.1</v>
      </c>
      <c r="AM159" s="193">
        <f>IF(NOTA[[#This Row],[CONCAT1]]="","",MATCH(NOTA[[#This Row],[CONCAT1]],[2]!db[NB NOTA_C],0)+1)</f>
        <v>1876</v>
      </c>
    </row>
    <row r="160" spans="1:39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36</v>
      </c>
      <c r="E160" s="23"/>
      <c r="F160" s="26"/>
      <c r="G160" s="26"/>
      <c r="H160" s="31"/>
      <c r="I160" s="26"/>
      <c r="J160" s="51"/>
      <c r="K160" s="26"/>
      <c r="L160" s="26" t="s">
        <v>324</v>
      </c>
      <c r="M160" s="39">
        <v>10</v>
      </c>
      <c r="N160" s="26"/>
      <c r="O160" s="26"/>
      <c r="P160" s="49"/>
      <c r="Q160" s="52">
        <v>1215000</v>
      </c>
      <c r="R160" s="39" t="s">
        <v>325</v>
      </c>
      <c r="S160" s="53">
        <v>0.1</v>
      </c>
      <c r="T160" s="53">
        <v>0.1</v>
      </c>
      <c r="U160" s="54"/>
      <c r="V160" s="37"/>
      <c r="W160" s="54">
        <f>IF(NOTA[[#This Row],[HARGA/ CTN]]="",NOTA[[#This Row],[JUMLAH_H]],NOTA[[#This Row],[HARGA/ CTN]]*IF(NOTA[[#This Row],[C]]="",0,NOTA[[#This Row],[C]]))</f>
        <v>12150000</v>
      </c>
      <c r="X160" s="54">
        <f>IF(NOTA[[#This Row],[JUMLAH]]="","",NOTA[[#This Row],[JUMLAH]]*NOTA[[#This Row],[DISC 1]])</f>
        <v>1215000</v>
      </c>
      <c r="Y160" s="54">
        <f>IF(NOTA[[#This Row],[JUMLAH]]="","",(NOTA[[#This Row],[JUMLAH]]-NOTA[[#This Row],[DISC 1-]])*NOTA[[#This Row],[DISC 2]])</f>
        <v>1093500</v>
      </c>
      <c r="Z160" s="54">
        <f>IF(NOTA[[#This Row],[JUMLAH]]="","",NOTA[[#This Row],[DISC 1-]]+NOTA[[#This Row],[DISC 2-]])</f>
        <v>2308500</v>
      </c>
      <c r="AA160" s="54">
        <f>IF(NOTA[[#This Row],[JUMLAH]]="","",NOTA[[#This Row],[JUMLAH]]-NOTA[[#This Row],[DISC]])</f>
        <v>9841500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44936</v>
      </c>
      <c r="AG160" s="65" t="str">
        <f ca="1">IF(NOTA[[#This Row],[NAMA BARANG]]="","",INDEX(NOTA[SUPPLIER],MATCH(,INDIRECT(ADDRESS(ROW(NOTA[ID]),COLUMN(NOTA[ID]))&amp;":"&amp;ADDRESS(ROW(),COLUMN(NOTA[ID]))),-1)))</f>
        <v>PARAMA</v>
      </c>
      <c r="AH160" s="65" t="str">
        <f ca="1">IF(NOTA[[#This Row],[ID_H]]="","",IF(NOTA[[#This Row],[FAKTUR]]="",INDIRECT(ADDRESS(ROW()-1,COLUMN())),NOTA[[#This Row],[FAKTUR]]))</f>
        <v>UNTANA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1</v>
      </c>
      <c r="AK160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sampulsamsonboxybatik12150000.10.1</v>
      </c>
      <c r="AM160" s="193">
        <f>IF(NOTA[[#This Row],[CONCAT1]]="","",MATCH(NOTA[[#This Row],[CONCAT1]],[2]!db[NB NOTA_C],0)+1)</f>
        <v>1873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36</v>
      </c>
      <c r="E161" s="23"/>
      <c r="F161" s="26"/>
      <c r="G161" s="26"/>
      <c r="H161" s="31"/>
      <c r="I161" s="26"/>
      <c r="J161" s="51"/>
      <c r="K161" s="26"/>
      <c r="L161" s="26" t="s">
        <v>326</v>
      </c>
      <c r="M161" s="39">
        <v>10</v>
      </c>
      <c r="N161" s="26"/>
      <c r="O161" s="26"/>
      <c r="P161" s="49"/>
      <c r="Q161" s="52">
        <v>1215000</v>
      </c>
      <c r="R161" s="39" t="s">
        <v>325</v>
      </c>
      <c r="S161" s="53">
        <v>0.1</v>
      </c>
      <c r="T161" s="53">
        <v>0.1</v>
      </c>
      <c r="U161" s="54"/>
      <c r="V161" s="37"/>
      <c r="W161" s="54">
        <f>IF(NOTA[[#This Row],[HARGA/ CTN]]="",NOTA[[#This Row],[JUMLAH_H]],NOTA[[#This Row],[HARGA/ CTN]]*IF(NOTA[[#This Row],[C]]="",0,NOTA[[#This Row],[C]]))</f>
        <v>12150000</v>
      </c>
      <c r="X161" s="54">
        <f>IF(NOTA[[#This Row],[JUMLAH]]="","",NOTA[[#This Row],[JUMLAH]]*NOTA[[#This Row],[DISC 1]])</f>
        <v>1215000</v>
      </c>
      <c r="Y161" s="54">
        <f>IF(NOTA[[#This Row],[JUMLAH]]="","",(NOTA[[#This Row],[JUMLAH]]-NOTA[[#This Row],[DISC 1-]])*NOTA[[#This Row],[DISC 2]])</f>
        <v>1093500</v>
      </c>
      <c r="Z161" s="54">
        <f>IF(NOTA[[#This Row],[JUMLAH]]="","",NOTA[[#This Row],[DISC 1-]]+NOTA[[#This Row],[DISC 2-]])</f>
        <v>2308500</v>
      </c>
      <c r="AA161" s="54">
        <f>IF(NOTA[[#This Row],[JUMLAH]]="","",NOTA[[#This Row],[JUMLAH]]-NOTA[[#This Row],[DISC]])</f>
        <v>9841500</v>
      </c>
      <c r="AB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C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44936</v>
      </c>
      <c r="AG161" s="65" t="str">
        <f ca="1">IF(NOTA[[#This Row],[NAMA BARANG]]="","",INDEX(NOTA[SUPPLIER],MATCH(,INDIRECT(ADDRESS(ROW(NOTA[ID]),COLUMN(NOTA[ID]))&amp;":"&amp;ADDRESS(ROW(),COLUMN(NOTA[ID]))),-1)))</f>
        <v>PARAMA</v>
      </c>
      <c r="AH161" s="65" t="str">
        <f ca="1">IF(NOTA[[#This Row],[ID_H]]="","",IF(NOTA[[#This Row],[FAKTUR]]="",INDIRECT(ADDRESS(ROW()-1,COLUMN())),NOTA[[#This Row],[FAKTUR]]))</f>
        <v>UNTANA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1</v>
      </c>
      <c r="AK161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61" s="193">
        <f>IF(NOTA[[#This Row],[CONCAT1]]="","",MATCH(NOTA[[#This Row],[CONCAT1]],[2]!db[NB NOTA_C],0)+1)</f>
        <v>1874</v>
      </c>
    </row>
    <row r="162" spans="1:39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 t="str">
        <f ca="1">IF(NOTA[[#This Row],[NAMA BARANG]]="","",INDEX(NOTA[ID],MATCH(,INDIRECT(ADDRESS(ROW(NOTA[ID]),COLUMN(NOTA[ID]))&amp;":"&amp;ADDRESS(ROW(),COLUMN(NOTA[ID]))),-1)))</f>
        <v/>
      </c>
      <c r="E162" s="23"/>
      <c r="F162" s="26"/>
      <c r="G162" s="26"/>
      <c r="H162" s="31"/>
      <c r="I162" s="26"/>
      <c r="J162" s="51"/>
      <c r="K162" s="26"/>
      <c r="L162" s="26"/>
      <c r="M162" s="39"/>
      <c r="N162" s="26"/>
      <c r="O162" s="26"/>
      <c r="P162" s="49"/>
      <c r="Q162" s="52"/>
      <c r="R162" s="39"/>
      <c r="S162" s="53"/>
      <c r="T162" s="53"/>
      <c r="U162" s="54"/>
      <c r="V162" s="37"/>
      <c r="W162" s="54" t="str">
        <f>IF(NOTA[[#This Row],[HARGA/ CTN]]="",NOTA[[#This Row],[JUMLAH_H]],NOTA[[#This Row],[HARGA/ CTN]]*IF(NOTA[[#This Row],[C]]="",0,NOTA[[#This Row],[C]]))</f>
        <v/>
      </c>
      <c r="X162" s="54" t="str">
        <f>IF(NOTA[[#This Row],[JUMLAH]]="","",NOTA[[#This Row],[JUMLAH]]*NOTA[[#This Row],[DISC 1]])</f>
        <v/>
      </c>
      <c r="Y162" s="54" t="str">
        <f>IF(NOTA[[#This Row],[JUMLAH]]="","",(NOTA[[#This Row],[JUMLAH]]-NOTA[[#This Row],[DISC 1-]])*NOTA[[#This Row],[DISC 2]])</f>
        <v/>
      </c>
      <c r="Z162" s="54" t="str">
        <f>IF(NOTA[[#This Row],[JUMLAH]]="","",NOTA[[#This Row],[DISC 1-]]+NOTA[[#This Row],[DISC 2-]])</f>
        <v/>
      </c>
      <c r="AA162" s="54" t="str">
        <f>IF(NOTA[[#This Row],[JUMLAH]]="","",NOTA[[#This Row],[JUMLAH]]-NOTA[[#This Row],[DISC]])</f>
        <v/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2" s="54" t="str">
        <f>IF(OR(NOTA[[#This Row],[QTY]]="",NOTA[[#This Row],[HARGA SATUAN]]="",),"",NOTA[[#This Row],[QTY]]*NOTA[[#This Row],[HARGA SATUAN]])</f>
        <v/>
      </c>
      <c r="AF162" s="51" t="str">
        <f ca="1">IF(NOTA[ID_H]="","",INDEX(NOTA[TANGGAL],MATCH(,INDIRECT(ADDRESS(ROW(NOTA[TANGGAL]),COLUMN(NOTA[TANGGAL]))&amp;":"&amp;ADDRESS(ROW(),COLUMN(NOTA[TANGGAL]))),-1)))</f>
        <v/>
      </c>
      <c r="AG162" s="65" t="str">
        <f ca="1">IF(NOTA[[#This Row],[NAMA BARANG]]="","",INDEX(NOTA[SUPPLIER],MATCH(,INDIRECT(ADDRESS(ROW(NOTA[ID]),COLUMN(NOTA[ID]))&amp;":"&amp;ADDRESS(ROW(),COLUMN(NOTA[ID]))),-1)))</f>
        <v/>
      </c>
      <c r="AH162" s="65" t="str">
        <f ca="1">IF(NOTA[[#This Row],[ID_H]]="","",IF(NOTA[[#This Row],[FAKTUR]]="",INDIRECT(ADDRESS(ROW()-1,COLUMN())),NOTA[[#This Row],[FAKTUR]]))</f>
        <v/>
      </c>
      <c r="AI162" s="38" t="str">
        <f ca="1">IF(NOTA[[#This Row],[ID]]="","",COUNTIF(NOTA[ID_H],NOTA[[#This Row],[ID_H]]))</f>
        <v/>
      </c>
      <c r="AJ162" s="38" t="str">
        <f ca="1">IF(NOTA[[#This Row],[TGL.NOTA]]="",IF(NOTA[[#This Row],[SUPPLIER_H]]="","",AJ161),MONTH(NOTA[[#This Row],[TGL.NOTA]]))</f>
        <v/>
      </c>
      <c r="AK162" s="38" t="str">
        <f>LOWER(SUBSTITUTE(SUBSTITUTE(SUBSTITUTE(SUBSTITUTE(SUBSTITUTE(SUBSTITUTE(SUBSTITUTE(SUBSTITUTE(SUBSTITUTE(NOTA[NAMA BARANG]," ",),".",""),"-",""),"(",""),")",""),",",""),"/",""),"""",""),"+",""))</f>
        <v/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2" s="193" t="str">
        <f>IF(NOTA[[#This Row],[CONCAT1]]="","",MATCH(NOTA[[#This Row],[CONCAT1]],[2]!db[NB NOTA_C],0)+1)</f>
        <v/>
      </c>
    </row>
    <row r="163" spans="1:39" ht="20.100000000000001" customHeight="1" x14ac:dyDescent="0.25">
      <c r="A163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163" s="50" t="e">
        <f ca="1">IF(NOTA[[#This Row],[ID_P]]="","",MATCH(NOTA[[#This Row],[ID_P]],[1]!B_MSK[N_ID],0))</f>
        <v>#REF!</v>
      </c>
      <c r="D163" s="50">
        <f ca="1">IF(NOTA[[#This Row],[NAMA BARANG]]="","",INDEX(NOTA[ID],MATCH(,INDIRECT(ADDRESS(ROW(NOTA[ID]),COLUMN(NOTA[ID]))&amp;":"&amp;ADDRESS(ROW(),COLUMN(NOTA[ID]))),-1)))</f>
        <v>37</v>
      </c>
      <c r="E163" s="23"/>
      <c r="F163" s="26" t="s">
        <v>234</v>
      </c>
      <c r="G163" s="26" t="s">
        <v>87</v>
      </c>
      <c r="H163" s="31" t="s">
        <v>327</v>
      </c>
      <c r="I163" s="26"/>
      <c r="J163" s="51">
        <v>44917</v>
      </c>
      <c r="K163" s="26"/>
      <c r="L163" s="26" t="s">
        <v>236</v>
      </c>
      <c r="M163" s="39">
        <v>50</v>
      </c>
      <c r="N163" s="26">
        <v>500</v>
      </c>
      <c r="O163" s="26" t="s">
        <v>104</v>
      </c>
      <c r="P163" s="49">
        <v>48000</v>
      </c>
      <c r="Q163" s="52"/>
      <c r="R163" s="39" t="s">
        <v>328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24000000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24000000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63" s="54">
        <f>IF(OR(NOTA[[#This Row],[QTY]]="",NOTA[[#This Row],[HARGA SATUAN]]="",),"",NOTA[[#This Row],[QTY]]*NOTA[[#This Row],[HARGA SATUAN]])</f>
        <v>24000000</v>
      </c>
      <c r="AF163" s="51">
        <f ca="1">IF(NOTA[ID_H]="","",INDEX(NOTA[TANGGAL],MATCH(,INDIRECT(ADDRESS(ROW(NOTA[TANGGAL]),COLUMN(NOTA[TANGGAL]))&amp;":"&amp;ADDRESS(ROW(),COLUMN(NOTA[TANGGAL]))),-1)))</f>
        <v>44936</v>
      </c>
      <c r="AG163" s="65" t="str">
        <f ca="1">IF(NOTA[[#This Row],[NAMA BARANG]]="","",INDEX(NOTA[SUPPLIER],MATCH(,INDIRECT(ADDRESS(ROW(NOTA[ID]),COLUMN(NOTA[ID]))&amp;":"&amp;ADDRESS(ROW(),COLUMN(NOTA[ID]))),-1)))</f>
        <v>SAPUTRO OFFICE</v>
      </c>
      <c r="AH163" s="65" t="str">
        <f ca="1">IF(NOTA[[#This Row],[ID_H]]="","",IF(NOTA[[#This Row],[FAKTUR]]="",INDIRECT(ADDRESS(ROW()-1,COLUMN())),NOTA[[#This Row],[FAKTUR]]))</f>
        <v>UNTANA</v>
      </c>
      <c r="AI163" s="38">
        <f ca="1">IF(NOTA[[#This Row],[ID]]="","",COUNTIF(NOTA[ID_H],NOTA[[#This Row],[ID_H]]))</f>
        <v>1</v>
      </c>
      <c r="AJ163" s="38">
        <f>IF(NOTA[[#This Row],[TGL.NOTA]]="",IF(NOTA[[#This Row],[SUPPLIER_H]]="","",AJ162),MONTH(NOTA[[#This Row],[TGL.NOTA]]))</f>
        <v>12</v>
      </c>
      <c r="AK16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63" s="193">
        <f>IF(NOTA[[#This Row],[CONCAT1]]="","",MATCH(NOTA[[#This Row],[CONCAT1]],[2]!db[NB NOTA_C],0)+1)</f>
        <v>1480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93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38</v>
      </c>
      <c r="E165" s="23"/>
      <c r="F165" s="26" t="s">
        <v>329</v>
      </c>
      <c r="G165" s="26" t="s">
        <v>87</v>
      </c>
      <c r="H165" s="31" t="s">
        <v>330</v>
      </c>
      <c r="I165" s="26"/>
      <c r="J165" s="51">
        <v>44933</v>
      </c>
      <c r="K165" s="26"/>
      <c r="L165" s="26" t="s">
        <v>331</v>
      </c>
      <c r="M165" s="39">
        <v>50</v>
      </c>
      <c r="N165" s="26">
        <v>50000</v>
      </c>
      <c r="O165" s="26" t="s">
        <v>131</v>
      </c>
      <c r="P165" s="49">
        <v>900</v>
      </c>
      <c r="Q165" s="52"/>
      <c r="R165" s="39"/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45000000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45000000</v>
      </c>
      <c r="AB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65" s="54">
        <f>IF(OR(NOTA[[#This Row],[QTY]]="",NOTA[[#This Row],[HARGA SATUAN]]="",),"",NOTA[[#This Row],[QTY]]*NOTA[[#This Row],[HARGA SATUAN]])</f>
        <v>45000000</v>
      </c>
      <c r="AF165" s="51">
        <f ca="1">IF(NOTA[ID_H]="","",INDEX(NOTA[TANGGAL],MATCH(,INDIRECT(ADDRESS(ROW(NOTA[TANGGAL]),COLUMN(NOTA[TANGGAL]))&amp;":"&amp;ADDRESS(ROW(),COLUMN(NOTA[TANGGAL]))),-1)))</f>
        <v>44936</v>
      </c>
      <c r="AG165" s="65" t="str">
        <f ca="1">IF(NOTA[[#This Row],[NAMA BARANG]]="","",INDEX(NOTA[SUPPLIER],MATCH(,INDIRECT(ADDRESS(ROW(NOTA[ID]),COLUMN(NOTA[ID]))&amp;":"&amp;ADDRESS(ROW(),COLUMN(NOTA[ID]))),-1)))</f>
        <v>MANDIRI BAHAGIA SEJATI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1</v>
      </c>
      <c r="AJ165" s="38">
        <f>IF(NOTA[[#This Row],[TGL.NOTA]]="",IF(NOTA[[#This Row],[SUPPLIER_H]]="","",AJ164),MONTH(NOTA[[#This Row],[TGL.NOTA]]))</f>
        <v>1</v>
      </c>
      <c r="AK165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jarumpentolmika38mmisi40900000</v>
      </c>
      <c r="AM165" s="193" t="e">
        <f>IF(NOTA[[#This Row],[CONCAT1]]="","",MATCH(NOTA[[#This Row],[CONCAT1]],[2]!db[NB NOTA_C],0)+1)</f>
        <v>#N/A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49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6" s="193" t="str">
        <f>IF(NOTA[[#This Row],[CONCAT1]]="","",MATCH(NOTA[[#This Row],[CONCAT1]],[2]!db[NB NOTA_C],0)+1)</f>
        <v/>
      </c>
    </row>
    <row r="167" spans="1:39" ht="20.100000000000001" customHeight="1" x14ac:dyDescent="0.25">
      <c r="A16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167" s="50" t="e">
        <f ca="1">IF(NOTA[[#This Row],[ID_P]]="","",MATCH(NOTA[[#This Row],[ID_P]],[1]!B_MSK[N_ID],0))</f>
        <v>#REF!</v>
      </c>
      <c r="D167" s="50">
        <f ca="1">IF(NOTA[[#This Row],[NAMA BARANG]]="","",INDEX(NOTA[ID],MATCH(,INDIRECT(ADDRESS(ROW(NOTA[ID]),COLUMN(NOTA[ID]))&amp;":"&amp;ADDRESS(ROW(),COLUMN(NOTA[ID]))),-1)))</f>
        <v>39</v>
      </c>
      <c r="E167" s="23"/>
      <c r="F167" s="26" t="s">
        <v>243</v>
      </c>
      <c r="G167" s="26" t="s">
        <v>87</v>
      </c>
      <c r="H167" s="31" t="s">
        <v>332</v>
      </c>
      <c r="I167" s="26"/>
      <c r="J167" s="51">
        <v>44931</v>
      </c>
      <c r="K167" s="26"/>
      <c r="L167" s="26" t="s">
        <v>333</v>
      </c>
      <c r="M167" s="39">
        <v>30</v>
      </c>
      <c r="N167" s="26"/>
      <c r="O167" s="26"/>
      <c r="P167" s="49">
        <v>10100</v>
      </c>
      <c r="Q167" s="52">
        <v>1212000</v>
      </c>
      <c r="R167" s="39"/>
      <c r="S167" s="53"/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36360000</v>
      </c>
      <c r="X167" s="54">
        <f>IF(NOTA[[#This Row],[JUMLAH]]="","",NOTA[[#This Row],[JUMLAH]]*NOTA[[#This Row],[DISC 1]])</f>
        <v>0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0</v>
      </c>
      <c r="AA167" s="54">
        <f>IF(NOTA[[#This Row],[JUMLAH]]="","",NOTA[[#This Row],[JUMLAH]]-NOTA[[#This Row],[DISC]])</f>
        <v>36360000</v>
      </c>
      <c r="AB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44936</v>
      </c>
      <c r="AG167" s="65" t="str">
        <f ca="1">IF(NOTA[[#This Row],[NAMA BARANG]]="","",INDEX(NOTA[SUPPLIER],MATCH(,INDIRECT(ADDRESS(ROW(NOTA[ID]),COLUMN(NOTA[ID]))&amp;":"&amp;ADDRESS(ROW(),COLUMN(NOTA[ID]))),-1)))</f>
        <v>SURYA PRATAMA</v>
      </c>
      <c r="AH167" s="65" t="str">
        <f ca="1">IF(NOTA[[#This Row],[ID_H]]="","",IF(NOTA[[#This Row],[FAKTUR]]="",INDIRECT(ADDRESS(ROW()-1,COLUMN())),NOTA[[#This Row],[FAKTUR]]))</f>
        <v>UNTANA</v>
      </c>
      <c r="AI167" s="38">
        <f ca="1">IF(NOTA[[#This Row],[ID]]="","",COUNTIF(NOTA[ID_H],NOTA[[#This Row],[ID_H]]))</f>
        <v>1</v>
      </c>
      <c r="AJ167" s="38">
        <f>IF(NOTA[[#This Row],[TGL.NOTA]]="",IF(NOTA[[#This Row],[SUPPLIER_H]]="","",AJ166),MONTH(NOTA[[#This Row],[TGL.NOTA]]))</f>
        <v>1</v>
      </c>
      <c r="AK167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7" s="193" t="e">
        <f>IF(NOTA[[#This Row],[CONCAT1]]="","",MATCH(NOTA[[#This Row],[CONCAT1]],[2]!db[NB NOTA_C],0)+1)</f>
        <v>#N/A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49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8" s="193" t="str">
        <f>IF(NOTA[[#This Row],[CONCAT1]]="","",MATCH(NOTA[[#This Row],[CONCAT1]],[2]!db[NB NOTA_C],0)+1)</f>
        <v/>
      </c>
    </row>
    <row r="169" spans="1:39" ht="20.100000000000001" customHeight="1" x14ac:dyDescent="0.25">
      <c r="A169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169" s="50" t="e">
        <f ca="1">IF(NOTA[[#This Row],[ID_P]]="","",MATCH(NOTA[[#This Row],[ID_P]],[1]!B_MSK[N_ID],0))</f>
        <v>#REF!</v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 t="s">
        <v>243</v>
      </c>
      <c r="G169" s="26" t="s">
        <v>87</v>
      </c>
      <c r="H169" s="31" t="s">
        <v>334</v>
      </c>
      <c r="I169" s="26"/>
      <c r="J169" s="51">
        <v>44933</v>
      </c>
      <c r="K169" s="26"/>
      <c r="L169" s="26" t="s">
        <v>333</v>
      </c>
      <c r="M169" s="39">
        <v>30</v>
      </c>
      <c r="N169" s="26"/>
      <c r="O169" s="26"/>
      <c r="P169" s="49">
        <v>10100</v>
      </c>
      <c r="Q169" s="52">
        <v>1212000</v>
      </c>
      <c r="R169" s="39"/>
      <c r="S169" s="53"/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36360000</v>
      </c>
      <c r="X169" s="54">
        <f>IF(NOTA[[#This Row],[JUMLAH]]="","",NOTA[[#This Row],[JUMLAH]]*NOTA[[#This Row],[DISC 1]])</f>
        <v>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0</v>
      </c>
      <c r="AA169" s="54">
        <f>IF(NOTA[[#This Row],[JUMLAH]]="","",NOTA[[#This Row],[JUMLAH]]-NOTA[[#This Row],[DISC]])</f>
        <v>36360000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44936</v>
      </c>
      <c r="AG169" s="65" t="str">
        <f ca="1">IF(NOTA[[#This Row],[NAMA BARANG]]="","",INDEX(NOTA[SUPPLIER],MATCH(,INDIRECT(ADDRESS(ROW(NOTA[ID]),COLUMN(NOTA[ID]))&amp;":"&amp;ADDRESS(ROW(),COLUMN(NOTA[ID]))),-1)))</f>
        <v>SURYA PRATAMA</v>
      </c>
      <c r="AH169" s="65" t="str">
        <f ca="1">IF(NOTA[[#This Row],[ID_H]]="","",IF(NOTA[[#This Row],[FAKTUR]]="",INDIRECT(ADDRESS(ROW()-1,COLUMN())),NOTA[[#This Row],[FAKTUR]]))</f>
        <v>UNTANA</v>
      </c>
      <c r="AI169" s="38">
        <f ca="1">IF(NOTA[[#This Row],[ID]]="","",COUNTIF(NOTA[ID_H],NOTA[[#This Row],[ID_H]]))</f>
        <v>1</v>
      </c>
      <c r="AJ169" s="38">
        <f>IF(NOTA[[#This Row],[TGL.NOTA]]="",IF(NOTA[[#This Row],[SUPPLIER_H]]="","",AJ168),MONTH(NOTA[[#This Row],[TGL.NOTA]]))</f>
        <v>1</v>
      </c>
      <c r="AK169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9" s="193" t="e">
        <f>IF(NOTA[[#This Row],[CONCAT1]]="","",MATCH(NOTA[[#This Row],[CONCAT1]],[2]!db[NB NOTA_C],0)+1)</f>
        <v>#N/A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93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41</v>
      </c>
      <c r="E171" s="23">
        <v>44935</v>
      </c>
      <c r="F171" s="26" t="s">
        <v>23</v>
      </c>
      <c r="G171" s="26" t="s">
        <v>24</v>
      </c>
      <c r="H171" s="31" t="s">
        <v>335</v>
      </c>
      <c r="I171" s="26" t="s">
        <v>378</v>
      </c>
      <c r="J171" s="51">
        <v>44933</v>
      </c>
      <c r="K171" s="26"/>
      <c r="L171" s="26" t="s">
        <v>336</v>
      </c>
      <c r="M171" s="39">
        <v>5</v>
      </c>
      <c r="N171" s="26"/>
      <c r="O171" s="26"/>
      <c r="P171" s="49"/>
      <c r="Q171" s="52">
        <v>3888000</v>
      </c>
      <c r="R171" s="39" t="s">
        <v>377</v>
      </c>
      <c r="S171" s="53">
        <v>0.17</v>
      </c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19440000</v>
      </c>
      <c r="X171" s="54">
        <f>IF(NOTA[[#This Row],[JUMLAH]]="","",NOTA[[#This Row],[JUMLAH]]*NOTA[[#This Row],[DISC 1]])</f>
        <v>3304800.0000000005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3304800.0000000005</v>
      </c>
      <c r="AA171" s="54">
        <f>IF(NOTA[[#This Row],[JUMLAH]]="","",NOTA[[#This Row],[JUMLAH]]-NOTA[[#This Row],[DISC]])</f>
        <v>16135200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71" s="54" t="str">
        <f>IF(OR(NOTA[[#This Row],[QTY]]="",NOTA[[#This Row],[HARGA SATUAN]]="",),"",NOTA[[#This Row],[QTY]]*NOTA[[#This Row],[HARGA SATUAN]])</f>
        <v/>
      </c>
      <c r="AF171" s="51">
        <f ca="1">IF(NOTA[ID_H]="","",INDEX(NOTA[TANGGAL],MATCH(,INDIRECT(ADDRESS(ROW(NOTA[TANGGAL]),COLUMN(NOTA[TANGGAL]))&amp;":"&amp;ADDRESS(ROW(),COLUMN(NOTA[TANGGAL]))),-1)))</f>
        <v>44935</v>
      </c>
      <c r="AG171" s="65" t="str">
        <f ca="1">IF(NOTA[[#This Row],[NAMA BARANG]]="","",INDEX(NOTA[SUPPLIER],MATCH(,INDIRECT(ADDRESS(ROW(NOTA[ID]),COLUMN(NOTA[ID]))&amp;":"&amp;ADDRESS(ROW(),COLUMN(NOTA[ID]))),-1)))</f>
        <v>KENKO SINAR INDONESIA</v>
      </c>
      <c r="AH171" s="65" t="str">
        <f ca="1">IF(NOTA[[#This Row],[ID_H]]="","",IF(NOTA[[#This Row],[FAKTUR]]="",INDIRECT(ADDRESS(ROW()-1,COLUMN())),NOTA[[#This Row],[FAKTUR]]))</f>
        <v>ARTO MORO</v>
      </c>
      <c r="AI171" s="38">
        <f ca="1">IF(NOTA[[#This Row],[ID]]="","",COUNTIF(NOTA[ID_H],NOTA[[#This Row],[ID_H]]))</f>
        <v>6</v>
      </c>
      <c r="AJ171" s="38">
        <f>IF(NOTA[[#This Row],[TGL.NOTA]]="",IF(NOTA[[#This Row],[SUPPLIER_H]]="","",AJ170),MONTH(NOTA[[#This Row],[TGL.NOTA]]))</f>
        <v>1</v>
      </c>
      <c r="AK171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171" s="193">
        <f>IF(NOTA[[#This Row],[CONCAT1]]="","",MATCH(NOTA[[#This Row],[CONCAT1]],[2]!db[NB NOTA_C],0)+1)</f>
        <v>1120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/>
      <c r="G172" s="26"/>
      <c r="H172" s="31"/>
      <c r="I172" s="26"/>
      <c r="J172" s="51"/>
      <c r="K172" s="26"/>
      <c r="L172" s="26" t="s">
        <v>337</v>
      </c>
      <c r="M172" s="39">
        <v>5</v>
      </c>
      <c r="N172" s="26"/>
      <c r="O172" s="26"/>
      <c r="P172" s="49"/>
      <c r="Q172" s="52">
        <v>5616000</v>
      </c>
      <c r="R172" s="39" t="s">
        <v>117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28080000</v>
      </c>
      <c r="X172" s="54">
        <f>IF(NOTA[[#This Row],[JUMLAH]]="","",NOTA[[#This Row],[JUMLAH]]*NOTA[[#This Row],[DISC 1]])</f>
        <v>4773600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4773600</v>
      </c>
      <c r="AA172" s="54">
        <f>IF(NOTA[[#This Row],[JUMLAH]]="","",NOTA[[#This Row],[JUMLAH]]-NOTA[[#This Row],[DISC]])</f>
        <v>23306400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44935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1</v>
      </c>
      <c r="AK17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172" s="193">
        <f>IF(NOTA[[#This Row],[CONCAT1]]="","",MATCH(NOTA[[#This Row],[CONCAT1]],[2]!db[NB NOTA_C],0)+1)</f>
        <v>1141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161</v>
      </c>
      <c r="M173" s="39">
        <v>1</v>
      </c>
      <c r="N173" s="26"/>
      <c r="O173" s="26"/>
      <c r="P173" s="49"/>
      <c r="Q173" s="52">
        <v>1416000</v>
      </c>
      <c r="R173" s="39" t="s">
        <v>130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1416000</v>
      </c>
      <c r="X173" s="54">
        <f>IF(NOTA[[#This Row],[JUMLAH]]="","",NOTA[[#This Row],[JUMLAH]]*NOTA[[#This Row],[DISC 1]])</f>
        <v>240720.00000000003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240720.00000000003</v>
      </c>
      <c r="AA173" s="54">
        <f>IF(NOTA[[#This Row],[JUMLAH]]="","",NOTA[[#This Row],[JUMLAH]]-NOTA[[#This Row],[DISC]])</f>
        <v>1175280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44935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1</v>
      </c>
      <c r="AK17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173" s="193">
        <f>IF(NOTA[[#This Row],[CONCAT1]]="","",MATCH(NOTA[[#This Row],[CONCAT1]],[2]!db[NB NOTA_C],0)+1)</f>
        <v>1252</v>
      </c>
    </row>
    <row r="174" spans="1:39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338</v>
      </c>
      <c r="M174" s="39">
        <v>2</v>
      </c>
      <c r="N174" s="26"/>
      <c r="O174" s="26"/>
      <c r="P174" s="49"/>
      <c r="Q174" s="52">
        <v>800000</v>
      </c>
      <c r="R174" s="39" t="s">
        <v>363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1600000</v>
      </c>
      <c r="X174" s="54">
        <f>IF(NOTA[[#This Row],[JUMLAH]]="","",NOTA[[#This Row],[JUMLAH]]*NOTA[[#This Row],[DISC 1]])</f>
        <v>272000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272000</v>
      </c>
      <c r="AA174" s="54">
        <f>IF(NOTA[[#This Row],[JUMLAH]]="","",NOTA[[#This Row],[JUMLAH]]-NOTA[[#This Row],[DISC]])</f>
        <v>1328000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44935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1</v>
      </c>
      <c r="AK174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74" s="193">
        <f>IF(NOTA[[#This Row],[CONCAT1]]="","",MATCH(NOTA[[#This Row],[CONCAT1]],[2]!db[NB NOTA_C],0)+1)</f>
        <v>1301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415</v>
      </c>
      <c r="M175" s="39">
        <v>2</v>
      </c>
      <c r="N175" s="26"/>
      <c r="O175" s="26"/>
      <c r="P175" s="49"/>
      <c r="Q175" s="52">
        <v>860000</v>
      </c>
      <c r="R175" s="39" t="s">
        <v>364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1720000</v>
      </c>
      <c r="X175" s="54">
        <f>IF(NOTA[[#This Row],[JUMLAH]]="","",NOTA[[#This Row],[JUMLAH]]*NOTA[[#This Row],[DISC 1]])</f>
        <v>292400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292400</v>
      </c>
      <c r="AA175" s="54">
        <f>IF(NOTA[[#This Row],[JUMLAH]]="","",NOTA[[#This Row],[JUMLAH]]-NOTA[[#This Row],[DISC]])</f>
        <v>1427600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44935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1</v>
      </c>
      <c r="AK175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75" s="193">
        <f>IF(NOTA[[#This Row],[CONCAT1]]="","",MATCH(NOTA[[#This Row],[CONCAT1]],[2]!db[NB NOTA_C],0)+1)</f>
        <v>1198</v>
      </c>
    </row>
    <row r="176" spans="1:39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 t="s">
        <v>379</v>
      </c>
      <c r="J176" s="51"/>
      <c r="K176" s="26"/>
      <c r="L176" s="26" t="s">
        <v>339</v>
      </c>
      <c r="M176" s="39">
        <v>2</v>
      </c>
      <c r="N176" s="26"/>
      <c r="O176" s="26"/>
      <c r="P176" s="49"/>
      <c r="Q176" s="52">
        <v>5270400</v>
      </c>
      <c r="R176" s="39" t="s">
        <v>117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10540800</v>
      </c>
      <c r="X176" s="54">
        <f>IF(NOTA[[#This Row],[JUMLAH]]="","",NOTA[[#This Row],[JUMLAH]]*NOTA[[#This Row],[DISC 1]])</f>
        <v>1791936.0000000002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1791936.0000000002</v>
      </c>
      <c r="AA176" s="54">
        <f>IF(NOTA[[#This Row],[JUMLAH]]="","",NOTA[[#This Row],[JUMLAH]]-NOTA[[#This Row],[DISC]])</f>
        <v>8748864</v>
      </c>
      <c r="AB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C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44935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1</v>
      </c>
      <c r="AK176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kenkogelpensaharablack52704000.17</v>
      </c>
      <c r="AM176" s="193">
        <f>IF(NOTA[[#This Row],[CONCAT1]]="","",MATCH(NOTA[[#This Row],[CONCAT1]],[2]!db[NB NOTA_C],0)+1)</f>
        <v>1168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7" s="193" t="str">
        <f>IF(NOTA[[#This Row],[CONCAT1]]="","",MATCH(NOTA[[#This Row],[CONCAT1]],[2]!db[NB NOTA_C],0)+1)</f>
        <v/>
      </c>
    </row>
    <row r="178" spans="1:39" ht="20.100000000000001" customHeight="1" x14ac:dyDescent="0.25">
      <c r="A17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78" s="50" t="e">
        <f ca="1">IF(NOTA[[#This Row],[ID_P]]="","",MATCH(NOTA[[#This Row],[ID_P]],[1]!B_MSK[N_ID],0))</f>
        <v>#REF!</v>
      </c>
      <c r="D178" s="50">
        <f ca="1">IF(NOTA[[#This Row],[NAMA BARANG]]="","",INDEX(NOTA[ID],MATCH(,INDIRECT(ADDRESS(ROW(NOTA[ID]),COLUMN(NOTA[ID]))&amp;":"&amp;ADDRESS(ROW(),COLUMN(NOTA[ID]))),-1)))</f>
        <v>42</v>
      </c>
      <c r="E178" s="23"/>
      <c r="F178" s="26" t="s">
        <v>23</v>
      </c>
      <c r="G178" s="26" t="s">
        <v>24</v>
      </c>
      <c r="H178" s="31" t="s">
        <v>340</v>
      </c>
      <c r="I178" s="26" t="s">
        <v>376</v>
      </c>
      <c r="J178" s="51">
        <v>44933</v>
      </c>
      <c r="K178" s="26"/>
      <c r="L178" s="26" t="s">
        <v>341</v>
      </c>
      <c r="M178" s="39">
        <v>4</v>
      </c>
      <c r="N178" s="26"/>
      <c r="O178" s="26"/>
      <c r="P178" s="49"/>
      <c r="Q178" s="52">
        <v>1560000</v>
      </c>
      <c r="R178" s="39" t="s">
        <v>367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6240000</v>
      </c>
      <c r="X178" s="54">
        <f>IF(NOTA[[#This Row],[JUMLAH]]="","",NOTA[[#This Row],[JUMLAH]]*NOTA[[#This Row],[DISC 1]])</f>
        <v>1060800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1060800</v>
      </c>
      <c r="AA178" s="54">
        <f>IF(NOTA[[#This Row],[JUMLAH]]="","",NOTA[[#This Row],[JUMLAH]]-NOTA[[#This Row],[DISC]])</f>
        <v>5179200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44935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>
        <f ca="1">IF(NOTA[[#This Row],[ID]]="","",COUNTIF(NOTA[ID_H],NOTA[[#This Row],[ID_H]]))</f>
        <v>10</v>
      </c>
      <c r="AJ178" s="38">
        <f>IF(NOTA[[#This Row],[TGL.NOTA]]="",IF(NOTA[[#This Row],[SUPPLIER_H]]="","",AJ177),MONTH(NOTA[[#This Row],[TGL.NOTA]]))</f>
        <v>1</v>
      </c>
      <c r="AK178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kenkopunchno3015600000.17</v>
      </c>
      <c r="AM178" s="193">
        <f>IF(NOTA[[#This Row],[CONCAT1]]="","",MATCH(NOTA[[#This Row],[CONCAT1]],[2]!db[NB NOTA_C],0)+1)</f>
        <v>1247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42</v>
      </c>
      <c r="E179" s="23"/>
      <c r="F179" s="26"/>
      <c r="G179" s="26"/>
      <c r="H179" s="31"/>
      <c r="I179" s="26"/>
      <c r="J179" s="51"/>
      <c r="K179" s="26"/>
      <c r="L179" s="26" t="s">
        <v>342</v>
      </c>
      <c r="M179" s="39">
        <v>1</v>
      </c>
      <c r="N179" s="26"/>
      <c r="O179" s="26"/>
      <c r="P179" s="49"/>
      <c r="Q179" s="52">
        <v>2160000</v>
      </c>
      <c r="R179" s="39" t="s">
        <v>368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2160000</v>
      </c>
      <c r="X179" s="54">
        <f>IF(NOTA[[#This Row],[JUMLAH]]="","",NOTA[[#This Row],[JUMLAH]]*NOTA[[#This Row],[DISC 1]])</f>
        <v>367200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367200</v>
      </c>
      <c r="AA179" s="54">
        <f>IF(NOTA[[#This Row],[JUMLAH]]="","",NOTA[[#This Row],[JUMLAH]]-NOTA[[#This Row],[DISC]])</f>
        <v>1792800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44935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1</v>
      </c>
      <c r="AK179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kenkoheavydutystaplerhd12l2421600000.17</v>
      </c>
      <c r="AM179" s="193">
        <f>IF(NOTA[[#This Row],[CONCAT1]]="","",MATCH(NOTA[[#This Row],[CONCAT1]],[2]!db[NB NOTA_C],0)+1)</f>
        <v>1183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42</v>
      </c>
      <c r="E180" s="23"/>
      <c r="F180" s="26"/>
      <c r="G180" s="26"/>
      <c r="H180" s="31"/>
      <c r="I180" s="26"/>
      <c r="J180" s="51"/>
      <c r="K180" s="26"/>
      <c r="L180" s="26" t="s">
        <v>343</v>
      </c>
      <c r="M180" s="39">
        <v>1</v>
      </c>
      <c r="N180" s="26"/>
      <c r="O180" s="26"/>
      <c r="P180" s="171"/>
      <c r="Q180" s="52">
        <v>1069200</v>
      </c>
      <c r="R180" s="39" t="s">
        <v>374</v>
      </c>
      <c r="S180" s="53">
        <v>0.17</v>
      </c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1069200</v>
      </c>
      <c r="X180" s="54">
        <f>IF(NOTA[[#This Row],[JUMLAH]]="","",NOTA[[#This Row],[JUMLAH]]*NOTA[[#This Row],[DISC 1]])</f>
        <v>181764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181764</v>
      </c>
      <c r="AA180" s="54">
        <f>IF(NOTA[[#This Row],[JUMLAH]]="","",NOTA[[#This Row],[JUMLAH]]-NOTA[[#This Row],[DISC]])</f>
        <v>887436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180" s="54" t="str">
        <f>IF(OR(NOTA[[#This Row],[QTY]]="",NOTA[[#This Row],[HARGA SATUAN]]="",),"",NOTA[[#This Row],[QTY]]*NOTA[[#This Row],[HARGA SATUAN]])</f>
        <v/>
      </c>
      <c r="AF180" s="51">
        <f ca="1">IF(NOTA[ID_H]="","",INDEX(NOTA[TANGGAL],MATCH(,INDIRECT(ADDRESS(ROW(NOTA[TANGGAL]),COLUMN(NOTA[TANGGAL]))&amp;":"&amp;ADDRESS(ROW(),COLUMN(NOTA[TANGGAL]))),-1)))</f>
        <v>44935</v>
      </c>
      <c r="AG180" s="65" t="str">
        <f ca="1">IF(NOTA[[#This Row],[NAMA BARANG]]="","",INDEX(NOTA[SUPPLIER],MATCH(,INDIRECT(ADDRESS(ROW(NOTA[ID]),COLUMN(NOTA[ID]))&amp;":"&amp;ADDRESS(ROW(),COLUMN(NOTA[ID]))),-1)))</f>
        <v>KENKO SINAR INDONESIA</v>
      </c>
      <c r="AH180" s="65" t="str">
        <f ca="1">IF(NOTA[[#This Row],[ID_H]]="","",IF(NOTA[[#This Row],[FAKTUR]]="",INDIRECT(ADDRESS(ROW()-1,COLUMN())),NOTA[[#This Row],[FAKTUR]]))</f>
        <v>ARTO MORO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1</v>
      </c>
      <c r="AK180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180" s="193">
        <f>IF(NOTA[[#This Row],[CONCAT1]]="","",MATCH(NOTA[[#This Row],[CONCAT1]],[2]!db[NB NOTA_C],0)+1)</f>
        <v>1275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/>
      <c r="G181" s="26"/>
      <c r="H181" s="31"/>
      <c r="I181" s="26"/>
      <c r="J181" s="51"/>
      <c r="K181" s="26"/>
      <c r="L181" s="26" t="s">
        <v>164</v>
      </c>
      <c r="M181" s="39">
        <v>10</v>
      </c>
      <c r="N181" s="26"/>
      <c r="O181" s="26"/>
      <c r="P181" s="171"/>
      <c r="Q181" s="52">
        <v>2160000</v>
      </c>
      <c r="R181" s="39" t="s">
        <v>136</v>
      </c>
      <c r="S181" s="53">
        <v>0.17</v>
      </c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21600000</v>
      </c>
      <c r="X181" s="54">
        <f>IF(NOTA[[#This Row],[JUMLAH]]="","",NOTA[[#This Row],[JUMLAH]]*NOTA[[#This Row],[DISC 1]])</f>
        <v>3672000.0000000005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3672000.0000000005</v>
      </c>
      <c r="AA181" s="54">
        <f>IF(NOTA[[#This Row],[JUMLAH]]="","",NOTA[[#This Row],[JUMLAH]]-NOTA[[#This Row],[DISC]])</f>
        <v>17928000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1" s="54" t="str">
        <f>IF(OR(NOTA[[#This Row],[QTY]]="",NOTA[[#This Row],[HARGA SATUAN]]="",),"",NOTA[[#This Row],[QTY]]*NOTA[[#This Row],[HARGA SATUAN]])</f>
        <v/>
      </c>
      <c r="AF181" s="51">
        <f ca="1">IF(NOTA[ID_H]="","",INDEX(NOTA[TANGGAL],MATCH(,INDIRECT(ADDRESS(ROW(NOTA[TANGGAL]),COLUMN(NOTA[TANGGAL]))&amp;":"&amp;ADDRESS(ROW(),COLUMN(NOTA[TANGGAL]))),-1)))</f>
        <v>44935</v>
      </c>
      <c r="AG181" s="65" t="str">
        <f ca="1">IF(NOTA[[#This Row],[NAMA BARANG]]="","",INDEX(NOTA[SUPPLIER],MATCH(,INDIRECT(ADDRESS(ROW(NOTA[ID]),COLUMN(NOTA[ID]))&amp;":"&amp;ADDRESS(ROW(),COLUMN(NOTA[ID]))),-1)))</f>
        <v>KENKO SINAR INDONESIA</v>
      </c>
      <c r="AH181" s="65" t="str">
        <f ca="1">IF(NOTA[[#This Row],[ID_H]]="","",IF(NOTA[[#This Row],[FAKTUR]]="",INDIRECT(ADDRESS(ROW()-1,COLUMN())),NOTA[[#This Row],[FAKTUR]]))</f>
        <v>ARTO MORO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1</v>
      </c>
      <c r="AK181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181" s="193">
        <f>IF(NOTA[[#This Row],[CONCAT1]]="","",MATCH(NOTA[[#This Row],[CONCAT1]],[2]!db[NB NOTA_C],0)+1)</f>
        <v>1228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134</v>
      </c>
      <c r="M182" s="39">
        <v>5</v>
      </c>
      <c r="N182" s="26"/>
      <c r="O182" s="26"/>
      <c r="P182" s="171"/>
      <c r="Q182" s="52">
        <v>2980800</v>
      </c>
      <c r="R182" s="39" t="s">
        <v>124</v>
      </c>
      <c r="S182" s="53">
        <v>0.17</v>
      </c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14904000</v>
      </c>
      <c r="X182" s="54">
        <f>IF(NOTA[[#This Row],[JUMLAH]]="","",NOTA[[#This Row],[JUMLAH]]*NOTA[[#This Row],[DISC 1]])</f>
        <v>2533680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2533680</v>
      </c>
      <c r="AA182" s="54">
        <f>IF(NOTA[[#This Row],[JUMLAH]]="","",NOTA[[#This Row],[JUMLAH]]-NOTA[[#This Row],[DISC]])</f>
        <v>12370320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182" s="54" t="str">
        <f>IF(OR(NOTA[[#This Row],[QTY]]="",NOTA[[#This Row],[HARGA SATUAN]]="",),"",NOTA[[#This Row],[QTY]]*NOTA[[#This Row],[HARGA SATUAN]])</f>
        <v/>
      </c>
      <c r="AF182" s="51">
        <f ca="1">IF(NOTA[ID_H]="","",INDEX(NOTA[TANGGAL],MATCH(,INDIRECT(ADDRESS(ROW(NOTA[TANGGAL]),COLUMN(NOTA[TANGGAL]))&amp;":"&amp;ADDRESS(ROW(),COLUMN(NOTA[TANGGAL]))),-1)))</f>
        <v>44935</v>
      </c>
      <c r="AG182" s="65" t="str">
        <f ca="1">IF(NOTA[[#This Row],[NAMA BARANG]]="","",INDEX(NOTA[SUPPLIER],MATCH(,INDIRECT(ADDRESS(ROW(NOTA[ID]),COLUMN(NOTA[ID]))&amp;":"&amp;ADDRESS(ROW(),COLUMN(NOTA[ID]))),-1)))</f>
        <v>KENKO SINAR INDONESIA</v>
      </c>
      <c r="AH182" s="65" t="str">
        <f ca="1">IF(NOTA[[#This Row],[ID_H]]="","",IF(NOTA[[#This Row],[FAKTUR]]="",INDIRECT(ADDRESS(ROW()-1,COLUMN())),NOTA[[#This Row],[FAKTUR]]))</f>
        <v>ARTO MORO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1</v>
      </c>
      <c r="AK182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182" s="193">
        <f>IF(NOTA[[#This Row],[CONCAT1]]="","",MATCH(NOTA[[#This Row],[CONCAT1]],[2]!db[NB NOTA_C],0)+1)</f>
        <v>1022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344</v>
      </c>
      <c r="M183" s="39">
        <v>1</v>
      </c>
      <c r="N183" s="26"/>
      <c r="O183" s="26"/>
      <c r="P183" s="171"/>
      <c r="Q183" s="52">
        <v>2040000</v>
      </c>
      <c r="R183" s="39" t="s">
        <v>367</v>
      </c>
      <c r="S183" s="53">
        <v>0.17</v>
      </c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2040000</v>
      </c>
      <c r="X183" s="54">
        <f>IF(NOTA[[#This Row],[JUMLAH]]="","",NOTA[[#This Row],[JUMLAH]]*NOTA[[#This Row],[DISC 1]])</f>
        <v>346800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346800</v>
      </c>
      <c r="AA183" s="54">
        <f>IF(NOTA[[#This Row],[JUMLAH]]="","",NOTA[[#This Row],[JUMLAH]]-NOTA[[#This Row],[DISC]])</f>
        <v>1693200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183" s="54" t="str">
        <f>IF(OR(NOTA[[#This Row],[QTY]]="",NOTA[[#This Row],[HARGA SATUAN]]="",),"",NOTA[[#This Row],[QTY]]*NOTA[[#This Row],[HARGA SATUAN]])</f>
        <v/>
      </c>
      <c r="AF183" s="51">
        <f ca="1">IF(NOTA[ID_H]="","",INDEX(NOTA[TANGGAL],MATCH(,INDIRECT(ADDRESS(ROW(NOTA[TANGGAL]),COLUMN(NOTA[TANGGAL]))&amp;":"&amp;ADDRESS(ROW(),COLUMN(NOTA[TANGGAL]))),-1)))</f>
        <v>44935</v>
      </c>
      <c r="AG183" s="65" t="str">
        <f ca="1">IF(NOTA[[#This Row],[NAMA BARANG]]="","",INDEX(NOTA[SUPPLIER],MATCH(,INDIRECT(ADDRESS(ROW(NOTA[ID]),COLUMN(NOTA[ID]))&amp;":"&amp;ADDRESS(ROW(),COLUMN(NOTA[ID]))),-1)))</f>
        <v>KENKO SINAR INDONESIA</v>
      </c>
      <c r="AH183" s="65" t="str">
        <f ca="1">IF(NOTA[[#This Row],[ID_H]]="","",IF(NOTA[[#This Row],[FAKTUR]]="",INDIRECT(ADDRESS(ROW()-1,COLUMN())),NOTA[[#This Row],[FAKTUR]]))</f>
        <v>ARTO MORO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1</v>
      </c>
      <c r="AK183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183" s="193">
        <f>IF(NOTA[[#This Row],[CONCAT1]]="","",MATCH(NOTA[[#This Row],[CONCAT1]],[2]!db[NB NOTA_C],0)+1)</f>
        <v>1026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42</v>
      </c>
      <c r="E184" s="23"/>
      <c r="F184" s="26"/>
      <c r="G184" s="26"/>
      <c r="H184" s="31"/>
      <c r="I184" s="26"/>
      <c r="J184" s="51"/>
      <c r="K184" s="26"/>
      <c r="L184" s="26" t="s">
        <v>345</v>
      </c>
      <c r="M184" s="39">
        <v>1</v>
      </c>
      <c r="N184" s="26"/>
      <c r="O184" s="26"/>
      <c r="P184" s="171"/>
      <c r="Q184" s="52">
        <v>2750000</v>
      </c>
      <c r="R184" s="39" t="s">
        <v>126</v>
      </c>
      <c r="S184" s="53">
        <v>0.17</v>
      </c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2750000</v>
      </c>
      <c r="X184" s="54">
        <f>IF(NOTA[[#This Row],[JUMLAH]]="","",NOTA[[#This Row],[JUMLAH]]*NOTA[[#This Row],[DISC 1]])</f>
        <v>467500.00000000006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467500.00000000006</v>
      </c>
      <c r="AA184" s="54">
        <f>IF(NOTA[[#This Row],[JUMLAH]]="","",NOTA[[#This Row],[JUMLAH]]-NOTA[[#This Row],[DISC]])</f>
        <v>2282500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184" s="54" t="str">
        <f>IF(OR(NOTA[[#This Row],[QTY]]="",NOTA[[#This Row],[HARGA SATUAN]]="",),"",NOTA[[#This Row],[QTY]]*NOTA[[#This Row],[HARGA SATUAN]])</f>
        <v/>
      </c>
      <c r="AF184" s="51">
        <f ca="1">IF(NOTA[ID_H]="","",INDEX(NOTA[TANGGAL],MATCH(,INDIRECT(ADDRESS(ROW(NOTA[TANGGAL]),COLUMN(NOTA[TANGGAL]))&amp;":"&amp;ADDRESS(ROW(),COLUMN(NOTA[TANGGAL]))),-1)))</f>
        <v>44935</v>
      </c>
      <c r="AG184" s="65" t="str">
        <f ca="1">IF(NOTA[[#This Row],[NAMA BARANG]]="","",INDEX(NOTA[SUPPLIER],MATCH(,INDIRECT(ADDRESS(ROW(NOTA[ID]),COLUMN(NOTA[ID]))&amp;":"&amp;ADDRESS(ROW(),COLUMN(NOTA[ID]))),-1)))</f>
        <v>KENKO SINAR INDONESIA</v>
      </c>
      <c r="AH184" s="65" t="str">
        <f ca="1">IF(NOTA[[#This Row],[ID_H]]="","",IF(NOTA[[#This Row],[FAKTUR]]="",INDIRECT(ADDRESS(ROW()-1,COLUMN())),NOTA[[#This Row],[FAKTUR]]))</f>
        <v>ARTO MORO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1</v>
      </c>
      <c r="AK184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kenkopricelabellermx5500eos8digits1line27500000.17</v>
      </c>
      <c r="AM184" s="193">
        <f>IF(NOTA[[#This Row],[CONCAT1]]="","",MATCH(NOTA[[#This Row],[CONCAT1]],[2]!db[NB NOTA_C],0)+1)</f>
        <v>1245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42</v>
      </c>
      <c r="E185" s="23"/>
      <c r="F185" s="26"/>
      <c r="G185" s="26"/>
      <c r="H185" s="31"/>
      <c r="I185" s="26"/>
      <c r="J185" s="51"/>
      <c r="K185" s="26"/>
      <c r="L185" s="26" t="s">
        <v>346</v>
      </c>
      <c r="M185" s="39">
        <v>3</v>
      </c>
      <c r="N185" s="26"/>
      <c r="O185" s="26"/>
      <c r="P185" s="171"/>
      <c r="Q185" s="52">
        <v>1500000</v>
      </c>
      <c r="R185" s="39" t="s">
        <v>375</v>
      </c>
      <c r="S185" s="53">
        <v>0.17</v>
      </c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4500000</v>
      </c>
      <c r="X185" s="54">
        <f>IF(NOTA[[#This Row],[JUMLAH]]="","",NOTA[[#This Row],[JUMLAH]]*NOTA[[#This Row],[DISC 1]])</f>
        <v>765000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765000</v>
      </c>
      <c r="AA185" s="54">
        <f>IF(NOTA[[#This Row],[JUMLAH]]="","",NOTA[[#This Row],[JUMLAH]]-NOTA[[#This Row],[DISC]])</f>
        <v>3735000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85" s="54" t="str">
        <f>IF(OR(NOTA[[#This Row],[QTY]]="",NOTA[[#This Row],[HARGA SATUAN]]="",),"",NOTA[[#This Row],[QTY]]*NOTA[[#This Row],[HARGA SATUAN]])</f>
        <v/>
      </c>
      <c r="AF185" s="51">
        <f ca="1">IF(NOTA[ID_H]="","",INDEX(NOTA[TANGGAL],MATCH(,INDIRECT(ADDRESS(ROW(NOTA[TANGGAL]),COLUMN(NOTA[TANGGAL]))&amp;":"&amp;ADDRESS(ROW(),COLUMN(NOTA[TANGGAL]))),-1)))</f>
        <v>44935</v>
      </c>
      <c r="AG185" s="65" t="str">
        <f ca="1">IF(NOTA[[#This Row],[NAMA BARANG]]="","",INDEX(NOTA[SUPPLIER],MATCH(,INDIRECT(ADDRESS(ROW(NOTA[ID]),COLUMN(NOTA[ID]))&amp;":"&amp;ADDRESS(ROW(),COLUMN(NOTA[ID]))),-1)))</f>
        <v>KENKO SINAR INDONESIA</v>
      </c>
      <c r="AH185" s="65" t="str">
        <f ca="1">IF(NOTA[[#This Row],[ID_H]]="","",IF(NOTA[[#This Row],[FAKTUR]]="",INDIRECT(ADDRESS(ROW()-1,COLUMN())),NOTA[[#This Row],[FAKTUR]]))</f>
        <v>ARTO MORO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1</v>
      </c>
      <c r="AK185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185" s="193">
        <f>IF(NOTA[[#This Row],[CONCAT1]]="","",MATCH(NOTA[[#This Row],[CONCAT1]],[2]!db[NB NOTA_C],0)+1)</f>
        <v>1304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42</v>
      </c>
      <c r="E186" s="23"/>
      <c r="F186" s="26"/>
      <c r="G186" s="26"/>
      <c r="H186" s="31"/>
      <c r="I186" s="26"/>
      <c r="J186" s="51"/>
      <c r="K186" s="26"/>
      <c r="L186" s="26" t="s">
        <v>160</v>
      </c>
      <c r="M186" s="39">
        <v>4</v>
      </c>
      <c r="N186" s="26"/>
      <c r="O186" s="26"/>
      <c r="P186" s="49"/>
      <c r="Q186" s="52">
        <v>2112000</v>
      </c>
      <c r="R186" s="39" t="s">
        <v>136</v>
      </c>
      <c r="S186" s="53">
        <v>0.17</v>
      </c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8448000</v>
      </c>
      <c r="X186" s="54">
        <f>IF(NOTA[[#This Row],[JUMLAH]]="","",NOTA[[#This Row],[JUMLAH]]*NOTA[[#This Row],[DISC 1]])</f>
        <v>1436160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1436160</v>
      </c>
      <c r="AA186" s="54">
        <f>IF(NOTA[[#This Row],[JUMLAH]]="","",NOTA[[#This Row],[JUMLAH]]-NOTA[[#This Row],[DISC]])</f>
        <v>7011840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186" s="54" t="str">
        <f>IF(OR(NOTA[[#This Row],[QTY]]="",NOTA[[#This Row],[HARGA SATUAN]]="",),"",NOTA[[#This Row],[QTY]]*NOTA[[#This Row],[HARGA SATUAN]])</f>
        <v/>
      </c>
      <c r="AF186" s="51">
        <f ca="1">IF(NOTA[ID_H]="","",INDEX(NOTA[TANGGAL],MATCH(,INDIRECT(ADDRESS(ROW(NOTA[TANGGAL]),COLUMN(NOTA[TANGGAL]))&amp;":"&amp;ADDRESS(ROW(),COLUMN(NOTA[TANGGAL]))),-1)))</f>
        <v>44935</v>
      </c>
      <c r="AG186" s="65" t="str">
        <f ca="1">IF(NOTA[[#This Row],[NAMA BARANG]]="","",INDEX(NOTA[SUPPLIER],MATCH(,INDIRECT(ADDRESS(ROW(NOTA[ID]),COLUMN(NOTA[ID]))&amp;":"&amp;ADDRESS(ROW(),COLUMN(NOTA[ID]))),-1)))</f>
        <v>KENKO SINAR INDONESIA</v>
      </c>
      <c r="AH186" s="65" t="str">
        <f ca="1">IF(NOTA[[#This Row],[ID_H]]="","",IF(NOTA[[#This Row],[FAKTUR]]="",INDIRECT(ADDRESS(ROW()-1,COLUMN())),NOTA[[#This Row],[FAKTUR]]))</f>
        <v>ARTO MORO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1</v>
      </c>
      <c r="AK18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186" s="193">
        <f>IF(NOTA[[#This Row],[CONCAT1]]="","",MATCH(NOTA[[#This Row],[CONCAT1]],[2]!db[NB NOTA_C],0)+1)</f>
        <v>1222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42</v>
      </c>
      <c r="E187" s="23"/>
      <c r="F187" s="26"/>
      <c r="G187" s="26"/>
      <c r="H187" s="31"/>
      <c r="I187" s="26"/>
      <c r="J187" s="51"/>
      <c r="K187" s="26"/>
      <c r="L187" s="26" t="s">
        <v>386</v>
      </c>
      <c r="M187" s="39">
        <v>2</v>
      </c>
      <c r="N187" s="26"/>
      <c r="O187" s="26"/>
      <c r="P187" s="49"/>
      <c r="Q187" s="52">
        <v>2352000</v>
      </c>
      <c r="R187" s="39" t="s">
        <v>119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4704000</v>
      </c>
      <c r="X187" s="54">
        <f>IF(NOTA[[#This Row],[JUMLAH]]="","",NOTA[[#This Row],[JUMLAH]]*NOTA[[#This Row],[DISC 1]])</f>
        <v>799680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799680</v>
      </c>
      <c r="AA187" s="54">
        <f>IF(NOTA[[#This Row],[JUMLAH]]="","",NOTA[[#This Row],[JUMLAH]]-NOTA[[#This Row],[DISC]])</f>
        <v>3904320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44935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1</v>
      </c>
      <c r="AK18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7" s="193">
        <f>IF(NOTA[[#This Row],[CONCAT1]]="","",MATCH(NOTA[[#This Row],[CONCAT1]],[2]!db[NB NOTA_C],0)+1)</f>
        <v>1282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93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43</v>
      </c>
      <c r="E189" s="23"/>
      <c r="F189" s="26" t="s">
        <v>23</v>
      </c>
      <c r="G189" s="26" t="s">
        <v>24</v>
      </c>
      <c r="H189" s="31" t="s">
        <v>347</v>
      </c>
      <c r="I189" s="26" t="s">
        <v>373</v>
      </c>
      <c r="J189" s="51">
        <v>44933</v>
      </c>
      <c r="K189" s="26"/>
      <c r="L189" s="26" t="s">
        <v>386</v>
      </c>
      <c r="M189" s="39">
        <v>2</v>
      </c>
      <c r="N189" s="26"/>
      <c r="O189" s="26"/>
      <c r="P189" s="49"/>
      <c r="Q189" s="52">
        <v>2352000</v>
      </c>
      <c r="R189" s="39" t="s">
        <v>119</v>
      </c>
      <c r="S189" s="53">
        <v>0.17</v>
      </c>
      <c r="T189" s="53"/>
      <c r="U189" s="54"/>
      <c r="V189" s="37"/>
      <c r="W189" s="54">
        <f>IF(NOTA[[#This Row],[HARGA/ CTN]]="",NOTA[[#This Row],[JUMLAH_H]],NOTA[[#This Row],[HARGA/ CTN]]*IF(NOTA[[#This Row],[C]]="",0,NOTA[[#This Row],[C]]))</f>
        <v>4704000</v>
      </c>
      <c r="X189" s="54">
        <f>IF(NOTA[[#This Row],[JUMLAH]]="","",NOTA[[#This Row],[JUMLAH]]*NOTA[[#This Row],[DISC 1]])</f>
        <v>799680</v>
      </c>
      <c r="Y189" s="54">
        <f>IF(NOTA[[#This Row],[JUMLAH]]="","",(NOTA[[#This Row],[JUMLAH]]-NOTA[[#This Row],[DISC 1-]])*NOTA[[#This Row],[DISC 2]])</f>
        <v>0</v>
      </c>
      <c r="Z189" s="54">
        <f>IF(NOTA[[#This Row],[JUMLAH]]="","",NOTA[[#This Row],[DISC 1-]]+NOTA[[#This Row],[DISC 2-]])</f>
        <v>799680</v>
      </c>
      <c r="AA189" s="54">
        <f>IF(NOTA[[#This Row],[JUMLAH]]="","",NOTA[[#This Row],[JUMLAH]]-NOTA[[#This Row],[DISC]])</f>
        <v>3904320</v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44935</v>
      </c>
      <c r="AG189" s="65" t="str">
        <f ca="1">IF(NOTA[[#This Row],[NAMA BARANG]]="","",INDEX(NOTA[SUPPLIER],MATCH(,INDIRECT(ADDRESS(ROW(NOTA[ID]),COLUMN(NOTA[ID]))&amp;":"&amp;ADDRESS(ROW(),COLUMN(NOTA[ID]))),-1)))</f>
        <v>KENKO SINAR INDONESIA</v>
      </c>
      <c r="AH189" s="65" t="str">
        <f ca="1">IF(NOTA[[#This Row],[ID_H]]="","",IF(NOTA[[#This Row],[FAKTUR]]="",INDIRECT(ADDRESS(ROW()-1,COLUMN())),NOTA[[#This Row],[FAKTUR]]))</f>
        <v>ARTO MORO</v>
      </c>
      <c r="AI189" s="38">
        <f ca="1">IF(NOTA[[#This Row],[ID]]="","",COUNTIF(NOTA[ID_H],NOTA[[#This Row],[ID_H]]))</f>
        <v>9</v>
      </c>
      <c r="AJ189" s="38">
        <f>IF(NOTA[[#This Row],[TGL.NOTA]]="",IF(NOTA[[#This Row],[SUPPLIER_H]]="","",AJ188),MONTH(NOTA[[#This Row],[TGL.NOTA]]))</f>
        <v>1</v>
      </c>
      <c r="AK189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9" s="193">
        <f>IF(NOTA[[#This Row],[CONCAT1]]="","",MATCH(NOTA[[#This Row],[CONCAT1]],[2]!db[NB NOTA_C],0)+1)</f>
        <v>1282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>
        <f ca="1">IF(NOTA[[#This Row],[NAMA BARANG]]="","",INDEX(NOTA[ID],MATCH(,INDIRECT(ADDRESS(ROW(NOTA[ID]),COLUMN(NOTA[ID]))&amp;":"&amp;ADDRESS(ROW(),COLUMN(NOTA[ID]))),-1)))</f>
        <v>43</v>
      </c>
      <c r="E190" s="23"/>
      <c r="F190" s="26"/>
      <c r="G190" s="26"/>
      <c r="H190" s="31"/>
      <c r="I190" s="26"/>
      <c r="J190" s="51"/>
      <c r="K190" s="26"/>
      <c r="L190" s="26" t="s">
        <v>348</v>
      </c>
      <c r="M190" s="39">
        <v>1</v>
      </c>
      <c r="N190" s="26"/>
      <c r="O190" s="26"/>
      <c r="P190" s="49"/>
      <c r="Q190" s="52">
        <v>1987200</v>
      </c>
      <c r="R190" s="39" t="s">
        <v>121</v>
      </c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1987200</v>
      </c>
      <c r="X190" s="54">
        <f>IF(NOTA[[#This Row],[JUMLAH]]="","",NOTA[[#This Row],[JUMLAH]]*NOTA[[#This Row],[DISC 1]])</f>
        <v>337824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337824</v>
      </c>
      <c r="AA190" s="54">
        <f>IF(NOTA[[#This Row],[JUMLAH]]="","",NOTA[[#This Row],[JUMLAH]]-NOTA[[#This Row],[DISC]])</f>
        <v>1649376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44935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 t="str">
        <f ca="1">IF(NOTA[[#This Row],[ID]]="","",COUNTIF(NOTA[ID_H],NOTA[[#This Row],[ID_H]]))</f>
        <v/>
      </c>
      <c r="AJ190" s="38">
        <f ca="1">IF(NOTA[[#This Row],[TGL.NOTA]]="",IF(NOTA[[#This Row],[SUPPLIER_H]]="","",AJ189),MONTH(NOTA[[#This Row],[TGL.NOTA]]))</f>
        <v>1</v>
      </c>
      <c r="AK190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190" s="193">
        <f>IF(NOTA[[#This Row],[CONCAT1]]="","",MATCH(NOTA[[#This Row],[CONCAT1]],[2]!db[NB NOTA_C],0)+1)</f>
        <v>1077</v>
      </c>
    </row>
    <row r="191" spans="1:39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43</v>
      </c>
      <c r="E191" s="23"/>
      <c r="F191" s="26"/>
      <c r="G191" s="26"/>
      <c r="H191" s="31"/>
      <c r="I191" s="26"/>
      <c r="J191" s="51"/>
      <c r="K191" s="26"/>
      <c r="L191" s="26" t="s">
        <v>349</v>
      </c>
      <c r="M191" s="39">
        <v>1</v>
      </c>
      <c r="N191" s="26"/>
      <c r="O191" s="26"/>
      <c r="P191" s="49"/>
      <c r="Q191" s="52">
        <v>1584000</v>
      </c>
      <c r="R191" s="39" t="s">
        <v>121</v>
      </c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1584000</v>
      </c>
      <c r="X191" s="54">
        <f>IF(NOTA[[#This Row],[JUMLAH]]="","",NOTA[[#This Row],[JUMLAH]]*NOTA[[#This Row],[DISC 1]])</f>
        <v>269280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269280</v>
      </c>
      <c r="AA191" s="54">
        <f>IF(NOTA[[#This Row],[JUMLAH]]="","",NOTA[[#This Row],[JUMLAH]]-NOTA[[#This Row],[DISC]])</f>
        <v>1314720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44935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1</v>
      </c>
      <c r="AK191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kenkopushpinpn30color15840000.17</v>
      </c>
      <c r="AM191" s="193">
        <f>IF(NOTA[[#This Row],[CONCAT1]]="","",MATCH(NOTA[[#This Row],[CONCAT1]],[2]!db[NB NOTA_C],0)+1)</f>
        <v>1254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43</v>
      </c>
      <c r="E192" s="23"/>
      <c r="F192" s="26"/>
      <c r="G192" s="26"/>
      <c r="H192" s="31"/>
      <c r="I192" s="26"/>
      <c r="J192" s="51"/>
      <c r="K192" s="26"/>
      <c r="L192" s="26" t="s">
        <v>350</v>
      </c>
      <c r="M192" s="39">
        <v>1</v>
      </c>
      <c r="N192" s="26"/>
      <c r="O192" s="26"/>
      <c r="P192" s="49"/>
      <c r="Q192" s="52">
        <v>1500000</v>
      </c>
      <c r="R192" s="39" t="s">
        <v>362</v>
      </c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1500000</v>
      </c>
      <c r="X192" s="54">
        <f>IF(NOTA[[#This Row],[JUMLAH]]="","",NOTA[[#This Row],[JUMLAH]]*NOTA[[#This Row],[DISC 1]])</f>
        <v>255000.00000000003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255000.00000000003</v>
      </c>
      <c r="AA192" s="54">
        <f>IF(NOTA[[#This Row],[JUMLAH]]="","",NOTA[[#This Row],[JUMLAH]]-NOTA[[#This Row],[DISC]])</f>
        <v>1245000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44935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1</v>
      </c>
      <c r="AK19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192" s="193">
        <f>IF(NOTA[[#This Row],[CONCAT1]]="","",MATCH(NOTA[[#This Row],[CONCAT1]],[2]!db[NB NOTA_C],0)+1)</f>
        <v>1131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43</v>
      </c>
      <c r="E193" s="23"/>
      <c r="F193" s="26"/>
      <c r="G193" s="26"/>
      <c r="H193" s="31"/>
      <c r="I193" s="26"/>
      <c r="J193" s="51"/>
      <c r="K193" s="26"/>
      <c r="L193" s="26" t="s">
        <v>351</v>
      </c>
      <c r="M193" s="39">
        <v>1</v>
      </c>
      <c r="N193" s="26"/>
      <c r="O193" s="26"/>
      <c r="P193" s="49"/>
      <c r="Q193" s="52">
        <v>1375000</v>
      </c>
      <c r="R193" s="39" t="s">
        <v>362</v>
      </c>
      <c r="S193" s="53">
        <v>0.17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1375000</v>
      </c>
      <c r="X193" s="54">
        <f>IF(NOTA[[#This Row],[JUMLAH]]="","",NOTA[[#This Row],[JUMLAH]]*NOTA[[#This Row],[DISC 1]])</f>
        <v>233750.00000000003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233750.00000000003</v>
      </c>
      <c r="AA193" s="54">
        <f>IF(NOTA[[#This Row],[JUMLAH]]="","",NOTA[[#This Row],[JUMLAH]]-NOTA[[#This Row],[DISC]])</f>
        <v>1141250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3" s="54" t="str">
        <f>IF(OR(NOTA[[#This Row],[QTY]]="",NOTA[[#This Row],[HARGA SATUAN]]="",),"",NOTA[[#This Row],[QTY]]*NOTA[[#This Row],[HARGA SATUAN]])</f>
        <v/>
      </c>
      <c r="AF193" s="51">
        <f ca="1">IF(NOTA[ID_H]="","",INDEX(NOTA[TANGGAL],MATCH(,INDIRECT(ADDRESS(ROW(NOTA[TANGGAL]),COLUMN(NOTA[TANGGAL]))&amp;":"&amp;ADDRESS(ROW(),COLUMN(NOTA[TANGGAL]))),-1)))</f>
        <v>44935</v>
      </c>
      <c r="AG193" s="65" t="str">
        <f ca="1">IF(NOTA[[#This Row],[NAMA BARANG]]="","",INDEX(NOTA[SUPPLIER],MATCH(,INDIRECT(ADDRESS(ROW(NOTA[ID]),COLUMN(NOTA[ID]))&amp;":"&amp;ADDRESS(ROW(),COLUMN(NOTA[ID]))),-1)))</f>
        <v>KENKO SINAR INDONESIA</v>
      </c>
      <c r="AH193" s="65" t="str">
        <f ca="1">IF(NOTA[[#This Row],[ID_H]]="","",IF(NOTA[[#This Row],[FAKTUR]]="",INDIRECT(ADDRESS(ROW()-1,COLUMN())),NOTA[[#This Row],[FAKTUR]]))</f>
        <v>ARTO MORO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1</v>
      </c>
      <c r="AK193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193" s="193">
        <f>IF(NOTA[[#This Row],[CONCAT1]]="","",MATCH(NOTA[[#This Row],[CONCAT1]],[2]!db[NB NOTA_C],0)+1)</f>
        <v>1132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43</v>
      </c>
      <c r="E194" s="23"/>
      <c r="F194" s="26"/>
      <c r="G194" s="26"/>
      <c r="H194" s="31"/>
      <c r="I194" s="26"/>
      <c r="J194" s="51"/>
      <c r="K194" s="26"/>
      <c r="L194" s="26" t="s">
        <v>352</v>
      </c>
      <c r="M194" s="39">
        <v>2</v>
      </c>
      <c r="N194" s="26"/>
      <c r="O194" s="26"/>
      <c r="P194" s="49"/>
      <c r="Q194" s="52">
        <v>1375000</v>
      </c>
      <c r="R194" s="39" t="s">
        <v>362</v>
      </c>
      <c r="S194" s="53">
        <v>0.17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2750000</v>
      </c>
      <c r="X194" s="54">
        <f>IF(NOTA[[#This Row],[JUMLAH]]="","",NOTA[[#This Row],[JUMLAH]]*NOTA[[#This Row],[DISC 1]])</f>
        <v>467500.00000000006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467500.00000000006</v>
      </c>
      <c r="AA194" s="54">
        <f>IF(NOTA[[#This Row],[JUMLAH]]="","",NOTA[[#This Row],[JUMLAH]]-NOTA[[#This Row],[DISC]])</f>
        <v>2282500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4" s="54" t="str">
        <f>IF(OR(NOTA[[#This Row],[QTY]]="",NOTA[[#This Row],[HARGA SATUAN]]="",),"",NOTA[[#This Row],[QTY]]*NOTA[[#This Row],[HARGA SATUAN]])</f>
        <v/>
      </c>
      <c r="AF194" s="51">
        <f ca="1">IF(NOTA[ID_H]="","",INDEX(NOTA[TANGGAL],MATCH(,INDIRECT(ADDRESS(ROW(NOTA[TANGGAL]),COLUMN(NOTA[TANGGAL]))&amp;":"&amp;ADDRESS(ROW(),COLUMN(NOTA[TANGGAL]))),-1)))</f>
        <v>44935</v>
      </c>
      <c r="AG194" s="65" t="str">
        <f ca="1">IF(NOTA[[#This Row],[NAMA BARANG]]="","",INDEX(NOTA[SUPPLIER],MATCH(,INDIRECT(ADDRESS(ROW(NOTA[ID]),COLUMN(NOTA[ID]))&amp;":"&amp;ADDRESS(ROW(),COLUMN(NOTA[ID]))),-1)))</f>
        <v>KENKO SINAR INDONESIA</v>
      </c>
      <c r="AH194" s="65" t="str">
        <f ca="1">IF(NOTA[[#This Row],[ID_H]]="","",IF(NOTA[[#This Row],[FAKTUR]]="",INDIRECT(ADDRESS(ROW()-1,COLUMN())),NOTA[[#This Row],[FAKTUR]]))</f>
        <v>ARTO MORO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1</v>
      </c>
      <c r="AK194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194" s="193">
        <f>IF(NOTA[[#This Row],[CONCAT1]]="","",MATCH(NOTA[[#This Row],[CONCAT1]],[2]!db[NB NOTA_C],0)+1)</f>
        <v>1133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43</v>
      </c>
      <c r="E195" s="23"/>
      <c r="F195" s="26"/>
      <c r="G195" s="26"/>
      <c r="H195" s="31"/>
      <c r="I195" s="26"/>
      <c r="J195" s="51"/>
      <c r="K195" s="26"/>
      <c r="L195" s="26" t="s">
        <v>338</v>
      </c>
      <c r="M195" s="39">
        <v>1</v>
      </c>
      <c r="N195" s="26"/>
      <c r="O195" s="26"/>
      <c r="P195" s="49"/>
      <c r="Q195" s="52">
        <v>800000</v>
      </c>
      <c r="R195" s="39" t="s">
        <v>363</v>
      </c>
      <c r="S195" s="53">
        <v>0.17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800000</v>
      </c>
      <c r="X195" s="54">
        <f>IF(NOTA[[#This Row],[JUMLAH]]="","",NOTA[[#This Row],[JUMLAH]]*NOTA[[#This Row],[DISC 1]])</f>
        <v>136000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136000</v>
      </c>
      <c r="AA195" s="54">
        <f>IF(NOTA[[#This Row],[JUMLAH]]="","",NOTA[[#This Row],[JUMLAH]]-NOTA[[#This Row],[DISC]])</f>
        <v>664000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95" s="54" t="str">
        <f>IF(OR(NOTA[[#This Row],[QTY]]="",NOTA[[#This Row],[HARGA SATUAN]]="",),"",NOTA[[#This Row],[QTY]]*NOTA[[#This Row],[HARGA SATUAN]])</f>
        <v/>
      </c>
      <c r="AF195" s="51">
        <f ca="1">IF(NOTA[ID_H]="","",INDEX(NOTA[TANGGAL],MATCH(,INDIRECT(ADDRESS(ROW(NOTA[TANGGAL]),COLUMN(NOTA[TANGGAL]))&amp;":"&amp;ADDRESS(ROW(),COLUMN(NOTA[TANGGAL]))),-1)))</f>
        <v>44935</v>
      </c>
      <c r="AG195" s="65" t="str">
        <f ca="1">IF(NOTA[[#This Row],[NAMA BARANG]]="","",INDEX(NOTA[SUPPLIER],MATCH(,INDIRECT(ADDRESS(ROW(NOTA[ID]),COLUMN(NOTA[ID]))&amp;":"&amp;ADDRESS(ROW(),COLUMN(NOTA[ID]))),-1)))</f>
        <v>KENKO SINAR INDONESIA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1</v>
      </c>
      <c r="AK19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95" s="193">
        <f>IF(NOTA[[#This Row],[CONCAT1]]="","",MATCH(NOTA[[#This Row],[CONCAT1]],[2]!db[NB NOTA_C],0)+1)</f>
        <v>1301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43</v>
      </c>
      <c r="E196" s="23"/>
      <c r="F196" s="26"/>
      <c r="G196" s="26"/>
      <c r="H196" s="31"/>
      <c r="I196" s="26"/>
      <c r="J196" s="51"/>
      <c r="K196" s="26"/>
      <c r="L196" s="26" t="s">
        <v>415</v>
      </c>
      <c r="M196" s="39">
        <v>1</v>
      </c>
      <c r="N196" s="26"/>
      <c r="O196" s="26"/>
      <c r="P196" s="49"/>
      <c r="Q196" s="52">
        <v>860000</v>
      </c>
      <c r="R196" s="39" t="s">
        <v>364</v>
      </c>
      <c r="S196" s="53">
        <v>0.17</v>
      </c>
      <c r="T196" s="53"/>
      <c r="U196" s="54"/>
      <c r="V196" s="37"/>
      <c r="W196" s="54">
        <f>IF(NOTA[[#This Row],[HARGA/ CTN]]="",NOTA[[#This Row],[JUMLAH_H]],NOTA[[#This Row],[HARGA/ CTN]]*IF(NOTA[[#This Row],[C]]="",0,NOTA[[#This Row],[C]]))</f>
        <v>860000</v>
      </c>
      <c r="X196" s="54">
        <f>IF(NOTA[[#This Row],[JUMLAH]]="","",NOTA[[#This Row],[JUMLAH]]*NOTA[[#This Row],[DISC 1]])</f>
        <v>146200</v>
      </c>
      <c r="Y196" s="54">
        <f>IF(NOTA[[#This Row],[JUMLAH]]="","",(NOTA[[#This Row],[JUMLAH]]-NOTA[[#This Row],[DISC 1-]])*NOTA[[#This Row],[DISC 2]])</f>
        <v>0</v>
      </c>
      <c r="Z196" s="54">
        <f>IF(NOTA[[#This Row],[JUMLAH]]="","",NOTA[[#This Row],[DISC 1-]]+NOTA[[#This Row],[DISC 2-]])</f>
        <v>146200</v>
      </c>
      <c r="AA196" s="54">
        <f>IF(NOTA[[#This Row],[JUMLAH]]="","",NOTA[[#This Row],[JUMLAH]]-NOTA[[#This Row],[DISC]])</f>
        <v>713800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96" s="54" t="str">
        <f>IF(OR(NOTA[[#This Row],[QTY]]="",NOTA[[#This Row],[HARGA SATUAN]]="",),"",NOTA[[#This Row],[QTY]]*NOTA[[#This Row],[HARGA SATUAN]])</f>
        <v/>
      </c>
      <c r="AF196" s="51">
        <f ca="1">IF(NOTA[ID_H]="","",INDEX(NOTA[TANGGAL],MATCH(,INDIRECT(ADDRESS(ROW(NOTA[TANGGAL]),COLUMN(NOTA[TANGGAL]))&amp;":"&amp;ADDRESS(ROW(),COLUMN(NOTA[TANGGAL]))),-1)))</f>
        <v>44935</v>
      </c>
      <c r="AG196" s="65" t="str">
        <f ca="1">IF(NOTA[[#This Row],[NAMA BARANG]]="","",INDEX(NOTA[SUPPLIER],MATCH(,INDIRECT(ADDRESS(ROW(NOTA[ID]),COLUMN(NOTA[ID]))&amp;":"&amp;ADDRESS(ROW(),COLUMN(NOTA[ID]))),-1)))</f>
        <v>KENKO SINAR INDONESIA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1</v>
      </c>
      <c r="AK19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96" s="193">
        <f>IF(NOTA[[#This Row],[CONCAT1]]="","",MATCH(NOTA[[#This Row],[CONCAT1]],[2]!db[NB NOTA_C],0)+1)</f>
        <v>1198</v>
      </c>
    </row>
    <row r="197" spans="1:39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43</v>
      </c>
      <c r="E197" s="23"/>
      <c r="F197" s="26"/>
      <c r="G197" s="26"/>
      <c r="H197" s="31"/>
      <c r="I197" s="26"/>
      <c r="J197" s="51"/>
      <c r="K197" s="26"/>
      <c r="L197" s="26" t="s">
        <v>353</v>
      </c>
      <c r="M197" s="39">
        <v>2</v>
      </c>
      <c r="N197" s="26"/>
      <c r="O197" s="26"/>
      <c r="P197" s="49"/>
      <c r="Q197" s="52">
        <v>1566000</v>
      </c>
      <c r="R197" s="39" t="s">
        <v>365</v>
      </c>
      <c r="S197" s="53">
        <v>0.17</v>
      </c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3132000</v>
      </c>
      <c r="X197" s="54">
        <f>IF(NOTA[[#This Row],[JUMLAH]]="","",NOTA[[#This Row],[JUMLAH]]*NOTA[[#This Row],[DISC 1]])</f>
        <v>532440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532440</v>
      </c>
      <c r="AA197" s="54">
        <f>IF(NOTA[[#This Row],[JUMLAH]]="","",NOTA[[#This Row],[JUMLAH]]-NOTA[[#This Row],[DISC]])</f>
        <v>2599560</v>
      </c>
      <c r="AB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C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197" s="54" t="str">
        <f>IF(OR(NOTA[[#This Row],[QTY]]="",NOTA[[#This Row],[HARGA SATUAN]]="",),"",NOTA[[#This Row],[QTY]]*NOTA[[#This Row],[HARGA SATUAN]])</f>
        <v/>
      </c>
      <c r="AF197" s="51">
        <f ca="1">IF(NOTA[ID_H]="","",INDEX(NOTA[TANGGAL],MATCH(,INDIRECT(ADDRESS(ROW(NOTA[TANGGAL]),COLUMN(NOTA[TANGGAL]))&amp;":"&amp;ADDRESS(ROW(),COLUMN(NOTA[TANGGAL]))),-1)))</f>
        <v>44935</v>
      </c>
      <c r="AG197" s="65" t="str">
        <f ca="1">IF(NOTA[[#This Row],[NAMA BARANG]]="","",INDEX(NOTA[SUPPLIER],MATCH(,INDIRECT(ADDRESS(ROW(NOTA[ID]),COLUMN(NOTA[ID]))&amp;":"&amp;ADDRESS(ROW(),COLUMN(NOTA[ID]))),-1)))</f>
        <v>KENKO SINAR INDONESIA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1</v>
      </c>
      <c r="AK19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kenkocutterk2009mmblade15660000.17</v>
      </c>
      <c r="AM197" s="193">
        <f>IF(NOTA[[#This Row],[CONCAT1]]="","",MATCH(NOTA[[#This Row],[CONCAT1]],[2]!db[NB NOTA_C],0)+1)</f>
        <v>1121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8" s="193" t="str">
        <f>IF(NOTA[[#This Row],[CONCAT1]]="","",MATCH(NOTA[[#This Row],[CONCAT1]],[2]!db[NB NOTA_C],0)+1)</f>
        <v/>
      </c>
    </row>
    <row r="199" spans="1:39" ht="20.100000000000001" customHeight="1" x14ac:dyDescent="0.25">
      <c r="A199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99" s="50" t="e">
        <f ca="1">IF(NOTA[[#This Row],[ID_P]]="","",MATCH(NOTA[[#This Row],[ID_P]],[1]!B_MSK[N_ID],0))</f>
        <v>#REF!</v>
      </c>
      <c r="D199" s="50">
        <f ca="1">IF(NOTA[[#This Row],[NAMA BARANG]]="","",INDEX(NOTA[ID],MATCH(,INDIRECT(ADDRESS(ROW(NOTA[ID]),COLUMN(NOTA[ID]))&amp;":"&amp;ADDRESS(ROW(),COLUMN(NOTA[ID]))),-1)))</f>
        <v>44</v>
      </c>
      <c r="E199" s="23"/>
      <c r="F199" s="26" t="s">
        <v>23</v>
      </c>
      <c r="G199" s="26" t="s">
        <v>24</v>
      </c>
      <c r="H199" s="31" t="s">
        <v>354</v>
      </c>
      <c r="I199" s="26" t="s">
        <v>372</v>
      </c>
      <c r="J199" s="51">
        <v>44933</v>
      </c>
      <c r="K199" s="26"/>
      <c r="L199" s="26" t="s">
        <v>355</v>
      </c>
      <c r="M199" s="39">
        <v>2</v>
      </c>
      <c r="N199" s="26"/>
      <c r="O199" s="26"/>
      <c r="P199" s="49"/>
      <c r="Q199" s="52">
        <v>1410000</v>
      </c>
      <c r="R199" s="39" t="s">
        <v>366</v>
      </c>
      <c r="S199" s="53">
        <v>0.17</v>
      </c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2820000</v>
      </c>
      <c r="X199" s="54">
        <f>IF(NOTA[[#This Row],[JUMLAH]]="","",NOTA[[#This Row],[JUMLAH]]*NOTA[[#This Row],[DISC 1]])</f>
        <v>479400.00000000006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479400.00000000006</v>
      </c>
      <c r="AA199" s="54">
        <f>IF(NOTA[[#This Row],[JUMLAH]]="","",NOTA[[#This Row],[JUMLAH]]-NOTA[[#This Row],[DISC]])</f>
        <v>2340600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99" s="54" t="str">
        <f>IF(OR(NOTA[[#This Row],[QTY]]="",NOTA[[#This Row],[HARGA SATUAN]]="",),"",NOTA[[#This Row],[QTY]]*NOTA[[#This Row],[HARGA SATUAN]])</f>
        <v/>
      </c>
      <c r="AF199" s="51">
        <f ca="1">IF(NOTA[ID_H]="","",INDEX(NOTA[TANGGAL],MATCH(,INDIRECT(ADDRESS(ROW(NOTA[TANGGAL]),COLUMN(NOTA[TANGGAL]))&amp;":"&amp;ADDRESS(ROW(),COLUMN(NOTA[TANGGAL]))),-1)))</f>
        <v>44935</v>
      </c>
      <c r="AG199" s="65" t="str">
        <f ca="1">IF(NOTA[[#This Row],[NAMA BARANG]]="","",INDEX(NOTA[SUPPLIER],MATCH(,INDIRECT(ADDRESS(ROW(NOTA[ID]),COLUMN(NOTA[ID]))&amp;":"&amp;ADDRESS(ROW(),COLUMN(NOTA[ID]))),-1)))</f>
        <v>KENKO SINAR INDONESIA</v>
      </c>
      <c r="AH199" s="65" t="str">
        <f ca="1">IF(NOTA[[#This Row],[ID_H]]="","",IF(NOTA[[#This Row],[FAKTUR]]="",INDIRECT(ADDRESS(ROW()-1,COLUMN())),NOTA[[#This Row],[FAKTUR]]))</f>
        <v>ARTO MORO</v>
      </c>
      <c r="AI199" s="38">
        <f ca="1">IF(NOTA[[#This Row],[ID]]="","",COUNTIF(NOTA[ID_H],NOTA[[#This Row],[ID_H]]))</f>
        <v>10</v>
      </c>
      <c r="AJ199" s="38">
        <f>IF(NOTA[[#This Row],[TGL.NOTA]]="",IF(NOTA[[#This Row],[SUPPLIER_H]]="","",AJ198),MONTH(NOTA[[#This Row],[TGL.NOTA]]))</f>
        <v>1</v>
      </c>
      <c r="AK199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kenkoscissorsc82814100000.17</v>
      </c>
      <c r="AM199" s="193">
        <f>IF(NOTA[[#This Row],[CONCAT1]]="","",MATCH(NOTA[[#This Row],[CONCAT1]],[2]!db[NB NOTA_C],0)+1)</f>
        <v>1256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44</v>
      </c>
      <c r="E200" s="23"/>
      <c r="F200" s="26"/>
      <c r="G200" s="26"/>
      <c r="H200" s="31"/>
      <c r="I200" s="26"/>
      <c r="J200" s="51"/>
      <c r="K200" s="26"/>
      <c r="L200" s="26" t="s">
        <v>356</v>
      </c>
      <c r="M200" s="39">
        <v>2</v>
      </c>
      <c r="N200" s="26"/>
      <c r="O200" s="26"/>
      <c r="P200" s="49"/>
      <c r="Q200" s="52">
        <v>1995000</v>
      </c>
      <c r="R200" s="39" t="s">
        <v>366</v>
      </c>
      <c r="S200" s="53">
        <v>0.17</v>
      </c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3990000</v>
      </c>
      <c r="X200" s="54">
        <f>IF(NOTA[[#This Row],[JUMLAH]]="","",NOTA[[#This Row],[JUMLAH]]*NOTA[[#This Row],[DISC 1]])</f>
        <v>678300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678300</v>
      </c>
      <c r="AA200" s="54">
        <f>IF(NOTA[[#This Row],[JUMLAH]]="","",NOTA[[#This Row],[JUMLAH]]-NOTA[[#This Row],[DISC]])</f>
        <v>3311700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200" s="54" t="str">
        <f>IF(OR(NOTA[[#This Row],[QTY]]="",NOTA[[#This Row],[HARGA SATUAN]]="",),"",NOTA[[#This Row],[QTY]]*NOTA[[#This Row],[HARGA SATUAN]])</f>
        <v/>
      </c>
      <c r="AF200" s="51">
        <f ca="1">IF(NOTA[ID_H]="","",INDEX(NOTA[TANGGAL],MATCH(,INDIRECT(ADDRESS(ROW(NOTA[TANGGAL]),COLUMN(NOTA[TANGGAL]))&amp;":"&amp;ADDRESS(ROW(),COLUMN(NOTA[TANGGAL]))),-1)))</f>
        <v>44935</v>
      </c>
      <c r="AG200" s="65" t="str">
        <f ca="1">IF(NOTA[[#This Row],[NAMA BARANG]]="","",INDEX(NOTA[SUPPLIER],MATCH(,INDIRECT(ADDRESS(ROW(NOTA[ID]),COLUMN(NOTA[ID]))&amp;":"&amp;ADDRESS(ROW(),COLUMN(NOTA[ID]))),-1)))</f>
        <v>KENKO SINAR INDONESIA</v>
      </c>
      <c r="AH200" s="65" t="str">
        <f ca="1">IF(NOTA[[#This Row],[ID_H]]="","",IF(NOTA[[#This Row],[FAKTUR]]="",INDIRECT(ADDRESS(ROW()-1,COLUMN())),NOTA[[#This Row],[FAKTUR]]))</f>
        <v>ARTO MORO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1</v>
      </c>
      <c r="AK200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200" s="193">
        <f>IF(NOTA[[#This Row],[CONCAT1]]="","",MATCH(NOTA[[#This Row],[CONCAT1]],[2]!db[NB NOTA_C],0)+1)</f>
        <v>1257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44</v>
      </c>
      <c r="E201" s="23"/>
      <c r="F201" s="26"/>
      <c r="G201" s="26"/>
      <c r="H201" s="31"/>
      <c r="I201" s="26"/>
      <c r="J201" s="51"/>
      <c r="K201" s="26"/>
      <c r="L201" s="26" t="s">
        <v>357</v>
      </c>
      <c r="M201" s="39">
        <v>2</v>
      </c>
      <c r="N201" s="26"/>
      <c r="O201" s="26"/>
      <c r="P201" s="49"/>
      <c r="Q201" s="52">
        <v>1188000</v>
      </c>
      <c r="R201" s="39" t="s">
        <v>367</v>
      </c>
      <c r="S201" s="53">
        <v>0.17</v>
      </c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2376000</v>
      </c>
      <c r="X201" s="54">
        <f>IF(NOTA[[#This Row],[JUMLAH]]="","",NOTA[[#This Row],[JUMLAH]]*NOTA[[#This Row],[DISC 1]])</f>
        <v>403920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403920</v>
      </c>
      <c r="AA201" s="54">
        <f>IF(NOTA[[#This Row],[JUMLAH]]="","",NOTA[[#This Row],[JUMLAH]]-NOTA[[#This Row],[DISC]])</f>
        <v>1972080</v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01" s="54" t="str">
        <f>IF(OR(NOTA[[#This Row],[QTY]]="",NOTA[[#This Row],[HARGA SATUAN]]="",),"",NOTA[[#This Row],[QTY]]*NOTA[[#This Row],[HARGA SATUAN]])</f>
        <v/>
      </c>
      <c r="AF201" s="51">
        <f ca="1">IF(NOTA[ID_H]="","",INDEX(NOTA[TANGGAL],MATCH(,INDIRECT(ADDRESS(ROW(NOTA[TANGGAL]),COLUMN(NOTA[TANGGAL]))&amp;":"&amp;ADDRESS(ROW(),COLUMN(NOTA[TANGGAL]))),-1)))</f>
        <v>44935</v>
      </c>
      <c r="AG201" s="65" t="str">
        <f ca="1">IF(NOTA[[#This Row],[NAMA BARANG]]="","",INDEX(NOTA[SUPPLIER],MATCH(,INDIRECT(ADDRESS(ROW(NOTA[ID]),COLUMN(NOTA[ID]))&amp;":"&amp;ADDRESS(ROW(),COLUMN(NOTA[ID]))),-1)))</f>
        <v>KENKO SINAR INDONESIA</v>
      </c>
      <c r="AH201" s="65" t="str">
        <f ca="1">IF(NOTA[[#This Row],[ID_H]]="","",IF(NOTA[[#This Row],[FAKTUR]]="",INDIRECT(ADDRESS(ROW()-1,COLUMN())),NOTA[[#This Row],[FAKTUR]]))</f>
        <v>ARTO MORO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1</v>
      </c>
      <c r="AK20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01" s="193">
        <f>IF(NOTA[[#This Row],[CONCAT1]]="","",MATCH(NOTA[[#This Row],[CONCAT1]],[2]!db[NB NOTA_C],0)+1)</f>
        <v>1259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>
        <f ca="1">IF(NOTA[[#This Row],[NAMA BARANG]]="","",INDEX(NOTA[ID],MATCH(,INDIRECT(ADDRESS(ROW(NOTA[ID]),COLUMN(NOTA[ID]))&amp;":"&amp;ADDRESS(ROW(),COLUMN(NOTA[ID]))),-1)))</f>
        <v>44</v>
      </c>
      <c r="E202" s="23"/>
      <c r="F202" s="26"/>
      <c r="G202" s="26"/>
      <c r="H202" s="31"/>
      <c r="I202" s="26"/>
      <c r="J202" s="51"/>
      <c r="K202" s="26"/>
      <c r="L202" s="26" t="s">
        <v>358</v>
      </c>
      <c r="M202" s="39">
        <v>2</v>
      </c>
      <c r="N202" s="26"/>
      <c r="O202" s="26"/>
      <c r="P202" s="49"/>
      <c r="Q202" s="52">
        <v>2280000</v>
      </c>
      <c r="R202" s="39" t="s">
        <v>367</v>
      </c>
      <c r="S202" s="53">
        <v>0.17</v>
      </c>
      <c r="T202" s="53"/>
      <c r="U202" s="54"/>
      <c r="V202" s="37"/>
      <c r="W202" s="54">
        <f>IF(NOTA[[#This Row],[HARGA/ CTN]]="",NOTA[[#This Row],[JUMLAH_H]],NOTA[[#This Row],[HARGA/ CTN]]*IF(NOTA[[#This Row],[C]]="",0,NOTA[[#This Row],[C]]))</f>
        <v>4560000</v>
      </c>
      <c r="X202" s="54">
        <f>IF(NOTA[[#This Row],[JUMLAH]]="","",NOTA[[#This Row],[JUMLAH]]*NOTA[[#This Row],[DISC 1]])</f>
        <v>775200</v>
      </c>
      <c r="Y202" s="54">
        <f>IF(NOTA[[#This Row],[JUMLAH]]="","",(NOTA[[#This Row],[JUMLAH]]-NOTA[[#This Row],[DISC 1-]])*NOTA[[#This Row],[DISC 2]])</f>
        <v>0</v>
      </c>
      <c r="Z202" s="54">
        <f>IF(NOTA[[#This Row],[JUMLAH]]="","",NOTA[[#This Row],[DISC 1-]]+NOTA[[#This Row],[DISC 2-]])</f>
        <v>775200</v>
      </c>
      <c r="AA202" s="54">
        <f>IF(NOTA[[#This Row],[JUMLAH]]="","",NOTA[[#This Row],[JUMLAH]]-NOTA[[#This Row],[DISC]])</f>
        <v>3784800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02" s="54" t="str">
        <f>IF(OR(NOTA[[#This Row],[QTY]]="",NOTA[[#This Row],[HARGA SATUAN]]="",),"",NOTA[[#This Row],[QTY]]*NOTA[[#This Row],[HARGA SATUAN]])</f>
        <v/>
      </c>
      <c r="AF202" s="51">
        <f ca="1">IF(NOTA[ID_H]="","",INDEX(NOTA[TANGGAL],MATCH(,INDIRECT(ADDRESS(ROW(NOTA[TANGGAL]),COLUMN(NOTA[TANGGAL]))&amp;":"&amp;ADDRESS(ROW(),COLUMN(NOTA[TANGGAL]))),-1)))</f>
        <v>44935</v>
      </c>
      <c r="AG202" s="65" t="str">
        <f ca="1">IF(NOTA[[#This Row],[NAMA BARANG]]="","",INDEX(NOTA[SUPPLIER],MATCH(,INDIRECT(ADDRESS(ROW(NOTA[ID]),COLUMN(NOTA[ID]))&amp;":"&amp;ADDRESS(ROW(),COLUMN(NOTA[ID]))),-1)))</f>
        <v>KENKO SINAR INDONESIA</v>
      </c>
      <c r="AH202" s="65" t="str">
        <f ca="1">IF(NOTA[[#This Row],[ID_H]]="","",IF(NOTA[[#This Row],[FAKTUR]]="",INDIRECT(ADDRESS(ROW()-1,COLUMN())),NOTA[[#This Row],[FAKTUR]]))</f>
        <v>ARTO MORO</v>
      </c>
      <c r="AI202" s="38" t="str">
        <f ca="1">IF(NOTA[[#This Row],[ID]]="","",COUNTIF(NOTA[ID_H],NOTA[[#This Row],[ID_H]]))</f>
        <v/>
      </c>
      <c r="AJ202" s="38">
        <f ca="1">IF(NOTA[[#This Row],[TGL.NOTA]]="",IF(NOTA[[#This Row],[SUPPLIER_H]]="","",AJ201),MONTH(NOTA[[#This Row],[TGL.NOTA]]))</f>
        <v>1</v>
      </c>
      <c r="AK20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02" s="193">
        <f>IF(NOTA[[#This Row],[CONCAT1]]="","",MATCH(NOTA[[#This Row],[CONCAT1]],[2]!db[NB NOTA_C],0)+1)</f>
        <v>1287</v>
      </c>
    </row>
    <row r="203" spans="1:39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44</v>
      </c>
      <c r="E203" s="23"/>
      <c r="F203" s="26"/>
      <c r="G203" s="26"/>
      <c r="H203" s="31"/>
      <c r="I203" s="26"/>
      <c r="J203" s="51"/>
      <c r="K203" s="26"/>
      <c r="L203" s="26" t="s">
        <v>359</v>
      </c>
      <c r="M203" s="39">
        <v>1</v>
      </c>
      <c r="N203" s="26"/>
      <c r="O203" s="26"/>
      <c r="P203" s="49"/>
      <c r="Q203" s="52">
        <v>504000</v>
      </c>
      <c r="R203" s="39" t="s">
        <v>368</v>
      </c>
      <c r="S203" s="53">
        <v>0.17</v>
      </c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504000</v>
      </c>
      <c r="X203" s="54">
        <f>IF(NOTA[[#This Row],[JUMLAH]]="","",NOTA[[#This Row],[JUMLAH]]*NOTA[[#This Row],[DISC 1]])</f>
        <v>85680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85680</v>
      </c>
      <c r="AA203" s="54">
        <f>IF(NOTA[[#This Row],[JUMLAH]]="","",NOTA[[#This Row],[JUMLAH]]-NOTA[[#This Row],[DISC]])</f>
        <v>418320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203" s="54" t="str">
        <f>IF(OR(NOTA[[#This Row],[QTY]]="",NOTA[[#This Row],[HARGA SATUAN]]="",),"",NOTA[[#This Row],[QTY]]*NOTA[[#This Row],[HARGA SATUAN]])</f>
        <v/>
      </c>
      <c r="AF203" s="51">
        <f ca="1">IF(NOTA[ID_H]="","",INDEX(NOTA[TANGGAL],MATCH(,INDIRECT(ADDRESS(ROW(NOTA[TANGGAL]),COLUMN(NOTA[TANGGAL]))&amp;":"&amp;ADDRESS(ROW(),COLUMN(NOTA[TANGGAL]))),-1)))</f>
        <v>44935</v>
      </c>
      <c r="AG203" s="65" t="str">
        <f ca="1">IF(NOTA[[#This Row],[NAMA BARANG]]="","",INDEX(NOTA[SUPPLIER],MATCH(,INDIRECT(ADDRESS(ROW(NOTA[ID]),COLUMN(NOTA[ID]))&amp;":"&amp;ADDRESS(ROW(),COLUMN(NOTA[ID]))),-1)))</f>
        <v>KENKO SINAR INDONESIA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1</v>
      </c>
      <c r="AK203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kenkoheavydutystaplerhd12n135040000.17</v>
      </c>
      <c r="AM203" s="193">
        <f>IF(NOTA[[#This Row],[CONCAT1]]="","",MATCH(NOTA[[#This Row],[CONCAT1]],[2]!db[NB NOTA_C],0)+1)</f>
        <v>1184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44</v>
      </c>
      <c r="E204" s="23"/>
      <c r="F204" s="26"/>
      <c r="G204" s="26"/>
      <c r="H204" s="31"/>
      <c r="I204" s="26"/>
      <c r="J204" s="51"/>
      <c r="K204" s="26"/>
      <c r="L204" s="26" t="s">
        <v>346</v>
      </c>
      <c r="M204" s="39">
        <v>2</v>
      </c>
      <c r="N204" s="26"/>
      <c r="O204" s="26"/>
      <c r="P204" s="49"/>
      <c r="Q204" s="52">
        <v>1500000</v>
      </c>
      <c r="R204" s="39" t="s">
        <v>369</v>
      </c>
      <c r="S204" s="53">
        <v>0.17</v>
      </c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3000000</v>
      </c>
      <c r="X204" s="54">
        <f>IF(NOTA[[#This Row],[JUMLAH]]="","",NOTA[[#This Row],[JUMLAH]]*NOTA[[#This Row],[DISC 1]])</f>
        <v>510000.00000000006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510000.00000000006</v>
      </c>
      <c r="AA204" s="54">
        <f>IF(NOTA[[#This Row],[JUMLAH]]="","",NOTA[[#This Row],[JUMLAH]]-NOTA[[#This Row],[DISC]])</f>
        <v>2490000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04" s="54" t="str">
        <f>IF(OR(NOTA[[#This Row],[QTY]]="",NOTA[[#This Row],[HARGA SATUAN]]="",),"",NOTA[[#This Row],[QTY]]*NOTA[[#This Row],[HARGA SATUAN]])</f>
        <v/>
      </c>
      <c r="AF204" s="51">
        <f ca="1">IF(NOTA[ID_H]="","",INDEX(NOTA[TANGGAL],MATCH(,INDIRECT(ADDRESS(ROW(NOTA[TANGGAL]),COLUMN(NOTA[TANGGAL]))&amp;":"&amp;ADDRESS(ROW(),COLUMN(NOTA[TANGGAL]))),-1)))</f>
        <v>44935</v>
      </c>
      <c r="AG204" s="65" t="str">
        <f ca="1">IF(NOTA[[#This Row],[NAMA BARANG]]="","",INDEX(NOTA[SUPPLIER],MATCH(,INDIRECT(ADDRESS(ROW(NOTA[ID]),COLUMN(NOTA[ID]))&amp;":"&amp;ADDRESS(ROW(),COLUMN(NOTA[ID]))),-1)))</f>
        <v>KENKO SINAR INDONESIA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1</v>
      </c>
      <c r="AK20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04" s="193">
        <f>IF(NOTA[[#This Row],[CONCAT1]]="","",MATCH(NOTA[[#This Row],[CONCAT1]],[2]!db[NB NOTA_C],0)+1)</f>
        <v>1304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44</v>
      </c>
      <c r="E205" s="23"/>
      <c r="F205" s="26"/>
      <c r="G205" s="26"/>
      <c r="H205" s="31"/>
      <c r="I205" s="26"/>
      <c r="J205" s="51"/>
      <c r="K205" s="26"/>
      <c r="L205" s="26" t="s">
        <v>352</v>
      </c>
      <c r="M205" s="39">
        <v>1</v>
      </c>
      <c r="N205" s="26"/>
      <c r="O205" s="26"/>
      <c r="P205" s="49"/>
      <c r="Q205" s="52">
        <v>1375000</v>
      </c>
      <c r="R205" s="39" t="s">
        <v>369</v>
      </c>
      <c r="S205" s="53">
        <v>0.17</v>
      </c>
      <c r="T205" s="53"/>
      <c r="U205" s="54"/>
      <c r="V205" s="37"/>
      <c r="W205" s="54">
        <f>IF(NOTA[[#This Row],[HARGA/ CTN]]="",NOTA[[#This Row],[JUMLAH_H]],NOTA[[#This Row],[HARGA/ CTN]]*IF(NOTA[[#This Row],[C]]="",0,NOTA[[#This Row],[C]]))</f>
        <v>1375000</v>
      </c>
      <c r="X205" s="54">
        <f>IF(NOTA[[#This Row],[JUMLAH]]="","",NOTA[[#This Row],[JUMLAH]]*NOTA[[#This Row],[DISC 1]])</f>
        <v>233750.00000000003</v>
      </c>
      <c r="Y205" s="54">
        <f>IF(NOTA[[#This Row],[JUMLAH]]="","",(NOTA[[#This Row],[JUMLAH]]-NOTA[[#This Row],[DISC 1-]])*NOTA[[#This Row],[DISC 2]])</f>
        <v>0</v>
      </c>
      <c r="Z205" s="54">
        <f>IF(NOTA[[#This Row],[JUMLAH]]="","",NOTA[[#This Row],[DISC 1-]]+NOTA[[#This Row],[DISC 2-]])</f>
        <v>233750.00000000003</v>
      </c>
      <c r="AA205" s="54">
        <f>IF(NOTA[[#This Row],[JUMLAH]]="","",NOTA[[#This Row],[JUMLAH]]-NOTA[[#This Row],[DISC]])</f>
        <v>1141250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05" s="54" t="str">
        <f>IF(OR(NOTA[[#This Row],[QTY]]="",NOTA[[#This Row],[HARGA SATUAN]]="",),"",NOTA[[#This Row],[QTY]]*NOTA[[#This Row],[HARGA SATUAN]])</f>
        <v/>
      </c>
      <c r="AF205" s="51">
        <f ca="1">IF(NOTA[ID_H]="","",INDEX(NOTA[TANGGAL],MATCH(,INDIRECT(ADDRESS(ROW(NOTA[TANGGAL]),COLUMN(NOTA[TANGGAL]))&amp;":"&amp;ADDRESS(ROW(),COLUMN(NOTA[TANGGAL]))),-1)))</f>
        <v>44935</v>
      </c>
      <c r="AG205" s="65" t="str">
        <f ca="1">IF(NOTA[[#This Row],[NAMA BARANG]]="","",INDEX(NOTA[SUPPLIER],MATCH(,INDIRECT(ADDRESS(ROW(NOTA[ID]),COLUMN(NOTA[ID]))&amp;":"&amp;ADDRESS(ROW(),COLUMN(NOTA[ID]))),-1)))</f>
        <v>KENKO SINAR INDONESIA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1</v>
      </c>
      <c r="AK20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05" s="193">
        <f>IF(NOTA[[#This Row],[CONCAT1]]="","",MATCH(NOTA[[#This Row],[CONCAT1]],[2]!db[NB NOTA_C],0)+1)</f>
        <v>1133</v>
      </c>
    </row>
    <row r="206" spans="1:39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44</v>
      </c>
      <c r="E206" s="23"/>
      <c r="F206" s="26"/>
      <c r="G206" s="26"/>
      <c r="H206" s="31"/>
      <c r="I206" s="26"/>
      <c r="J206" s="51"/>
      <c r="K206" s="26"/>
      <c r="L206" s="26" t="s">
        <v>360</v>
      </c>
      <c r="M206" s="39">
        <v>1</v>
      </c>
      <c r="N206" s="26"/>
      <c r="O206" s="26"/>
      <c r="P206" s="49"/>
      <c r="Q206" s="52">
        <v>741600</v>
      </c>
      <c r="R206" s="39" t="s">
        <v>370</v>
      </c>
      <c r="S206" s="53">
        <v>0.17</v>
      </c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741600</v>
      </c>
      <c r="X206" s="54">
        <f>IF(NOTA[[#This Row],[JUMLAH]]="","",NOTA[[#This Row],[JUMLAH]]*NOTA[[#This Row],[DISC 1]])</f>
        <v>126072.00000000001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126072.00000000001</v>
      </c>
      <c r="AA206" s="54">
        <f>IF(NOTA[[#This Row],[JUMLAH]]="","",NOTA[[#This Row],[JUMLAH]]-NOTA[[#This Row],[DISC]])</f>
        <v>615528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206" s="54" t="str">
        <f>IF(OR(NOTA[[#This Row],[QTY]]="",NOTA[[#This Row],[HARGA SATUAN]]="",),"",NOTA[[#This Row],[QTY]]*NOTA[[#This Row],[HARGA SATUAN]])</f>
        <v/>
      </c>
      <c r="AF206" s="51">
        <f ca="1">IF(NOTA[ID_H]="","",INDEX(NOTA[TANGGAL],MATCH(,INDIRECT(ADDRESS(ROW(NOTA[TANGGAL]),COLUMN(NOTA[TANGGAL]))&amp;":"&amp;ADDRESS(ROW(),COLUMN(NOTA[TANGGAL]))),-1)))</f>
        <v>44935</v>
      </c>
      <c r="AG206" s="65" t="str">
        <f ca="1">IF(NOTA[[#This Row],[NAMA BARANG]]="","",INDEX(NOTA[SUPPLIER],MATCH(,INDIRECT(ADDRESS(ROW(NOTA[ID]),COLUMN(NOTA[ID]))&amp;":"&amp;ADDRESS(ROW(),COLUMN(NOTA[ID]))),-1)))</f>
        <v>KENKO SINAR INDONESIA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1</v>
      </c>
      <c r="AK20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206" s="193">
        <f>IF(NOTA[[#This Row],[CONCAT1]]="","",MATCH(NOTA[[#This Row],[CONCAT1]],[2]!db[NB NOTA_C],0)+1)</f>
        <v>1239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44</v>
      </c>
      <c r="E207" s="23"/>
      <c r="F207" s="26"/>
      <c r="G207" s="26"/>
      <c r="H207" s="31"/>
      <c r="I207" s="26"/>
      <c r="J207" s="51"/>
      <c r="K207" s="26"/>
      <c r="L207" s="26" t="s">
        <v>135</v>
      </c>
      <c r="M207" s="39">
        <v>2</v>
      </c>
      <c r="N207" s="26"/>
      <c r="O207" s="26"/>
      <c r="P207" s="49"/>
      <c r="Q207" s="52">
        <v>462000</v>
      </c>
      <c r="R207" s="39" t="s">
        <v>130</v>
      </c>
      <c r="S207" s="53">
        <v>0.17</v>
      </c>
      <c r="T207" s="53"/>
      <c r="U207" s="54"/>
      <c r="V207" s="37"/>
      <c r="W207" s="54">
        <f>IF(NOTA[[#This Row],[HARGA/ CTN]]="",NOTA[[#This Row],[JUMLAH_H]],NOTA[[#This Row],[HARGA/ CTN]]*IF(NOTA[[#This Row],[C]]="",0,NOTA[[#This Row],[C]]))</f>
        <v>924000</v>
      </c>
      <c r="X207" s="54">
        <f>IF(NOTA[[#This Row],[JUMLAH]]="","",NOTA[[#This Row],[JUMLAH]]*NOTA[[#This Row],[DISC 1]])</f>
        <v>157080</v>
      </c>
      <c r="Y207" s="54">
        <f>IF(NOTA[[#This Row],[JUMLAH]]="","",(NOTA[[#This Row],[JUMLAH]]-NOTA[[#This Row],[DISC 1-]])*NOTA[[#This Row],[DISC 2]])</f>
        <v>0</v>
      </c>
      <c r="Z207" s="54">
        <f>IF(NOTA[[#This Row],[JUMLAH]]="","",NOTA[[#This Row],[DISC 1-]]+NOTA[[#This Row],[DISC 2-]])</f>
        <v>157080</v>
      </c>
      <c r="AA207" s="54">
        <f>IF(NOTA[[#This Row],[JUMLAH]]="","",NOTA[[#This Row],[JUMLAH]]-NOTA[[#This Row],[DISC]])</f>
        <v>766920</v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07" s="54" t="str">
        <f>IF(OR(NOTA[[#This Row],[QTY]]="",NOTA[[#This Row],[HARGA SATUAN]]="",),"",NOTA[[#This Row],[QTY]]*NOTA[[#This Row],[HARGA SATUAN]])</f>
        <v/>
      </c>
      <c r="AF207" s="51">
        <f ca="1">IF(NOTA[ID_H]="","",INDEX(NOTA[TANGGAL],MATCH(,INDIRECT(ADDRESS(ROW(NOTA[TANGGAL]),COLUMN(NOTA[TANGGAL]))&amp;":"&amp;ADDRESS(ROW(),COLUMN(NOTA[TANGGAL]))),-1)))</f>
        <v>44935</v>
      </c>
      <c r="AG207" s="65" t="str">
        <f ca="1">IF(NOTA[[#This Row],[NAMA BARANG]]="","",INDEX(NOTA[SUPPLIER],MATCH(,INDIRECT(ADDRESS(ROW(NOTA[ID]),COLUMN(NOTA[ID]))&amp;":"&amp;ADDRESS(ROW(),COLUMN(NOTA[ID]))),-1)))</f>
        <v>KENKO SINAR INDONESIA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1</v>
      </c>
      <c r="AK207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07" s="193">
        <f>IF(NOTA[[#This Row],[CONCAT1]]="","",MATCH(NOTA[[#This Row],[CONCAT1]],[2]!db[NB NOTA_C],0)+1)</f>
        <v>1296</v>
      </c>
    </row>
    <row r="208" spans="1:39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>
        <f ca="1">IF(NOTA[[#This Row],[NAMA BARANG]]="","",INDEX(NOTA[ID],MATCH(,INDIRECT(ADDRESS(ROW(NOTA[ID]),COLUMN(NOTA[ID]))&amp;":"&amp;ADDRESS(ROW(),COLUMN(NOTA[ID]))),-1)))</f>
        <v>44</v>
      </c>
      <c r="E208" s="23"/>
      <c r="F208" s="26"/>
      <c r="G208" s="26"/>
      <c r="H208" s="31"/>
      <c r="I208" s="26"/>
      <c r="J208" s="51"/>
      <c r="K208" s="26"/>
      <c r="L208" s="26" t="s">
        <v>361</v>
      </c>
      <c r="M208" s="39">
        <v>1</v>
      </c>
      <c r="N208" s="26"/>
      <c r="O208" s="26"/>
      <c r="P208" s="49"/>
      <c r="Q208" s="52">
        <v>1476000</v>
      </c>
      <c r="R208" s="39" t="s">
        <v>371</v>
      </c>
      <c r="S208" s="53">
        <v>0.17</v>
      </c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1476000</v>
      </c>
      <c r="X208" s="54">
        <f>IF(NOTA[[#This Row],[JUMLAH]]="","",NOTA[[#This Row],[JUMLAH]]*NOTA[[#This Row],[DISC 1]])</f>
        <v>250920.00000000003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250920.00000000003</v>
      </c>
      <c r="AA208" s="54">
        <f>IF(NOTA[[#This Row],[JUMLAH]]="","",NOTA[[#This Row],[JUMLAH]]-NOTA[[#This Row],[DISC]])</f>
        <v>1225080</v>
      </c>
      <c r="AB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C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208" s="54" t="str">
        <f>IF(OR(NOTA[[#This Row],[QTY]]="",NOTA[[#This Row],[HARGA SATUAN]]="",),"",NOTA[[#This Row],[QTY]]*NOTA[[#This Row],[HARGA SATUAN]])</f>
        <v/>
      </c>
      <c r="AF208" s="51">
        <f ca="1">IF(NOTA[ID_H]="","",INDEX(NOTA[TANGGAL],MATCH(,INDIRECT(ADDRESS(ROW(NOTA[TANGGAL]),COLUMN(NOTA[TANGGAL]))&amp;":"&amp;ADDRESS(ROW(),COLUMN(NOTA[TANGGAL]))),-1)))</f>
        <v>44935</v>
      </c>
      <c r="AG208" s="65" t="str">
        <f ca="1">IF(NOTA[[#This Row],[NAMA BARANG]]="","",INDEX(NOTA[SUPPLIER],MATCH(,INDIRECT(ADDRESS(ROW(NOTA[ID]),COLUMN(NOTA[ID]))&amp;":"&amp;ADDRESS(ROW(),COLUMN(NOTA[ID]))),-1)))</f>
        <v>KENKO SINAR INDONESIA</v>
      </c>
      <c r="AH208" s="65" t="str">
        <f ca="1">IF(NOTA[[#This Row],[ID_H]]="","",IF(NOTA[[#This Row],[FAKTUR]]="",INDIRECT(ADDRESS(ROW()-1,COLUMN())),NOTA[[#This Row],[FAKTUR]]))</f>
        <v>ARTO MORO</v>
      </c>
      <c r="AI208" s="38" t="str">
        <f ca="1">IF(NOTA[[#This Row],[ID]]="","",COUNTIF(NOTA[ID_H],NOTA[[#This Row],[ID_H]]))</f>
        <v/>
      </c>
      <c r="AJ208" s="38">
        <f ca="1">IF(NOTA[[#This Row],[TGL.NOTA]]="",IF(NOTA[[#This Row],[SUPPLIER_H]]="","",AJ207),MONTH(NOTA[[#This Row],[TGL.NOTA]]))</f>
        <v>1</v>
      </c>
      <c r="AK20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kenkobinderclipno11114760000.17</v>
      </c>
      <c r="AM208" s="193">
        <f>IF(NOTA[[#This Row],[CONCAT1]]="","",MATCH(NOTA[[#This Row],[CONCAT1]],[2]!db[NB NOTA_C],0)+1)</f>
        <v>1038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9" s="193" t="str">
        <f>IF(NOTA[[#This Row],[CONCAT1]]="","",MATCH(NOTA[[#This Row],[CONCAT1]],[2]!db[NB NOTA_C],0)+1)</f>
        <v/>
      </c>
    </row>
    <row r="210" spans="1:39" ht="20.100000000000001" customHeight="1" x14ac:dyDescent="0.25">
      <c r="A21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210" s="50" t="e">
        <f ca="1">IF(NOTA[[#This Row],[ID_P]]="","",MATCH(NOTA[[#This Row],[ID_P]],[1]!B_MSK[N_ID],0))</f>
        <v>#REF!</v>
      </c>
      <c r="D210" s="50">
        <f ca="1">IF(NOTA[[#This Row],[NAMA BARANG]]="","",INDEX(NOTA[ID],MATCH(,INDIRECT(ADDRESS(ROW(NOTA[ID]),COLUMN(NOTA[ID]))&amp;":"&amp;ADDRESS(ROW(),COLUMN(NOTA[ID]))),-1)))</f>
        <v>45</v>
      </c>
      <c r="E210" s="23"/>
      <c r="F210" s="26" t="s">
        <v>23</v>
      </c>
      <c r="G210" s="26" t="s">
        <v>24</v>
      </c>
      <c r="H210" s="31" t="s">
        <v>380</v>
      </c>
      <c r="I210" s="26" t="s">
        <v>381</v>
      </c>
      <c r="J210" s="51">
        <v>44930</v>
      </c>
      <c r="K210" s="26"/>
      <c r="L210" s="26" t="s">
        <v>337</v>
      </c>
      <c r="M210" s="39">
        <v>3</v>
      </c>
      <c r="N210" s="26"/>
      <c r="O210" s="26"/>
      <c r="P210" s="49"/>
      <c r="Q210" s="52">
        <v>5616000</v>
      </c>
      <c r="R210" s="39" t="s">
        <v>117</v>
      </c>
      <c r="S210" s="53">
        <v>0.17</v>
      </c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16848000</v>
      </c>
      <c r="X210" s="54">
        <f>IF(NOTA[[#This Row],[JUMLAH]]="","",NOTA[[#This Row],[JUMLAH]]*NOTA[[#This Row],[DISC 1]])</f>
        <v>2864160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2864160</v>
      </c>
      <c r="AA210" s="54">
        <f>IF(NOTA[[#This Row],[JUMLAH]]="","",NOTA[[#This Row],[JUMLAH]]-NOTA[[#This Row],[DISC]])</f>
        <v>13983840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0" s="54" t="str">
        <f>IF(OR(NOTA[[#This Row],[QTY]]="",NOTA[[#This Row],[HARGA SATUAN]]="",),"",NOTA[[#This Row],[QTY]]*NOTA[[#This Row],[HARGA SATUAN]])</f>
        <v/>
      </c>
      <c r="AF210" s="51">
        <f ca="1">IF(NOTA[ID_H]="","",INDEX(NOTA[TANGGAL],MATCH(,INDIRECT(ADDRESS(ROW(NOTA[TANGGAL]),COLUMN(NOTA[TANGGAL]))&amp;":"&amp;ADDRESS(ROW(),COLUMN(NOTA[TANGGAL]))),-1)))</f>
        <v>44935</v>
      </c>
      <c r="AG210" s="65" t="str">
        <f ca="1">IF(NOTA[[#This Row],[NAMA BARANG]]="","",INDEX(NOTA[SUPPLIER],MATCH(,INDIRECT(ADDRESS(ROW(NOTA[ID]),COLUMN(NOTA[ID]))&amp;":"&amp;ADDRESS(ROW(),COLUMN(NOTA[ID]))),-1)))</f>
        <v>KENKO SINAR INDONESIA</v>
      </c>
      <c r="AH210" s="65" t="str">
        <f ca="1">IF(NOTA[[#This Row],[ID_H]]="","",IF(NOTA[[#This Row],[FAKTUR]]="",INDIRECT(ADDRESS(ROW()-1,COLUMN())),NOTA[[#This Row],[FAKTUR]]))</f>
        <v>ARTO MORO</v>
      </c>
      <c r="AI210" s="38">
        <f ca="1">IF(NOTA[[#This Row],[ID]]="","",COUNTIF(NOTA[ID_H],NOTA[[#This Row],[ID_H]]))</f>
        <v>3</v>
      </c>
      <c r="AJ210" s="38">
        <f>IF(NOTA[[#This Row],[TGL.NOTA]]="",IF(NOTA[[#This Row],[SUPPLIER_H]]="","",AJ209),MONTH(NOTA[[#This Row],[TGL.NOTA]]))</f>
        <v>1</v>
      </c>
      <c r="AK210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0" s="193">
        <f>IF(NOTA[[#This Row],[CONCAT1]]="","",MATCH(NOTA[[#This Row],[CONCAT1]],[2]!db[NB NOTA_C],0)+1)</f>
        <v>1141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45</v>
      </c>
      <c r="E211" s="23"/>
      <c r="F211" s="26"/>
      <c r="G211" s="26"/>
      <c r="H211" s="31"/>
      <c r="I211" s="26"/>
      <c r="J211" s="51"/>
      <c r="K211" s="26"/>
      <c r="L211" s="26" t="s">
        <v>160</v>
      </c>
      <c r="M211" s="39">
        <v>5</v>
      </c>
      <c r="N211" s="26"/>
      <c r="O211" s="26"/>
      <c r="P211" s="49"/>
      <c r="Q211" s="52">
        <v>2112000</v>
      </c>
      <c r="R211" s="39" t="s">
        <v>136</v>
      </c>
      <c r="S211" s="53">
        <v>0.17</v>
      </c>
      <c r="T211" s="53"/>
      <c r="U211" s="54"/>
      <c r="V211" s="37"/>
      <c r="W211" s="54">
        <f>IF(NOTA[[#This Row],[HARGA/ CTN]]="",NOTA[[#This Row],[JUMLAH_H]],NOTA[[#This Row],[HARGA/ CTN]]*IF(NOTA[[#This Row],[C]]="",0,NOTA[[#This Row],[C]]))</f>
        <v>10560000</v>
      </c>
      <c r="X211" s="54">
        <f>IF(NOTA[[#This Row],[JUMLAH]]="","",NOTA[[#This Row],[JUMLAH]]*NOTA[[#This Row],[DISC 1]])</f>
        <v>1795200.0000000002</v>
      </c>
      <c r="Y211" s="54">
        <f>IF(NOTA[[#This Row],[JUMLAH]]="","",(NOTA[[#This Row],[JUMLAH]]-NOTA[[#This Row],[DISC 1-]])*NOTA[[#This Row],[DISC 2]])</f>
        <v>0</v>
      </c>
      <c r="Z211" s="54">
        <f>IF(NOTA[[#This Row],[JUMLAH]]="","",NOTA[[#This Row],[DISC 1-]]+NOTA[[#This Row],[DISC 2-]])</f>
        <v>1795200.0000000002</v>
      </c>
      <c r="AA211" s="54">
        <f>IF(NOTA[[#This Row],[JUMLAH]]="","",NOTA[[#This Row],[JUMLAH]]-NOTA[[#This Row],[DISC]])</f>
        <v>8764800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11" s="54" t="str">
        <f>IF(OR(NOTA[[#This Row],[QTY]]="",NOTA[[#This Row],[HARGA SATUAN]]="",),"",NOTA[[#This Row],[QTY]]*NOTA[[#This Row],[HARGA SATUAN]])</f>
        <v/>
      </c>
      <c r="AF211" s="51">
        <f ca="1">IF(NOTA[ID_H]="","",INDEX(NOTA[TANGGAL],MATCH(,INDIRECT(ADDRESS(ROW(NOTA[TANGGAL]),COLUMN(NOTA[TANGGAL]))&amp;":"&amp;ADDRESS(ROW(),COLUMN(NOTA[TANGGAL]))),-1)))</f>
        <v>44935</v>
      </c>
      <c r="AG211" s="65" t="str">
        <f ca="1">IF(NOTA[[#This Row],[NAMA BARANG]]="","",INDEX(NOTA[SUPPLIER],MATCH(,INDIRECT(ADDRESS(ROW(NOTA[ID]),COLUMN(NOTA[ID]))&amp;":"&amp;ADDRESS(ROW(),COLUMN(NOTA[ID]))),-1)))</f>
        <v>KENKO SINAR INDONESIA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1</v>
      </c>
      <c r="AK211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11" s="193">
        <f>IF(NOTA[[#This Row],[CONCAT1]]="","",MATCH(NOTA[[#This Row],[CONCAT1]],[2]!db[NB NOTA_C],0)+1)</f>
        <v>1222</v>
      </c>
    </row>
    <row r="212" spans="1:39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45</v>
      </c>
      <c r="E212" s="23"/>
      <c r="F212" s="26"/>
      <c r="G212" s="26"/>
      <c r="H212" s="31"/>
      <c r="I212" s="26" t="s">
        <v>382</v>
      </c>
      <c r="J212" s="51"/>
      <c r="K212" s="26"/>
      <c r="L212" s="26" t="s">
        <v>336</v>
      </c>
      <c r="M212" s="39">
        <v>5</v>
      </c>
      <c r="N212" s="26"/>
      <c r="O212" s="26"/>
      <c r="P212" s="49"/>
      <c r="Q212" s="52">
        <v>3888000</v>
      </c>
      <c r="R212" s="39" t="s">
        <v>377</v>
      </c>
      <c r="S212" s="53">
        <v>0.17</v>
      </c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19440000</v>
      </c>
      <c r="X212" s="54">
        <f>IF(NOTA[[#This Row],[JUMLAH]]="","",NOTA[[#This Row],[JUMLAH]]*NOTA[[#This Row],[DISC 1]])</f>
        <v>3304800.0000000005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3304800.0000000005</v>
      </c>
      <c r="AA212" s="54">
        <f>IF(NOTA[[#This Row],[JUMLAH]]="","",NOTA[[#This Row],[JUMLAH]]-NOTA[[#This Row],[DISC]])</f>
        <v>16135200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44935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1</v>
      </c>
      <c r="AK21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12" s="193">
        <f>IF(NOTA[[#This Row],[CONCAT1]]="","",MATCH(NOTA[[#This Row],[CONCAT1]],[2]!db[NB NOTA_C],0)+1)</f>
        <v>1120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93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46</v>
      </c>
      <c r="E214" s="23"/>
      <c r="F214" s="26" t="s">
        <v>23</v>
      </c>
      <c r="G214" s="26" t="s">
        <v>24</v>
      </c>
      <c r="H214" s="31" t="s">
        <v>383</v>
      </c>
      <c r="I214" s="26" t="s">
        <v>384</v>
      </c>
      <c r="J214" s="51">
        <v>44930</v>
      </c>
      <c r="K214" s="26"/>
      <c r="L214" s="26" t="s">
        <v>343</v>
      </c>
      <c r="M214" s="39">
        <v>1</v>
      </c>
      <c r="N214" s="26"/>
      <c r="O214" s="26"/>
      <c r="P214" s="49"/>
      <c r="Q214" s="52">
        <v>1069200</v>
      </c>
      <c r="R214" s="39" t="s">
        <v>374</v>
      </c>
      <c r="S214" s="53">
        <v>0.17</v>
      </c>
      <c r="T214" s="53"/>
      <c r="U214" s="54"/>
      <c r="V214" s="37"/>
      <c r="W214" s="54">
        <f>IF(NOTA[[#This Row],[HARGA/ CTN]]="",NOTA[[#This Row],[JUMLAH_H]],NOTA[[#This Row],[HARGA/ CTN]]*IF(NOTA[[#This Row],[C]]="",0,NOTA[[#This Row],[C]]))</f>
        <v>1069200</v>
      </c>
      <c r="X214" s="54">
        <f>IF(NOTA[[#This Row],[JUMLAH]]="","",NOTA[[#This Row],[JUMLAH]]*NOTA[[#This Row],[DISC 1]])</f>
        <v>181764</v>
      </c>
      <c r="Y214" s="54">
        <f>IF(NOTA[[#This Row],[JUMLAH]]="","",(NOTA[[#This Row],[JUMLAH]]-NOTA[[#This Row],[DISC 1-]])*NOTA[[#This Row],[DISC 2]])</f>
        <v>0</v>
      </c>
      <c r="Z214" s="54">
        <f>IF(NOTA[[#This Row],[JUMLAH]]="","",NOTA[[#This Row],[DISC 1-]]+NOTA[[#This Row],[DISC 2-]])</f>
        <v>181764</v>
      </c>
      <c r="AA214" s="54">
        <f>IF(NOTA[[#This Row],[JUMLAH]]="","",NOTA[[#This Row],[JUMLAH]]-NOTA[[#This Row],[DISC]])</f>
        <v>887436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44935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9</v>
      </c>
      <c r="AJ214" s="38">
        <f>IF(NOTA[[#This Row],[TGL.NOTA]]="",IF(NOTA[[#This Row],[SUPPLIER_H]]="","",AJ213),MONTH(NOTA[[#This Row],[TGL.NOTA]]))</f>
        <v>1</v>
      </c>
      <c r="AK214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14" s="193">
        <f>IF(NOTA[[#This Row],[CONCAT1]]="","",MATCH(NOTA[[#This Row],[CONCAT1]],[2]!db[NB NOTA_C],0)+1)</f>
        <v>1275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46</v>
      </c>
      <c r="E215" s="23"/>
      <c r="F215" s="26"/>
      <c r="G215" s="26"/>
      <c r="H215" s="31"/>
      <c r="I215" s="26"/>
      <c r="J215" s="51"/>
      <c r="K215" s="26"/>
      <c r="L215" s="26" t="s">
        <v>385</v>
      </c>
      <c r="M215" s="39">
        <v>2</v>
      </c>
      <c r="N215" s="26"/>
      <c r="O215" s="26"/>
      <c r="P215" s="49"/>
      <c r="Q215" s="52">
        <v>462000</v>
      </c>
      <c r="R215" s="39" t="s">
        <v>130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924000</v>
      </c>
      <c r="X215" s="54">
        <f>IF(NOTA[[#This Row],[JUMLAH]]="","",NOTA[[#This Row],[JUMLAH]]*NOTA[[#This Row],[DISC 1]])</f>
        <v>157080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157080</v>
      </c>
      <c r="AA215" s="54">
        <f>IF(NOTA[[#This Row],[JUMLAH]]="","",NOTA[[#This Row],[JUMLAH]]-NOTA[[#This Row],[DISC]])</f>
        <v>766920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44935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1</v>
      </c>
      <c r="AK21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15" s="193">
        <f>IF(NOTA[[#This Row],[CONCAT1]]="","",MATCH(NOTA[[#This Row],[CONCAT1]],[2]!db[NB NOTA_C],0)+1)</f>
        <v>1296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46</v>
      </c>
      <c r="E216" s="23"/>
      <c r="F216" s="26"/>
      <c r="G216" s="26"/>
      <c r="H216" s="31"/>
      <c r="I216" s="26"/>
      <c r="J216" s="51"/>
      <c r="K216" s="26"/>
      <c r="L216" s="26" t="s">
        <v>352</v>
      </c>
      <c r="M216" s="39">
        <v>2</v>
      </c>
      <c r="N216" s="26"/>
      <c r="O216" s="26"/>
      <c r="P216" s="49"/>
      <c r="Q216" s="52">
        <v>1375000</v>
      </c>
      <c r="R216" s="39" t="s">
        <v>362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2750000</v>
      </c>
      <c r="X216" s="54">
        <f>IF(NOTA[[#This Row],[JUMLAH]]="","",NOTA[[#This Row],[JUMLAH]]*NOTA[[#This Row],[DISC 1]])</f>
        <v>467500.00000000006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467500.00000000006</v>
      </c>
      <c r="AA216" s="54">
        <f>IF(NOTA[[#This Row],[JUMLAH]]="","",NOTA[[#This Row],[JUMLAH]]-NOTA[[#This Row],[DISC]])</f>
        <v>2282500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44935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1</v>
      </c>
      <c r="AK216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16" s="193">
        <f>IF(NOTA[[#This Row],[CONCAT1]]="","",MATCH(NOTA[[#This Row],[CONCAT1]],[2]!db[NB NOTA_C],0)+1)</f>
        <v>1133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46</v>
      </c>
      <c r="E217" s="23"/>
      <c r="F217" s="26"/>
      <c r="G217" s="26"/>
      <c r="H217" s="31"/>
      <c r="I217" s="26"/>
      <c r="J217" s="51"/>
      <c r="K217" s="26"/>
      <c r="L217" s="26" t="s">
        <v>386</v>
      </c>
      <c r="M217" s="39">
        <v>1</v>
      </c>
      <c r="N217" s="26"/>
      <c r="O217" s="26"/>
      <c r="P217" s="49"/>
      <c r="Q217" s="52">
        <v>2352000</v>
      </c>
      <c r="R217" s="39" t="s">
        <v>119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2352000</v>
      </c>
      <c r="X217" s="54">
        <f>IF(NOTA[[#This Row],[JUMLAH]]="","",NOTA[[#This Row],[JUMLAH]]*NOTA[[#This Row],[DISC 1]])</f>
        <v>399840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399840</v>
      </c>
      <c r="AA217" s="54">
        <f>IF(NOTA[[#This Row],[JUMLAH]]="","",NOTA[[#This Row],[JUMLAH]]-NOTA[[#This Row],[DISC]])</f>
        <v>1952160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44935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1</v>
      </c>
      <c r="AK21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217" s="193">
        <f>IF(NOTA[[#This Row],[CONCAT1]]="","",MATCH(NOTA[[#This Row],[CONCAT1]],[2]!db[NB NOTA_C],0)+1)</f>
        <v>1282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46</v>
      </c>
      <c r="E218" s="23"/>
      <c r="F218" s="26"/>
      <c r="G218" s="26"/>
      <c r="H218" s="31"/>
      <c r="I218" s="26"/>
      <c r="J218" s="51"/>
      <c r="K218" s="26"/>
      <c r="L218" s="26" t="s">
        <v>337</v>
      </c>
      <c r="M218" s="39">
        <v>2</v>
      </c>
      <c r="N218" s="26"/>
      <c r="O218" s="26"/>
      <c r="P218" s="49"/>
      <c r="Q218" s="52">
        <v>5616000</v>
      </c>
      <c r="R218" s="39" t="s">
        <v>117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11232000</v>
      </c>
      <c r="X218" s="54">
        <f>IF(NOTA[[#This Row],[JUMLAH]]="","",NOTA[[#This Row],[JUMLAH]]*NOTA[[#This Row],[DISC 1]])</f>
        <v>1909440.0000000002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1909440.0000000002</v>
      </c>
      <c r="AA218" s="54">
        <f>IF(NOTA[[#This Row],[JUMLAH]]="","",NOTA[[#This Row],[JUMLAH]]-NOTA[[#This Row],[DISC]])</f>
        <v>9322560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44935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1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8" s="193">
        <f>IF(NOTA[[#This Row],[CONCAT1]]="","",MATCH(NOTA[[#This Row],[CONCAT1]],[2]!db[NB NOTA_C],0)+1)</f>
        <v>1141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46</v>
      </c>
      <c r="E219" s="23"/>
      <c r="F219" s="26"/>
      <c r="G219" s="26"/>
      <c r="H219" s="31"/>
      <c r="I219" s="26"/>
      <c r="J219" s="51"/>
      <c r="K219" s="26"/>
      <c r="L219" s="26" t="s">
        <v>127</v>
      </c>
      <c r="M219" s="39">
        <v>3</v>
      </c>
      <c r="N219" s="26"/>
      <c r="O219" s="26"/>
      <c r="P219" s="49"/>
      <c r="Q219" s="52">
        <v>1860000</v>
      </c>
      <c r="R219" s="39" t="s">
        <v>119</v>
      </c>
      <c r="S219" s="53">
        <v>0.17</v>
      </c>
      <c r="T219" s="53"/>
      <c r="U219" s="54"/>
      <c r="V219" s="37"/>
      <c r="W219" s="54">
        <f>IF(NOTA[[#This Row],[HARGA/ CTN]]="",NOTA[[#This Row],[JUMLAH_H]],NOTA[[#This Row],[HARGA/ CTN]]*IF(NOTA[[#This Row],[C]]="",0,NOTA[[#This Row],[C]]))</f>
        <v>5580000</v>
      </c>
      <c r="X219" s="54">
        <f>IF(NOTA[[#This Row],[JUMLAH]]="","",NOTA[[#This Row],[JUMLAH]]*NOTA[[#This Row],[DISC 1]])</f>
        <v>948600.00000000012</v>
      </c>
      <c r="Y219" s="54">
        <f>IF(NOTA[[#This Row],[JUMLAH]]="","",(NOTA[[#This Row],[JUMLAH]]-NOTA[[#This Row],[DISC 1-]])*NOTA[[#This Row],[DISC 2]])</f>
        <v>0</v>
      </c>
      <c r="Z219" s="54">
        <f>IF(NOTA[[#This Row],[JUMLAH]]="","",NOTA[[#This Row],[DISC 1-]]+NOTA[[#This Row],[DISC 2-]])</f>
        <v>948600.00000000012</v>
      </c>
      <c r="AA219" s="54">
        <f>IF(NOTA[[#This Row],[JUMLAH]]="","",NOTA[[#This Row],[JUMLAH]]-NOTA[[#This Row],[DISC]])</f>
        <v>4631400</v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19" s="54" t="str">
        <f>IF(OR(NOTA[[#This Row],[QTY]]="",NOTA[[#This Row],[HARGA SATUAN]]="",),"",NOTA[[#This Row],[QTY]]*NOTA[[#This Row],[HARGA SATUAN]])</f>
        <v/>
      </c>
      <c r="AF219" s="51">
        <f ca="1">IF(NOTA[ID_H]="","",INDEX(NOTA[TANGGAL],MATCH(,INDIRECT(ADDRESS(ROW(NOTA[TANGGAL]),COLUMN(NOTA[TANGGAL]))&amp;":"&amp;ADDRESS(ROW(),COLUMN(NOTA[TANGGAL]))),-1)))</f>
        <v>44935</v>
      </c>
      <c r="AG219" s="65" t="str">
        <f ca="1">IF(NOTA[[#This Row],[NAMA BARANG]]="","",INDEX(NOTA[SUPPLIER],MATCH(,INDIRECT(ADDRESS(ROW(NOTA[ID]),COLUMN(NOTA[ID]))&amp;":"&amp;ADDRESS(ROW(),COLUMN(NOTA[ID]))),-1)))</f>
        <v>KENKO SINAR INDONESIA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1</v>
      </c>
      <c r="AK21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19" s="193">
        <f>IF(NOTA[[#This Row],[CONCAT1]]="","",MATCH(NOTA[[#This Row],[CONCAT1]],[2]!db[NB NOTA_C],0)+1)</f>
        <v>1281</v>
      </c>
    </row>
    <row r="220" spans="1:39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>
        <f ca="1">IF(NOTA[[#This Row],[NAMA BARANG]]="","",INDEX(NOTA[ID],MATCH(,INDIRECT(ADDRESS(ROW(NOTA[ID]),COLUMN(NOTA[ID]))&amp;":"&amp;ADDRESS(ROW(),COLUMN(NOTA[ID]))),-1)))</f>
        <v>46</v>
      </c>
      <c r="E220" s="23"/>
      <c r="F220" s="26"/>
      <c r="G220" s="26"/>
      <c r="H220" s="31"/>
      <c r="I220" s="26"/>
      <c r="J220" s="51"/>
      <c r="K220" s="26"/>
      <c r="L220" s="26" t="s">
        <v>413</v>
      </c>
      <c r="M220" s="39">
        <v>2</v>
      </c>
      <c r="N220" s="26"/>
      <c r="O220" s="26"/>
      <c r="P220" s="49"/>
      <c r="Q220" s="52">
        <v>2100000</v>
      </c>
      <c r="R220" s="39" t="s">
        <v>366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4200000</v>
      </c>
      <c r="X220" s="54">
        <f>IF(NOTA[[#This Row],[JUMLAH]]="","",NOTA[[#This Row],[JUMLAH]]*NOTA[[#This Row],[DISC 1]])</f>
        <v>714000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714000</v>
      </c>
      <c r="AA220" s="54">
        <f>IF(NOTA[[#This Row],[JUMLAH]]="","",NOTA[[#This Row],[JUMLAH]]-NOTA[[#This Row],[DISC]])</f>
        <v>3486000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44935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 t="str">
        <f ca="1">IF(NOTA[[#This Row],[ID]]="","",COUNTIF(NOTA[ID_H],NOTA[[#This Row],[ID_H]]))</f>
        <v/>
      </c>
      <c r="AJ220" s="38">
        <f ca="1">IF(NOTA[[#This Row],[TGL.NOTA]]="",IF(NOTA[[#This Row],[SUPPLIER_H]]="","",AJ219),MONTH(NOTA[[#This Row],[TGL.NOTA]]))</f>
        <v>1</v>
      </c>
      <c r="AK220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kenkostainlesssteelruler30cm21000000.17</v>
      </c>
      <c r="AM220" s="193">
        <f>IF(NOTA[[#This Row],[CONCAT1]]="","",MATCH(NOTA[[#This Row],[CONCAT1]],[2]!db[NB NOTA_C],0)+1)</f>
        <v>1269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46</v>
      </c>
      <c r="E221" s="23"/>
      <c r="F221" s="26"/>
      <c r="G221" s="26"/>
      <c r="H221" s="31"/>
      <c r="I221" s="26"/>
      <c r="J221" s="51"/>
      <c r="K221" s="26"/>
      <c r="L221" s="26" t="s">
        <v>358</v>
      </c>
      <c r="M221" s="39">
        <v>1</v>
      </c>
      <c r="N221" s="26"/>
      <c r="O221" s="26"/>
      <c r="P221" s="49"/>
      <c r="Q221" s="52">
        <v>2280000</v>
      </c>
      <c r="R221" s="39" t="s">
        <v>367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2280000</v>
      </c>
      <c r="X221" s="54">
        <f>IF(NOTA[[#This Row],[JUMLAH]]="","",NOTA[[#This Row],[JUMLAH]]*NOTA[[#This Row],[DISC 1]])</f>
        <v>387600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387600</v>
      </c>
      <c r="AA221" s="54">
        <f>IF(NOTA[[#This Row],[JUMLAH]]="","",NOTA[[#This Row],[JUMLAH]]-NOTA[[#This Row],[DISC]])</f>
        <v>1892400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44935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1</v>
      </c>
      <c r="AK22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21" s="193">
        <f>IF(NOTA[[#This Row],[CONCAT1]]="","",MATCH(NOTA[[#This Row],[CONCAT1]],[2]!db[NB NOTA_C],0)+1)</f>
        <v>1287</v>
      </c>
    </row>
    <row r="222" spans="1:39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/>
      <c r="G222" s="26"/>
      <c r="H222" s="31"/>
      <c r="I222" s="26"/>
      <c r="J222" s="51"/>
      <c r="K222" s="26"/>
      <c r="L222" s="26" t="s">
        <v>336</v>
      </c>
      <c r="M222" s="39">
        <v>2</v>
      </c>
      <c r="N222" s="26"/>
      <c r="O222" s="26"/>
      <c r="P222" s="49"/>
      <c r="Q222" s="52">
        <v>3888000</v>
      </c>
      <c r="R222" s="39" t="s">
        <v>377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7776000</v>
      </c>
      <c r="X222" s="54">
        <f>IF(NOTA[[#This Row],[JUMLAH]]="","",NOTA[[#This Row],[JUMLAH]]*NOTA[[#This Row],[DISC 1]])</f>
        <v>1321920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1321920</v>
      </c>
      <c r="AA222" s="54">
        <f>IF(NOTA[[#This Row],[JUMLAH]]="","",NOTA[[#This Row],[JUMLAH]]-NOTA[[#This Row],[DISC]])</f>
        <v>6454080</v>
      </c>
      <c r="AB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C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44935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1</v>
      </c>
      <c r="AK22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22" s="193">
        <f>IF(NOTA[[#This Row],[CONCAT1]]="","",MATCH(NOTA[[#This Row],[CONCAT1]],[2]!db[NB NOTA_C],0)+1)</f>
        <v>1120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3" s="193" t="str">
        <f>IF(NOTA[[#This Row],[CONCAT1]]="","",MATCH(NOTA[[#This Row],[CONCAT1]],[2]!db[NB NOTA_C],0)+1)</f>
        <v/>
      </c>
    </row>
    <row r="224" spans="1:39" ht="20.100000000000001" customHeight="1" x14ac:dyDescent="0.25">
      <c r="A224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2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24" s="50" t="e">
        <f ca="1">IF(NOTA[[#This Row],[ID_P]]="","",MATCH(NOTA[[#This Row],[ID_P]],[1]!B_MSK[N_ID],0))</f>
        <v>#REF!</v>
      </c>
      <c r="D224" s="50">
        <f ca="1">IF(NOTA[[#This Row],[NAMA BARANG]]="","",INDEX(NOTA[ID],MATCH(,INDIRECT(ADDRESS(ROW(NOTA[ID]),COLUMN(NOTA[ID]))&amp;":"&amp;ADDRESS(ROW(),COLUMN(NOTA[ID]))),-1)))</f>
        <v>47</v>
      </c>
      <c r="E224" s="23"/>
      <c r="F224" s="26" t="s">
        <v>23</v>
      </c>
      <c r="G224" s="26" t="s">
        <v>24</v>
      </c>
      <c r="H224" s="31" t="s">
        <v>387</v>
      </c>
      <c r="I224" s="26" t="s">
        <v>388</v>
      </c>
      <c r="J224" s="51">
        <v>44931</v>
      </c>
      <c r="K224" s="26"/>
      <c r="L224" s="26" t="s">
        <v>414</v>
      </c>
      <c r="M224" s="39">
        <v>5</v>
      </c>
      <c r="N224" s="26"/>
      <c r="O224" s="26"/>
      <c r="P224" s="49"/>
      <c r="Q224" s="52">
        <v>2170800</v>
      </c>
      <c r="R224" s="39" t="s">
        <v>118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10854000</v>
      </c>
      <c r="X224" s="54">
        <f>IF(NOTA[[#This Row],[JUMLAH]]="","",NOTA[[#This Row],[JUMLAH]]*NOTA[[#This Row],[DISC 1]])</f>
        <v>1845180.0000000002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1845180.0000000002</v>
      </c>
      <c r="AA224" s="54">
        <f>IF(NOTA[[#This Row],[JUMLAH]]="","",NOTA[[#This Row],[JUMLAH]]-NOTA[[#This Row],[DISC]])</f>
        <v>9008820</v>
      </c>
      <c r="AB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44935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>
        <f ca="1">IF(NOTA[[#This Row],[ID]]="","",COUNTIF(NOTA[ID_H],NOTA[[#This Row],[ID_H]]))</f>
        <v>1</v>
      </c>
      <c r="AJ224" s="38">
        <f>IF(NOTA[[#This Row],[TGL.NOTA]]="",IF(NOTA[[#This Row],[SUPPLIER_H]]="","",AJ223),MONTH(NOTA[[#This Row],[TGL.NOTA]]))</f>
        <v>1</v>
      </c>
      <c r="AK224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224" s="193">
        <f>IF(NOTA[[#This Row],[CONCAT1]]="","",MATCH(NOTA[[#This Row],[CONCAT1]],[2]!db[NB NOTA_C],0)+1)</f>
        <v>1094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5" s="193" t="str">
        <f>IF(NOTA[[#This Row],[CONCAT1]]="","",MATCH(NOTA[[#This Row],[CONCAT1]],[2]!db[NB NOTA_C],0)+1)</f>
        <v/>
      </c>
    </row>
    <row r="226" spans="1:39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26" s="50" t="e">
        <f ca="1">IF(NOTA[[#This Row],[ID_P]]="","",MATCH(NOTA[[#This Row],[ID_P]],[1]!B_MSK[N_ID],0))</f>
        <v>#REF!</v>
      </c>
      <c r="D226" s="50">
        <f ca="1">IF(NOTA[[#This Row],[NAMA BARANG]]="","",INDEX(NOTA[ID],MATCH(,INDIRECT(ADDRESS(ROW(NOTA[ID]),COLUMN(NOTA[ID]))&amp;":"&amp;ADDRESS(ROW(),COLUMN(NOTA[ID]))),-1)))</f>
        <v>48</v>
      </c>
      <c r="E226" s="23"/>
      <c r="F226" s="26" t="s">
        <v>23</v>
      </c>
      <c r="G226" s="26" t="s">
        <v>24</v>
      </c>
      <c r="H226" s="31" t="s">
        <v>389</v>
      </c>
      <c r="I226" s="26" t="s">
        <v>390</v>
      </c>
      <c r="J226" s="51">
        <v>44931</v>
      </c>
      <c r="K226" s="26"/>
      <c r="L226" s="26" t="s">
        <v>391</v>
      </c>
      <c r="M226" s="39">
        <v>1</v>
      </c>
      <c r="N226" s="26"/>
      <c r="O226" s="26"/>
      <c r="P226" s="49"/>
      <c r="Q226" s="52">
        <v>2208000</v>
      </c>
      <c r="R226" s="39" t="s">
        <v>136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2208000</v>
      </c>
      <c r="X226" s="54">
        <f>IF(NOTA[[#This Row],[JUMLAH]]="","",NOTA[[#This Row],[JUMLAH]]*NOTA[[#This Row],[DISC 1]])</f>
        <v>375360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375360</v>
      </c>
      <c r="AA226" s="54">
        <f>IF(NOTA[[#This Row],[JUMLAH]]="","",NOTA[[#This Row],[JUMLAH]]-NOTA[[#This Row],[DISC]])</f>
        <v>1832640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44935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>
        <f ca="1">IF(NOTA[[#This Row],[ID]]="","",COUNTIF(NOTA[ID_H],NOTA[[#This Row],[ID_H]]))</f>
        <v>7</v>
      </c>
      <c r="AJ226" s="38">
        <f>IF(NOTA[[#This Row],[TGL.NOTA]]="",IF(NOTA[[#This Row],[SUPPLIER_H]]="","",AJ225),MONTH(NOTA[[#This Row],[TGL.NOTA]]))</f>
        <v>1</v>
      </c>
      <c r="AK226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kenkopencil2b6191hijaucaphitam22080000.17</v>
      </c>
      <c r="AM226" s="193">
        <f>IF(NOTA[[#This Row],[CONCAT1]]="","",MATCH(NOTA[[#This Row],[CONCAT1]],[2]!db[NB NOTA_C],0)+1)</f>
        <v>1226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48</v>
      </c>
      <c r="E227" s="23"/>
      <c r="F227" s="26"/>
      <c r="G227" s="26"/>
      <c r="H227" s="31"/>
      <c r="I227" s="26"/>
      <c r="J227" s="51"/>
      <c r="K227" s="26"/>
      <c r="L227" s="26" t="s">
        <v>120</v>
      </c>
      <c r="M227" s="39">
        <v>2</v>
      </c>
      <c r="N227" s="26"/>
      <c r="O227" s="26"/>
      <c r="P227" s="49"/>
      <c r="Q227" s="52">
        <v>2880000</v>
      </c>
      <c r="R227" s="39" t="s">
        <v>121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5760000</v>
      </c>
      <c r="X227" s="54">
        <f>IF(NOTA[[#This Row],[JUMLAH]]="","",NOTA[[#This Row],[JUMLAH]]*NOTA[[#This Row],[DISC 1]])</f>
        <v>979200.00000000012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979200.00000000012</v>
      </c>
      <c r="AA227" s="54">
        <f>IF(NOTA[[#This Row],[JUMLAH]]="","",NOTA[[#This Row],[JUMLAH]]-NOTA[[#This Row],[DISC]])</f>
        <v>4780800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44935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1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27" s="193">
        <f>IF(NOTA[[#This Row],[CONCAT1]]="","",MATCH(NOTA[[#This Row],[CONCAT1]],[2]!db[NB NOTA_C],0)+1)</f>
        <v>1111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48</v>
      </c>
      <c r="E228" s="23"/>
      <c r="F228" s="26"/>
      <c r="G228" s="26"/>
      <c r="H228" s="31"/>
      <c r="I228" s="26"/>
      <c r="J228" s="51"/>
      <c r="K228" s="26"/>
      <c r="L228" s="26" t="s">
        <v>392</v>
      </c>
      <c r="M228" s="39">
        <v>1</v>
      </c>
      <c r="N228" s="26"/>
      <c r="O228" s="26"/>
      <c r="P228" s="49"/>
      <c r="Q228" s="52">
        <v>2995200</v>
      </c>
      <c r="R228" s="39" t="s">
        <v>121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2995200</v>
      </c>
      <c r="X228" s="54">
        <f>IF(NOTA[[#This Row],[JUMLAH]]="","",NOTA[[#This Row],[JUMLAH]]*NOTA[[#This Row],[DISC 1]])</f>
        <v>509184.00000000006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509184.00000000006</v>
      </c>
      <c r="AA228" s="54">
        <f>IF(NOTA[[#This Row],[JUMLAH]]="","",NOTA[[#This Row],[JUMLAH]]-NOTA[[#This Row],[DISC]])</f>
        <v>2486016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44935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1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kenkocorrectiontapect90612mx5mm29952000.17</v>
      </c>
      <c r="AM228" s="193">
        <f>IF(NOTA[[#This Row],[CONCAT1]]="","",MATCH(NOTA[[#This Row],[CONCAT1]],[2]!db[NB NOTA_C],0)+1)</f>
        <v>1116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48</v>
      </c>
      <c r="E229" s="23"/>
      <c r="F229" s="26"/>
      <c r="G229" s="26"/>
      <c r="H229" s="31"/>
      <c r="I229" s="26"/>
      <c r="J229" s="51"/>
      <c r="K229" s="26"/>
      <c r="L229" s="26" t="s">
        <v>393</v>
      </c>
      <c r="M229" s="39">
        <v>1</v>
      </c>
      <c r="N229" s="26"/>
      <c r="O229" s="26"/>
      <c r="P229" s="49"/>
      <c r="Q229" s="52">
        <v>5702400</v>
      </c>
      <c r="R229" s="39" t="s">
        <v>117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5702400</v>
      </c>
      <c r="X229" s="54">
        <f>IF(NOTA[[#This Row],[JUMLAH]]="","",NOTA[[#This Row],[JUMLAH]]*NOTA[[#This Row],[DISC 1]])</f>
        <v>969408.00000000012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969408.00000000012</v>
      </c>
      <c r="AA229" s="54">
        <f>IF(NOTA[[#This Row],[JUMLAH]]="","",NOTA[[#This Row],[JUMLAH]]-NOTA[[#This Row],[DISC]])</f>
        <v>4732992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44935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1</v>
      </c>
      <c r="AK229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kenkogelpenmicrotec04mmblack57024000.17</v>
      </c>
      <c r="AM229" s="193">
        <f>IF(NOTA[[#This Row],[CONCAT1]]="","",MATCH(NOTA[[#This Row],[CONCAT1]],[2]!db[NB NOTA_C],0)+1)</f>
        <v>1165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48</v>
      </c>
      <c r="E230" s="23"/>
      <c r="F230" s="26"/>
      <c r="G230" s="26"/>
      <c r="H230" s="31"/>
      <c r="I230" s="26"/>
      <c r="J230" s="51"/>
      <c r="K230" s="26"/>
      <c r="L230" s="26" t="s">
        <v>394</v>
      </c>
      <c r="M230" s="39">
        <v>1</v>
      </c>
      <c r="N230" s="26"/>
      <c r="O230" s="26"/>
      <c r="P230" s="49"/>
      <c r="Q230" s="52">
        <v>2112000</v>
      </c>
      <c r="R230" s="39" t="s">
        <v>136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2112000</v>
      </c>
      <c r="X230" s="54">
        <f>IF(NOTA[[#This Row],[JUMLAH]]="","",NOTA[[#This Row],[JUMLAH]]*NOTA[[#This Row],[DISC 1]])</f>
        <v>359040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359040</v>
      </c>
      <c r="AA230" s="54">
        <f>IF(NOTA[[#This Row],[JUMLAH]]="","",NOTA[[#This Row],[JUMLAH]]-NOTA[[#This Row],[DISC]])</f>
        <v>1752960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44935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1</v>
      </c>
      <c r="AK230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kenkopencil2b6800platinum21120000.17</v>
      </c>
      <c r="AM230" s="193">
        <f>IF(NOTA[[#This Row],[CONCAT1]]="","",MATCH(NOTA[[#This Row],[CONCAT1]],[2]!db[NB NOTA_C],0)+1)</f>
        <v>1230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48</v>
      </c>
      <c r="E231" s="23"/>
      <c r="F231" s="26"/>
      <c r="G231" s="26"/>
      <c r="H231" s="31"/>
      <c r="I231" s="26"/>
      <c r="J231" s="51"/>
      <c r="K231" s="26"/>
      <c r="L231" s="26" t="s">
        <v>395</v>
      </c>
      <c r="M231" s="39">
        <v>1</v>
      </c>
      <c r="N231" s="26"/>
      <c r="O231" s="26"/>
      <c r="P231" s="49"/>
      <c r="Q231" s="52">
        <v>2040000</v>
      </c>
      <c r="R231" s="39" t="s">
        <v>136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2040000</v>
      </c>
      <c r="X231" s="54">
        <f>IF(NOTA[[#This Row],[JUMLAH]]="","",NOTA[[#This Row],[JUMLAH]]*NOTA[[#This Row],[DISC 1]])</f>
        <v>346800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346800</v>
      </c>
      <c r="AA231" s="54">
        <f>IF(NOTA[[#This Row],[JUMLAH]]="","",NOTA[[#This Row],[JUMLAH]]-NOTA[[#This Row],[DISC]])</f>
        <v>1693200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44935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1</v>
      </c>
      <c r="AK231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kenkopencil2b6019antibacterial20400000.17</v>
      </c>
      <c r="AM231" s="193">
        <f>IF(NOTA[[#This Row],[CONCAT1]]="","",MATCH(NOTA[[#This Row],[CONCAT1]],[2]!db[NB NOTA_C],0)+1)</f>
        <v>1224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48</v>
      </c>
      <c r="E232" s="23"/>
      <c r="F232" s="26"/>
      <c r="G232" s="26"/>
      <c r="H232" s="31"/>
      <c r="I232" s="26"/>
      <c r="J232" s="51"/>
      <c r="K232" s="26"/>
      <c r="L232" s="26" t="s">
        <v>160</v>
      </c>
      <c r="M232" s="39">
        <v>2</v>
      </c>
      <c r="N232" s="26"/>
      <c r="O232" s="26"/>
      <c r="P232" s="49"/>
      <c r="Q232" s="52">
        <v>2112000</v>
      </c>
      <c r="R232" s="39" t="s">
        <v>136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4224000</v>
      </c>
      <c r="X232" s="54">
        <f>IF(NOTA[[#This Row],[JUMLAH]]="","",NOTA[[#This Row],[JUMLAH]]*NOTA[[#This Row],[DISC 1]])</f>
        <v>718080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718080</v>
      </c>
      <c r="AA232" s="54">
        <f>IF(NOTA[[#This Row],[JUMLAH]]="","",NOTA[[#This Row],[JUMLAH]]-NOTA[[#This Row],[DISC]])</f>
        <v>3505920</v>
      </c>
      <c r="AB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C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44935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1</v>
      </c>
      <c r="AK232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32" s="193">
        <f>IF(NOTA[[#This Row],[CONCAT1]]="","",MATCH(NOTA[[#This Row],[CONCAT1]],[2]!db[NB NOTA_C],0)+1)</f>
        <v>1222</v>
      </c>
    </row>
    <row r="233" spans="1:39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172"/>
      <c r="H233" s="26"/>
      <c r="I233" s="31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3" s="193" t="str">
        <f>IF(NOTA[[#This Row],[CONCAT1]]="","",MATCH(NOTA[[#This Row],[CONCAT1]],[2]!db[NB NOTA_C],0)+1)</f>
        <v/>
      </c>
    </row>
    <row r="234" spans="1:39" ht="20.100000000000001" customHeight="1" x14ac:dyDescent="0.25">
      <c r="A234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34" s="50" t="e">
        <f ca="1">IF(NOTA[[#This Row],[ID_P]]="","",MATCH(NOTA[[#This Row],[ID_P]],[1]!B_MSK[N_ID],0))</f>
        <v>#REF!</v>
      </c>
      <c r="D234" s="50">
        <f ca="1">IF(NOTA[[#This Row],[NAMA BARANG]]="","",INDEX(NOTA[ID],MATCH(,INDIRECT(ADDRESS(ROW(NOTA[ID]),COLUMN(NOTA[ID]))&amp;":"&amp;ADDRESS(ROW(),COLUMN(NOTA[ID]))),-1)))</f>
        <v>49</v>
      </c>
      <c r="E234" s="23"/>
      <c r="F234" s="26" t="s">
        <v>23</v>
      </c>
      <c r="G234" s="26" t="s">
        <v>24</v>
      </c>
      <c r="H234" s="31" t="s">
        <v>396</v>
      </c>
      <c r="I234" s="26" t="s">
        <v>399</v>
      </c>
      <c r="J234" s="51">
        <v>44932</v>
      </c>
      <c r="K234" s="26"/>
      <c r="L234" s="26" t="s">
        <v>166</v>
      </c>
      <c r="M234" s="39">
        <v>7</v>
      </c>
      <c r="N234" s="26"/>
      <c r="O234" s="26"/>
      <c r="P234" s="49"/>
      <c r="Q234" s="52">
        <v>3110400</v>
      </c>
      <c r="R234" s="39" t="s">
        <v>411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21772800</v>
      </c>
      <c r="X234" s="54">
        <f>IF(NOTA[[#This Row],[JUMLAH]]="","",NOTA[[#This Row],[JUMLAH]]*NOTA[[#This Row],[DISC 1]])</f>
        <v>3701376.0000000005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3701376.0000000005</v>
      </c>
      <c r="AA234" s="54">
        <f>IF(NOTA[[#This Row],[JUMLAH]]="","",NOTA[[#This Row],[JUMLAH]]-NOTA[[#This Row],[DISC]])</f>
        <v>18071424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44935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>
        <f ca="1">IF(NOTA[[#This Row],[ID]]="","",COUNTIF(NOTA[ID_H],NOTA[[#This Row],[ID_H]]))</f>
        <v>4</v>
      </c>
      <c r="AJ234" s="38">
        <f>IF(NOTA[[#This Row],[TGL.NOTA]]="",IF(NOTA[[#This Row],[SUPPLIER_H]]="","",AJ233),MONTH(NOTA[[#This Row],[TGL.NOTA]]))</f>
        <v>1</v>
      </c>
      <c r="AK234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34" s="193">
        <f>IF(NOTA[[#This Row],[CONCAT1]]="","",MATCH(NOTA[[#This Row],[CONCAT1]],[2]!db[NB NOTA_C],0)+1)</f>
        <v>1160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49</v>
      </c>
      <c r="E235" s="23"/>
      <c r="F235" s="26"/>
      <c r="G235" s="26"/>
      <c r="H235" s="31"/>
      <c r="I235" s="26"/>
      <c r="J235" s="51"/>
      <c r="K235" s="26"/>
      <c r="L235" s="26" t="s">
        <v>167</v>
      </c>
      <c r="M235" s="39">
        <v>1</v>
      </c>
      <c r="N235" s="26"/>
      <c r="O235" s="26"/>
      <c r="P235" s="49"/>
      <c r="Q235" s="52">
        <v>2448000</v>
      </c>
      <c r="R235" s="39" t="s">
        <v>121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2448000</v>
      </c>
      <c r="X235" s="54">
        <f>IF(NOTA[[#This Row],[JUMLAH]]="","",NOTA[[#This Row],[JUMLAH]]*NOTA[[#This Row],[DISC 1]])</f>
        <v>416160.00000000006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416160.00000000006</v>
      </c>
      <c r="AA235" s="54">
        <f>IF(NOTA[[#This Row],[JUMLAH]]="","",NOTA[[#This Row],[JUMLAH]]-NOTA[[#This Row],[DISC]])</f>
        <v>2031840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44935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1</v>
      </c>
      <c r="AK23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235" s="193">
        <f>IF(NOTA[[#This Row],[CONCAT1]]="","",MATCH(NOTA[[#This Row],[CONCAT1]],[2]!db[NB NOTA_C],0)+1)</f>
        <v>1107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49</v>
      </c>
      <c r="E236" s="23"/>
      <c r="F236" s="26"/>
      <c r="G236" s="26"/>
      <c r="H236" s="31"/>
      <c r="I236" s="26"/>
      <c r="J236" s="51"/>
      <c r="K236" s="26"/>
      <c r="L236" s="26" t="s">
        <v>397</v>
      </c>
      <c r="M236" s="39">
        <v>3</v>
      </c>
      <c r="N236" s="26"/>
      <c r="O236" s="26"/>
      <c r="P236" s="49"/>
      <c r="Q236" s="52">
        <v>900000</v>
      </c>
      <c r="R236" s="39" t="s">
        <v>412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2700000</v>
      </c>
      <c r="X236" s="54">
        <f>IF(NOTA[[#This Row],[JUMLAH]]="","",NOTA[[#This Row],[JUMLAH]]*NOTA[[#This Row],[DISC 1]])</f>
        <v>459000.00000000006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459000.00000000006</v>
      </c>
      <c r="AA236" s="54">
        <f>IF(NOTA[[#This Row],[JUMLAH]]="","",NOTA[[#This Row],[JUMLAH]]-NOTA[[#This Row],[DISC]])</f>
        <v>2241000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44935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1</v>
      </c>
      <c r="AK236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236" s="193">
        <f>IF(NOTA[[#This Row],[CONCAT1]]="","",MATCH(NOTA[[#This Row],[CONCAT1]],[2]!db[NB NOTA_C],0)+1)</f>
        <v>1041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49</v>
      </c>
      <c r="E237" s="23"/>
      <c r="F237" s="26"/>
      <c r="G237" s="26"/>
      <c r="H237" s="31"/>
      <c r="I237" s="26"/>
      <c r="J237" s="51"/>
      <c r="K237" s="26"/>
      <c r="L237" s="26" t="s">
        <v>398</v>
      </c>
      <c r="M237" s="39">
        <v>3</v>
      </c>
      <c r="N237" s="26"/>
      <c r="O237" s="26"/>
      <c r="P237" s="49"/>
      <c r="Q237" s="52">
        <v>840000</v>
      </c>
      <c r="R237" s="39" t="s">
        <v>364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2520000</v>
      </c>
      <c r="X237" s="54">
        <f>IF(NOTA[[#This Row],[JUMLAH]]="","",NOTA[[#This Row],[JUMLAH]]*NOTA[[#This Row],[DISC 1]])</f>
        <v>428400.00000000006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428400.00000000006</v>
      </c>
      <c r="AA237" s="54">
        <f>IF(NOTA[[#This Row],[JUMLAH]]="","",NOTA[[#This Row],[JUMLAH]]-NOTA[[#This Row],[DISC]])</f>
        <v>2091600</v>
      </c>
      <c r="AB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C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44935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1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237" s="193">
        <f>IF(NOTA[[#This Row],[CONCAT1]]="","",MATCH(NOTA[[#This Row],[CONCAT1]],[2]!db[NB NOTA_C],0)+1)</f>
        <v>1291</v>
      </c>
    </row>
    <row r="238" spans="1:39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8" s="193" t="str">
        <f>IF(NOTA[[#This Row],[CONCAT1]]="","",MATCH(NOTA[[#This Row],[CONCAT1]],[2]!db[NB NOTA_C],0)+1)</f>
        <v/>
      </c>
    </row>
    <row r="239" spans="1:39" ht="20.100000000000001" customHeight="1" x14ac:dyDescent="0.25">
      <c r="A239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39" s="50" t="e">
        <f ca="1">IF(NOTA[[#This Row],[ID_P]]="","",MATCH(NOTA[[#This Row],[ID_P]],[1]!B_MSK[N_ID],0))</f>
        <v>#REF!</v>
      </c>
      <c r="D239" s="50">
        <f ca="1">IF(NOTA[[#This Row],[NAMA BARANG]]="","",INDEX(NOTA[ID],MATCH(,INDIRECT(ADDRESS(ROW(NOTA[ID]),COLUMN(NOTA[ID]))&amp;":"&amp;ADDRESS(ROW(),COLUMN(NOTA[ID]))),-1)))</f>
        <v>50</v>
      </c>
      <c r="E239" s="23"/>
      <c r="F239" s="26" t="s">
        <v>23</v>
      </c>
      <c r="G239" s="26" t="s">
        <v>24</v>
      </c>
      <c r="H239" s="31" t="s">
        <v>400</v>
      </c>
      <c r="I239" s="26" t="s">
        <v>388</v>
      </c>
      <c r="J239" s="51">
        <v>44932</v>
      </c>
      <c r="K239" s="26"/>
      <c r="L239" s="26" t="s">
        <v>401</v>
      </c>
      <c r="M239" s="39">
        <v>1</v>
      </c>
      <c r="N239" s="26"/>
      <c r="O239" s="26"/>
      <c r="P239" s="49"/>
      <c r="Q239" s="52">
        <v>1728000</v>
      </c>
      <c r="R239" s="39" t="s">
        <v>407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1728000</v>
      </c>
      <c r="X239" s="54">
        <f>IF(NOTA[[#This Row],[JUMLAH]]="","",NOTA[[#This Row],[JUMLAH]]*NOTA[[#This Row],[DISC 1]])</f>
        <v>293760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293760</v>
      </c>
      <c r="AA239" s="54">
        <f>IF(NOTA[[#This Row],[JUMLAH]]="","",NOTA[[#This Row],[JUMLAH]]-NOTA[[#This Row],[DISC]])</f>
        <v>1434240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44935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>
        <f ca="1">IF(NOTA[[#This Row],[ID]]="","",COUNTIF(NOTA[ID_H],NOTA[[#This Row],[ID_H]]))</f>
        <v>10</v>
      </c>
      <c r="AJ239" s="38">
        <f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kenko12coloroilpastelgarden17280000.17</v>
      </c>
      <c r="AM239" s="193">
        <f>IF(NOTA[[#This Row],[CONCAT1]]="","",MATCH(NOTA[[#This Row],[CONCAT1]],[2]!db[NB NOTA_C],0)+1)</f>
        <v>1021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50</v>
      </c>
      <c r="E240" s="23"/>
      <c r="F240" s="26"/>
      <c r="G240" s="26"/>
      <c r="H240" s="31"/>
      <c r="I240" s="26"/>
      <c r="J240" s="51"/>
      <c r="K240" s="26"/>
      <c r="L240" s="38" t="s">
        <v>402</v>
      </c>
      <c r="M240" s="39">
        <v>1</v>
      </c>
      <c r="N240" s="26"/>
      <c r="O240" s="26"/>
      <c r="P240" s="49"/>
      <c r="Q240" s="52">
        <v>1548000</v>
      </c>
      <c r="R240" s="39" t="s">
        <v>408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1548000</v>
      </c>
      <c r="X240" s="54">
        <f>IF(NOTA[[#This Row],[JUMLAH]]="","",NOTA[[#This Row],[JUMLAH]]*NOTA[[#This Row],[DISC 1]])</f>
        <v>263160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263160</v>
      </c>
      <c r="AA240" s="54">
        <f>IF(NOTA[[#This Row],[JUMLAH]]="","",NOTA[[#This Row],[JUMLAH]]-NOTA[[#This Row],[DISC]])</f>
        <v>1284840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44935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kenko18coloroilpastelgarden15480000.17</v>
      </c>
      <c r="AM240" s="193">
        <f>IF(NOTA[[#This Row],[CONCAT1]]="","",MATCH(NOTA[[#This Row],[CONCAT1]],[2]!db[NB NOTA_C],0)+1)</f>
        <v>1028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50</v>
      </c>
      <c r="E241" s="23"/>
      <c r="F241" s="26"/>
      <c r="G241" s="26"/>
      <c r="H241" s="31"/>
      <c r="I241" s="26"/>
      <c r="J241" s="51"/>
      <c r="K241" s="26"/>
      <c r="L241" s="26" t="s">
        <v>403</v>
      </c>
      <c r="M241" s="39">
        <v>1</v>
      </c>
      <c r="N241" s="26"/>
      <c r="O241" s="26"/>
      <c r="P241" s="49"/>
      <c r="Q241" s="52">
        <v>1368000</v>
      </c>
      <c r="R241" s="39" t="s">
        <v>409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1368000</v>
      </c>
      <c r="X241" s="54">
        <f>IF(NOTA[[#This Row],[JUMLAH]]="","",NOTA[[#This Row],[JUMLAH]]*NOTA[[#This Row],[DISC 1]])</f>
        <v>232560.00000000003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232560.00000000003</v>
      </c>
      <c r="AA241" s="54">
        <f>IF(NOTA[[#This Row],[JUMLAH]]="","",NOTA[[#This Row],[JUMLAH]]-NOTA[[#This Row],[DISC]])</f>
        <v>1135440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44935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kenko24coloroilpastelgarden13680000.17</v>
      </c>
      <c r="AM241" s="193">
        <f>IF(NOTA[[#This Row],[CONCAT1]]="","",MATCH(NOTA[[#This Row],[CONCAT1]],[2]!db[NB NOTA_C],0)+1)</f>
        <v>1029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50</v>
      </c>
      <c r="E242" s="23"/>
      <c r="F242" s="26"/>
      <c r="G242" s="26"/>
      <c r="H242" s="31"/>
      <c r="I242" s="26"/>
      <c r="J242" s="51"/>
      <c r="K242" s="26"/>
      <c r="L242" s="26" t="s">
        <v>404</v>
      </c>
      <c r="M242" s="39">
        <v>1</v>
      </c>
      <c r="N242" s="26"/>
      <c r="O242" s="26"/>
      <c r="P242" s="49"/>
      <c r="Q242" s="52">
        <v>1494000</v>
      </c>
      <c r="R242" s="39" t="s">
        <v>123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1494000</v>
      </c>
      <c r="X242" s="54">
        <f>IF(NOTA[[#This Row],[JUMLAH]]="","",NOTA[[#This Row],[JUMLAH]]*NOTA[[#This Row],[DISC 1]])</f>
        <v>253980.00000000003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253980.00000000003</v>
      </c>
      <c r="AA242" s="54">
        <f>IF(NOTA[[#This Row],[JUMLAH]]="","",NOTA[[#This Row],[JUMLAH]]-NOTA[[#This Row],[DISC]])</f>
        <v>1240020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44935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kenko36coloroilpastelgarden14940000.17</v>
      </c>
      <c r="AM242" s="193">
        <f>IF(NOTA[[#This Row],[CONCAT1]]="","",MATCH(NOTA[[#This Row],[CONCAT1]],[2]!db[NB NOTA_C],0)+1)</f>
        <v>1033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50</v>
      </c>
      <c r="E243" s="23"/>
      <c r="F243" s="26"/>
      <c r="G243" s="26"/>
      <c r="H243" s="31"/>
      <c r="I243" s="26"/>
      <c r="J243" s="51"/>
      <c r="K243" s="26"/>
      <c r="L243" s="26" t="s">
        <v>405</v>
      </c>
      <c r="M243" s="39">
        <v>1</v>
      </c>
      <c r="N243" s="26"/>
      <c r="O243" s="26"/>
      <c r="P243" s="49"/>
      <c r="Q243" s="52">
        <v>3240000</v>
      </c>
      <c r="R243" s="39" t="s">
        <v>410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3240000</v>
      </c>
      <c r="X243" s="54">
        <f>IF(NOTA[[#This Row],[JUMLAH]]="","",NOTA[[#This Row],[JUMLAH]]*NOTA[[#This Row],[DISC 1]])</f>
        <v>550800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550800</v>
      </c>
      <c r="AA243" s="54">
        <f>IF(NOTA[[#This Row],[JUMLAH]]="","",NOTA[[#This Row],[JUMLAH]]-NOTA[[#This Row],[DISC]])</f>
        <v>2689200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44935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kenkopencilleadpl052b05mmhipolymer32400000.17</v>
      </c>
      <c r="AM243" s="193">
        <f>IF(NOTA[[#This Row],[CONCAT1]]="","",MATCH(NOTA[[#This Row],[CONCAT1]],[2]!db[NB NOTA_C],0)+1)</f>
        <v>1236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50</v>
      </c>
      <c r="E244" s="23"/>
      <c r="F244" s="26"/>
      <c r="G244" s="26"/>
      <c r="H244" s="31"/>
      <c r="I244" s="26"/>
      <c r="J244" s="51"/>
      <c r="K244" s="26"/>
      <c r="L244" s="26" t="s">
        <v>127</v>
      </c>
      <c r="M244" s="39">
        <v>4</v>
      </c>
      <c r="N244" s="26"/>
      <c r="O244" s="26"/>
      <c r="P244" s="49"/>
      <c r="Q244" s="52">
        <v>1860000</v>
      </c>
      <c r="R244" s="39" t="s">
        <v>119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7440000</v>
      </c>
      <c r="X244" s="54">
        <f>IF(NOTA[[#This Row],[JUMLAH]]="","",NOTA[[#This Row],[JUMLAH]]*NOTA[[#This Row],[DISC 1]])</f>
        <v>1264800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1264800</v>
      </c>
      <c r="AA244" s="54">
        <f>IF(NOTA[[#This Row],[JUMLAH]]="","",NOTA[[#This Row],[JUMLAH]]-NOTA[[#This Row],[DISC]])</f>
        <v>6175200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44935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44" s="193">
        <f>IF(NOTA[[#This Row],[CONCAT1]]="","",MATCH(NOTA[[#This Row],[CONCAT1]],[2]!db[NB NOTA_C],0)+1)</f>
        <v>1281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50</v>
      </c>
      <c r="E245" s="23"/>
      <c r="F245" s="26"/>
      <c r="G245" s="26"/>
      <c r="H245" s="31"/>
      <c r="I245" s="26"/>
      <c r="J245" s="51"/>
      <c r="K245" s="26"/>
      <c r="L245" s="26" t="s">
        <v>358</v>
      </c>
      <c r="M245" s="39">
        <v>1</v>
      </c>
      <c r="N245" s="26"/>
      <c r="O245" s="26"/>
      <c r="P245" s="49"/>
      <c r="Q245" s="52">
        <v>2280000</v>
      </c>
      <c r="R245" s="39" t="s">
        <v>367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2280000</v>
      </c>
      <c r="X245" s="54">
        <f>IF(NOTA[[#This Row],[JUMLAH]]="","",NOTA[[#This Row],[JUMLAH]]*NOTA[[#This Row],[DISC 1]])</f>
        <v>387600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387600</v>
      </c>
      <c r="AA245" s="54">
        <f>IF(NOTA[[#This Row],[JUMLAH]]="","",NOTA[[#This Row],[JUMLAH]]-NOTA[[#This Row],[DISC]])</f>
        <v>1892400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44935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45" s="193">
        <f>IF(NOTA[[#This Row],[CONCAT1]]="","",MATCH(NOTA[[#This Row],[CONCAT1]],[2]!db[NB NOTA_C],0)+1)</f>
        <v>1287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50</v>
      </c>
      <c r="E246" s="23"/>
      <c r="F246" s="26"/>
      <c r="G246" s="26"/>
      <c r="H246" s="31"/>
      <c r="I246" s="26"/>
      <c r="J246" s="51"/>
      <c r="K246" s="26"/>
      <c r="L246" s="26" t="s">
        <v>138</v>
      </c>
      <c r="M246" s="39">
        <v>10</v>
      </c>
      <c r="N246" s="26"/>
      <c r="O246" s="26"/>
      <c r="P246" s="49"/>
      <c r="Q246" s="52">
        <v>1695600</v>
      </c>
      <c r="R246" s="39" t="s">
        <v>118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16956000</v>
      </c>
      <c r="X246" s="54">
        <f>IF(NOTA[[#This Row],[JUMLAH]]="","",NOTA[[#This Row],[JUMLAH]]*NOTA[[#This Row],[DISC 1]])</f>
        <v>2882520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2882520</v>
      </c>
      <c r="AA246" s="54">
        <f>IF(NOTA[[#This Row],[JUMLAH]]="","",NOTA[[#This Row],[JUMLAH]]-NOTA[[#This Row],[DISC]])</f>
        <v>14073480</v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44935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246" s="193">
        <f>IF(NOTA[[#This Row],[CONCAT1]]="","",MATCH(NOTA[[#This Row],[CONCAT1]],[2]!db[NB NOTA_C],0)+1)</f>
        <v>1091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>
        <f ca="1">IF(NOTA[[#This Row],[NAMA BARANG]]="","",INDEX(NOTA[ID],MATCH(,INDIRECT(ADDRESS(ROW(NOTA[ID]),COLUMN(NOTA[ID]))&amp;":"&amp;ADDRESS(ROW(),COLUMN(NOTA[ID]))),-1)))</f>
        <v>50</v>
      </c>
      <c r="E247" s="23"/>
      <c r="F247" s="26"/>
      <c r="G247" s="26"/>
      <c r="H247" s="31"/>
      <c r="I247" s="26"/>
      <c r="J247" s="51"/>
      <c r="K247" s="26"/>
      <c r="L247" s="26" t="s">
        <v>406</v>
      </c>
      <c r="M247" s="39">
        <v>5</v>
      </c>
      <c r="N247" s="26"/>
      <c r="O247" s="26"/>
      <c r="P247" s="49"/>
      <c r="Q247" s="52">
        <v>1954800</v>
      </c>
      <c r="R247" s="39" t="s">
        <v>118</v>
      </c>
      <c r="S247" s="53">
        <v>0.17</v>
      </c>
      <c r="T247" s="53"/>
      <c r="U247" s="54"/>
      <c r="V247" s="37"/>
      <c r="W247" s="54">
        <f>IF(NOTA[[#This Row],[HARGA/ CTN]]="",NOTA[[#This Row],[JUMLAH_H]],NOTA[[#This Row],[HARGA/ CTN]]*IF(NOTA[[#This Row],[C]]="",0,NOTA[[#This Row],[C]]))</f>
        <v>9774000</v>
      </c>
      <c r="X247" s="54">
        <f>IF(NOTA[[#This Row],[JUMLAH]]="","",NOTA[[#This Row],[JUMLAH]]*NOTA[[#This Row],[DISC 1]])</f>
        <v>1661580.0000000002</v>
      </c>
      <c r="Y247" s="54">
        <f>IF(NOTA[[#This Row],[JUMLAH]]="","",(NOTA[[#This Row],[JUMLAH]]-NOTA[[#This Row],[DISC 1-]])*NOTA[[#This Row],[DISC 2]])</f>
        <v>0</v>
      </c>
      <c r="Z247" s="54">
        <f>IF(NOTA[[#This Row],[JUMLAH]]="","",NOTA[[#This Row],[DISC 1-]]+NOTA[[#This Row],[DISC 2-]])</f>
        <v>1661580.0000000002</v>
      </c>
      <c r="AA247" s="54">
        <f>IF(NOTA[[#This Row],[JUMLAH]]="","",NOTA[[#This Row],[JUMLAH]]-NOTA[[#This Row],[DISC]])</f>
        <v>8112420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247" s="54" t="str">
        <f>IF(OR(NOTA[[#This Row],[QTY]]="",NOTA[[#This Row],[HARGA SATUAN]]="",),"",NOTA[[#This Row],[QTY]]*NOTA[[#This Row],[HARGA SATUAN]])</f>
        <v/>
      </c>
      <c r="AF247" s="51">
        <f ca="1">IF(NOTA[ID_H]="","",INDEX(NOTA[TANGGAL],MATCH(,INDIRECT(ADDRESS(ROW(NOTA[TANGGAL]),COLUMN(NOTA[TANGGAL]))&amp;":"&amp;ADDRESS(ROW(),COLUMN(NOTA[TANGGAL]))),-1)))</f>
        <v>44935</v>
      </c>
      <c r="AG247" s="65" t="str">
        <f ca="1">IF(NOTA[[#This Row],[NAMA BARANG]]="","",INDEX(NOTA[SUPPLIER],MATCH(,INDIRECT(ADDRESS(ROW(NOTA[ID]),COLUMN(NOTA[ID]))&amp;":"&amp;ADDRESS(ROW(),COLUMN(NOTA[ID]))),-1)))</f>
        <v>KENKO SINAR INDONESIA</v>
      </c>
      <c r="AH247" s="65" t="str">
        <f ca="1">IF(NOTA[[#This Row],[ID_H]]="","",IF(NOTA[[#This Row],[FAKTUR]]="",INDIRECT(ADDRESS(ROW()-1,COLUMN())),NOTA[[#This Row],[FAKTUR]]))</f>
        <v>ARTO MORO</v>
      </c>
      <c r="AI247" s="38" t="str">
        <f ca="1">IF(NOTA[[#This Row],[ID]]="","",COUNTIF(NOTA[ID_H],NOTA[[#This Row],[ID_H]]))</f>
        <v/>
      </c>
      <c r="AJ247" s="38">
        <f ca="1">IF(NOTA[[#This Row],[TGL.NOTA]]="",IF(NOTA[[#This Row],[SUPPLIER_H]]="","",AJ246),MONTH(NOTA[[#This Row],[TGL.NOTA]]))</f>
        <v>1</v>
      </c>
      <c r="AK24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247" s="193">
        <f>IF(NOTA[[#This Row],[CONCAT1]]="","",MATCH(NOTA[[#This Row],[CONCAT1]],[2]!db[NB NOTA_C],0)+1)</f>
        <v>1089</v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50</v>
      </c>
      <c r="E248" s="23"/>
      <c r="F248" s="26"/>
      <c r="G248" s="26"/>
      <c r="H248" s="31"/>
      <c r="I248" s="26"/>
      <c r="J248" s="51"/>
      <c r="K248" s="26"/>
      <c r="L248" s="26" t="s">
        <v>165</v>
      </c>
      <c r="M248" s="39">
        <v>1</v>
      </c>
      <c r="N248" s="26"/>
      <c r="O248" s="26"/>
      <c r="P248" s="49"/>
      <c r="Q248" s="52">
        <v>3456000</v>
      </c>
      <c r="R248" s="39" t="s">
        <v>117</v>
      </c>
      <c r="S248" s="53">
        <v>0.17</v>
      </c>
      <c r="T248" s="53"/>
      <c r="U248" s="54"/>
      <c r="V248" s="37"/>
      <c r="W248" s="54">
        <f>IF(NOTA[[#This Row],[HARGA/ CTN]]="",NOTA[[#This Row],[JUMLAH_H]],NOTA[[#This Row],[HARGA/ CTN]]*IF(NOTA[[#This Row],[C]]="",0,NOTA[[#This Row],[C]]))</f>
        <v>3456000</v>
      </c>
      <c r="X248" s="54">
        <f>IF(NOTA[[#This Row],[JUMLAH]]="","",NOTA[[#This Row],[JUMLAH]]*NOTA[[#This Row],[DISC 1]])</f>
        <v>587520</v>
      </c>
      <c r="Y248" s="54">
        <f>IF(NOTA[[#This Row],[JUMLAH]]="","",(NOTA[[#This Row],[JUMLAH]]-NOTA[[#This Row],[DISC 1-]])*NOTA[[#This Row],[DISC 2]])</f>
        <v>0</v>
      </c>
      <c r="Z248" s="54">
        <f>IF(NOTA[[#This Row],[JUMLAH]]="","",NOTA[[#This Row],[DISC 1-]]+NOTA[[#This Row],[DISC 2-]])</f>
        <v>587520</v>
      </c>
      <c r="AA248" s="54">
        <f>IF(NOTA[[#This Row],[JUMLAH]]="","",NOTA[[#This Row],[JUMLAH]]-NOTA[[#This Row],[DISC]])</f>
        <v>2868480</v>
      </c>
      <c r="AB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48" s="54" t="str">
        <f>IF(OR(NOTA[[#This Row],[QTY]]="",NOTA[[#This Row],[HARGA SATUAN]]="",),"",NOTA[[#This Row],[QTY]]*NOTA[[#This Row],[HARGA SATUAN]])</f>
        <v/>
      </c>
      <c r="AF248" s="51">
        <f ca="1">IF(NOTA[ID_H]="","",INDEX(NOTA[TANGGAL],MATCH(,INDIRECT(ADDRESS(ROW(NOTA[TANGGAL]),COLUMN(NOTA[TANGGAL]))&amp;":"&amp;ADDRESS(ROW(),COLUMN(NOTA[TANGGAL]))),-1)))</f>
        <v>44935</v>
      </c>
      <c r="AG248" s="65" t="str">
        <f ca="1">IF(NOTA[[#This Row],[NAMA BARANG]]="","",INDEX(NOTA[SUPPLIER],MATCH(,INDIRECT(ADDRESS(ROW(NOTA[ID]),COLUMN(NOTA[ID]))&amp;":"&amp;ADDRESS(ROW(),COLUMN(NOTA[ID]))),-1)))</f>
        <v>KENKO SINAR INDONESIA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1</v>
      </c>
      <c r="AK2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248" s="193">
        <f>IF(NOTA[[#This Row],[CONCAT1]]="","",MATCH(NOTA[[#This Row],[CONCAT1]],[2]!db[NB NOTA_C],0)+1)</f>
        <v>1172</v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93" t="str">
        <f>IF(NOTA[[#This Row],[CONCAT1]]="","",MATCH(NOTA[[#This Row],[CONCAT1]],[2]!db[NB NOTA_C],0)+1)</f>
        <v/>
      </c>
    </row>
    <row r="250" spans="1:39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0" s="50" t="e">
        <f ca="1">IF(NOTA[[#This Row],[ID_P]]="","",MATCH(NOTA[[#This Row],[ID_P]],[1]!B_MSK[N_ID],0))</f>
        <v>#REF!</v>
      </c>
      <c r="D250" s="50">
        <f ca="1">IF(NOTA[[#This Row],[NAMA BARANG]]="","",INDEX(NOTA[ID],MATCH(,INDIRECT(ADDRESS(ROW(NOTA[ID]),COLUMN(NOTA[ID]))&amp;":"&amp;ADDRESS(ROW(),COLUMN(NOTA[ID]))),-1)))</f>
        <v>51</v>
      </c>
      <c r="E250" s="23">
        <v>44937</v>
      </c>
      <c r="F250" s="26" t="s">
        <v>25</v>
      </c>
      <c r="G250" s="26" t="s">
        <v>24</v>
      </c>
      <c r="H250" s="31" t="s">
        <v>419</v>
      </c>
      <c r="I250" s="26"/>
      <c r="J250" s="51">
        <v>44932</v>
      </c>
      <c r="K250" s="26"/>
      <c r="L250" s="26" t="s">
        <v>280</v>
      </c>
      <c r="M250" s="39">
        <v>1</v>
      </c>
      <c r="N250" s="26">
        <v>50</v>
      </c>
      <c r="O250" s="26" t="s">
        <v>131</v>
      </c>
      <c r="P250" s="49">
        <v>34100</v>
      </c>
      <c r="Q250" s="52"/>
      <c r="R250" s="39" t="s">
        <v>281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1705000</v>
      </c>
      <c r="X250" s="54">
        <f>IF(NOTA[[#This Row],[JUMLAH]]="","",NOTA[[#This Row],[JUMLAH]]*NOTA[[#This Row],[DISC 1]])</f>
        <v>213125</v>
      </c>
      <c r="Y250" s="54">
        <f>IF(NOTA[[#This Row],[JUMLAH]]="","",(NOTA[[#This Row],[JUMLAH]]-NOTA[[#This Row],[DISC 1-]])*NOTA[[#This Row],[DISC 2]])</f>
        <v>74593.75</v>
      </c>
      <c r="Z250" s="54">
        <f>IF(NOTA[[#This Row],[JUMLAH]]="","",NOTA[[#This Row],[DISC 1-]]+NOTA[[#This Row],[DISC 2-]])</f>
        <v>287718.75</v>
      </c>
      <c r="AA250" s="54">
        <f>IF(NOTA[[#This Row],[JUMLAH]]="","",NOTA[[#This Row],[JUMLAH]]-NOTA[[#This Row],[DISC]])</f>
        <v>1417281.25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0" s="54">
        <f>IF(OR(NOTA[[#This Row],[QTY]]="",NOTA[[#This Row],[HARGA SATUAN]]="",),"",NOTA[[#This Row],[QTY]]*NOTA[[#This Row],[HARGA SATUAN]])</f>
        <v>1705000</v>
      </c>
      <c r="AF250" s="51">
        <f ca="1">IF(NOTA[ID_H]="","",INDEX(NOTA[TANGGAL],MATCH(,INDIRECT(ADDRESS(ROW(NOTA[TANGGAL]),COLUMN(NOTA[TANGGAL]))&amp;":"&amp;ADDRESS(ROW(),COLUMN(NOTA[TANGGAL]))),-1)))</f>
        <v>44937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>
        <f ca="1">IF(NOTA[[#This Row],[ID]]="","",COUNTIF(NOTA[ID_H],NOTA[[#This Row],[ID_H]]))</f>
        <v>8</v>
      </c>
      <c r="AJ250" s="38">
        <f>IF(NOTA[[#This Row],[TGL.NOTA]]="",IF(NOTA[[#This Row],[SUPPLIER_H]]="","",AJ249),MONTH(NOTA[[#This Row],[TGL.NOTA]]))</f>
        <v>1</v>
      </c>
      <c r="AK25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0" s="193">
        <f>IF(NOTA[[#This Row],[CONCAT1]]="","",MATCH(NOTA[[#This Row],[CONCAT1]],[2]!db[NB NOTA_C],0)+1)</f>
        <v>671</v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51</v>
      </c>
      <c r="E251" s="23"/>
      <c r="F251" s="26"/>
      <c r="G251" s="26"/>
      <c r="H251" s="31"/>
      <c r="I251" s="26"/>
      <c r="J251" s="51"/>
      <c r="K251" s="26"/>
      <c r="L251" s="26" t="s">
        <v>420</v>
      </c>
      <c r="M251" s="39">
        <v>1</v>
      </c>
      <c r="N251" s="26">
        <v>360</v>
      </c>
      <c r="O251" s="26" t="s">
        <v>104</v>
      </c>
      <c r="P251" s="49">
        <v>10000</v>
      </c>
      <c r="Q251" s="52"/>
      <c r="R251" s="39" t="s">
        <v>266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3600000</v>
      </c>
      <c r="X251" s="54">
        <f>IF(NOTA[[#This Row],[JUMLAH]]="","",NOTA[[#This Row],[JUMLAH]]*NOTA[[#This Row],[DISC 1]])</f>
        <v>450000</v>
      </c>
      <c r="Y251" s="54">
        <f>IF(NOTA[[#This Row],[JUMLAH]]="","",(NOTA[[#This Row],[JUMLAH]]-NOTA[[#This Row],[DISC 1-]])*NOTA[[#This Row],[DISC 2]])</f>
        <v>157500</v>
      </c>
      <c r="Z251" s="54">
        <f>IF(NOTA[[#This Row],[JUMLAH]]="","",NOTA[[#This Row],[DISC 1-]]+NOTA[[#This Row],[DISC 2-]])</f>
        <v>607500</v>
      </c>
      <c r="AA251" s="54">
        <f>IF(NOTA[[#This Row],[JUMLAH]]="","",NOTA[[#This Row],[JUMLAH]]-NOTA[[#This Row],[DISC]])</f>
        <v>2992500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51" s="54">
        <f>IF(OR(NOTA[[#This Row],[QTY]]="",NOTA[[#This Row],[HARGA SATUAN]]="",),"",NOTA[[#This Row],[QTY]]*NOTA[[#This Row],[HARGA SATUAN]])</f>
        <v>3600000</v>
      </c>
      <c r="AF251" s="51">
        <f ca="1">IF(NOTA[ID_H]="","",INDEX(NOTA[TANGGAL],MATCH(,INDIRECT(ADDRESS(ROW(NOTA[TANGGAL]),COLUMN(NOTA[TANGGAL]))&amp;":"&amp;ADDRESS(ROW(),COLUMN(NOTA[TANGGAL]))),-1)))</f>
        <v>44937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1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>correctiontapect549jk36000000.1250.05</v>
      </c>
      <c r="AM251" s="193">
        <f>IF(NOTA[[#This Row],[CONCAT1]]="","",MATCH(NOTA[[#This Row],[CONCAT1]],[2]!db[NB NOTA_C],0)+1)</f>
        <v>529</v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51</v>
      </c>
      <c r="E252" s="23"/>
      <c r="F252" s="26"/>
      <c r="G252" s="26"/>
      <c r="H252" s="31"/>
      <c r="I252" s="26"/>
      <c r="J252" s="51"/>
      <c r="K252" s="26"/>
      <c r="L252" s="26" t="s">
        <v>421</v>
      </c>
      <c r="M252" s="39">
        <v>1</v>
      </c>
      <c r="N252" s="26">
        <v>360</v>
      </c>
      <c r="O252" s="26" t="s">
        <v>104</v>
      </c>
      <c r="P252" s="49">
        <v>5800</v>
      </c>
      <c r="Q252" s="52"/>
      <c r="R252" s="39" t="s">
        <v>266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2088000</v>
      </c>
      <c r="X252" s="54">
        <f>IF(NOTA[[#This Row],[JUMLAH]]="","",NOTA[[#This Row],[JUMLAH]]*NOTA[[#This Row],[DISC 1]])</f>
        <v>261000</v>
      </c>
      <c r="Y252" s="54">
        <f>IF(NOTA[[#This Row],[JUMLAH]]="","",(NOTA[[#This Row],[JUMLAH]]-NOTA[[#This Row],[DISC 1-]])*NOTA[[#This Row],[DISC 2]])</f>
        <v>91350</v>
      </c>
      <c r="Z252" s="54">
        <f>IF(NOTA[[#This Row],[JUMLAH]]="","",NOTA[[#This Row],[DISC 1-]]+NOTA[[#This Row],[DISC 2-]])</f>
        <v>352350</v>
      </c>
      <c r="AA252" s="54">
        <f>IF(NOTA[[#This Row],[JUMLAH]]="","",NOTA[[#This Row],[JUMLAH]]-NOTA[[#This Row],[DISC]])</f>
        <v>1735650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252" s="54">
        <f>IF(OR(NOTA[[#This Row],[QTY]]="",NOTA[[#This Row],[HARGA SATUAN]]="",),"",NOTA[[#This Row],[QTY]]*NOTA[[#This Row],[HARGA SATUAN]])</f>
        <v>2088000</v>
      </c>
      <c r="AF252" s="51">
        <f ca="1">IF(NOTA[ID_H]="","",INDEX(NOTA[TANGGAL],MATCH(,INDIRECT(ADDRESS(ROW(NOTA[TANGGAL]),COLUMN(NOTA[TANGGAL]))&amp;":"&amp;ADDRESS(ROW(),COLUMN(NOTA[TANGGAL]))),-1)))</f>
        <v>44937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1</v>
      </c>
      <c r="AK252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>correctiontapect510ajk20880000.1250.05</v>
      </c>
      <c r="AM252" s="193">
        <f>IF(NOTA[[#This Row],[CONCAT1]]="","",MATCH(NOTA[[#This Row],[CONCAT1]],[2]!db[NB NOTA_C],0)+1)</f>
        <v>519</v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51</v>
      </c>
      <c r="E253" s="23"/>
      <c r="F253" s="26"/>
      <c r="G253" s="26"/>
      <c r="H253" s="31"/>
      <c r="I253" s="26"/>
      <c r="J253" s="51"/>
      <c r="K253" s="26"/>
      <c r="L253" s="26" t="s">
        <v>460</v>
      </c>
      <c r="M253" s="39">
        <v>1</v>
      </c>
      <c r="N253" s="26">
        <v>192</v>
      </c>
      <c r="O253" s="26" t="s">
        <v>95</v>
      </c>
      <c r="P253" s="49">
        <v>3600</v>
      </c>
      <c r="Q253" s="52"/>
      <c r="R253" s="39" t="s">
        <v>422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691200</v>
      </c>
      <c r="X253" s="54">
        <f>IF(NOTA[[#This Row],[JUMLAH]]="","",NOTA[[#This Row],[JUMLAH]]*NOTA[[#This Row],[DISC 1]])</f>
        <v>86400</v>
      </c>
      <c r="Y253" s="54">
        <f>IF(NOTA[[#This Row],[JUMLAH]]="","",(NOTA[[#This Row],[JUMLAH]]-NOTA[[#This Row],[DISC 1-]])*NOTA[[#This Row],[DISC 2]])</f>
        <v>30240</v>
      </c>
      <c r="Z253" s="54">
        <f>IF(NOTA[[#This Row],[JUMLAH]]="","",NOTA[[#This Row],[DISC 1-]]+NOTA[[#This Row],[DISC 2-]])</f>
        <v>116640</v>
      </c>
      <c r="AA253" s="54">
        <f>IF(NOTA[[#This Row],[JUMLAH]]="","",NOTA[[#This Row],[JUMLAH]]-NOTA[[#This Row],[DISC]])</f>
        <v>574560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53" s="54">
        <f>IF(OR(NOTA[[#This Row],[QTY]]="",NOTA[[#This Row],[HARGA SATUAN]]="",),"",NOTA[[#This Row],[QTY]]*NOTA[[#This Row],[HARGA SATUAN]])</f>
        <v>691200</v>
      </c>
      <c r="AF253" s="51">
        <f ca="1">IF(NOTA[ID_H]="","",INDEX(NOTA[TANGGAL],MATCH(,INDIRECT(ADDRESS(ROW(NOTA[TANGGAL]),COLUMN(NOTA[TANGGAL]))&amp;":"&amp;ADDRESS(ROW(),COLUMN(NOTA[TANGGAL]))),-1)))</f>
        <v>44937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1</v>
      </c>
      <c r="AK253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>lleafa5702050sjk6912000.1250.05</v>
      </c>
      <c r="AM253" s="193">
        <f>IF(NOTA[[#This Row],[CONCAT1]]="","",MATCH(NOTA[[#This Row],[CONCAT1]],[2]!db[NB NOTA_C],0)+1)</f>
        <v>1334</v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51</v>
      </c>
      <c r="E254" s="23"/>
      <c r="F254" s="26"/>
      <c r="G254" s="26"/>
      <c r="H254" s="31"/>
      <c r="I254" s="26"/>
      <c r="J254" s="51"/>
      <c r="K254" s="26"/>
      <c r="L254" s="26" t="s">
        <v>273</v>
      </c>
      <c r="M254" s="39">
        <v>1</v>
      </c>
      <c r="N254" s="26">
        <v>20</v>
      </c>
      <c r="O254" s="26" t="s">
        <v>274</v>
      </c>
      <c r="P254" s="49">
        <v>67800</v>
      </c>
      <c r="Q254" s="52"/>
      <c r="R254" s="39" t="s">
        <v>136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1356000</v>
      </c>
      <c r="X254" s="54">
        <f>IF(NOTA[[#This Row],[JUMLAH]]="","",NOTA[[#This Row],[JUMLAH]]*NOTA[[#This Row],[DISC 1]])</f>
        <v>169500</v>
      </c>
      <c r="Y254" s="54">
        <f>IF(NOTA[[#This Row],[JUMLAH]]="","",(NOTA[[#This Row],[JUMLAH]]-NOTA[[#This Row],[DISC 1-]])*NOTA[[#This Row],[DISC 2]])</f>
        <v>59325</v>
      </c>
      <c r="Z254" s="54">
        <f>IF(NOTA[[#This Row],[JUMLAH]]="","",NOTA[[#This Row],[DISC 1-]]+NOTA[[#This Row],[DISC 2-]])</f>
        <v>228825</v>
      </c>
      <c r="AA254" s="54">
        <f>IF(NOTA[[#This Row],[JUMLAH]]="","",NOTA[[#This Row],[JUMLAH]]-NOTA[[#This Row],[DISC]])</f>
        <v>1127175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54" s="54">
        <f>IF(OR(NOTA[[#This Row],[QTY]]="",NOTA[[#This Row],[HARGA SATUAN]]="",),"",NOTA[[#This Row],[QTY]]*NOTA[[#This Row],[HARGA SATUAN]])</f>
        <v>1356000</v>
      </c>
      <c r="AF254" s="51">
        <f ca="1">IF(NOTA[ID_H]="","",INDEX(NOTA[TANGGAL],MATCH(,INDIRECT(ADDRESS(ROW(NOTA[TANGGAL]),COLUMN(NOTA[TANGGAL]))&amp;":"&amp;ADDRESS(ROW(),COLUMN(NOTA[TANGGAL]))),-1)))</f>
        <v>44937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1</v>
      </c>
      <c r="AK254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254" s="193">
        <f>IF(NOTA[[#This Row],[CONCAT1]]="","",MATCH(NOTA[[#This Row],[CONCAT1]],[2]!db[NB NOTA_C],0)+1)</f>
        <v>200</v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51</v>
      </c>
      <c r="E255" s="23"/>
      <c r="F255" s="26"/>
      <c r="G255" s="26"/>
      <c r="H255" s="31"/>
      <c r="I255" s="26"/>
      <c r="J255" s="51"/>
      <c r="K255" s="26"/>
      <c r="L255" s="26" t="s">
        <v>275</v>
      </c>
      <c r="M255" s="39"/>
      <c r="N255" s="26">
        <v>24</v>
      </c>
      <c r="O255" s="26" t="s">
        <v>104</v>
      </c>
      <c r="P255" s="49">
        <v>2350</v>
      </c>
      <c r="Q255" s="52"/>
      <c r="R255" s="39" t="s">
        <v>276</v>
      </c>
      <c r="S255" s="53">
        <v>0.1</v>
      </c>
      <c r="T255" s="53">
        <v>0.05</v>
      </c>
      <c r="U255" s="54"/>
      <c r="V255" s="37" t="s">
        <v>423</v>
      </c>
      <c r="W255" s="54">
        <f>IF(NOTA[[#This Row],[HARGA/ CTN]]="",NOTA[[#This Row],[JUMLAH_H]],NOTA[[#This Row],[HARGA/ CTN]]*IF(NOTA[[#This Row],[C]]="",0,NOTA[[#This Row],[C]]))</f>
        <v>56400</v>
      </c>
      <c r="X255" s="54">
        <f>IF(NOTA[[#This Row],[JUMLAH]]="","",NOTA[[#This Row],[JUMLAH]]*NOTA[[#This Row],[DISC 1]])</f>
        <v>5640</v>
      </c>
      <c r="Y255" s="54">
        <f>IF(NOTA[[#This Row],[JUMLAH]]="","",(NOTA[[#This Row],[JUMLAH]]-NOTA[[#This Row],[DISC 1-]])*NOTA[[#This Row],[DISC 2]])</f>
        <v>2538</v>
      </c>
      <c r="Z255" s="54">
        <f>IF(NOTA[[#This Row],[JUMLAH]]="","",NOTA[[#This Row],[DISC 1-]]+NOTA[[#This Row],[DISC 2-]])</f>
        <v>8178</v>
      </c>
      <c r="AA255" s="54">
        <f>IF(NOTA[[#This Row],[JUMLAH]]="","",NOTA[[#This Row],[JUMLAH]]-NOTA[[#This Row],[DISC]])</f>
        <v>48222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255" s="54">
        <f>IF(OR(NOTA[[#This Row],[QTY]]="",NOTA[[#This Row],[HARGA SATUAN]]="",),"",NOTA[[#This Row],[QTY]]*NOTA[[#This Row],[HARGA SATUAN]])</f>
        <v>56400</v>
      </c>
      <c r="AF255" s="51">
        <f ca="1">IF(NOTA[ID_H]="","",INDEX(NOTA[TANGGAL],MATCH(,INDIRECT(ADDRESS(ROW(NOTA[TANGGAL]),COLUMN(NOTA[TANGGAL]))&amp;":"&amp;ADDRESS(ROW(),COLUMN(NOTA[TANGGAL]))),-1)))</f>
        <v>44937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1</v>
      </c>
      <c r="AK25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55" s="193">
        <f>IF(NOTA[[#This Row],[CONCAT1]]="","",MATCH(NOTA[[#This Row],[CONCAT1]],[2]!db[NB NOTA_C],0)+1)</f>
        <v>1798</v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51</v>
      </c>
      <c r="E256" s="23"/>
      <c r="F256" s="26"/>
      <c r="G256" s="26"/>
      <c r="H256" s="31"/>
      <c r="I256" s="26"/>
      <c r="J256" s="51"/>
      <c r="K256" s="26"/>
      <c r="L256" s="26" t="s">
        <v>424</v>
      </c>
      <c r="M256" s="39">
        <v>1</v>
      </c>
      <c r="N256" s="26">
        <v>72</v>
      </c>
      <c r="O256" s="26" t="s">
        <v>128</v>
      </c>
      <c r="P256" s="49">
        <v>23000</v>
      </c>
      <c r="Q256" s="52"/>
      <c r="R256" s="39" t="s">
        <v>425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1656000</v>
      </c>
      <c r="X256" s="54">
        <f>IF(NOTA[[#This Row],[JUMLAH]]="","",NOTA[[#This Row],[JUMLAH]]*NOTA[[#This Row],[DISC 1]])</f>
        <v>207000</v>
      </c>
      <c r="Y256" s="54">
        <f>IF(NOTA[[#This Row],[JUMLAH]]="","",(NOTA[[#This Row],[JUMLAH]]-NOTA[[#This Row],[DISC 1-]])*NOTA[[#This Row],[DISC 2]])</f>
        <v>72450</v>
      </c>
      <c r="Z256" s="54">
        <f>IF(NOTA[[#This Row],[JUMLAH]]="","",NOTA[[#This Row],[DISC 1-]]+NOTA[[#This Row],[DISC 2-]])</f>
        <v>279450</v>
      </c>
      <c r="AA256" s="54">
        <f>IF(NOTA[[#This Row],[JUMLAH]]="","",NOTA[[#This Row],[JUMLAH]]-NOTA[[#This Row],[DISC]])</f>
        <v>1376550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56" s="54">
        <f>IF(OR(NOTA[[#This Row],[QTY]]="",NOTA[[#This Row],[HARGA SATUAN]]="",),"",NOTA[[#This Row],[QTY]]*NOTA[[#This Row],[HARGA SATUAN]])</f>
        <v>1656000</v>
      </c>
      <c r="AF256" s="51">
        <f ca="1">IF(NOTA[ID_H]="","",INDEX(NOTA[TANGGAL],MATCH(,INDIRECT(ADDRESS(ROW(NOTA[TANGGAL]),COLUMN(NOTA[TANGGAL]))&amp;":"&amp;ADDRESS(ROW(),COLUMN(NOTA[TANGGAL]))),-1)))</f>
        <v>44937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1</v>
      </c>
      <c r="AK25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256" s="193">
        <f>IF(NOTA[[#This Row],[CONCAT1]]="","",MATCH(NOTA[[#This Row],[CONCAT1]],[2]!db[NB NOTA_C],0)+1)</f>
        <v>1543</v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51</v>
      </c>
      <c r="E257" s="23"/>
      <c r="F257" s="26"/>
      <c r="G257" s="26"/>
      <c r="H257" s="31"/>
      <c r="I257" s="26"/>
      <c r="J257" s="51"/>
      <c r="K257" s="26"/>
      <c r="L257" s="26" t="s">
        <v>137</v>
      </c>
      <c r="M257" s="39"/>
      <c r="N257" s="26">
        <v>2</v>
      </c>
      <c r="O257" s="26" t="s">
        <v>116</v>
      </c>
      <c r="P257" s="49">
        <v>12600</v>
      </c>
      <c r="Q257" s="52"/>
      <c r="R257" s="39" t="s">
        <v>129</v>
      </c>
      <c r="S257" s="53">
        <v>0.1</v>
      </c>
      <c r="T257" s="53">
        <v>0.05</v>
      </c>
      <c r="U257" s="54">
        <v>69768</v>
      </c>
      <c r="V257" s="37" t="s">
        <v>155</v>
      </c>
      <c r="W257" s="54">
        <f>IF(NOTA[[#This Row],[HARGA/ CTN]]="",NOTA[[#This Row],[JUMLAH_H]],NOTA[[#This Row],[HARGA/ CTN]]*IF(NOTA[[#This Row],[C]]="",0,NOTA[[#This Row],[C]]))</f>
        <v>25200</v>
      </c>
      <c r="X257" s="54">
        <f>IF(NOTA[[#This Row],[JUMLAH]]="","",NOTA[[#This Row],[JUMLAH]]*NOTA[[#This Row],[DISC 1]])</f>
        <v>2520</v>
      </c>
      <c r="Y257" s="54">
        <f>IF(NOTA[[#This Row],[JUMLAH]]="","",(NOTA[[#This Row],[JUMLAH]]-NOTA[[#This Row],[DISC 1-]])*NOTA[[#This Row],[DISC 2]])</f>
        <v>1134</v>
      </c>
      <c r="Z257" s="54">
        <f>IF(NOTA[[#This Row],[JUMLAH]]="","",NOTA[[#This Row],[DISC 1-]]+NOTA[[#This Row],[DISC 2-]])</f>
        <v>3654</v>
      </c>
      <c r="AA257" s="54">
        <f>IF(NOTA[[#This Row],[JUMLAH]]="","",NOTA[[#This Row],[JUMLAH]]-NOTA[[#This Row],[DISC]])</f>
        <v>21546</v>
      </c>
      <c r="AB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C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E257" s="54">
        <f>IF(OR(NOTA[[#This Row],[QTY]]="",NOTA[[#This Row],[HARGA SATUAN]]="",),"",NOTA[[#This Row],[QTY]]*NOTA[[#This Row],[HARGA SATUAN]])</f>
        <v>25200</v>
      </c>
      <c r="AF257" s="51">
        <f ca="1">IF(NOTA[ID_H]="","",INDEX(NOTA[TANGGAL],MATCH(,INDIRECT(ADDRESS(ROW(NOTA[TANGGAL]),COLUMN(NOTA[TANGGAL]))&amp;":"&amp;ADDRESS(ROW(),COLUMN(NOTA[TANGGAL]))),-1)))</f>
        <v>44937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1</v>
      </c>
      <c r="AK25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57" s="193">
        <f>IF(NOTA[[#This Row],[CONCAT1]]="","",MATCH(NOTA[[#This Row],[CONCAT1]],[2]!db[NB NOTA_C],0)+1)</f>
        <v>77</v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93" t="str">
        <f>IF(NOTA[[#This Row],[CONCAT1]]="","",MATCH(NOTA[[#This Row],[CONCAT1]],[2]!db[NB NOTA_C],0)+1)</f>
        <v/>
      </c>
    </row>
    <row r="259" spans="1:39" ht="20.100000000000001" customHeight="1" x14ac:dyDescent="0.25">
      <c r="A259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59" s="50" t="e">
        <f ca="1">IF(NOTA[[#This Row],[ID_P]]="","",MATCH(NOTA[[#This Row],[ID_P]],[1]!B_MSK[N_ID],0))</f>
        <v>#REF!</v>
      </c>
      <c r="D259" s="50">
        <f ca="1">IF(NOTA[[#This Row],[NAMA BARANG]]="","",INDEX(NOTA[ID],MATCH(,INDIRECT(ADDRESS(ROW(NOTA[ID]),COLUMN(NOTA[ID]))&amp;":"&amp;ADDRESS(ROW(),COLUMN(NOTA[ID]))),-1)))</f>
        <v>52</v>
      </c>
      <c r="E259" s="23"/>
      <c r="F259" s="26" t="s">
        <v>25</v>
      </c>
      <c r="G259" s="26" t="s">
        <v>24</v>
      </c>
      <c r="H259" s="31" t="s">
        <v>426</v>
      </c>
      <c r="I259" s="26"/>
      <c r="J259" s="51">
        <v>44932</v>
      </c>
      <c r="K259" s="26"/>
      <c r="L259" s="26" t="s">
        <v>280</v>
      </c>
      <c r="M259" s="39">
        <v>2</v>
      </c>
      <c r="N259" s="26">
        <v>100</v>
      </c>
      <c r="O259" s="26" t="s">
        <v>131</v>
      </c>
      <c r="P259" s="49">
        <v>34100</v>
      </c>
      <c r="Q259" s="52"/>
      <c r="R259" s="39" t="s">
        <v>281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3410000</v>
      </c>
      <c r="X259" s="54">
        <f>IF(NOTA[[#This Row],[JUMLAH]]="","",NOTA[[#This Row],[JUMLAH]]*NOTA[[#This Row],[DISC 1]])</f>
        <v>426250</v>
      </c>
      <c r="Y259" s="54">
        <f>IF(NOTA[[#This Row],[JUMLAH]]="","",(NOTA[[#This Row],[JUMLAH]]-NOTA[[#This Row],[DISC 1-]])*NOTA[[#This Row],[DISC 2]])</f>
        <v>149187.5</v>
      </c>
      <c r="Z259" s="54">
        <f>IF(NOTA[[#This Row],[JUMLAH]]="","",NOTA[[#This Row],[DISC 1-]]+NOTA[[#This Row],[DISC 2-]])</f>
        <v>575437.5</v>
      </c>
      <c r="AA259" s="54">
        <f>IF(NOTA[[#This Row],[JUMLAH]]="","",NOTA[[#This Row],[JUMLAH]]-NOTA[[#This Row],[DISC]])</f>
        <v>2834562.5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9" s="54">
        <f>IF(OR(NOTA[[#This Row],[QTY]]="",NOTA[[#This Row],[HARGA SATUAN]]="",),"",NOTA[[#This Row],[QTY]]*NOTA[[#This Row],[HARGA SATUAN]])</f>
        <v>3410000</v>
      </c>
      <c r="AF259" s="51">
        <f ca="1">IF(NOTA[ID_H]="","",INDEX(NOTA[TANGGAL],MATCH(,INDIRECT(ADDRESS(ROW(NOTA[TANGGAL]),COLUMN(NOTA[TANGGAL]))&amp;":"&amp;ADDRESS(ROW(),COLUMN(NOTA[TANGGAL]))),-1)))</f>
        <v>44937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>
        <f ca="1">IF(NOTA[[#This Row],[ID]]="","",COUNTIF(NOTA[ID_H],NOTA[[#This Row],[ID_H]]))</f>
        <v>10</v>
      </c>
      <c r="AJ259" s="38">
        <f>IF(NOTA[[#This Row],[TGL.NOTA]]="",IF(NOTA[[#This Row],[SUPPLIER_H]]="","",AJ258),MONTH(NOTA[[#This Row],[TGL.NOTA]]))</f>
        <v>1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9" s="193">
        <f>IF(NOTA[[#This Row],[CONCAT1]]="","",MATCH(NOTA[[#This Row],[CONCAT1]],[2]!db[NB NOTA_C],0)+1)</f>
        <v>671</v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52</v>
      </c>
      <c r="E260" s="23"/>
      <c r="F260" s="26"/>
      <c r="G260" s="26"/>
      <c r="H260" s="31"/>
      <c r="I260" s="26"/>
      <c r="J260" s="51"/>
      <c r="K260" s="26"/>
      <c r="L260" s="26" t="s">
        <v>278</v>
      </c>
      <c r="M260" s="39">
        <v>1</v>
      </c>
      <c r="N260" s="26">
        <v>50</v>
      </c>
      <c r="O260" s="26" t="s">
        <v>131</v>
      </c>
      <c r="P260" s="49">
        <v>28300</v>
      </c>
      <c r="Q260" s="52"/>
      <c r="R260" s="39" t="s">
        <v>279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1415000</v>
      </c>
      <c r="X260" s="54">
        <f>IF(NOTA[[#This Row],[JUMLAH]]="","",NOTA[[#This Row],[JUMLAH]]*NOTA[[#This Row],[DISC 1]])</f>
        <v>176875</v>
      </c>
      <c r="Y260" s="54">
        <f>IF(NOTA[[#This Row],[JUMLAH]]="","",(NOTA[[#This Row],[JUMLAH]]-NOTA[[#This Row],[DISC 1-]])*NOTA[[#This Row],[DISC 2]])</f>
        <v>61906.25</v>
      </c>
      <c r="Z260" s="54">
        <f>IF(NOTA[[#This Row],[JUMLAH]]="","",NOTA[[#This Row],[DISC 1-]]+NOTA[[#This Row],[DISC 2-]])</f>
        <v>238781.25</v>
      </c>
      <c r="AA260" s="54">
        <f>IF(NOTA[[#This Row],[JUMLAH]]="","",NOTA[[#This Row],[JUMLAH]]-NOTA[[#This Row],[DISC]])</f>
        <v>1176218.75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60" s="54">
        <f>IF(OR(NOTA[[#This Row],[QTY]]="",NOTA[[#This Row],[HARGA SATUAN]]="",),"",NOTA[[#This Row],[QTY]]*NOTA[[#This Row],[HARGA SATUAN]])</f>
        <v>1415000</v>
      </c>
      <c r="AF260" s="51">
        <f ca="1">IF(NOTA[ID_H]="","",INDEX(NOTA[TANGGAL],MATCH(,INDIRECT(ADDRESS(ROW(NOTA[TANGGAL]),COLUMN(NOTA[TANGGAL]))&amp;":"&amp;ADDRESS(ROW(),COLUMN(NOTA[TANGGAL]))),-1)))</f>
        <v>44937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1</v>
      </c>
      <c r="AK26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60" s="193">
        <f>IF(NOTA[[#This Row],[CONCAT1]]="","",MATCH(NOTA[[#This Row],[CONCAT1]],[2]!db[NB NOTA_C],0)+1)</f>
        <v>673</v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52</v>
      </c>
      <c r="E261" s="23"/>
      <c r="F261" s="26"/>
      <c r="G261" s="26"/>
      <c r="H261" s="31"/>
      <c r="I261" s="26"/>
      <c r="J261" s="51"/>
      <c r="K261" s="26"/>
      <c r="L261" s="26" t="s">
        <v>427</v>
      </c>
      <c r="M261" s="39">
        <v>1</v>
      </c>
      <c r="N261" s="26">
        <v>72</v>
      </c>
      <c r="O261" s="26" t="s">
        <v>116</v>
      </c>
      <c r="P261" s="49">
        <v>37200</v>
      </c>
      <c r="Q261" s="52"/>
      <c r="R261" s="39" t="s">
        <v>428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2678400</v>
      </c>
      <c r="X261" s="54">
        <f>IF(NOTA[[#This Row],[JUMLAH]]="","",NOTA[[#This Row],[JUMLAH]]*NOTA[[#This Row],[DISC 1]])</f>
        <v>334800</v>
      </c>
      <c r="Y261" s="54">
        <f>IF(NOTA[[#This Row],[JUMLAH]]="","",(NOTA[[#This Row],[JUMLAH]]-NOTA[[#This Row],[DISC 1-]])*NOTA[[#This Row],[DISC 2]])</f>
        <v>117180</v>
      </c>
      <c r="Z261" s="54">
        <f>IF(NOTA[[#This Row],[JUMLAH]]="","",NOTA[[#This Row],[DISC 1-]]+NOTA[[#This Row],[DISC 2-]])</f>
        <v>451980</v>
      </c>
      <c r="AA261" s="54">
        <f>IF(NOTA[[#This Row],[JUMLAH]]="","",NOTA[[#This Row],[JUMLAH]]-NOTA[[#This Row],[DISC]])</f>
        <v>2226420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1" s="54">
        <f>IF(OR(NOTA[[#This Row],[QTY]]="",NOTA[[#This Row],[HARGA SATUAN]]="",),"",NOTA[[#This Row],[QTY]]*NOTA[[#This Row],[HARGA SATUAN]])</f>
        <v>2678400</v>
      </c>
      <c r="AF261" s="51">
        <f ca="1">IF(NOTA[ID_H]="","",INDEX(NOTA[TANGGAL],MATCH(,INDIRECT(ADDRESS(ROW(NOTA[TANGGAL]),COLUMN(NOTA[TANGGAL]))&amp;":"&amp;ADDRESS(ROW(),COLUMN(NOTA[TANGGAL]))),-1)))</f>
        <v>44937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1</v>
      </c>
      <c r="AK26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261" s="193">
        <f>IF(NOTA[[#This Row],[CONCAT1]]="","",MATCH(NOTA[[#This Row],[CONCAT1]],[2]!db[NB NOTA_C],0)+1)</f>
        <v>1729</v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52</v>
      </c>
      <c r="E262" s="23"/>
      <c r="F262" s="26"/>
      <c r="G262" s="26"/>
      <c r="H262" s="31"/>
      <c r="I262" s="26"/>
      <c r="J262" s="51"/>
      <c r="K262" s="26"/>
      <c r="L262" s="26" t="s">
        <v>270</v>
      </c>
      <c r="M262" s="39">
        <v>2</v>
      </c>
      <c r="N262" s="26">
        <v>288</v>
      </c>
      <c r="O262" s="26" t="s">
        <v>104</v>
      </c>
      <c r="P262" s="49">
        <v>4350</v>
      </c>
      <c r="Q262" s="52"/>
      <c r="R262" s="39" t="s">
        <v>271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1252800</v>
      </c>
      <c r="X262" s="54">
        <f>IF(NOTA[[#This Row],[JUMLAH]]="","",NOTA[[#This Row],[JUMLAH]]*NOTA[[#This Row],[DISC 1]])</f>
        <v>156600</v>
      </c>
      <c r="Y262" s="54">
        <f>IF(NOTA[[#This Row],[JUMLAH]]="","",(NOTA[[#This Row],[JUMLAH]]-NOTA[[#This Row],[DISC 1-]])*NOTA[[#This Row],[DISC 2]])</f>
        <v>54810</v>
      </c>
      <c r="Z262" s="54">
        <f>IF(NOTA[[#This Row],[JUMLAH]]="","",NOTA[[#This Row],[DISC 1-]]+NOTA[[#This Row],[DISC 2-]])</f>
        <v>211410</v>
      </c>
      <c r="AA262" s="54">
        <f>IF(NOTA[[#This Row],[JUMLAH]]="","",NOTA[[#This Row],[JUMLAH]]-NOTA[[#This Row],[DISC]])</f>
        <v>1041390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1252800</v>
      </c>
      <c r="AF262" s="51">
        <f ca="1">IF(NOTA[ID_H]="","",INDEX(NOTA[TANGGAL],MATCH(,INDIRECT(ADDRESS(ROW(NOTA[TANGGAL]),COLUMN(NOTA[TANGGAL]))&amp;":"&amp;ADDRESS(ROW(),COLUMN(NOTA[TANGGAL]))),-1)))</f>
        <v>44937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1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62" s="193">
        <f>IF(NOTA[[#This Row],[CONCAT1]]="","",MATCH(NOTA[[#This Row],[CONCAT1]],[2]!db[NB NOTA_C],0)+1)</f>
        <v>1881</v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52</v>
      </c>
      <c r="E263" s="23"/>
      <c r="F263" s="26"/>
      <c r="G263" s="26"/>
      <c r="H263" s="31"/>
      <c r="I263" s="26"/>
      <c r="J263" s="51"/>
      <c r="K263" s="26"/>
      <c r="L263" s="26" t="s">
        <v>429</v>
      </c>
      <c r="M263" s="39">
        <v>2</v>
      </c>
      <c r="N263" s="26">
        <v>60</v>
      </c>
      <c r="O263" s="26" t="s">
        <v>274</v>
      </c>
      <c r="P263" s="49">
        <v>104400</v>
      </c>
      <c r="Q263" s="52"/>
      <c r="R263" s="39" t="s">
        <v>371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6264000</v>
      </c>
      <c r="X263" s="54">
        <f>IF(NOTA[[#This Row],[JUMLAH]]="","",NOTA[[#This Row],[JUMLAH]]*NOTA[[#This Row],[DISC 1]])</f>
        <v>783000</v>
      </c>
      <c r="Y263" s="54">
        <f>IF(NOTA[[#This Row],[JUMLAH]]="","",(NOTA[[#This Row],[JUMLAH]]-NOTA[[#This Row],[DISC 1-]])*NOTA[[#This Row],[DISC 2]])</f>
        <v>274050</v>
      </c>
      <c r="Z263" s="54">
        <f>IF(NOTA[[#This Row],[JUMLAH]]="","",NOTA[[#This Row],[DISC 1-]]+NOTA[[#This Row],[DISC 2-]])</f>
        <v>1057050</v>
      </c>
      <c r="AA263" s="54">
        <f>IF(NOTA[[#This Row],[JUMLAH]]="","",NOTA[[#This Row],[JUMLAH]]-NOTA[[#This Row],[DISC]])</f>
        <v>5206950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63" s="54">
        <f>IF(OR(NOTA[[#This Row],[QTY]]="",NOTA[[#This Row],[HARGA SATUAN]]="",),"",NOTA[[#This Row],[QTY]]*NOTA[[#This Row],[HARGA SATUAN]])</f>
        <v>6264000</v>
      </c>
      <c r="AF263" s="51">
        <f ca="1">IF(NOTA[ID_H]="","",INDEX(NOTA[TANGGAL],MATCH(,INDIRECT(ADDRESS(ROW(NOTA[TANGGAL]),COLUMN(NOTA[TANGGAL]))&amp;":"&amp;ADDRESS(ROW(),COLUMN(NOTA[TANGGAL]))),-1)))</f>
        <v>44937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1</v>
      </c>
      <c r="AK26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263" s="193">
        <f>IF(NOTA[[#This Row],[CONCAT1]]="","",MATCH(NOTA[[#This Row],[CONCAT1]],[2]!db[NB NOTA_C],0)+1)</f>
        <v>1732</v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52</v>
      </c>
      <c r="E264" s="23"/>
      <c r="F264" s="26"/>
      <c r="G264" s="26"/>
      <c r="H264" s="31"/>
      <c r="I264" s="26"/>
      <c r="J264" s="51"/>
      <c r="K264" s="26"/>
      <c r="L264" s="26" t="s">
        <v>430</v>
      </c>
      <c r="M264" s="39">
        <v>1</v>
      </c>
      <c r="N264" s="26">
        <v>144</v>
      </c>
      <c r="O264" s="26" t="s">
        <v>128</v>
      </c>
      <c r="P264" s="49">
        <v>23900</v>
      </c>
      <c r="Q264" s="52"/>
      <c r="R264" s="39" t="s">
        <v>264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3441600</v>
      </c>
      <c r="X264" s="54">
        <f>IF(NOTA[[#This Row],[JUMLAH]]="","",NOTA[[#This Row],[JUMLAH]]*NOTA[[#This Row],[DISC 1]])</f>
        <v>430200</v>
      </c>
      <c r="Y264" s="54">
        <f>IF(NOTA[[#This Row],[JUMLAH]]="","",(NOTA[[#This Row],[JUMLAH]]-NOTA[[#This Row],[DISC 1-]])*NOTA[[#This Row],[DISC 2]])</f>
        <v>150570</v>
      </c>
      <c r="Z264" s="54">
        <f>IF(NOTA[[#This Row],[JUMLAH]]="","",NOTA[[#This Row],[DISC 1-]]+NOTA[[#This Row],[DISC 2-]])</f>
        <v>580770</v>
      </c>
      <c r="AA264" s="54">
        <f>IF(NOTA[[#This Row],[JUMLAH]]="","",NOTA[[#This Row],[JUMLAH]]-NOTA[[#This Row],[DISC]])</f>
        <v>2860830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4" s="54">
        <f>IF(OR(NOTA[[#This Row],[QTY]]="",NOTA[[#This Row],[HARGA SATUAN]]="",),"",NOTA[[#This Row],[QTY]]*NOTA[[#This Row],[HARGA SATUAN]])</f>
        <v>3441600</v>
      </c>
      <c r="AF264" s="51">
        <f ca="1">IF(NOTA[ID_H]="","",INDEX(NOTA[TANGGAL],MATCH(,INDIRECT(ADDRESS(ROW(NOTA[TANGGAL]),COLUMN(NOTA[TANGGAL]))&amp;":"&amp;ADDRESS(ROW(),COLUMN(NOTA[TANGGAL]))),-1)))</f>
        <v>44937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1</v>
      </c>
      <c r="AK26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64" s="193">
        <f>IF(NOTA[[#This Row],[CONCAT1]]="","",MATCH(NOTA[[#This Row],[CONCAT1]],[2]!db[NB NOTA_C],0)+1)</f>
        <v>551</v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52</v>
      </c>
      <c r="E265" s="23"/>
      <c r="F265" s="26"/>
      <c r="G265" s="26"/>
      <c r="H265" s="31"/>
      <c r="I265" s="26"/>
      <c r="J265" s="51"/>
      <c r="K265" s="26"/>
      <c r="L265" s="26" t="s">
        <v>263</v>
      </c>
      <c r="M265" s="39">
        <v>1</v>
      </c>
      <c r="N265" s="26">
        <v>144</v>
      </c>
      <c r="O265" s="26" t="s">
        <v>128</v>
      </c>
      <c r="P265" s="49">
        <v>18600</v>
      </c>
      <c r="Q265" s="52"/>
      <c r="R265" s="39" t="s">
        <v>264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2678400</v>
      </c>
      <c r="X265" s="54">
        <f>IF(NOTA[[#This Row],[JUMLAH]]="","",NOTA[[#This Row],[JUMLAH]]*NOTA[[#This Row],[DISC 1]])</f>
        <v>334800</v>
      </c>
      <c r="Y265" s="54">
        <f>IF(NOTA[[#This Row],[JUMLAH]]="","",(NOTA[[#This Row],[JUMLAH]]-NOTA[[#This Row],[DISC 1-]])*NOTA[[#This Row],[DISC 2]])</f>
        <v>117180</v>
      </c>
      <c r="Z265" s="54">
        <f>IF(NOTA[[#This Row],[JUMLAH]]="","",NOTA[[#This Row],[DISC 1-]]+NOTA[[#This Row],[DISC 2-]])</f>
        <v>451980</v>
      </c>
      <c r="AA265" s="54">
        <f>IF(NOTA[[#This Row],[JUMLAH]]="","",NOTA[[#This Row],[JUMLAH]]-NOTA[[#This Row],[DISC]])</f>
        <v>2226420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5" s="54">
        <f>IF(OR(NOTA[[#This Row],[QTY]]="",NOTA[[#This Row],[HARGA SATUAN]]="",),"",NOTA[[#This Row],[QTY]]*NOTA[[#This Row],[HARGA SATUAN]])</f>
        <v>2678400</v>
      </c>
      <c r="AF265" s="51">
        <f ca="1">IF(NOTA[ID_H]="","",INDEX(NOTA[TANGGAL],MATCH(,INDIRECT(ADDRESS(ROW(NOTA[TANGGAL]),COLUMN(NOTA[TANGGAL]))&amp;":"&amp;ADDRESS(ROW(),COLUMN(NOTA[TANGGAL]))),-1)))</f>
        <v>44937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1</v>
      </c>
      <c r="AK265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265" s="193">
        <f>IF(NOTA[[#This Row],[CONCAT1]]="","",MATCH(NOTA[[#This Row],[CONCAT1]],[2]!db[NB NOTA_C],0)+1)</f>
        <v>550</v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52</v>
      </c>
      <c r="E266" s="23"/>
      <c r="F266" s="26"/>
      <c r="G266" s="26"/>
      <c r="H266" s="31"/>
      <c r="I266" s="26"/>
      <c r="J266" s="51"/>
      <c r="K266" s="26"/>
      <c r="L266" s="26" t="s">
        <v>431</v>
      </c>
      <c r="M266" s="39">
        <v>1</v>
      </c>
      <c r="N266" s="26">
        <v>144</v>
      </c>
      <c r="O266" s="26" t="s">
        <v>128</v>
      </c>
      <c r="P266" s="49">
        <v>11900</v>
      </c>
      <c r="Q266" s="52"/>
      <c r="R266" s="39" t="s">
        <v>264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1713600</v>
      </c>
      <c r="X266" s="54">
        <f>IF(NOTA[[#This Row],[JUMLAH]]="","",NOTA[[#This Row],[JUMLAH]]*NOTA[[#This Row],[DISC 1]])</f>
        <v>214200</v>
      </c>
      <c r="Y266" s="54">
        <f>IF(NOTA[[#This Row],[JUMLAH]]="","",(NOTA[[#This Row],[JUMLAH]]-NOTA[[#This Row],[DISC 1-]])*NOTA[[#This Row],[DISC 2]])</f>
        <v>74970</v>
      </c>
      <c r="Z266" s="54">
        <f>IF(NOTA[[#This Row],[JUMLAH]]="","",NOTA[[#This Row],[DISC 1-]]+NOTA[[#This Row],[DISC 2-]])</f>
        <v>289170</v>
      </c>
      <c r="AA266" s="54">
        <f>IF(NOTA[[#This Row],[JUMLAH]]="","",NOTA[[#This Row],[JUMLAH]]-NOTA[[#This Row],[DISC]])</f>
        <v>1424430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66" s="54">
        <f>IF(OR(NOTA[[#This Row],[QTY]]="",NOTA[[#This Row],[HARGA SATUAN]]="",),"",NOTA[[#This Row],[QTY]]*NOTA[[#This Row],[HARGA SATUAN]])</f>
        <v>1713600</v>
      </c>
      <c r="AF266" s="51">
        <f ca="1">IF(NOTA[ID_H]="","",INDEX(NOTA[TANGGAL],MATCH(,INDIRECT(ADDRESS(ROW(NOTA[TANGGAL]),COLUMN(NOTA[TANGGAL]))&amp;":"&amp;ADDRESS(ROW(),COLUMN(NOTA[TANGGAL]))),-1)))</f>
        <v>44937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1</v>
      </c>
      <c r="AK2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266" s="193">
        <f>IF(NOTA[[#This Row],[CONCAT1]]="","",MATCH(NOTA[[#This Row],[CONCAT1]],[2]!db[NB NOTA_C],0)+1)</f>
        <v>1542</v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52</v>
      </c>
      <c r="E267" s="23"/>
      <c r="F267" s="26"/>
      <c r="G267" s="26"/>
      <c r="H267" s="31"/>
      <c r="I267" s="26"/>
      <c r="J267" s="51"/>
      <c r="K267" s="26"/>
      <c r="L267" s="26" t="s">
        <v>432</v>
      </c>
      <c r="M267" s="39">
        <v>1</v>
      </c>
      <c r="N267" s="26">
        <v>144</v>
      </c>
      <c r="O267" s="26" t="s">
        <v>128</v>
      </c>
      <c r="P267" s="49">
        <v>9000</v>
      </c>
      <c r="Q267" s="52"/>
      <c r="R267" s="39" t="s">
        <v>433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1296000</v>
      </c>
      <c r="X267" s="54">
        <f>IF(NOTA[[#This Row],[JUMLAH]]="","",NOTA[[#This Row],[JUMLAH]]*NOTA[[#This Row],[DISC 1]])</f>
        <v>162000</v>
      </c>
      <c r="Y267" s="54">
        <f>IF(NOTA[[#This Row],[JUMLAH]]="","",(NOTA[[#This Row],[JUMLAH]]-NOTA[[#This Row],[DISC 1-]])*NOTA[[#This Row],[DISC 2]])</f>
        <v>56700</v>
      </c>
      <c r="Z267" s="54">
        <f>IF(NOTA[[#This Row],[JUMLAH]]="","",NOTA[[#This Row],[DISC 1-]]+NOTA[[#This Row],[DISC 2-]])</f>
        <v>218700</v>
      </c>
      <c r="AA267" s="54">
        <f>IF(NOTA[[#This Row],[JUMLAH]]="","",NOTA[[#This Row],[JUMLAH]]-NOTA[[#This Row],[DISC]])</f>
        <v>1077300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267" s="54">
        <f>IF(OR(NOTA[[#This Row],[QTY]]="",NOTA[[#This Row],[HARGA SATUAN]]="",),"",NOTA[[#This Row],[QTY]]*NOTA[[#This Row],[HARGA SATUAN]])</f>
        <v>1296000</v>
      </c>
      <c r="AF267" s="51">
        <f ca="1">IF(NOTA[ID_H]="","",INDEX(NOTA[TANGGAL],MATCH(,INDIRECT(ADDRESS(ROW(NOTA[TANGGAL]),COLUMN(NOTA[TANGGAL]))&amp;":"&amp;ADDRESS(ROW(),COLUMN(NOTA[TANGGAL]))),-1)))</f>
        <v>44937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1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267" s="193">
        <f>IF(NOTA[[#This Row],[CONCAT1]]="","",MATCH(NOTA[[#This Row],[CONCAT1]],[2]!db[NB NOTA_C],0)+1)</f>
        <v>1541</v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52</v>
      </c>
      <c r="E268" s="23"/>
      <c r="F268" s="26"/>
      <c r="G268" s="26"/>
      <c r="H268" s="31"/>
      <c r="I268" s="26"/>
      <c r="J268" s="51"/>
      <c r="K268" s="26"/>
      <c r="L268" s="26" t="s">
        <v>137</v>
      </c>
      <c r="M268" s="39"/>
      <c r="N268" s="26">
        <v>4</v>
      </c>
      <c r="O268" s="26" t="s">
        <v>116</v>
      </c>
      <c r="P268" s="49">
        <v>12600</v>
      </c>
      <c r="Q268" s="52"/>
      <c r="R268" s="39" t="s">
        <v>129</v>
      </c>
      <c r="S268" s="53">
        <v>0.1</v>
      </c>
      <c r="T268" s="53">
        <v>0.05</v>
      </c>
      <c r="U268" s="54">
        <v>43092</v>
      </c>
      <c r="V268" s="37" t="s">
        <v>155</v>
      </c>
      <c r="W268" s="54">
        <f>IF(NOTA[[#This Row],[HARGA/ CTN]]="",NOTA[[#This Row],[JUMLAH_H]],NOTA[[#This Row],[HARGA/ CTN]]*IF(NOTA[[#This Row],[C]]="",0,NOTA[[#This Row],[C]]))</f>
        <v>50400</v>
      </c>
      <c r="X268" s="54">
        <f>IF(NOTA[[#This Row],[JUMLAH]]="","",NOTA[[#This Row],[JUMLAH]]*NOTA[[#This Row],[DISC 1]])</f>
        <v>5040</v>
      </c>
      <c r="Y268" s="54">
        <f>IF(NOTA[[#This Row],[JUMLAH]]="","",(NOTA[[#This Row],[JUMLAH]]-NOTA[[#This Row],[DISC 1-]])*NOTA[[#This Row],[DISC 2]])</f>
        <v>2268</v>
      </c>
      <c r="Z268" s="54">
        <f>IF(NOTA[[#This Row],[JUMLAH]]="","",NOTA[[#This Row],[DISC 1-]]+NOTA[[#This Row],[DISC 2-]])</f>
        <v>7308</v>
      </c>
      <c r="AA268" s="54">
        <f>IF(NOTA[[#This Row],[JUMLAH]]="","",NOTA[[#This Row],[JUMLAH]]-NOTA[[#This Row],[DISC]])</f>
        <v>43092</v>
      </c>
      <c r="AB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C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E268" s="54">
        <f>IF(OR(NOTA[[#This Row],[QTY]]="",NOTA[[#This Row],[HARGA SATUAN]]="",),"",NOTA[[#This Row],[QTY]]*NOTA[[#This Row],[HARGA SATUAN]])</f>
        <v>50400</v>
      </c>
      <c r="AF268" s="51">
        <f ca="1">IF(NOTA[ID_H]="","",INDEX(NOTA[TANGGAL],MATCH(,INDIRECT(ADDRESS(ROW(NOTA[TANGGAL]),COLUMN(NOTA[TANGGAL]))&amp;":"&amp;ADDRESS(ROW(),COLUMN(NOTA[TANGGAL]))),-1)))</f>
        <v>44937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1</v>
      </c>
      <c r="AK268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68" s="193">
        <f>IF(NOTA[[#This Row],[CONCAT1]]="","",MATCH(NOTA[[#This Row],[CONCAT1]],[2]!db[NB NOTA_C],0)+1)</f>
        <v>77</v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93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0" s="50" t="e">
        <f ca="1">IF(NOTA[[#This Row],[ID_P]]="","",MATCH(NOTA[[#This Row],[ID_P]],[1]!B_MSK[N_ID],0))</f>
        <v>#REF!</v>
      </c>
      <c r="D270" s="50">
        <f ca="1">IF(NOTA[[#This Row],[NAMA BARANG]]="","",INDEX(NOTA[ID],MATCH(,INDIRECT(ADDRESS(ROW(NOTA[ID]),COLUMN(NOTA[ID]))&amp;":"&amp;ADDRESS(ROW(),COLUMN(NOTA[ID]))),-1)))</f>
        <v>53</v>
      </c>
      <c r="E270" s="23"/>
      <c r="F270" s="26" t="s">
        <v>25</v>
      </c>
      <c r="G270" s="26" t="s">
        <v>24</v>
      </c>
      <c r="H270" s="31" t="s">
        <v>434</v>
      </c>
      <c r="I270" s="26"/>
      <c r="J270" s="51">
        <v>44932</v>
      </c>
      <c r="K270" s="26"/>
      <c r="L270" s="26" t="s">
        <v>278</v>
      </c>
      <c r="M270" s="39">
        <v>2</v>
      </c>
      <c r="N270" s="26">
        <v>100</v>
      </c>
      <c r="O270" s="26" t="s">
        <v>131</v>
      </c>
      <c r="P270" s="49">
        <v>28300</v>
      </c>
      <c r="Q270" s="52"/>
      <c r="R270" s="39" t="s">
        <v>279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2830000</v>
      </c>
      <c r="X270" s="54">
        <f>IF(NOTA[[#This Row],[JUMLAH]]="","",NOTA[[#This Row],[JUMLAH]]*NOTA[[#This Row],[DISC 1]])</f>
        <v>353750</v>
      </c>
      <c r="Y270" s="54">
        <f>IF(NOTA[[#This Row],[JUMLAH]]="","",(NOTA[[#This Row],[JUMLAH]]-NOTA[[#This Row],[DISC 1-]])*NOTA[[#This Row],[DISC 2]])</f>
        <v>123812.5</v>
      </c>
      <c r="Z270" s="54">
        <f>IF(NOTA[[#This Row],[JUMLAH]]="","",NOTA[[#This Row],[DISC 1-]]+NOTA[[#This Row],[DISC 2-]])</f>
        <v>477562.5</v>
      </c>
      <c r="AA270" s="54">
        <f>IF(NOTA[[#This Row],[JUMLAH]]="","",NOTA[[#This Row],[JUMLAH]]-NOTA[[#This Row],[DISC]])</f>
        <v>2352437.5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0" s="54">
        <f>IF(OR(NOTA[[#This Row],[QTY]]="",NOTA[[#This Row],[HARGA SATUAN]]="",),"",NOTA[[#This Row],[QTY]]*NOTA[[#This Row],[HARGA SATUAN]])</f>
        <v>2830000</v>
      </c>
      <c r="AF270" s="51">
        <f ca="1">IF(NOTA[ID_H]="","",INDEX(NOTA[TANGGAL],MATCH(,INDIRECT(ADDRESS(ROW(NOTA[TANGGAL]),COLUMN(NOTA[TANGGAL]))&amp;":"&amp;ADDRESS(ROW(),COLUMN(NOTA[TANGGAL]))),-1)))</f>
        <v>44937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>
        <f ca="1">IF(NOTA[[#This Row],[ID]]="","",COUNTIF(NOTA[ID_H],NOTA[[#This Row],[ID_H]]))</f>
        <v>11</v>
      </c>
      <c r="AJ270" s="38">
        <f>IF(NOTA[[#This Row],[TGL.NOTA]]="",IF(NOTA[[#This Row],[SUPPLIER_H]]="","",AJ269),MONTH(NOTA[[#This Row],[TGL.NOTA]]))</f>
        <v>1</v>
      </c>
      <c r="AK27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70" s="193">
        <f>IF(NOTA[[#This Row],[CONCAT1]]="","",MATCH(NOTA[[#This Row],[CONCAT1]],[2]!db[NB NOTA_C],0)+1)</f>
        <v>673</v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53</v>
      </c>
      <c r="E271" s="23"/>
      <c r="F271" s="26"/>
      <c r="G271" s="26"/>
      <c r="H271" s="31"/>
      <c r="I271" s="26"/>
      <c r="J271" s="51"/>
      <c r="K271" s="26"/>
      <c r="L271" s="26" t="s">
        <v>283</v>
      </c>
      <c r="M271" s="39">
        <v>1</v>
      </c>
      <c r="N271" s="26">
        <v>50</v>
      </c>
      <c r="O271" s="26" t="s">
        <v>131</v>
      </c>
      <c r="P271" s="49">
        <v>28300</v>
      </c>
      <c r="Q271" s="52"/>
      <c r="R271" s="39" t="s">
        <v>279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1415000</v>
      </c>
      <c r="X271" s="54">
        <f>IF(NOTA[[#This Row],[JUMLAH]]="","",NOTA[[#This Row],[JUMLAH]]*NOTA[[#This Row],[DISC 1]])</f>
        <v>176875</v>
      </c>
      <c r="Y271" s="54">
        <f>IF(NOTA[[#This Row],[JUMLAH]]="","",(NOTA[[#This Row],[JUMLAH]]-NOTA[[#This Row],[DISC 1-]])*NOTA[[#This Row],[DISC 2]])</f>
        <v>61906.25</v>
      </c>
      <c r="Z271" s="54">
        <f>IF(NOTA[[#This Row],[JUMLAH]]="","",NOTA[[#This Row],[DISC 1-]]+NOTA[[#This Row],[DISC 2-]])</f>
        <v>238781.25</v>
      </c>
      <c r="AA271" s="54">
        <f>IF(NOTA[[#This Row],[JUMLAH]]="","",NOTA[[#This Row],[JUMLAH]]-NOTA[[#This Row],[DISC]])</f>
        <v>1176218.75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1" s="54">
        <f>IF(OR(NOTA[[#This Row],[QTY]]="",NOTA[[#This Row],[HARGA SATUAN]]="",),"",NOTA[[#This Row],[QTY]]*NOTA[[#This Row],[HARGA SATUAN]])</f>
        <v>1415000</v>
      </c>
      <c r="AF271" s="51">
        <f ca="1">IF(NOTA[ID_H]="","",INDEX(NOTA[TANGGAL],MATCH(,INDIRECT(ADDRESS(ROW(NOTA[TANGGAL]),COLUMN(NOTA[TANGGAL]))&amp;":"&amp;ADDRESS(ROW(),COLUMN(NOTA[TANGGAL]))),-1)))</f>
        <v>44937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1</v>
      </c>
      <c r="AK27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71" s="193">
        <f>IF(NOTA[[#This Row],[CONCAT1]]="","",MATCH(NOTA[[#This Row],[CONCAT1]],[2]!db[NB NOTA_C],0)+1)</f>
        <v>672</v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53</v>
      </c>
      <c r="E272" s="23"/>
      <c r="F272" s="26"/>
      <c r="G272" s="26"/>
      <c r="H272" s="31"/>
      <c r="I272" s="26"/>
      <c r="J272" s="51"/>
      <c r="K272" s="26"/>
      <c r="L272" s="26" t="s">
        <v>284</v>
      </c>
      <c r="M272" s="39">
        <v>1</v>
      </c>
      <c r="N272" s="26">
        <v>50</v>
      </c>
      <c r="O272" s="26" t="s">
        <v>131</v>
      </c>
      <c r="P272" s="49">
        <v>34100</v>
      </c>
      <c r="Q272" s="52"/>
      <c r="R272" s="39" t="s">
        <v>281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1705000</v>
      </c>
      <c r="X272" s="54">
        <f>IF(NOTA[[#This Row],[JUMLAH]]="","",NOTA[[#This Row],[JUMLAH]]*NOTA[[#This Row],[DISC 1]])</f>
        <v>213125</v>
      </c>
      <c r="Y272" s="54">
        <f>IF(NOTA[[#This Row],[JUMLAH]]="","",(NOTA[[#This Row],[JUMLAH]]-NOTA[[#This Row],[DISC 1-]])*NOTA[[#This Row],[DISC 2]])</f>
        <v>74593.75</v>
      </c>
      <c r="Z272" s="54">
        <f>IF(NOTA[[#This Row],[JUMLAH]]="","",NOTA[[#This Row],[DISC 1-]]+NOTA[[#This Row],[DISC 2-]])</f>
        <v>287718.75</v>
      </c>
      <c r="AA272" s="54">
        <f>IF(NOTA[[#This Row],[JUMLAH]]="","",NOTA[[#This Row],[JUMLAH]]-NOTA[[#This Row],[DISC]])</f>
        <v>1417281.25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72" s="54">
        <f>IF(OR(NOTA[[#This Row],[QTY]]="",NOTA[[#This Row],[HARGA SATUAN]]="",),"",NOTA[[#This Row],[QTY]]*NOTA[[#This Row],[HARGA SATUAN]])</f>
        <v>1705000</v>
      </c>
      <c r="AF272" s="51">
        <f ca="1">IF(NOTA[ID_H]="","",INDEX(NOTA[TANGGAL],MATCH(,INDIRECT(ADDRESS(ROW(NOTA[TANGGAL]),COLUMN(NOTA[TANGGAL]))&amp;":"&amp;ADDRESS(ROW(),COLUMN(NOTA[TANGGAL]))),-1)))</f>
        <v>44937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1</v>
      </c>
      <c r="AK27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72" s="193">
        <f>IF(NOTA[[#This Row],[CONCAT1]]="","",MATCH(NOTA[[#This Row],[CONCAT1]],[2]!db[NB NOTA_C],0)+1)</f>
        <v>680</v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53</v>
      </c>
      <c r="E273" s="23"/>
      <c r="F273" s="26"/>
      <c r="G273" s="26"/>
      <c r="H273" s="31"/>
      <c r="I273" s="26"/>
      <c r="J273" s="51"/>
      <c r="K273" s="26"/>
      <c r="L273" s="26" t="s">
        <v>430</v>
      </c>
      <c r="M273" s="39">
        <v>1</v>
      </c>
      <c r="N273" s="26">
        <v>144</v>
      </c>
      <c r="O273" s="26" t="s">
        <v>128</v>
      </c>
      <c r="P273" s="49">
        <v>23900</v>
      </c>
      <c r="Q273" s="52"/>
      <c r="R273" s="39" t="s">
        <v>264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3441600</v>
      </c>
      <c r="X273" s="54">
        <f>IF(NOTA[[#This Row],[JUMLAH]]="","",NOTA[[#This Row],[JUMLAH]]*NOTA[[#This Row],[DISC 1]])</f>
        <v>430200</v>
      </c>
      <c r="Y273" s="54">
        <f>IF(NOTA[[#This Row],[JUMLAH]]="","",(NOTA[[#This Row],[JUMLAH]]-NOTA[[#This Row],[DISC 1-]])*NOTA[[#This Row],[DISC 2]])</f>
        <v>150570</v>
      </c>
      <c r="Z273" s="54">
        <f>IF(NOTA[[#This Row],[JUMLAH]]="","",NOTA[[#This Row],[DISC 1-]]+NOTA[[#This Row],[DISC 2-]])</f>
        <v>580770</v>
      </c>
      <c r="AA273" s="54">
        <f>IF(NOTA[[#This Row],[JUMLAH]]="","",NOTA[[#This Row],[JUMLAH]]-NOTA[[#This Row],[DISC]])</f>
        <v>2860830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3" s="54">
        <f>IF(OR(NOTA[[#This Row],[QTY]]="",NOTA[[#This Row],[HARGA SATUAN]]="",),"",NOTA[[#This Row],[QTY]]*NOTA[[#This Row],[HARGA SATUAN]])</f>
        <v>3441600</v>
      </c>
      <c r="AF273" s="51">
        <f ca="1">IF(NOTA[ID_H]="","",INDEX(NOTA[TANGGAL],MATCH(,INDIRECT(ADDRESS(ROW(NOTA[TANGGAL]),COLUMN(NOTA[TANGGAL]))&amp;":"&amp;ADDRESS(ROW(),COLUMN(NOTA[TANGGAL]))),-1)))</f>
        <v>44937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1</v>
      </c>
      <c r="AK27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73" s="193">
        <f>IF(NOTA[[#This Row],[CONCAT1]]="","",MATCH(NOTA[[#This Row],[CONCAT1]],[2]!db[NB NOTA_C],0)+1)</f>
        <v>551</v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53</v>
      </c>
      <c r="E274" s="23"/>
      <c r="F274" s="26"/>
      <c r="G274" s="26"/>
      <c r="H274" s="31"/>
      <c r="I274" s="26"/>
      <c r="J274" s="51"/>
      <c r="K274" s="26"/>
      <c r="L274" s="26" t="s">
        <v>270</v>
      </c>
      <c r="M274" s="39">
        <v>2</v>
      </c>
      <c r="N274" s="26">
        <v>288</v>
      </c>
      <c r="O274" s="26" t="s">
        <v>104</v>
      </c>
      <c r="P274" s="49">
        <v>4350</v>
      </c>
      <c r="Q274" s="52"/>
      <c r="R274" s="39" t="s">
        <v>271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1252800</v>
      </c>
      <c r="X274" s="54">
        <f>IF(NOTA[[#This Row],[JUMLAH]]="","",NOTA[[#This Row],[JUMLAH]]*NOTA[[#This Row],[DISC 1]])</f>
        <v>156600</v>
      </c>
      <c r="Y274" s="54">
        <f>IF(NOTA[[#This Row],[JUMLAH]]="","",(NOTA[[#This Row],[JUMLAH]]-NOTA[[#This Row],[DISC 1-]])*NOTA[[#This Row],[DISC 2]])</f>
        <v>54810</v>
      </c>
      <c r="Z274" s="54">
        <f>IF(NOTA[[#This Row],[JUMLAH]]="","",NOTA[[#This Row],[DISC 1-]]+NOTA[[#This Row],[DISC 2-]])</f>
        <v>211410</v>
      </c>
      <c r="AA274" s="54">
        <f>IF(NOTA[[#This Row],[JUMLAH]]="","",NOTA[[#This Row],[JUMLAH]]-NOTA[[#This Row],[DISC]])</f>
        <v>1041390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4" s="54">
        <f>IF(OR(NOTA[[#This Row],[QTY]]="",NOTA[[#This Row],[HARGA SATUAN]]="",),"",NOTA[[#This Row],[QTY]]*NOTA[[#This Row],[HARGA SATUAN]])</f>
        <v>1252800</v>
      </c>
      <c r="AF274" s="51">
        <f ca="1">IF(NOTA[ID_H]="","",INDEX(NOTA[TANGGAL],MATCH(,INDIRECT(ADDRESS(ROW(NOTA[TANGGAL]),COLUMN(NOTA[TANGGAL]))&amp;":"&amp;ADDRESS(ROW(),COLUMN(NOTA[TANGGAL]))),-1)))</f>
        <v>44937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1</v>
      </c>
      <c r="AK2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74" s="193">
        <f>IF(NOTA[[#This Row],[CONCAT1]]="","",MATCH(NOTA[[#This Row],[CONCAT1]],[2]!db[NB NOTA_C],0)+1)</f>
        <v>1881</v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53</v>
      </c>
      <c r="E275" s="23"/>
      <c r="F275" s="26"/>
      <c r="G275" s="26"/>
      <c r="H275" s="31"/>
      <c r="I275" s="26"/>
      <c r="J275" s="51"/>
      <c r="K275" s="26"/>
      <c r="L275" s="26" t="s">
        <v>268</v>
      </c>
      <c r="M275" s="39">
        <v>2</v>
      </c>
      <c r="N275" s="26">
        <v>1000</v>
      </c>
      <c r="O275" s="26" t="s">
        <v>133</v>
      </c>
      <c r="P275" s="49">
        <v>3050</v>
      </c>
      <c r="Q275" s="52"/>
      <c r="R275" s="39" t="s">
        <v>267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3050000</v>
      </c>
      <c r="X275" s="54">
        <f>IF(NOTA[[#This Row],[JUMLAH]]="","",NOTA[[#This Row],[JUMLAH]]*NOTA[[#This Row],[DISC 1]])</f>
        <v>381250</v>
      </c>
      <c r="Y275" s="54">
        <f>IF(NOTA[[#This Row],[JUMLAH]]="","",(NOTA[[#This Row],[JUMLAH]]-NOTA[[#This Row],[DISC 1-]])*NOTA[[#This Row],[DISC 2]])</f>
        <v>133437.5</v>
      </c>
      <c r="Z275" s="54">
        <f>IF(NOTA[[#This Row],[JUMLAH]]="","",NOTA[[#This Row],[DISC 1-]]+NOTA[[#This Row],[DISC 2-]])</f>
        <v>514687.5</v>
      </c>
      <c r="AA275" s="54">
        <f>IF(NOTA[[#This Row],[JUMLAH]]="","",NOTA[[#This Row],[JUMLAH]]-NOTA[[#This Row],[DISC]])</f>
        <v>2535312.5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75" s="54">
        <f>IF(OR(NOTA[[#This Row],[QTY]]="",NOTA[[#This Row],[HARGA SATUAN]]="",),"",NOTA[[#This Row],[QTY]]*NOTA[[#This Row],[HARGA SATUAN]])</f>
        <v>3050000</v>
      </c>
      <c r="AF275" s="51">
        <f ca="1">IF(NOTA[ID_H]="","",INDEX(NOTA[TANGGAL],MATCH(,INDIRECT(ADDRESS(ROW(NOTA[TANGGAL]),COLUMN(NOTA[TANGGAL]))&amp;":"&amp;ADDRESS(ROW(),COLUMN(NOTA[TANGGAL]))),-1)))</f>
        <v>44937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1</v>
      </c>
      <c r="AK27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275" s="193">
        <f>IF(NOTA[[#This Row],[CONCAT1]]="","",MATCH(NOTA[[#This Row],[CONCAT1]],[2]!db[NB NOTA_C],0)+1)</f>
        <v>1342</v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53</v>
      </c>
      <c r="E276" s="23"/>
      <c r="F276" s="26"/>
      <c r="G276" s="26"/>
      <c r="H276" s="31"/>
      <c r="I276" s="26"/>
      <c r="J276" s="51"/>
      <c r="K276" s="26"/>
      <c r="L276" s="26" t="s">
        <v>435</v>
      </c>
      <c r="M276" s="39">
        <v>1</v>
      </c>
      <c r="N276" s="26">
        <v>500</v>
      </c>
      <c r="O276" s="26" t="s">
        <v>133</v>
      </c>
      <c r="P276" s="49">
        <v>4200</v>
      </c>
      <c r="Q276" s="52"/>
      <c r="R276" s="39" t="s">
        <v>267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2100000</v>
      </c>
      <c r="X276" s="54">
        <f>IF(NOTA[[#This Row],[JUMLAH]]="","",NOTA[[#This Row],[JUMLAH]]*NOTA[[#This Row],[DISC 1]])</f>
        <v>262500</v>
      </c>
      <c r="Y276" s="54">
        <f>IF(NOTA[[#This Row],[JUMLAH]]="","",(NOTA[[#This Row],[JUMLAH]]-NOTA[[#This Row],[DISC 1-]])*NOTA[[#This Row],[DISC 2]])</f>
        <v>91875</v>
      </c>
      <c r="Z276" s="54">
        <f>IF(NOTA[[#This Row],[JUMLAH]]="","",NOTA[[#This Row],[DISC 1-]]+NOTA[[#This Row],[DISC 2-]])</f>
        <v>354375</v>
      </c>
      <c r="AA276" s="54">
        <f>IF(NOTA[[#This Row],[JUMLAH]]="","",NOTA[[#This Row],[JUMLAH]]-NOTA[[#This Row],[DISC]])</f>
        <v>1745625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76" s="54">
        <f>IF(OR(NOTA[[#This Row],[QTY]]="",NOTA[[#This Row],[HARGA SATUAN]]="",),"",NOTA[[#This Row],[QTY]]*NOTA[[#This Row],[HARGA SATUAN]])</f>
        <v>2100000</v>
      </c>
      <c r="AF276" s="51">
        <f ca="1">IF(NOTA[ID_H]="","",INDEX(NOTA[TANGGAL],MATCH(,INDIRECT(ADDRESS(ROW(NOTA[TANGGAL]),COLUMN(NOTA[TANGGAL]))&amp;":"&amp;ADDRESS(ROW(),COLUMN(NOTA[TANGGAL]))),-1)))</f>
        <v>44937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1</v>
      </c>
      <c r="AK276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>labellbp2cy2barisyellowjk21000000.1250.05</v>
      </c>
      <c r="AM276" s="193">
        <f>IF(NOTA[[#This Row],[CONCAT1]]="","",MATCH(NOTA[[#This Row],[CONCAT1]],[2]!db[NB NOTA_C],0)+1)</f>
        <v>1341</v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53</v>
      </c>
      <c r="E277" s="23"/>
      <c r="F277" s="26"/>
      <c r="G277" s="26"/>
      <c r="H277" s="31"/>
      <c r="I277" s="26"/>
      <c r="J277" s="51"/>
      <c r="K277" s="26"/>
      <c r="L277" s="26" t="s">
        <v>436</v>
      </c>
      <c r="M277" s="39">
        <v>2</v>
      </c>
      <c r="N277" s="26">
        <v>2000</v>
      </c>
      <c r="O277" s="26" t="s">
        <v>133</v>
      </c>
      <c r="P277" s="49">
        <v>2050</v>
      </c>
      <c r="Q277" s="52"/>
      <c r="R277" s="39" t="s">
        <v>437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4100000</v>
      </c>
      <c r="X277" s="54">
        <f>IF(NOTA[[#This Row],[JUMLAH]]="","",NOTA[[#This Row],[JUMLAH]]*NOTA[[#This Row],[DISC 1]])</f>
        <v>512500</v>
      </c>
      <c r="Y277" s="54">
        <f>IF(NOTA[[#This Row],[JUMLAH]]="","",(NOTA[[#This Row],[JUMLAH]]-NOTA[[#This Row],[DISC 1-]])*NOTA[[#This Row],[DISC 2]])</f>
        <v>179375</v>
      </c>
      <c r="Z277" s="54">
        <f>IF(NOTA[[#This Row],[JUMLAH]]="","",NOTA[[#This Row],[DISC 1-]]+NOTA[[#This Row],[DISC 2-]])</f>
        <v>691875</v>
      </c>
      <c r="AA277" s="54">
        <f>IF(NOTA[[#This Row],[JUMLAH]]="","",NOTA[[#This Row],[JUMLAH]]-NOTA[[#This Row],[DISC]])</f>
        <v>3408125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77" s="54">
        <f>IF(OR(NOTA[[#This Row],[QTY]]="",NOTA[[#This Row],[HARGA SATUAN]]="",),"",NOTA[[#This Row],[QTY]]*NOTA[[#This Row],[HARGA SATUAN]])</f>
        <v>4100000</v>
      </c>
      <c r="AF277" s="51">
        <f ca="1">IF(NOTA[ID_H]="","",INDEX(NOTA[TANGGAL],MATCH(,INDIRECT(ADDRESS(ROW(NOTA[TANGGAL]),COLUMN(NOTA[TANGGAL]))&amp;":"&amp;ADDRESS(ROW(),COLUMN(NOTA[TANGGAL]))),-1)))</f>
        <v>44937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1</v>
      </c>
      <c r="AK27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277" s="193">
        <f>IF(NOTA[[#This Row],[CONCAT1]]="","",MATCH(NOTA[[#This Row],[CONCAT1]],[2]!db[NB NOTA_C],0)+1)</f>
        <v>1338</v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53</v>
      </c>
      <c r="E278" s="23"/>
      <c r="F278" s="26"/>
      <c r="G278" s="26"/>
      <c r="H278" s="31"/>
      <c r="I278" s="26"/>
      <c r="J278" s="51"/>
      <c r="K278" s="26"/>
      <c r="L278" s="26" t="s">
        <v>438</v>
      </c>
      <c r="M278" s="39">
        <v>1</v>
      </c>
      <c r="N278" s="26">
        <v>60</v>
      </c>
      <c r="O278" s="26" t="s">
        <v>104</v>
      </c>
      <c r="P278" s="49">
        <v>20800</v>
      </c>
      <c r="Q278" s="52"/>
      <c r="R278" s="39" t="s">
        <v>185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1248000</v>
      </c>
      <c r="X278" s="54">
        <f>IF(NOTA[[#This Row],[JUMLAH]]="","",NOTA[[#This Row],[JUMLAH]]*NOTA[[#This Row],[DISC 1]])</f>
        <v>156000</v>
      </c>
      <c r="Y278" s="54">
        <f>IF(NOTA[[#This Row],[JUMLAH]]="","",(NOTA[[#This Row],[JUMLAH]]-NOTA[[#This Row],[DISC 1-]])*NOTA[[#This Row],[DISC 2]])</f>
        <v>54600</v>
      </c>
      <c r="Z278" s="54">
        <f>IF(NOTA[[#This Row],[JUMLAH]]="","",NOTA[[#This Row],[DISC 1-]]+NOTA[[#This Row],[DISC 2-]])</f>
        <v>210600</v>
      </c>
      <c r="AA278" s="54">
        <f>IF(NOTA[[#This Row],[JUMLAH]]="","",NOTA[[#This Row],[JUMLAH]]-NOTA[[#This Row],[DISC]])</f>
        <v>1037400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278" s="54">
        <f>IF(OR(NOTA[[#This Row],[QTY]]="",NOTA[[#This Row],[HARGA SATUAN]]="",),"",NOTA[[#This Row],[QTY]]*NOTA[[#This Row],[HARGA SATUAN]])</f>
        <v>1248000</v>
      </c>
      <c r="AF278" s="51">
        <f ca="1">IF(NOTA[ID_H]="","",INDEX(NOTA[TANGGAL],MATCH(,INDIRECT(ADDRESS(ROW(NOTA[TANGGAL]),COLUMN(NOTA[TANGGAL]))&amp;":"&amp;ADDRESS(ROW(),COLUMN(NOTA[TANGGAL]))),-1)))</f>
        <v>44937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1</v>
      </c>
      <c r="AK278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>bukutamugb2833r5batikjk12480000.1250.05</v>
      </c>
      <c r="AM278" s="193">
        <f>IF(NOTA[[#This Row],[CONCAT1]]="","",MATCH(NOTA[[#This Row],[CONCAT1]],[2]!db[NB NOTA_C],0)+1)</f>
        <v>375</v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53</v>
      </c>
      <c r="E279" s="23"/>
      <c r="F279" s="26"/>
      <c r="G279" s="26"/>
      <c r="H279" s="31"/>
      <c r="I279" s="26"/>
      <c r="J279" s="51"/>
      <c r="K279" s="26"/>
      <c r="L279" s="26" t="s">
        <v>439</v>
      </c>
      <c r="M279" s="39">
        <v>1</v>
      </c>
      <c r="N279" s="26">
        <v>500</v>
      </c>
      <c r="O279" s="26" t="s">
        <v>131</v>
      </c>
      <c r="P279" s="49">
        <v>1625</v>
      </c>
      <c r="Q279" s="52"/>
      <c r="R279" s="39" t="s">
        <v>362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812500</v>
      </c>
      <c r="X279" s="54">
        <f>IF(NOTA[[#This Row],[JUMLAH]]="","",NOTA[[#This Row],[JUMLAH]]*NOTA[[#This Row],[DISC 1]])</f>
        <v>101562.5</v>
      </c>
      <c r="Y279" s="54">
        <f>IF(NOTA[[#This Row],[JUMLAH]]="","",(NOTA[[#This Row],[JUMLAH]]-NOTA[[#This Row],[DISC 1-]])*NOTA[[#This Row],[DISC 2]])</f>
        <v>35546.875</v>
      </c>
      <c r="Z279" s="54">
        <f>IF(NOTA[[#This Row],[JUMLAH]]="","",NOTA[[#This Row],[DISC 1-]]+NOTA[[#This Row],[DISC 2-]])</f>
        <v>137109.375</v>
      </c>
      <c r="AA279" s="54">
        <f>IF(NOTA[[#This Row],[JUMLAH]]="","",NOTA[[#This Row],[JUMLAH]]-NOTA[[#This Row],[DISC]])</f>
        <v>675390.625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279" s="54">
        <f>IF(OR(NOTA[[#This Row],[QTY]]="",NOTA[[#This Row],[HARGA SATUAN]]="",),"",NOTA[[#This Row],[QTY]]*NOTA[[#This Row],[HARGA SATUAN]])</f>
        <v>812500</v>
      </c>
      <c r="AF279" s="51">
        <f ca="1">IF(NOTA[ID_H]="","",INDEX(NOTA[TANGGAL],MATCH(,INDIRECT(ADDRESS(ROW(NOTA[TANGGAL]),COLUMN(NOTA[TANGGAL]))&amp;":"&amp;ADDRESS(ROW(),COLUMN(NOTA[TANGGAL]))),-1)))</f>
        <v>44937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1</v>
      </c>
      <c r="AK27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279" s="193">
        <f>IF(NOTA[[#This Row],[CONCAT1]]="","",MATCH(NOTA[[#This Row],[CONCAT1]],[2]!db[NB NOTA_C],0)+1)</f>
        <v>2040</v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53</v>
      </c>
      <c r="E280" s="23"/>
      <c r="F280" s="26"/>
      <c r="G280" s="26"/>
      <c r="H280" s="31"/>
      <c r="I280" s="26"/>
      <c r="J280" s="51"/>
      <c r="K280" s="26"/>
      <c r="L280" s="26" t="s">
        <v>440</v>
      </c>
      <c r="M280" s="39">
        <v>2</v>
      </c>
      <c r="N280" s="26">
        <v>1152</v>
      </c>
      <c r="O280" s="26" t="s">
        <v>104</v>
      </c>
      <c r="P280" s="49">
        <v>1550</v>
      </c>
      <c r="Q280" s="52"/>
      <c r="R280" s="39" t="s">
        <v>276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1785600</v>
      </c>
      <c r="X280" s="54">
        <f>IF(NOTA[[#This Row],[JUMLAH]]="","",NOTA[[#This Row],[JUMLAH]]*NOTA[[#This Row],[DISC 1]])</f>
        <v>223200</v>
      </c>
      <c r="Y280" s="54">
        <f>IF(NOTA[[#This Row],[JUMLAH]]="","",(NOTA[[#This Row],[JUMLAH]]-NOTA[[#This Row],[DISC 1-]])*NOTA[[#This Row],[DISC 2]])</f>
        <v>78120</v>
      </c>
      <c r="Z280" s="54">
        <f>IF(NOTA[[#This Row],[JUMLAH]]="","",NOTA[[#This Row],[DISC 1-]]+NOTA[[#This Row],[DISC 2-]])</f>
        <v>301320</v>
      </c>
      <c r="AA280" s="54">
        <f>IF(NOTA[[#This Row],[JUMLAH]]="","",NOTA[[#This Row],[JUMLAH]]-NOTA[[#This Row],[DISC]])</f>
        <v>1484280</v>
      </c>
      <c r="AB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C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280" s="54">
        <f>IF(OR(NOTA[[#This Row],[QTY]]="",NOTA[[#This Row],[HARGA SATUAN]]="",),"",NOTA[[#This Row],[QTY]]*NOTA[[#This Row],[HARGA SATUAN]])</f>
        <v>1785600</v>
      </c>
      <c r="AF280" s="51">
        <f ca="1">IF(NOTA[ID_H]="","",INDEX(NOTA[TANGGAL],MATCH(,INDIRECT(ADDRESS(ROW(NOTA[TANGGAL]),COLUMN(NOTA[TANGGAL]))&amp;":"&amp;ADDRESS(ROW(),COLUMN(NOTA[TANGGAL]))),-1)))</f>
        <v>44937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1</v>
      </c>
      <c r="AK280" s="38" t="str">
        <f>LOWER(SUBSTITUTE(SUBSTITUTE(SUBSTITUTE(SUBSTITUTE(SUBSTITUTE(SUBSTITUTE(SUBSTITUTE(SUBSTITUTE(SUBSTITUTE(NOTA[NAMA BARANG]," ",),".",""),"-",""),"(",""),")",""),",",""),"/",""),"""",""),"+",""))</f>
        <v>glueglr35jk</v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>glueglr35jk8928000.1250.05</v>
      </c>
      <c r="AM280" s="193">
        <f>IF(NOTA[[#This Row],[CONCAT1]]="","",MATCH(NOTA[[#This Row],[CONCAT1]],[2]!db[NB NOTA_C],0)+1)</f>
        <v>913</v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93" t="str">
        <f>IF(NOTA[[#This Row],[CONCAT1]]="","",MATCH(NOTA[[#This Row],[CONCAT1]],[2]!db[NB NOTA_C],0)+1)</f>
        <v/>
      </c>
    </row>
    <row r="282" spans="1:39" ht="20.100000000000001" customHeight="1" x14ac:dyDescent="0.25">
      <c r="A28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2" s="50" t="e">
        <f ca="1">IF(NOTA[[#This Row],[ID_P]]="","",MATCH(NOTA[[#This Row],[ID_P]],[1]!B_MSK[N_ID],0))</f>
        <v>#REF!</v>
      </c>
      <c r="D282" s="50">
        <f ca="1">IF(NOTA[[#This Row],[NAMA BARANG]]="","",INDEX(NOTA[ID],MATCH(,INDIRECT(ADDRESS(ROW(NOTA[ID]),COLUMN(NOTA[ID]))&amp;":"&amp;ADDRESS(ROW(),COLUMN(NOTA[ID]))),-1)))</f>
        <v>54</v>
      </c>
      <c r="E282" s="23"/>
      <c r="F282" s="26" t="s">
        <v>52</v>
      </c>
      <c r="G282" s="26" t="s">
        <v>24</v>
      </c>
      <c r="H282" s="31" t="s">
        <v>441</v>
      </c>
      <c r="I282" s="26"/>
      <c r="J282" s="51">
        <v>44932</v>
      </c>
      <c r="K282" s="26"/>
      <c r="L282" s="26" t="s">
        <v>442</v>
      </c>
      <c r="M282" s="39">
        <v>2</v>
      </c>
      <c r="N282" s="26">
        <v>160</v>
      </c>
      <c r="O282" s="26" t="s">
        <v>104</v>
      </c>
      <c r="P282" s="49">
        <v>60000</v>
      </c>
      <c r="Q282" s="52"/>
      <c r="R282" s="39" t="s">
        <v>443</v>
      </c>
      <c r="S282" s="53">
        <v>0.125</v>
      </c>
      <c r="T282" s="53">
        <v>0.1</v>
      </c>
      <c r="U282" s="54"/>
      <c r="V282" s="37"/>
      <c r="W282" s="54">
        <f>IF(NOTA[[#This Row],[HARGA/ CTN]]="",NOTA[[#This Row],[JUMLAH_H]],NOTA[[#This Row],[HARGA/ CTN]]*IF(NOTA[[#This Row],[C]]="",0,NOTA[[#This Row],[C]]))</f>
        <v>9600000</v>
      </c>
      <c r="X282" s="54">
        <f>IF(NOTA[[#This Row],[JUMLAH]]="","",NOTA[[#This Row],[JUMLAH]]*NOTA[[#This Row],[DISC 1]])</f>
        <v>1200000</v>
      </c>
      <c r="Y282" s="54">
        <f>IF(NOTA[[#This Row],[JUMLAH]]="","",(NOTA[[#This Row],[JUMLAH]]-NOTA[[#This Row],[DISC 1-]])*NOTA[[#This Row],[DISC 2]])</f>
        <v>840000</v>
      </c>
      <c r="Z282" s="54">
        <f>IF(NOTA[[#This Row],[JUMLAH]]="","",NOTA[[#This Row],[DISC 1-]]+NOTA[[#This Row],[DISC 2-]])</f>
        <v>2040000</v>
      </c>
      <c r="AA282" s="54">
        <f>IF(NOTA[[#This Row],[JUMLAH]]="","",NOTA[[#This Row],[JUMLAH]]-NOTA[[#This Row],[DISC]])</f>
        <v>7560000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82" s="54">
        <f>IF(OR(NOTA[[#This Row],[QTY]]="",NOTA[[#This Row],[HARGA SATUAN]]="",),"",NOTA[[#This Row],[QTY]]*NOTA[[#This Row],[HARGA SATUAN]])</f>
        <v>9600000</v>
      </c>
      <c r="AF282" s="51">
        <f ca="1">IF(NOTA[ID_H]="","",INDEX(NOTA[TANGGAL],MATCH(,INDIRECT(ADDRESS(ROW(NOTA[TANGGAL]),COLUMN(NOTA[TANGGAL]))&amp;":"&amp;ADDRESS(ROW(),COLUMN(NOTA[TANGGAL]))),-1)))</f>
        <v>44937</v>
      </c>
      <c r="AG282" s="65" t="str">
        <f ca="1">IF(NOTA[[#This Row],[NAMA BARANG]]="","",INDEX(NOTA[SUPPLIER],MATCH(,INDIRECT(ADDRESS(ROW(NOTA[ID]),COLUMN(NOTA[ID]))&amp;":"&amp;ADDRESS(ROW(),COLUMN(NOTA[ID]))),-1)))</f>
        <v>KALINDO SUKSES</v>
      </c>
      <c r="AH282" s="65" t="str">
        <f ca="1">IF(NOTA[[#This Row],[ID_H]]="","",IF(NOTA[[#This Row],[FAKTUR]]="",INDIRECT(ADDRESS(ROW()-1,COLUMN())),NOTA[[#This Row],[FAKTUR]]))</f>
        <v>ARTO MORO</v>
      </c>
      <c r="AI282" s="38">
        <f ca="1">IF(NOTA[[#This Row],[ID]]="","",COUNTIF(NOTA[ID_H],NOTA[[#This Row],[ID_H]]))</f>
        <v>3</v>
      </c>
      <c r="AJ282" s="38">
        <f>IF(NOTA[[#This Row],[TGL.NOTA]]="",IF(NOTA[[#This Row],[SUPPLIER_H]]="","",AJ281),MONTH(NOTA[[#This Row],[TGL.NOTA]]))</f>
        <v>1</v>
      </c>
      <c r="AK282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>calculatorjoykocc19a48000000.1250.1</v>
      </c>
      <c r="AM282" s="193">
        <f>IF(NOTA[[#This Row],[CONCAT1]]="","",MATCH(NOTA[[#This Row],[CONCAT1]],[2]!db[NB NOTA_C],0)+1)</f>
        <v>394</v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54</v>
      </c>
      <c r="E283" s="23"/>
      <c r="F283" s="26"/>
      <c r="G283" s="26"/>
      <c r="H283" s="31"/>
      <c r="I283" s="26"/>
      <c r="J283" s="51"/>
      <c r="K283" s="26"/>
      <c r="L283" s="26" t="s">
        <v>444</v>
      </c>
      <c r="M283" s="39">
        <v>2</v>
      </c>
      <c r="N283" s="26">
        <v>160</v>
      </c>
      <c r="O283" s="26" t="s">
        <v>104</v>
      </c>
      <c r="P283" s="49">
        <v>62000</v>
      </c>
      <c r="Q283" s="52"/>
      <c r="R283" s="39" t="s">
        <v>445</v>
      </c>
      <c r="S283" s="53">
        <v>0.125</v>
      </c>
      <c r="T283" s="53">
        <v>0.1</v>
      </c>
      <c r="U283" s="54"/>
      <c r="V283" s="37"/>
      <c r="W283" s="54">
        <f>IF(NOTA[[#This Row],[HARGA/ CTN]]="",NOTA[[#This Row],[JUMLAH_H]],NOTA[[#This Row],[HARGA/ CTN]]*IF(NOTA[[#This Row],[C]]="",0,NOTA[[#This Row],[C]]))</f>
        <v>9920000</v>
      </c>
      <c r="X283" s="54">
        <f>IF(NOTA[[#This Row],[JUMLAH]]="","",NOTA[[#This Row],[JUMLAH]]*NOTA[[#This Row],[DISC 1]])</f>
        <v>1240000</v>
      </c>
      <c r="Y283" s="54">
        <f>IF(NOTA[[#This Row],[JUMLAH]]="","",(NOTA[[#This Row],[JUMLAH]]-NOTA[[#This Row],[DISC 1-]])*NOTA[[#This Row],[DISC 2]])</f>
        <v>868000</v>
      </c>
      <c r="Z283" s="54">
        <f>IF(NOTA[[#This Row],[JUMLAH]]="","",NOTA[[#This Row],[DISC 1-]]+NOTA[[#This Row],[DISC 2-]])</f>
        <v>2108000</v>
      </c>
      <c r="AA283" s="54">
        <f>IF(NOTA[[#This Row],[JUMLAH]]="","",NOTA[[#This Row],[JUMLAH]]-NOTA[[#This Row],[DISC]])</f>
        <v>7812000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E283" s="54">
        <f>IF(OR(NOTA[[#This Row],[QTY]]="",NOTA[[#This Row],[HARGA SATUAN]]="",),"",NOTA[[#This Row],[QTY]]*NOTA[[#This Row],[HARGA SATUAN]])</f>
        <v>9920000</v>
      </c>
      <c r="AF283" s="51">
        <f ca="1">IF(NOTA[ID_H]="","",INDEX(NOTA[TANGGAL],MATCH(,INDIRECT(ADDRESS(ROW(NOTA[TANGGAL]),COLUMN(NOTA[TANGGAL]))&amp;":"&amp;ADDRESS(ROW(),COLUMN(NOTA[TANGGAL]))),-1)))</f>
        <v>44937</v>
      </c>
      <c r="AG283" s="65" t="str">
        <f ca="1">IF(NOTA[[#This Row],[NAMA BARANG]]="","",INDEX(NOTA[SUPPLIER],MATCH(,INDIRECT(ADDRESS(ROW(NOTA[ID]),COLUMN(NOTA[ID]))&amp;":"&amp;ADDRESS(ROW(),COLUMN(NOTA[ID]))),-1)))</f>
        <v>KALINDO SUKSES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1</v>
      </c>
      <c r="AK283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>calculatorjoykocc5649600000.1250.1</v>
      </c>
      <c r="AM283" s="193">
        <f>IF(NOTA[[#This Row],[CONCAT1]]="","",MATCH(NOTA[[#This Row],[CONCAT1]],[2]!db[NB NOTA_C],0)+1)</f>
        <v>416</v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54</v>
      </c>
      <c r="E284" s="23"/>
      <c r="F284" s="26"/>
      <c r="G284" s="26"/>
      <c r="H284" s="31"/>
      <c r="I284" s="26"/>
      <c r="J284" s="51"/>
      <c r="K284" s="26"/>
      <c r="L284" s="26" t="s">
        <v>446</v>
      </c>
      <c r="M284" s="39">
        <v>2</v>
      </c>
      <c r="N284" s="26">
        <v>120</v>
      </c>
      <c r="O284" s="26" t="s">
        <v>104</v>
      </c>
      <c r="P284" s="49">
        <v>88000</v>
      </c>
      <c r="Q284" s="52"/>
      <c r="R284" s="39" t="s">
        <v>447</v>
      </c>
      <c r="S284" s="53">
        <v>0.125</v>
      </c>
      <c r="T284" s="53">
        <v>0.1</v>
      </c>
      <c r="U284" s="54"/>
      <c r="V284" s="37"/>
      <c r="W284" s="54">
        <f>IF(NOTA[[#This Row],[HARGA/ CTN]]="",NOTA[[#This Row],[JUMLAH_H]],NOTA[[#This Row],[HARGA/ CTN]]*IF(NOTA[[#This Row],[C]]="",0,NOTA[[#This Row],[C]]))</f>
        <v>10560000</v>
      </c>
      <c r="X284" s="54">
        <f>IF(NOTA[[#This Row],[JUMLAH]]="","",NOTA[[#This Row],[JUMLAH]]*NOTA[[#This Row],[DISC 1]])</f>
        <v>1320000</v>
      </c>
      <c r="Y284" s="54">
        <f>IF(NOTA[[#This Row],[JUMLAH]]="","",(NOTA[[#This Row],[JUMLAH]]-NOTA[[#This Row],[DISC 1-]])*NOTA[[#This Row],[DISC 2]])</f>
        <v>924000</v>
      </c>
      <c r="Z284" s="54">
        <f>IF(NOTA[[#This Row],[JUMLAH]]="","",NOTA[[#This Row],[DISC 1-]]+NOTA[[#This Row],[DISC 2-]])</f>
        <v>2244000</v>
      </c>
      <c r="AA284" s="54">
        <f>IF(NOTA[[#This Row],[JUMLAH]]="","",NOTA[[#This Row],[JUMLAH]]-NOTA[[#This Row],[DISC]])</f>
        <v>8316000</v>
      </c>
      <c r="AB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C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E284" s="54">
        <f>IF(OR(NOTA[[#This Row],[QTY]]="",NOTA[[#This Row],[HARGA SATUAN]]="",),"",NOTA[[#This Row],[QTY]]*NOTA[[#This Row],[HARGA SATUAN]])</f>
        <v>10560000</v>
      </c>
      <c r="AF284" s="51">
        <f ca="1">IF(NOTA[ID_H]="","",INDEX(NOTA[TANGGAL],MATCH(,INDIRECT(ADDRESS(ROW(NOTA[TANGGAL]),COLUMN(NOTA[TANGGAL]))&amp;":"&amp;ADDRESS(ROW(),COLUMN(NOTA[TANGGAL]))),-1)))</f>
        <v>44937</v>
      </c>
      <c r="AG284" s="65" t="str">
        <f ca="1">IF(NOTA[[#This Row],[NAMA BARANG]]="","",INDEX(NOTA[SUPPLIER],MATCH(,INDIRECT(ADDRESS(ROW(NOTA[ID]),COLUMN(NOTA[ID]))&amp;":"&amp;ADDRESS(ROW(),COLUMN(NOTA[ID]))),-1)))</f>
        <v>KALINDO SUKSES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1</v>
      </c>
      <c r="AK284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>calculatorjoykocc5752800000.1250.1</v>
      </c>
      <c r="AM284" s="193">
        <f>IF(NOTA[[#This Row],[CONCAT1]]="","",MATCH(NOTA[[#This Row],[CONCAT1]],[2]!db[NB NOTA_C],0)+1)</f>
        <v>417</v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93" t="str">
        <f>IF(NOTA[[#This Row],[CONCAT1]]="","",MATCH(NOTA[[#This Row],[CONCAT1]],[2]!db[NB NOTA_C],0)+1)</f>
        <v/>
      </c>
    </row>
    <row r="286" spans="1:39" ht="20.100000000000001" customHeight="1" x14ac:dyDescent="0.25">
      <c r="A286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6" s="50" t="e">
        <f ca="1">IF(NOTA[[#This Row],[ID_P]]="","",MATCH(NOTA[[#This Row],[ID_P]],[1]!B_MSK[N_ID],0))</f>
        <v>#REF!</v>
      </c>
      <c r="D286" s="50">
        <f ca="1">IF(NOTA[[#This Row],[NAMA BARANG]]="","",INDEX(NOTA[ID],MATCH(,INDIRECT(ADDRESS(ROW(NOTA[ID]),COLUMN(NOTA[ID]))&amp;":"&amp;ADDRESS(ROW(),COLUMN(NOTA[ID]))),-1)))</f>
        <v>55</v>
      </c>
      <c r="E286" s="23"/>
      <c r="F286" s="26" t="s">
        <v>25</v>
      </c>
      <c r="G286" s="26" t="s">
        <v>24</v>
      </c>
      <c r="H286" s="31" t="s">
        <v>448</v>
      </c>
      <c r="I286" s="26"/>
      <c r="J286" s="51">
        <v>44933</v>
      </c>
      <c r="K286" s="26"/>
      <c r="L286" s="26" t="s">
        <v>278</v>
      </c>
      <c r="M286" s="39">
        <v>5</v>
      </c>
      <c r="N286" s="26">
        <v>250</v>
      </c>
      <c r="O286" s="26" t="s">
        <v>131</v>
      </c>
      <c r="P286" s="49">
        <v>28300</v>
      </c>
      <c r="Q286" s="52"/>
      <c r="R286" s="39" t="s">
        <v>279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7075000</v>
      </c>
      <c r="X286" s="54">
        <f>IF(NOTA[[#This Row],[JUMLAH]]="","",NOTA[[#This Row],[JUMLAH]]*NOTA[[#This Row],[DISC 1]])</f>
        <v>884375</v>
      </c>
      <c r="Y286" s="54">
        <f>IF(NOTA[[#This Row],[JUMLAH]]="","",(NOTA[[#This Row],[JUMLAH]]-NOTA[[#This Row],[DISC 1-]])*NOTA[[#This Row],[DISC 2]])</f>
        <v>309531.25</v>
      </c>
      <c r="Z286" s="54">
        <f>IF(NOTA[[#This Row],[JUMLAH]]="","",NOTA[[#This Row],[DISC 1-]]+NOTA[[#This Row],[DISC 2-]])</f>
        <v>1193906.25</v>
      </c>
      <c r="AA286" s="54">
        <f>IF(NOTA[[#This Row],[JUMLAH]]="","",NOTA[[#This Row],[JUMLAH]]-NOTA[[#This Row],[DISC]])</f>
        <v>5881093.75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6" s="54">
        <f>IF(OR(NOTA[[#This Row],[QTY]]="",NOTA[[#This Row],[HARGA SATUAN]]="",),"",NOTA[[#This Row],[QTY]]*NOTA[[#This Row],[HARGA SATUAN]])</f>
        <v>7075000</v>
      </c>
      <c r="AF286" s="51">
        <f ca="1">IF(NOTA[ID_H]="","",INDEX(NOTA[TANGGAL],MATCH(,INDIRECT(ADDRESS(ROW(NOTA[TANGGAL]),COLUMN(NOTA[TANGGAL]))&amp;":"&amp;ADDRESS(ROW(),COLUMN(NOTA[TANGGAL]))),-1)))</f>
        <v>44937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>
        <f ca="1">IF(NOTA[[#This Row],[ID]]="","",COUNTIF(NOTA[ID_H],NOTA[[#This Row],[ID_H]]))</f>
        <v>7</v>
      </c>
      <c r="AJ286" s="38">
        <f>IF(NOTA[[#This Row],[TGL.NOTA]]="",IF(NOTA[[#This Row],[SUPPLIER_H]]="","",AJ285),MONTH(NOTA[[#This Row],[TGL.NOTA]]))</f>
        <v>1</v>
      </c>
      <c r="AK28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86" s="193">
        <f>IF(NOTA[[#This Row],[CONCAT1]]="","",MATCH(NOTA[[#This Row],[CONCAT1]],[2]!db[NB NOTA_C],0)+1)</f>
        <v>673</v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55</v>
      </c>
      <c r="E287" s="23"/>
      <c r="F287" s="26"/>
      <c r="G287" s="26"/>
      <c r="H287" s="31"/>
      <c r="I287" s="26"/>
      <c r="J287" s="51"/>
      <c r="K287" s="26"/>
      <c r="L287" s="26" t="s">
        <v>283</v>
      </c>
      <c r="M287" s="39">
        <v>2</v>
      </c>
      <c r="N287" s="26">
        <v>100</v>
      </c>
      <c r="O287" s="26" t="s">
        <v>131</v>
      </c>
      <c r="P287" s="49">
        <v>28300</v>
      </c>
      <c r="Q287" s="52"/>
      <c r="R287" s="39" t="s">
        <v>279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2830000</v>
      </c>
      <c r="X287" s="54">
        <f>IF(NOTA[[#This Row],[JUMLAH]]="","",NOTA[[#This Row],[JUMLAH]]*NOTA[[#This Row],[DISC 1]])</f>
        <v>353750</v>
      </c>
      <c r="Y287" s="54">
        <f>IF(NOTA[[#This Row],[JUMLAH]]="","",(NOTA[[#This Row],[JUMLAH]]-NOTA[[#This Row],[DISC 1-]])*NOTA[[#This Row],[DISC 2]])</f>
        <v>123812.5</v>
      </c>
      <c r="Z287" s="54">
        <f>IF(NOTA[[#This Row],[JUMLAH]]="","",NOTA[[#This Row],[DISC 1-]]+NOTA[[#This Row],[DISC 2-]])</f>
        <v>477562.5</v>
      </c>
      <c r="AA287" s="54">
        <f>IF(NOTA[[#This Row],[JUMLAH]]="","",NOTA[[#This Row],[JUMLAH]]-NOTA[[#This Row],[DISC]])</f>
        <v>2352437.5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7" s="54">
        <f>IF(OR(NOTA[[#This Row],[QTY]]="",NOTA[[#This Row],[HARGA SATUAN]]="",),"",NOTA[[#This Row],[QTY]]*NOTA[[#This Row],[HARGA SATUAN]])</f>
        <v>2830000</v>
      </c>
      <c r="AF287" s="51">
        <f ca="1">IF(NOTA[ID_H]="","",INDEX(NOTA[TANGGAL],MATCH(,INDIRECT(ADDRESS(ROW(NOTA[TANGGAL]),COLUMN(NOTA[TANGGAL]))&amp;":"&amp;ADDRESS(ROW(),COLUMN(NOTA[TANGGAL]))),-1)))</f>
        <v>44937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1</v>
      </c>
      <c r="AK28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87" s="193">
        <f>IF(NOTA[[#This Row],[CONCAT1]]="","",MATCH(NOTA[[#This Row],[CONCAT1]],[2]!db[NB NOTA_C],0)+1)</f>
        <v>672</v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55</v>
      </c>
      <c r="E288" s="23"/>
      <c r="F288" s="26"/>
      <c r="G288" s="26"/>
      <c r="H288" s="31"/>
      <c r="I288" s="51"/>
      <c r="J288" s="51"/>
      <c r="K288" s="26"/>
      <c r="L288" s="26" t="s">
        <v>280</v>
      </c>
      <c r="M288" s="39">
        <v>5</v>
      </c>
      <c r="N288" s="26">
        <v>250</v>
      </c>
      <c r="O288" s="26" t="s">
        <v>131</v>
      </c>
      <c r="P288" s="49">
        <v>34100</v>
      </c>
      <c r="Q288" s="52"/>
      <c r="R288" s="39" t="s">
        <v>281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8525000</v>
      </c>
      <c r="X288" s="54">
        <f>IF(NOTA[[#This Row],[JUMLAH]]="","",NOTA[[#This Row],[JUMLAH]]*NOTA[[#This Row],[DISC 1]])</f>
        <v>1065625</v>
      </c>
      <c r="Y288" s="54">
        <f>IF(NOTA[[#This Row],[JUMLAH]]="","",(NOTA[[#This Row],[JUMLAH]]-NOTA[[#This Row],[DISC 1-]])*NOTA[[#This Row],[DISC 2]])</f>
        <v>372968.75</v>
      </c>
      <c r="Z288" s="54">
        <f>IF(NOTA[[#This Row],[JUMLAH]]="","",NOTA[[#This Row],[DISC 1-]]+NOTA[[#This Row],[DISC 2-]])</f>
        <v>1438593.75</v>
      </c>
      <c r="AA288" s="54">
        <f>IF(NOTA[[#This Row],[JUMLAH]]="","",NOTA[[#This Row],[JUMLAH]]-NOTA[[#This Row],[DISC]])</f>
        <v>7086406.25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8" s="54">
        <f>IF(OR(NOTA[[#This Row],[QTY]]="",NOTA[[#This Row],[HARGA SATUAN]]="",),"",NOTA[[#This Row],[QTY]]*NOTA[[#This Row],[HARGA SATUAN]])</f>
        <v>8525000</v>
      </c>
      <c r="AF288" s="51">
        <f ca="1">IF(NOTA[ID_H]="","",INDEX(NOTA[TANGGAL],MATCH(,INDIRECT(ADDRESS(ROW(NOTA[TANGGAL]),COLUMN(NOTA[TANGGAL]))&amp;":"&amp;ADDRESS(ROW(),COLUMN(NOTA[TANGGAL]))),-1)))</f>
        <v>44937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1</v>
      </c>
      <c r="AK28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88" s="193">
        <f>IF(NOTA[[#This Row],[CONCAT1]]="","",MATCH(NOTA[[#This Row],[CONCAT1]],[2]!db[NB NOTA_C],0)+1)</f>
        <v>671</v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55</v>
      </c>
      <c r="E289" s="23"/>
      <c r="F289" s="26"/>
      <c r="G289" s="26"/>
      <c r="H289" s="31"/>
      <c r="I289" s="26"/>
      <c r="J289" s="51"/>
      <c r="K289" s="26"/>
      <c r="L289" s="26" t="s">
        <v>284</v>
      </c>
      <c r="M289" s="39">
        <v>2</v>
      </c>
      <c r="N289" s="26">
        <v>100</v>
      </c>
      <c r="O289" s="26" t="s">
        <v>131</v>
      </c>
      <c r="P289" s="49">
        <v>34100</v>
      </c>
      <c r="Q289" s="52"/>
      <c r="R289" s="39" t="s">
        <v>281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3410000</v>
      </c>
      <c r="X289" s="54">
        <f>IF(NOTA[[#This Row],[JUMLAH]]="","",NOTA[[#This Row],[JUMLAH]]*NOTA[[#This Row],[DISC 1]])</f>
        <v>426250</v>
      </c>
      <c r="Y289" s="54">
        <f>IF(NOTA[[#This Row],[JUMLAH]]="","",(NOTA[[#This Row],[JUMLAH]]-NOTA[[#This Row],[DISC 1-]])*NOTA[[#This Row],[DISC 2]])</f>
        <v>149187.5</v>
      </c>
      <c r="Z289" s="54">
        <f>IF(NOTA[[#This Row],[JUMLAH]]="","",NOTA[[#This Row],[DISC 1-]]+NOTA[[#This Row],[DISC 2-]])</f>
        <v>575437.5</v>
      </c>
      <c r="AA289" s="54">
        <f>IF(NOTA[[#This Row],[JUMLAH]]="","",NOTA[[#This Row],[JUMLAH]]-NOTA[[#This Row],[DISC]])</f>
        <v>2834562.5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9" s="54">
        <f>IF(OR(NOTA[[#This Row],[QTY]]="",NOTA[[#This Row],[HARGA SATUAN]]="",),"",NOTA[[#This Row],[QTY]]*NOTA[[#This Row],[HARGA SATUAN]])</f>
        <v>3410000</v>
      </c>
      <c r="AF289" s="51">
        <f ca="1">IF(NOTA[ID_H]="","",INDEX(NOTA[TANGGAL],MATCH(,INDIRECT(ADDRESS(ROW(NOTA[TANGGAL]),COLUMN(NOTA[TANGGAL]))&amp;":"&amp;ADDRESS(ROW(),COLUMN(NOTA[TANGGAL]))),-1)))</f>
        <v>44937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1</v>
      </c>
      <c r="AK28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89" s="193">
        <f>IF(NOTA[[#This Row],[CONCAT1]]="","",MATCH(NOTA[[#This Row],[CONCAT1]],[2]!db[NB NOTA_C],0)+1)</f>
        <v>680</v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55</v>
      </c>
      <c r="E290" s="23"/>
      <c r="F290" s="26"/>
      <c r="G290" s="26"/>
      <c r="H290" s="31"/>
      <c r="I290" s="26"/>
      <c r="J290" s="51"/>
      <c r="K290" s="26"/>
      <c r="L290" s="26" t="s">
        <v>450</v>
      </c>
      <c r="M290" s="39">
        <v>2</v>
      </c>
      <c r="N290" s="26">
        <v>24</v>
      </c>
      <c r="O290" s="26" t="s">
        <v>104</v>
      </c>
      <c r="P290" s="49">
        <v>97000</v>
      </c>
      <c r="Q290" s="52"/>
      <c r="R290" s="39" t="s">
        <v>449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2328000</v>
      </c>
      <c r="X290" s="54">
        <f>IF(NOTA[[#This Row],[JUMLAH]]="","",NOTA[[#This Row],[JUMLAH]]*NOTA[[#This Row],[DISC 1]])</f>
        <v>291000</v>
      </c>
      <c r="Y290" s="54">
        <f>IF(NOTA[[#This Row],[JUMLAH]]="","",(NOTA[[#This Row],[JUMLAH]]-NOTA[[#This Row],[DISC 1-]])*NOTA[[#This Row],[DISC 2]])</f>
        <v>101850</v>
      </c>
      <c r="Z290" s="54">
        <f>IF(NOTA[[#This Row],[JUMLAH]]="","",NOTA[[#This Row],[DISC 1-]]+NOTA[[#This Row],[DISC 2-]])</f>
        <v>392850</v>
      </c>
      <c r="AA290" s="54">
        <f>IF(NOTA[[#This Row],[JUMLAH]]="","",NOTA[[#This Row],[JUMLAH]]-NOTA[[#This Row],[DISC]])</f>
        <v>1935150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E290" s="54">
        <f>IF(OR(NOTA[[#This Row],[QTY]]="",NOTA[[#This Row],[HARGA SATUAN]]="",),"",NOTA[[#This Row],[QTY]]*NOTA[[#This Row],[HARGA SATUAN]])</f>
        <v>2328000</v>
      </c>
      <c r="AF290" s="51">
        <f ca="1">IF(NOTA[ID_H]="","",INDEX(NOTA[TANGGAL],MATCH(,INDIRECT(ADDRESS(ROW(NOTA[TANGGAL]),COLUMN(NOTA[TANGGAL]))&amp;":"&amp;ADDRESS(ROW(),COLUMN(NOTA[TANGGAL]))),-1)))</f>
        <v>44937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1</v>
      </c>
      <c r="AK290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>hdstaplerhd12n13jk11640000.1250.05</v>
      </c>
      <c r="AM290" s="193">
        <f>IF(NOTA[[#This Row],[CONCAT1]]="","",MATCH(NOTA[[#This Row],[CONCAT1]],[2]!db[NB NOTA_C],0)+1)</f>
        <v>959</v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55</v>
      </c>
      <c r="E291" s="23"/>
      <c r="F291" s="26"/>
      <c r="G291" s="26"/>
      <c r="H291" s="31"/>
      <c r="I291" s="26"/>
      <c r="J291" s="51"/>
      <c r="K291" s="26"/>
      <c r="L291" s="26" t="s">
        <v>451</v>
      </c>
      <c r="M291" s="39">
        <v>2</v>
      </c>
      <c r="N291" s="26">
        <v>12</v>
      </c>
      <c r="O291" s="26" t="s">
        <v>104</v>
      </c>
      <c r="P291" s="49">
        <v>187000</v>
      </c>
      <c r="Q291" s="52"/>
      <c r="R291" s="39" t="s">
        <v>449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2244000</v>
      </c>
      <c r="X291" s="54">
        <f>IF(NOTA[[#This Row],[JUMLAH]]="","",NOTA[[#This Row],[JUMLAH]]*NOTA[[#This Row],[DISC 1]])</f>
        <v>280500</v>
      </c>
      <c r="Y291" s="54">
        <f>IF(NOTA[[#This Row],[JUMLAH]]="","",(NOTA[[#This Row],[JUMLAH]]-NOTA[[#This Row],[DISC 1-]])*NOTA[[#This Row],[DISC 2]])</f>
        <v>98175</v>
      </c>
      <c r="Z291" s="54">
        <f>IF(NOTA[[#This Row],[JUMLAH]]="","",NOTA[[#This Row],[DISC 1-]]+NOTA[[#This Row],[DISC 2-]])</f>
        <v>378675</v>
      </c>
      <c r="AA291" s="54">
        <f>IF(NOTA[[#This Row],[JUMLAH]]="","",NOTA[[#This Row],[JUMLAH]]-NOTA[[#This Row],[DISC]])</f>
        <v>1865325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291" s="54">
        <f>IF(OR(NOTA[[#This Row],[QTY]]="",NOTA[[#This Row],[HARGA SATUAN]]="",),"",NOTA[[#This Row],[QTY]]*NOTA[[#This Row],[HARGA SATUAN]])</f>
        <v>2244000</v>
      </c>
      <c r="AF291" s="51">
        <f ca="1">IF(NOTA[ID_H]="","",INDEX(NOTA[TANGGAL],MATCH(,INDIRECT(ADDRESS(ROW(NOTA[TANGGAL]),COLUMN(NOTA[TANGGAL]))&amp;":"&amp;ADDRESS(ROW(),COLUMN(NOTA[TANGGAL]))),-1)))</f>
        <v>44937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1</v>
      </c>
      <c r="AK291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>staplerhd12n24jk11220000.1250.05</v>
      </c>
      <c r="AM291" s="193">
        <f>IF(NOTA[[#This Row],[CONCAT1]]="","",MATCH(NOTA[[#This Row],[CONCAT1]],[2]!db[NB NOTA_C],0)+1)</f>
        <v>1943</v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55</v>
      </c>
      <c r="E292" s="23"/>
      <c r="F292" s="26"/>
      <c r="G292" s="26"/>
      <c r="H292" s="31"/>
      <c r="I292" s="26"/>
      <c r="J292" s="51"/>
      <c r="K292" s="26"/>
      <c r="L292" s="26" t="s">
        <v>452</v>
      </c>
      <c r="M292" s="39">
        <v>7</v>
      </c>
      <c r="N292" s="26">
        <v>140</v>
      </c>
      <c r="O292" s="26" t="s">
        <v>116</v>
      </c>
      <c r="P292" s="49">
        <v>85200</v>
      </c>
      <c r="Q292" s="52"/>
      <c r="R292" s="39" t="s">
        <v>453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11928000</v>
      </c>
      <c r="X292" s="54">
        <f>IF(NOTA[[#This Row],[JUMLAH]]="","",NOTA[[#This Row],[JUMLAH]]*NOTA[[#This Row],[DISC 1]])</f>
        <v>1491000</v>
      </c>
      <c r="Y292" s="54">
        <f>IF(NOTA[[#This Row],[JUMLAH]]="","",(NOTA[[#This Row],[JUMLAH]]-NOTA[[#This Row],[DISC 1-]])*NOTA[[#This Row],[DISC 2]])</f>
        <v>521850</v>
      </c>
      <c r="Z292" s="54">
        <f>IF(NOTA[[#This Row],[JUMLAH]]="","",NOTA[[#This Row],[DISC 1-]]+NOTA[[#This Row],[DISC 2-]])</f>
        <v>2012850</v>
      </c>
      <c r="AA292" s="54">
        <f>IF(NOTA[[#This Row],[JUMLAH]]="","",NOTA[[#This Row],[JUMLAH]]-NOTA[[#This Row],[DISC]])</f>
        <v>9915150</v>
      </c>
      <c r="AB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C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2" s="54">
        <f>IF(OR(NOTA[[#This Row],[QTY]]="",NOTA[[#This Row],[HARGA SATUAN]]="",),"",NOTA[[#This Row],[QTY]]*NOTA[[#This Row],[HARGA SATUAN]])</f>
        <v>11928000</v>
      </c>
      <c r="AF292" s="51">
        <f ca="1">IF(NOTA[ID_H]="","",INDEX(NOTA[TANGGAL],MATCH(,INDIRECT(ADDRESS(ROW(NOTA[TANGGAL]),COLUMN(NOTA[TANGGAL]))&amp;":"&amp;ADDRESS(ROW(),COLUMN(NOTA[TANGGAL]))),-1)))</f>
        <v>44937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1</v>
      </c>
      <c r="AK29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292" s="193">
        <f>IF(NOTA[[#This Row],[CONCAT1]]="","",MATCH(NOTA[[#This Row],[CONCAT1]],[2]!db[NB NOTA_C],0)+1)</f>
        <v>1940</v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93" t="str">
        <f>IF(NOTA[[#This Row],[CONCAT1]]="","",MATCH(NOTA[[#This Row],[CONCAT1]],[2]!db[NB NOTA_C],0)+1)</f>
        <v/>
      </c>
    </row>
    <row r="294" spans="1:39" ht="20.100000000000001" customHeight="1" x14ac:dyDescent="0.25">
      <c r="A294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4" s="50" t="e">
        <f ca="1">IF(NOTA[[#This Row],[ID_P]]="","",MATCH(NOTA[[#This Row],[ID_P]],[1]!B_MSK[N_ID],0))</f>
        <v>#REF!</v>
      </c>
      <c r="D294" s="50">
        <f ca="1">IF(NOTA[[#This Row],[NAMA BARANG]]="","",INDEX(NOTA[ID],MATCH(,INDIRECT(ADDRESS(ROW(NOTA[ID]),COLUMN(NOTA[ID]))&amp;":"&amp;ADDRESS(ROW(),COLUMN(NOTA[ID]))),-1)))</f>
        <v>56</v>
      </c>
      <c r="E294" s="23"/>
      <c r="F294" s="26" t="s">
        <v>23</v>
      </c>
      <c r="G294" s="26" t="s">
        <v>24</v>
      </c>
      <c r="H294" s="31" t="s">
        <v>454</v>
      </c>
      <c r="I294" s="26" t="s">
        <v>459</v>
      </c>
      <c r="J294" s="51">
        <v>44935</v>
      </c>
      <c r="K294" s="26"/>
      <c r="L294" s="26" t="s">
        <v>337</v>
      </c>
      <c r="M294" s="39">
        <v>5</v>
      </c>
      <c r="N294" s="26"/>
      <c r="O294" s="26"/>
      <c r="P294" s="49"/>
      <c r="Q294" s="52">
        <v>5616000</v>
      </c>
      <c r="R294" s="39" t="s">
        <v>117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28080000</v>
      </c>
      <c r="X294" s="54">
        <f>IF(NOTA[[#This Row],[JUMLAH]]="","",NOTA[[#This Row],[JUMLAH]]*NOTA[[#This Row],[DISC 1]])</f>
        <v>4773600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4773600</v>
      </c>
      <c r="AA294" s="54">
        <f>IF(NOTA[[#This Row],[JUMLAH]]="","",NOTA[[#This Row],[JUMLAH]]-NOTA[[#This Row],[DISC]])</f>
        <v>23306400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44937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>
        <f ca="1">IF(NOTA[[#This Row],[ID]]="","",COUNTIF(NOTA[ID_H],NOTA[[#This Row],[ID_H]]))</f>
        <v>9</v>
      </c>
      <c r="AJ294" s="38">
        <f>IF(NOTA[[#This Row],[TGL.NOTA]]="",IF(NOTA[[#This Row],[SUPPLIER_H]]="","",AJ293),MONTH(NOTA[[#This Row],[TGL.NOTA]]))</f>
        <v>1</v>
      </c>
      <c r="AK29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94" s="193">
        <f>IF(NOTA[[#This Row],[CONCAT1]]="","",MATCH(NOTA[[#This Row],[CONCAT1]],[2]!db[NB NOTA_C],0)+1)</f>
        <v>1141</v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56</v>
      </c>
      <c r="E295" s="23"/>
      <c r="F295" s="26"/>
      <c r="G295" s="26"/>
      <c r="H295" s="31"/>
      <c r="I295" s="26"/>
      <c r="J295" s="51"/>
      <c r="K295" s="26"/>
      <c r="L295" s="26" t="s">
        <v>127</v>
      </c>
      <c r="M295" s="39">
        <v>3</v>
      </c>
      <c r="N295" s="26"/>
      <c r="O295" s="26"/>
      <c r="P295" s="49"/>
      <c r="Q295" s="52">
        <v>1860000</v>
      </c>
      <c r="R295" s="39" t="s">
        <v>119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5580000</v>
      </c>
      <c r="X295" s="54">
        <f>IF(NOTA[[#This Row],[JUMLAH]]="","",NOTA[[#This Row],[JUMLAH]]*NOTA[[#This Row],[DISC 1]])</f>
        <v>948600.00000000012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948600.00000000012</v>
      </c>
      <c r="AA295" s="54">
        <f>IF(NOTA[[#This Row],[JUMLAH]]="","",NOTA[[#This Row],[JUMLAH]]-NOTA[[#This Row],[DISC]])</f>
        <v>4631400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44937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1</v>
      </c>
      <c r="AK29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5" s="193">
        <f>IF(NOTA[[#This Row],[CONCAT1]]="","",MATCH(NOTA[[#This Row],[CONCAT1]],[2]!db[NB NOTA_C],0)+1)</f>
        <v>1281</v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56</v>
      </c>
      <c r="E296" s="23"/>
      <c r="F296" s="26"/>
      <c r="G296" s="26"/>
      <c r="H296" s="31"/>
      <c r="I296" s="26"/>
      <c r="J296" s="51"/>
      <c r="K296" s="26"/>
      <c r="L296" s="26" t="s">
        <v>358</v>
      </c>
      <c r="M296" s="39">
        <v>2</v>
      </c>
      <c r="N296" s="26"/>
      <c r="O296" s="26"/>
      <c r="P296" s="49"/>
      <c r="Q296" s="52">
        <v>2280000</v>
      </c>
      <c r="R296" s="39" t="s">
        <v>367</v>
      </c>
      <c r="S296" s="53">
        <v>0.17</v>
      </c>
      <c r="T296" s="53"/>
      <c r="U296" s="54"/>
      <c r="V296" s="37"/>
      <c r="W296" s="54">
        <f>IF(NOTA[[#This Row],[HARGA/ CTN]]="",NOTA[[#This Row],[JUMLAH_H]],NOTA[[#This Row],[HARGA/ CTN]]*IF(NOTA[[#This Row],[C]]="",0,NOTA[[#This Row],[C]]))</f>
        <v>4560000</v>
      </c>
      <c r="X296" s="54">
        <f>IF(NOTA[[#This Row],[JUMLAH]]="","",NOTA[[#This Row],[JUMLAH]]*NOTA[[#This Row],[DISC 1]])</f>
        <v>775200</v>
      </c>
      <c r="Y296" s="54">
        <f>IF(NOTA[[#This Row],[JUMLAH]]="","",(NOTA[[#This Row],[JUMLAH]]-NOTA[[#This Row],[DISC 1-]])*NOTA[[#This Row],[DISC 2]])</f>
        <v>0</v>
      </c>
      <c r="Z296" s="54">
        <f>IF(NOTA[[#This Row],[JUMLAH]]="","",NOTA[[#This Row],[DISC 1-]]+NOTA[[#This Row],[DISC 2-]])</f>
        <v>775200</v>
      </c>
      <c r="AA296" s="54">
        <f>IF(NOTA[[#This Row],[JUMLAH]]="","",NOTA[[#This Row],[JUMLAH]]-NOTA[[#This Row],[DISC]])</f>
        <v>3784800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96" s="54" t="str">
        <f>IF(OR(NOTA[[#This Row],[QTY]]="",NOTA[[#This Row],[HARGA SATUAN]]="",),"",NOTA[[#This Row],[QTY]]*NOTA[[#This Row],[HARGA SATUAN]])</f>
        <v/>
      </c>
      <c r="AF296" s="51">
        <f ca="1">IF(NOTA[ID_H]="","",INDEX(NOTA[TANGGAL],MATCH(,INDIRECT(ADDRESS(ROW(NOTA[TANGGAL]),COLUMN(NOTA[TANGGAL]))&amp;":"&amp;ADDRESS(ROW(),COLUMN(NOTA[TANGGAL]))),-1)))</f>
        <v>44937</v>
      </c>
      <c r="AG296" s="65" t="str">
        <f ca="1">IF(NOTA[[#This Row],[NAMA BARANG]]="","",INDEX(NOTA[SUPPLIER],MATCH(,INDIRECT(ADDRESS(ROW(NOTA[ID]),COLUMN(NOTA[ID]))&amp;":"&amp;ADDRESS(ROW(),COLUMN(NOTA[ID]))),-1)))</f>
        <v>KENKO SINAR INDONESIA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1</v>
      </c>
      <c r="AK29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96" s="193">
        <f>IF(NOTA[[#This Row],[CONCAT1]]="","",MATCH(NOTA[[#This Row],[CONCAT1]],[2]!db[NB NOTA_C],0)+1)</f>
        <v>1287</v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56</v>
      </c>
      <c r="E297" s="80"/>
      <c r="F297" s="26"/>
      <c r="G297" s="26"/>
      <c r="H297" s="31"/>
      <c r="I297" s="26"/>
      <c r="J297" s="81"/>
      <c r="K297" s="82"/>
      <c r="L297" s="26" t="s">
        <v>120</v>
      </c>
      <c r="M297" s="83">
        <v>2</v>
      </c>
      <c r="N297" s="82"/>
      <c r="O297" s="26"/>
      <c r="P297" s="84"/>
      <c r="Q297" s="85">
        <v>2880000</v>
      </c>
      <c r="R297" s="39" t="s">
        <v>121</v>
      </c>
      <c r="S297" s="86">
        <v>0.17</v>
      </c>
      <c r="T297" s="86"/>
      <c r="U297" s="87"/>
      <c r="V297" s="37"/>
      <c r="W297" s="54">
        <f>IF(NOTA[[#This Row],[HARGA/ CTN]]="",NOTA[[#This Row],[JUMLAH_H]],NOTA[[#This Row],[HARGA/ CTN]]*IF(NOTA[[#This Row],[C]]="",0,NOTA[[#This Row],[C]]))</f>
        <v>5760000</v>
      </c>
      <c r="X297" s="54">
        <f>IF(NOTA[[#This Row],[JUMLAH]]="","",NOTA[[#This Row],[JUMLAH]]*NOTA[[#This Row],[DISC 1]])</f>
        <v>979200.00000000012</v>
      </c>
      <c r="Y297" s="54">
        <f>IF(NOTA[[#This Row],[JUMLAH]]="","",(NOTA[[#This Row],[JUMLAH]]-NOTA[[#This Row],[DISC 1-]])*NOTA[[#This Row],[DISC 2]])</f>
        <v>0</v>
      </c>
      <c r="Z297" s="54">
        <f>IF(NOTA[[#This Row],[JUMLAH]]="","",NOTA[[#This Row],[DISC 1-]]+NOTA[[#This Row],[DISC 2-]])</f>
        <v>979200.00000000012</v>
      </c>
      <c r="AA297" s="54">
        <f>IF(NOTA[[#This Row],[JUMLAH]]="","",NOTA[[#This Row],[JUMLAH]]-NOTA[[#This Row],[DISC]])</f>
        <v>4780800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97" s="54" t="str">
        <f>IF(OR(NOTA[[#This Row],[QTY]]="",NOTA[[#This Row],[HARGA SATUAN]]="",),"",NOTA[[#This Row],[QTY]]*NOTA[[#This Row],[HARGA SATUAN]])</f>
        <v/>
      </c>
      <c r="AF297" s="51">
        <f ca="1">IF(NOTA[ID_H]="","",INDEX(NOTA[TANGGAL],MATCH(,INDIRECT(ADDRESS(ROW(NOTA[TANGGAL]),COLUMN(NOTA[TANGGAL]))&amp;":"&amp;ADDRESS(ROW(),COLUMN(NOTA[TANGGAL]))),-1)))</f>
        <v>44937</v>
      </c>
      <c r="AG297" s="65" t="str">
        <f ca="1">IF(NOTA[[#This Row],[NAMA BARANG]]="","",INDEX(NOTA[SUPPLIER],MATCH(,INDIRECT(ADDRESS(ROW(NOTA[ID]),COLUMN(NOTA[ID]))&amp;":"&amp;ADDRESS(ROW(),COLUMN(NOTA[ID]))),-1)))</f>
        <v>KENKO SINAR INDONESIA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1</v>
      </c>
      <c r="AK29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97" s="193">
        <f>IF(NOTA[[#This Row],[CONCAT1]]="","",MATCH(NOTA[[#This Row],[CONCAT1]],[2]!db[NB NOTA_C],0)+1)</f>
        <v>1111</v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56</v>
      </c>
      <c r="E298" s="80"/>
      <c r="F298" s="82"/>
      <c r="G298" s="82"/>
      <c r="H298" s="88"/>
      <c r="I298" s="82"/>
      <c r="J298" s="81"/>
      <c r="K298" s="82"/>
      <c r="L298" s="26" t="s">
        <v>166</v>
      </c>
      <c r="M298" s="83">
        <v>5</v>
      </c>
      <c r="N298" s="82"/>
      <c r="O298" s="26"/>
      <c r="P298" s="84"/>
      <c r="Q298" s="85">
        <v>3110400</v>
      </c>
      <c r="R298" s="39" t="s">
        <v>117</v>
      </c>
      <c r="S298" s="86">
        <v>0.17</v>
      </c>
      <c r="T298" s="86"/>
      <c r="U298" s="87"/>
      <c r="V298" s="37"/>
      <c r="W298" s="54">
        <f>IF(NOTA[[#This Row],[HARGA/ CTN]]="",NOTA[[#This Row],[JUMLAH_H]],NOTA[[#This Row],[HARGA/ CTN]]*IF(NOTA[[#This Row],[C]]="",0,NOTA[[#This Row],[C]]))</f>
        <v>15552000</v>
      </c>
      <c r="X298" s="54">
        <f>IF(NOTA[[#This Row],[JUMLAH]]="","",NOTA[[#This Row],[JUMLAH]]*NOTA[[#This Row],[DISC 1]])</f>
        <v>2643840</v>
      </c>
      <c r="Y298" s="54">
        <f>IF(NOTA[[#This Row],[JUMLAH]]="","",(NOTA[[#This Row],[JUMLAH]]-NOTA[[#This Row],[DISC 1-]])*NOTA[[#This Row],[DISC 2]])</f>
        <v>0</v>
      </c>
      <c r="Z298" s="54">
        <f>IF(NOTA[[#This Row],[JUMLAH]]="","",NOTA[[#This Row],[DISC 1-]]+NOTA[[#This Row],[DISC 2-]])</f>
        <v>2643840</v>
      </c>
      <c r="AA298" s="54">
        <f>IF(NOTA[[#This Row],[JUMLAH]]="","",NOTA[[#This Row],[JUMLAH]]-NOTA[[#This Row],[DISC]])</f>
        <v>12908160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98" s="54" t="str">
        <f>IF(OR(NOTA[[#This Row],[QTY]]="",NOTA[[#This Row],[HARGA SATUAN]]="",),"",NOTA[[#This Row],[QTY]]*NOTA[[#This Row],[HARGA SATUAN]])</f>
        <v/>
      </c>
      <c r="AF298" s="51">
        <f ca="1">IF(NOTA[ID_H]="","",INDEX(NOTA[TANGGAL],MATCH(,INDIRECT(ADDRESS(ROW(NOTA[TANGGAL]),COLUMN(NOTA[TANGGAL]))&amp;":"&amp;ADDRESS(ROW(),COLUMN(NOTA[TANGGAL]))),-1)))</f>
        <v>44937</v>
      </c>
      <c r="AG298" s="65" t="str">
        <f ca="1">IF(NOTA[[#This Row],[NAMA BARANG]]="","",INDEX(NOTA[SUPPLIER],MATCH(,INDIRECT(ADDRESS(ROW(NOTA[ID]),COLUMN(NOTA[ID]))&amp;":"&amp;ADDRESS(ROW(),COLUMN(NOTA[ID]))),-1)))</f>
        <v>KENKO SINAR INDONESIA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1</v>
      </c>
      <c r="AK298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98" s="193">
        <f>IF(NOTA[[#This Row],[CONCAT1]]="","",MATCH(NOTA[[#This Row],[CONCAT1]],[2]!db[NB NOTA_C],0)+1)</f>
        <v>1160</v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56</v>
      </c>
      <c r="E299" s="80"/>
      <c r="F299" s="26"/>
      <c r="G299" s="26"/>
      <c r="H299" s="31"/>
      <c r="I299" s="26"/>
      <c r="J299" s="81"/>
      <c r="K299" s="26"/>
      <c r="L299" s="26" t="s">
        <v>350</v>
      </c>
      <c r="M299" s="83">
        <v>1</v>
      </c>
      <c r="N299" s="82"/>
      <c r="O299" s="26"/>
      <c r="P299" s="84"/>
      <c r="Q299" s="85">
        <v>1500000</v>
      </c>
      <c r="R299" s="39" t="s">
        <v>362</v>
      </c>
      <c r="S299" s="86">
        <v>0.17</v>
      </c>
      <c r="T299" s="86"/>
      <c r="U299" s="87"/>
      <c r="V299" s="37"/>
      <c r="W299" s="54">
        <f>IF(NOTA[[#This Row],[HARGA/ CTN]]="",NOTA[[#This Row],[JUMLAH_H]],NOTA[[#This Row],[HARGA/ CTN]]*IF(NOTA[[#This Row],[C]]="",0,NOTA[[#This Row],[C]]))</f>
        <v>1500000</v>
      </c>
      <c r="X299" s="54">
        <f>IF(NOTA[[#This Row],[JUMLAH]]="","",NOTA[[#This Row],[JUMLAH]]*NOTA[[#This Row],[DISC 1]])</f>
        <v>255000.00000000003</v>
      </c>
      <c r="Y299" s="54">
        <f>IF(NOTA[[#This Row],[JUMLAH]]="","",(NOTA[[#This Row],[JUMLAH]]-NOTA[[#This Row],[DISC 1-]])*NOTA[[#This Row],[DISC 2]])</f>
        <v>0</v>
      </c>
      <c r="Z299" s="54">
        <f>IF(NOTA[[#This Row],[JUMLAH]]="","",NOTA[[#This Row],[DISC 1-]]+NOTA[[#This Row],[DISC 2-]])</f>
        <v>255000.00000000003</v>
      </c>
      <c r="AA299" s="54">
        <f>IF(NOTA[[#This Row],[JUMLAH]]="","",NOTA[[#This Row],[JUMLAH]]-NOTA[[#This Row],[DISC]])</f>
        <v>1245000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99" s="54" t="str">
        <f>IF(OR(NOTA[[#This Row],[QTY]]="",NOTA[[#This Row],[HARGA SATUAN]]="",),"",NOTA[[#This Row],[QTY]]*NOTA[[#This Row],[HARGA SATUAN]])</f>
        <v/>
      </c>
      <c r="AF299" s="51">
        <f ca="1">IF(NOTA[ID_H]="","",INDEX(NOTA[TANGGAL],MATCH(,INDIRECT(ADDRESS(ROW(NOTA[TANGGAL]),COLUMN(NOTA[TANGGAL]))&amp;":"&amp;ADDRESS(ROW(),COLUMN(NOTA[TANGGAL]))),-1)))</f>
        <v>44937</v>
      </c>
      <c r="AG299" s="65" t="str">
        <f ca="1">IF(NOTA[[#This Row],[NAMA BARANG]]="","",INDEX(NOTA[SUPPLIER],MATCH(,INDIRECT(ADDRESS(ROW(NOTA[ID]),COLUMN(NOTA[ID]))&amp;":"&amp;ADDRESS(ROW(),COLUMN(NOTA[ID]))),-1)))</f>
        <v>KENKO SINAR INDONESIA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1</v>
      </c>
      <c r="AK29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299" s="193">
        <f>IF(NOTA[[#This Row],[CONCAT1]]="","",MATCH(NOTA[[#This Row],[CONCAT1]],[2]!db[NB NOTA_C],0)+1)</f>
        <v>1131</v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56</v>
      </c>
      <c r="E300" s="80"/>
      <c r="F300" s="82"/>
      <c r="G300" s="82"/>
      <c r="H300" s="88"/>
      <c r="I300" s="26"/>
      <c r="J300" s="81"/>
      <c r="K300" s="38"/>
      <c r="L300" s="26" t="s">
        <v>346</v>
      </c>
      <c r="M300" s="83">
        <v>1</v>
      </c>
      <c r="N300" s="82"/>
      <c r="O300" s="26"/>
      <c r="P300" s="84"/>
      <c r="Q300" s="85">
        <v>1500000</v>
      </c>
      <c r="R300" s="39" t="s">
        <v>362</v>
      </c>
      <c r="S300" s="86">
        <v>0.17</v>
      </c>
      <c r="T300" s="86"/>
      <c r="U300" s="87"/>
      <c r="V300" s="37"/>
      <c r="W300" s="54">
        <f>IF(NOTA[[#This Row],[HARGA/ CTN]]="",NOTA[[#This Row],[JUMLAH_H]],NOTA[[#This Row],[HARGA/ CTN]]*IF(NOTA[[#This Row],[C]]="",0,NOTA[[#This Row],[C]]))</f>
        <v>1500000</v>
      </c>
      <c r="X300" s="54">
        <f>IF(NOTA[[#This Row],[JUMLAH]]="","",NOTA[[#This Row],[JUMLAH]]*NOTA[[#This Row],[DISC 1]])</f>
        <v>255000.00000000003</v>
      </c>
      <c r="Y300" s="54">
        <f>IF(NOTA[[#This Row],[JUMLAH]]="","",(NOTA[[#This Row],[JUMLAH]]-NOTA[[#This Row],[DISC 1-]])*NOTA[[#This Row],[DISC 2]])</f>
        <v>0</v>
      </c>
      <c r="Z300" s="54">
        <f>IF(NOTA[[#This Row],[JUMLAH]]="","",NOTA[[#This Row],[DISC 1-]]+NOTA[[#This Row],[DISC 2-]])</f>
        <v>255000.00000000003</v>
      </c>
      <c r="AA300" s="54">
        <f>IF(NOTA[[#This Row],[JUMLAH]]="","",NOTA[[#This Row],[JUMLAH]]-NOTA[[#This Row],[DISC]])</f>
        <v>1245000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300" s="54" t="str">
        <f>IF(OR(NOTA[[#This Row],[QTY]]="",NOTA[[#This Row],[HARGA SATUAN]]="",),"",NOTA[[#This Row],[QTY]]*NOTA[[#This Row],[HARGA SATUAN]])</f>
        <v/>
      </c>
      <c r="AF300" s="51">
        <f ca="1">IF(NOTA[ID_H]="","",INDEX(NOTA[TANGGAL],MATCH(,INDIRECT(ADDRESS(ROW(NOTA[TANGGAL]),COLUMN(NOTA[TANGGAL]))&amp;":"&amp;ADDRESS(ROW(),COLUMN(NOTA[TANGGAL]))),-1)))</f>
        <v>44937</v>
      </c>
      <c r="AG300" s="65" t="str">
        <f ca="1">IF(NOTA[[#This Row],[NAMA BARANG]]="","",INDEX(NOTA[SUPPLIER],MATCH(,INDIRECT(ADDRESS(ROW(NOTA[ID]),COLUMN(NOTA[ID]))&amp;":"&amp;ADDRESS(ROW(),COLUMN(NOTA[ID]))),-1)))</f>
        <v>KENKO SINAR INDONESIA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1</v>
      </c>
      <c r="AK300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300" s="193">
        <f>IF(NOTA[[#This Row],[CONCAT1]]="","",MATCH(NOTA[[#This Row],[CONCAT1]],[2]!db[NB NOTA_C],0)+1)</f>
        <v>1304</v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56</v>
      </c>
      <c r="E301" s="80"/>
      <c r="F301" s="26"/>
      <c r="G301" s="26"/>
      <c r="H301" s="31"/>
      <c r="I301" s="82"/>
      <c r="J301" s="81"/>
      <c r="K301" s="82"/>
      <c r="L301" s="26" t="s">
        <v>351</v>
      </c>
      <c r="M301" s="83">
        <v>2</v>
      </c>
      <c r="N301" s="82"/>
      <c r="O301" s="26"/>
      <c r="P301" s="84"/>
      <c r="Q301" s="85">
        <v>1375000</v>
      </c>
      <c r="R301" s="39" t="s">
        <v>362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2750000</v>
      </c>
      <c r="X301" s="54">
        <f>IF(NOTA[[#This Row],[JUMLAH]]="","",NOTA[[#This Row],[JUMLAH]]*NOTA[[#This Row],[DISC 1]])</f>
        <v>467500.00000000006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467500.00000000006</v>
      </c>
      <c r="AA301" s="54">
        <f>IF(NOTA[[#This Row],[JUMLAH]]="","",NOTA[[#This Row],[JUMLAH]]-NOTA[[#This Row],[DISC]])</f>
        <v>2282500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44937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1</v>
      </c>
      <c r="AK301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301" s="193">
        <f>IF(NOTA[[#This Row],[CONCAT1]]="","",MATCH(NOTA[[#This Row],[CONCAT1]],[2]!db[NB NOTA_C],0)+1)</f>
        <v>1132</v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56</v>
      </c>
      <c r="E302" s="80"/>
      <c r="F302" s="82"/>
      <c r="G302" s="82"/>
      <c r="H302" s="88"/>
      <c r="I302" s="82"/>
      <c r="J302" s="81"/>
      <c r="K302" s="82"/>
      <c r="L302" s="26" t="s">
        <v>343</v>
      </c>
      <c r="M302" s="83">
        <v>1</v>
      </c>
      <c r="N302" s="82"/>
      <c r="O302" s="26"/>
      <c r="P302" s="84"/>
      <c r="Q302" s="85">
        <v>1069200</v>
      </c>
      <c r="R302" s="39" t="s">
        <v>374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1069200</v>
      </c>
      <c r="X302" s="54">
        <f>IF(NOTA[[#This Row],[JUMLAH]]="","",NOTA[[#This Row],[JUMLAH]]*NOTA[[#This Row],[DISC 1]])</f>
        <v>181764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181764</v>
      </c>
      <c r="AA302" s="54">
        <f>IF(NOTA[[#This Row],[JUMLAH]]="","",NOTA[[#This Row],[JUMLAH]]-NOTA[[#This Row],[DISC]])</f>
        <v>887436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44937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1</v>
      </c>
      <c r="AK302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302" s="193">
        <f>IF(NOTA[[#This Row],[CONCAT1]]="","",MATCH(NOTA[[#This Row],[CONCAT1]],[2]!db[NB NOTA_C],0)+1)</f>
        <v>1275</v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93" t="str">
        <f>IF(NOTA[[#This Row],[CONCAT1]]="","",MATCH(NOTA[[#This Row],[CONCAT1]],[2]!db[NB NOTA_C],0)+1)</f>
        <v/>
      </c>
    </row>
    <row r="304" spans="1:39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57</v>
      </c>
      <c r="E304" s="23"/>
      <c r="F304" s="26" t="s">
        <v>23</v>
      </c>
      <c r="G304" s="26" t="s">
        <v>24</v>
      </c>
      <c r="H304" s="31" t="s">
        <v>455</v>
      </c>
      <c r="I304" s="26" t="s">
        <v>458</v>
      </c>
      <c r="J304" s="51">
        <v>44935</v>
      </c>
      <c r="K304" s="26"/>
      <c r="L304" s="26" t="s">
        <v>456</v>
      </c>
      <c r="M304" s="39">
        <v>5</v>
      </c>
      <c r="N304" s="26"/>
      <c r="O304" s="26"/>
      <c r="P304" s="49"/>
      <c r="Q304" s="52">
        <v>2052000</v>
      </c>
      <c r="R304" s="39" t="s">
        <v>118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10260000</v>
      </c>
      <c r="X304" s="54">
        <f>IF(NOTA[[#This Row],[JUMLAH]]="","",NOTA[[#This Row],[JUMLAH]]*NOTA[[#This Row],[DISC 1]])</f>
        <v>1744200.0000000002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1744200.0000000002</v>
      </c>
      <c r="AA304" s="54">
        <f>IF(NOTA[[#This Row],[JUMLAH]]="","",NOTA[[#This Row],[JUMLAH]]-NOTA[[#This Row],[DISC]])</f>
        <v>8515800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44937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2</v>
      </c>
      <c r="AJ304" s="38">
        <f>IF(NOTA[[#This Row],[TGL.NOTA]]="",IF(NOTA[[#This Row],[SUPPLIER_H]]="","",AJ303),MONTH(NOTA[[#This Row],[TGL.NOTA]]))</f>
        <v>1</v>
      </c>
      <c r="AK304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04" s="193">
        <f>IF(NOTA[[#This Row],[CONCAT1]]="","",MATCH(NOTA[[#This Row],[CONCAT1]],[2]!db[NB NOTA_C],0)+1)</f>
        <v>1093</v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57</v>
      </c>
      <c r="E305" s="23"/>
      <c r="F305" s="26"/>
      <c r="G305" s="26"/>
      <c r="H305" s="31"/>
      <c r="I305" s="26"/>
      <c r="J305" s="51"/>
      <c r="K305" s="26"/>
      <c r="L305" s="26" t="s">
        <v>457</v>
      </c>
      <c r="M305" s="39">
        <v>1</v>
      </c>
      <c r="N305" s="26"/>
      <c r="O305" s="26"/>
      <c r="P305" s="49"/>
      <c r="Q305" s="52">
        <v>804000</v>
      </c>
      <c r="R305" s="39" t="s">
        <v>119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804000</v>
      </c>
      <c r="X305" s="54">
        <f>IF(NOTA[[#This Row],[JUMLAH]]="","",NOTA[[#This Row],[JUMLAH]]*NOTA[[#This Row],[DISC 1]])</f>
        <v>136680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136680</v>
      </c>
      <c r="AA305" s="54">
        <f>IF(NOTA[[#This Row],[JUMLAH]]="","",NOTA[[#This Row],[JUMLAH]]-NOTA[[#This Row],[DISC]])</f>
        <v>667320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44937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1</v>
      </c>
      <c r="AK30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>kenkopocketnotepn4048040000.17</v>
      </c>
      <c r="AM305" s="193">
        <f>IF(NOTA[[#This Row],[CONCAT1]]="","",MATCH(NOTA[[#This Row],[CONCAT1]],[2]!db[NB NOTA_C],0)+1)</f>
        <v>1240</v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93" t="str">
        <f>IF(NOTA[[#This Row],[CONCAT1]]="","",MATCH(NOTA[[#This Row],[CONCAT1]],[2]!db[NB NOTA_C],0)+1)</f>
        <v/>
      </c>
    </row>
    <row r="307" spans="1:39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58</v>
      </c>
      <c r="E307" s="23"/>
      <c r="F307" s="26" t="s">
        <v>461</v>
      </c>
      <c r="G307" s="26" t="s">
        <v>87</v>
      </c>
      <c r="H307" s="31" t="s">
        <v>462</v>
      </c>
      <c r="I307" s="26"/>
      <c r="J307" s="51">
        <v>44933</v>
      </c>
      <c r="K307" s="26"/>
      <c r="L307" s="26" t="s">
        <v>463</v>
      </c>
      <c r="M307" s="39">
        <v>2</v>
      </c>
      <c r="N307" s="26">
        <v>200</v>
      </c>
      <c r="O307" s="26" t="s">
        <v>116</v>
      </c>
      <c r="P307" s="49">
        <v>21380</v>
      </c>
      <c r="Q307" s="52"/>
      <c r="R307" s="39" t="s">
        <v>464</v>
      </c>
      <c r="S307" s="53">
        <v>0.2</v>
      </c>
      <c r="T307" s="53">
        <v>0.04</v>
      </c>
      <c r="U307" s="54"/>
      <c r="V307" s="37"/>
      <c r="W307" s="54">
        <f>IF(NOTA[[#This Row],[HARGA/ CTN]]="",NOTA[[#This Row],[JUMLAH_H]],NOTA[[#This Row],[HARGA/ CTN]]*IF(NOTA[[#This Row],[C]]="",0,NOTA[[#This Row],[C]]))</f>
        <v>4276000</v>
      </c>
      <c r="X307" s="54">
        <f>IF(NOTA[[#This Row],[JUMLAH]]="","",NOTA[[#This Row],[JUMLAH]]*NOTA[[#This Row],[DISC 1]])</f>
        <v>855200</v>
      </c>
      <c r="Y307" s="54">
        <f>IF(NOTA[[#This Row],[JUMLAH]]="","",(NOTA[[#This Row],[JUMLAH]]-NOTA[[#This Row],[DISC 1-]])*NOTA[[#This Row],[DISC 2]])</f>
        <v>136832</v>
      </c>
      <c r="Z307" s="54">
        <f>IF(NOTA[[#This Row],[JUMLAH]]="","",NOTA[[#This Row],[DISC 1-]]+NOTA[[#This Row],[DISC 2-]])</f>
        <v>992032</v>
      </c>
      <c r="AA307" s="54">
        <f>IF(NOTA[[#This Row],[JUMLAH]]="","",NOTA[[#This Row],[JUMLAH]]-NOTA[[#This Row],[DISC]])</f>
        <v>3283968</v>
      </c>
      <c r="AB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C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07" s="54">
        <f>IF(OR(NOTA[[#This Row],[QTY]]="",NOTA[[#This Row],[HARGA SATUAN]]="",),"",NOTA[[#This Row],[QTY]]*NOTA[[#This Row],[HARGA SATUAN]])</f>
        <v>4276000</v>
      </c>
      <c r="AF307" s="51">
        <f ca="1">IF(NOTA[ID_H]="","",INDEX(NOTA[TANGGAL],MATCH(,INDIRECT(ADDRESS(ROW(NOTA[TANGGAL]),COLUMN(NOTA[TANGGAL]))&amp;":"&amp;ADDRESS(ROW(),COLUMN(NOTA[TANGGAL]))),-1)))</f>
        <v>44937</v>
      </c>
      <c r="AG307" s="65" t="str">
        <f ca="1">IF(NOTA[[#This Row],[NAMA BARANG]]="","",INDEX(NOTA[SUPPLIER],MATCH(,INDIRECT(ADDRESS(ROW(NOTA[ID]),COLUMN(NOTA[ID]))&amp;":"&amp;ADDRESS(ROW(),COLUMN(NOTA[ID]))),-1)))</f>
        <v>PPW</v>
      </c>
      <c r="AH307" s="65" t="str">
        <f ca="1">IF(NOTA[[#This Row],[ID_H]]="","",IF(NOTA[[#This Row],[FAKTUR]]="",INDIRECT(ADDRESS(ROW()-1,COLUMN())),NOTA[[#This Row],[FAKTUR]]))</f>
        <v>UNTANA</v>
      </c>
      <c r="AI307" s="38">
        <f ca="1">IF(NOTA[[#This Row],[ID]]="","",COUNTIF(NOTA[ID_H],NOTA[[#This Row],[ID_H]]))</f>
        <v>1</v>
      </c>
      <c r="AJ307" s="38">
        <f>IF(NOTA[[#This Row],[TGL.NOTA]]="",IF(NOTA[[#This Row],[SUPPLIER_H]]="","",AJ306),MONTH(NOTA[[#This Row],[TGL.NOTA]]))</f>
        <v>1</v>
      </c>
      <c r="AK307" s="38" t="str">
        <f>LOWER(SUBSTITUTE(SUBSTITUTE(SUBSTITUTE(SUBSTITUTE(SUBSTITUTE(SUBSTITUTE(SUBSTITUTE(SUBSTITUTE(SUBSTITUTE(NOTA[NAMA BARANG]," ",),".",""),"-",""),"(",""),")",""),",",""),"/",""),"""",""),"+",""))</f>
        <v>bt20cm</v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07" s="193">
        <f>IF(NOTA[[#This Row],[CONCAT1]]="","",MATCH(NOTA[[#This Row],[CONCAT1]],[2]!db[NB NOTA_C],0)+1)</f>
        <v>331</v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93" t="str">
        <f>IF(NOTA[[#This Row],[CONCAT1]]="","",MATCH(NOTA[[#This Row],[CONCAT1]],[2]!db[NB NOTA_C],0)+1)</f>
        <v/>
      </c>
    </row>
    <row r="309" spans="1:39" ht="20.100000000000001" customHeight="1" x14ac:dyDescent="0.25">
      <c r="A309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9" s="50" t="e">
        <f ca="1">IF(NOTA[[#This Row],[ID_P]]="","",MATCH(NOTA[[#This Row],[ID_P]],[1]!B_MSK[N_ID],0))</f>
        <v>#REF!</v>
      </c>
      <c r="D309" s="50">
        <f ca="1">IF(NOTA[[#This Row],[NAMA BARANG]]="","",INDEX(NOTA[ID],MATCH(,INDIRECT(ADDRESS(ROW(NOTA[ID]),COLUMN(NOTA[ID]))&amp;":"&amp;ADDRESS(ROW(),COLUMN(NOTA[ID]))),-1)))</f>
        <v>59</v>
      </c>
      <c r="E309" s="23"/>
      <c r="F309" s="26" t="s">
        <v>465</v>
      </c>
      <c r="G309" s="26" t="s">
        <v>87</v>
      </c>
      <c r="H309" s="31" t="s">
        <v>466</v>
      </c>
      <c r="I309" s="26"/>
      <c r="J309" s="51">
        <v>44933</v>
      </c>
      <c r="K309" s="26"/>
      <c r="L309" s="26" t="s">
        <v>467</v>
      </c>
      <c r="M309" s="39">
        <v>5</v>
      </c>
      <c r="N309" s="26">
        <v>500</v>
      </c>
      <c r="O309" s="26" t="s">
        <v>116</v>
      </c>
      <c r="P309" s="49">
        <v>26780</v>
      </c>
      <c r="Q309" s="52"/>
      <c r="R309" s="39" t="s">
        <v>464</v>
      </c>
      <c r="S309" s="53">
        <v>0.2</v>
      </c>
      <c r="T309" s="53">
        <v>0.04</v>
      </c>
      <c r="U309" s="54"/>
      <c r="V309" s="37"/>
      <c r="W309" s="54">
        <f>IF(NOTA[[#This Row],[HARGA/ CTN]]="",NOTA[[#This Row],[JUMLAH_H]],NOTA[[#This Row],[HARGA/ CTN]]*IF(NOTA[[#This Row],[C]]="",0,NOTA[[#This Row],[C]]))</f>
        <v>13390000</v>
      </c>
      <c r="X309" s="54">
        <f>IF(NOTA[[#This Row],[JUMLAH]]="","",NOTA[[#This Row],[JUMLAH]]*NOTA[[#This Row],[DISC 1]])</f>
        <v>2678000</v>
      </c>
      <c r="Y309" s="54">
        <f>IF(NOTA[[#This Row],[JUMLAH]]="","",(NOTA[[#This Row],[JUMLAH]]-NOTA[[#This Row],[DISC 1-]])*NOTA[[#This Row],[DISC 2]])</f>
        <v>428480</v>
      </c>
      <c r="Z309" s="54">
        <f>IF(NOTA[[#This Row],[JUMLAH]]="","",NOTA[[#This Row],[DISC 1-]]+NOTA[[#This Row],[DISC 2-]])</f>
        <v>3106480</v>
      </c>
      <c r="AA309" s="54">
        <f>IF(NOTA[[#This Row],[JUMLAH]]="","",NOTA[[#This Row],[JUMLAH]]-NOTA[[#This Row],[DISC]])</f>
        <v>10283520</v>
      </c>
      <c r="AB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09" s="54">
        <f>IF(OR(NOTA[[#This Row],[QTY]]="",NOTA[[#This Row],[HARGA SATUAN]]="",),"",NOTA[[#This Row],[QTY]]*NOTA[[#This Row],[HARGA SATUAN]])</f>
        <v>13390000</v>
      </c>
      <c r="AF309" s="51">
        <f ca="1">IF(NOTA[ID_H]="","",INDEX(NOTA[TANGGAL],MATCH(,INDIRECT(ADDRESS(ROW(NOTA[TANGGAL]),COLUMN(NOTA[TANGGAL]))&amp;":"&amp;ADDRESS(ROW(),COLUMN(NOTA[TANGGAL]))),-1)))</f>
        <v>44937</v>
      </c>
      <c r="AG309" s="65" t="str">
        <f ca="1">IF(NOTA[[#This Row],[NAMA BARANG]]="","",INDEX(NOTA[SUPPLIER],MATCH(,INDIRECT(ADDRESS(ROW(NOTA[ID]),COLUMN(NOTA[ID]))&amp;":"&amp;ADDRESS(ROW(),COLUMN(NOTA[ID]))),-1)))</f>
        <v xml:space="preserve">PPW </v>
      </c>
      <c r="AH309" s="65" t="str">
        <f ca="1">IF(NOTA[[#This Row],[ID_H]]="","",IF(NOTA[[#This Row],[FAKTUR]]="",INDIRECT(ADDRESS(ROW()-1,COLUMN())),NOTA[[#This Row],[FAKTUR]]))</f>
        <v>UNTANA</v>
      </c>
      <c r="AI309" s="38">
        <f ca="1">IF(NOTA[[#This Row],[ID]]="","",COUNTIF(NOTA[ID_H],NOTA[[#This Row],[ID_H]]))</f>
        <v>1</v>
      </c>
      <c r="AJ309" s="38">
        <f>IF(NOTA[[#This Row],[TGL.NOTA]]="",IF(NOTA[[#This Row],[SUPPLIER_H]]="","",AJ308),MONTH(NOTA[[#This Row],[TGL.NOTA]]))</f>
        <v>1</v>
      </c>
      <c r="AK309" s="38" t="str">
        <f>LOWER(SUBSTITUTE(SUBSTITUTE(SUBSTITUTE(SUBSTITUTE(SUBSTITUTE(SUBSTITUTE(SUBSTITUTE(SUBSTITUTE(SUBSTITUTE(NOTA[NAMA BARANG]," ",),".",""),"-",""),"(",""),")",""),",",""),"/",""),"""",""),"+",""))</f>
        <v>bt30cm</v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309" s="193">
        <f>IF(NOTA[[#This Row],[CONCAT1]]="","",MATCH(NOTA[[#This Row],[CONCAT1]],[2]!db[NB NOTA_C],0)+1)</f>
        <v>332</v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93" t="str">
        <f>IF(NOTA[[#This Row],[CONCAT1]]="","",MATCH(NOTA[[#This Row],[CONCAT1]],[2]!db[NB NOTA_C],0)+1)</f>
        <v/>
      </c>
    </row>
    <row r="311" spans="1:39" ht="20.100000000000001" customHeight="1" x14ac:dyDescent="0.25">
      <c r="A311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1" s="50" t="e">
        <f ca="1">IF(NOTA[[#This Row],[ID_P]]="","",MATCH(NOTA[[#This Row],[ID_P]],[1]!B_MSK[N_ID],0))</f>
        <v>#REF!</v>
      </c>
      <c r="D311" s="50">
        <f ca="1">IF(NOTA[[#This Row],[NAMA BARANG]]="","",INDEX(NOTA[ID],MATCH(,INDIRECT(ADDRESS(ROW(NOTA[ID]),COLUMN(NOTA[ID]))&amp;":"&amp;ADDRESS(ROW(),COLUMN(NOTA[ID]))),-1)))</f>
        <v>60</v>
      </c>
      <c r="E311" s="23"/>
      <c r="F311" s="26" t="s">
        <v>461</v>
      </c>
      <c r="G311" s="26" t="s">
        <v>87</v>
      </c>
      <c r="H311" s="31" t="s">
        <v>468</v>
      </c>
      <c r="I311" s="26"/>
      <c r="J311" s="51">
        <v>44888</v>
      </c>
      <c r="K311" s="26"/>
      <c r="L311" s="26" t="s">
        <v>463</v>
      </c>
      <c r="M311" s="39">
        <v>1</v>
      </c>
      <c r="N311" s="26">
        <v>100</v>
      </c>
      <c r="O311" s="26" t="s">
        <v>116</v>
      </c>
      <c r="P311" s="49">
        <v>21380</v>
      </c>
      <c r="Q311" s="52"/>
      <c r="R311" s="39" t="s">
        <v>469</v>
      </c>
      <c r="S311" s="53">
        <v>0.2</v>
      </c>
      <c r="T311" s="53">
        <v>0.04</v>
      </c>
      <c r="U311" s="54"/>
      <c r="V311" s="37"/>
      <c r="W311" s="54">
        <f>IF(NOTA[[#This Row],[HARGA/ CTN]]="",NOTA[[#This Row],[JUMLAH_H]],NOTA[[#This Row],[HARGA/ CTN]]*IF(NOTA[[#This Row],[C]]="",0,NOTA[[#This Row],[C]]))</f>
        <v>2138000</v>
      </c>
      <c r="X311" s="54">
        <f>IF(NOTA[[#This Row],[JUMLAH]]="","",NOTA[[#This Row],[JUMLAH]]*NOTA[[#This Row],[DISC 1]])</f>
        <v>427600</v>
      </c>
      <c r="Y311" s="54">
        <f>IF(NOTA[[#This Row],[JUMLAH]]="","",(NOTA[[#This Row],[JUMLAH]]-NOTA[[#This Row],[DISC 1-]])*NOTA[[#This Row],[DISC 2]])</f>
        <v>68416</v>
      </c>
      <c r="Z311" s="54">
        <f>IF(NOTA[[#This Row],[JUMLAH]]="","",NOTA[[#This Row],[DISC 1-]]+NOTA[[#This Row],[DISC 2-]])</f>
        <v>496016</v>
      </c>
      <c r="AA311" s="54">
        <f>IF(NOTA[[#This Row],[JUMLAH]]="","",NOTA[[#This Row],[JUMLAH]]-NOTA[[#This Row],[DISC]])</f>
        <v>1641984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11" s="54">
        <f>IF(OR(NOTA[[#This Row],[QTY]]="",NOTA[[#This Row],[HARGA SATUAN]]="",),"",NOTA[[#This Row],[QTY]]*NOTA[[#This Row],[HARGA SATUAN]])</f>
        <v>2138000</v>
      </c>
      <c r="AF311" s="51">
        <f ca="1">IF(NOTA[ID_H]="","",INDEX(NOTA[TANGGAL],MATCH(,INDIRECT(ADDRESS(ROW(NOTA[TANGGAL]),COLUMN(NOTA[TANGGAL]))&amp;":"&amp;ADDRESS(ROW(),COLUMN(NOTA[TANGGAL]))),-1)))</f>
        <v>44937</v>
      </c>
      <c r="AG311" s="65" t="str">
        <f ca="1">IF(NOTA[[#This Row],[NAMA BARANG]]="","",INDEX(NOTA[SUPPLIER],MATCH(,INDIRECT(ADDRESS(ROW(NOTA[ID]),COLUMN(NOTA[ID]))&amp;":"&amp;ADDRESS(ROW(),COLUMN(NOTA[ID]))),-1)))</f>
        <v>PPW</v>
      </c>
      <c r="AH311" s="65" t="str">
        <f ca="1">IF(NOTA[[#This Row],[ID_H]]="","",IF(NOTA[[#This Row],[FAKTUR]]="",INDIRECT(ADDRESS(ROW()-1,COLUMN())),NOTA[[#This Row],[FAKTUR]]))</f>
        <v>UNTANA</v>
      </c>
      <c r="AI311" s="38">
        <f ca="1">IF(NOTA[[#This Row],[ID]]="","",COUNTIF(NOTA[ID_H],NOTA[[#This Row],[ID_H]]))</f>
        <v>1</v>
      </c>
      <c r="AJ311" s="38">
        <f>IF(NOTA[[#This Row],[TGL.NOTA]]="",IF(NOTA[[#This Row],[SUPPLIER_H]]="","",AJ310),MONTH(NOTA[[#This Row],[TGL.NOTA]]))</f>
        <v>11</v>
      </c>
      <c r="AK311" s="38" t="str">
        <f>LOWER(SUBSTITUTE(SUBSTITUTE(SUBSTITUTE(SUBSTITUTE(SUBSTITUTE(SUBSTITUTE(SUBSTITUTE(SUBSTITUTE(SUBSTITUTE(NOTA[NAMA BARANG]," ",),".",""),"-",""),"(",""),")",""),",",""),"/",""),"""",""),"+",""))</f>
        <v>bt20cm</v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11" s="193">
        <f>IF(NOTA[[#This Row],[CONCAT1]]="","",MATCH(NOTA[[#This Row],[CONCAT1]],[2]!db[NB NOTA_C],0)+1)</f>
        <v>331</v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93" t="str">
        <f>IF(NOTA[[#This Row],[CONCAT1]]="","",MATCH(NOTA[[#This Row],[CONCAT1]],[2]!db[NB NOTA_C],0)+1)</f>
        <v/>
      </c>
    </row>
    <row r="313" spans="1:39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61</v>
      </c>
      <c r="E313" s="23"/>
      <c r="F313" s="26" t="s">
        <v>86</v>
      </c>
      <c r="G313" s="26" t="s">
        <v>87</v>
      </c>
      <c r="H313" s="31" t="s">
        <v>470</v>
      </c>
      <c r="I313" s="26"/>
      <c r="J313" s="51">
        <v>44935</v>
      </c>
      <c r="K313" s="26"/>
      <c r="L313" s="26" t="s">
        <v>471</v>
      </c>
      <c r="M313" s="39">
        <v>15</v>
      </c>
      <c r="N313" s="26">
        <f>200*15</f>
        <v>3000</v>
      </c>
      <c r="O313" s="26" t="s">
        <v>602</v>
      </c>
      <c r="P313" s="49">
        <f>600000*15/3000</f>
        <v>3000</v>
      </c>
      <c r="Q313" s="52">
        <v>600000</v>
      </c>
      <c r="R313" s="39" t="s">
        <v>472</v>
      </c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9000000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313" s="54">
        <f>IF(OR(NOTA[[#This Row],[QTY]]="",NOTA[[#This Row],[HARGA SATUAN]]="",),"",NOTA[[#This Row],[QTY]]*NOTA[[#This Row],[HARGA SATUAN]])</f>
        <v>9000000</v>
      </c>
      <c r="AF313" s="51">
        <f ca="1">IF(NOTA[ID_H]="","",INDEX(NOTA[TANGGAL],MATCH(,INDIRECT(ADDRESS(ROW(NOTA[TANGGAL]),COLUMN(NOTA[TANGGAL]))&amp;":"&amp;ADDRESS(ROW(),COLUMN(NOTA[TANGGAL]))),-1)))</f>
        <v>44937</v>
      </c>
      <c r="AG313" s="65" t="str">
        <f ca="1">IF(NOTA[[#This Row],[NAMA BARANG]]="","",INDEX(NOTA[SUPPLIER],MATCH(,INDIRECT(ADDRESS(ROW(NOTA[ID]),COLUMN(NOTA[ID]))&amp;":"&amp;ADDRESS(ROW(),COLUMN(NOTA[ID]))),-1)))</f>
        <v>GRAFINDO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1</v>
      </c>
      <c r="AK313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>isolasifancy600000</v>
      </c>
      <c r="AM313" s="193" t="e">
        <f>IF(NOTA[[#This Row],[CONCAT1]]="","",MATCH(NOTA[[#This Row],[CONCAT1]],[2]!db[NB NOTA_C],0)+1)</f>
        <v>#N/A</v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93" t="str">
        <f>IF(NOTA[[#This Row],[CONCAT1]]="","",MATCH(NOTA[[#This Row],[CONCAT1]],[2]!db[NB NOTA_C],0)+1)</f>
        <v/>
      </c>
    </row>
    <row r="315" spans="1:39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62</v>
      </c>
      <c r="E315" s="23"/>
      <c r="F315" s="26" t="s">
        <v>101</v>
      </c>
      <c r="G315" s="26" t="s">
        <v>87</v>
      </c>
      <c r="H315" s="31"/>
      <c r="I315" s="26" t="s">
        <v>473</v>
      </c>
      <c r="J315" s="51">
        <v>44935</v>
      </c>
      <c r="K315" s="26"/>
      <c r="L315" s="26" t="s">
        <v>474</v>
      </c>
      <c r="M315" s="39">
        <v>5</v>
      </c>
      <c r="N315" s="26"/>
      <c r="O315" s="26"/>
      <c r="P315" s="49"/>
      <c r="Q315" s="52"/>
      <c r="R315" s="39"/>
      <c r="S315" s="53"/>
      <c r="T315" s="53"/>
      <c r="U315" s="54"/>
      <c r="V315" s="37" t="s">
        <v>88</v>
      </c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44937</v>
      </c>
      <c r="AG315" s="65" t="str">
        <f ca="1">IF(NOTA[[#This Row],[NAMA BARANG]]="","",INDEX(NOTA[SUPPLIER],MATCH(,INDIRECT(ADDRESS(ROW(NOTA[ID]),COLUMN(NOTA[ID]))&amp;":"&amp;ADDRESS(ROW(),COLUMN(NOTA[ID]))),-1)))</f>
        <v>SBS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2</v>
      </c>
      <c r="AJ315" s="38">
        <f>IF(NOTA[[#This Row],[TGL.NOTA]]="",IF(NOTA[[#This Row],[SUPPLIER_H]]="","",AJ314),MONTH(NOTA[[#This Row],[TGL.NOTA]]))</f>
        <v>1</v>
      </c>
      <c r="AK315" s="38" t="str">
        <f>LOWER(SUBSTITUTE(SUBSTITUTE(SUBSTITUTE(SUBSTITUTE(SUBSTITUTE(SUBSTITUTE(SUBSTITUTE(SUBSTITUTE(SUBSTITUTE(NOTA[NAMA BARANG]," ",),".",""),"-",""),"(",""),")",""),",",""),"/",""),"""",""),"+",""))</f>
        <v>paletgambarapel</v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>paletgambarapel0</v>
      </c>
      <c r="AM315" s="193" t="e">
        <f>IF(NOTA[[#This Row],[CONCAT1]]="","",MATCH(NOTA[[#This Row],[CONCAT1]],[2]!db[NB NOTA_C],0)+1)</f>
        <v>#N/A</v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62</v>
      </c>
      <c r="E316" s="23"/>
      <c r="F316" s="26"/>
      <c r="G316" s="26"/>
      <c r="H316" s="31"/>
      <c r="I316" s="26"/>
      <c r="J316" s="51"/>
      <c r="K316" s="26"/>
      <c r="L316" s="26" t="s">
        <v>603</v>
      </c>
      <c r="M316" s="39">
        <v>5</v>
      </c>
      <c r="N316" s="26"/>
      <c r="O316" s="26"/>
      <c r="P316" s="49"/>
      <c r="Q316" s="52"/>
      <c r="R316" s="39"/>
      <c r="S316" s="53"/>
      <c r="T316" s="53"/>
      <c r="U316" s="54"/>
      <c r="V316" s="37" t="s">
        <v>88</v>
      </c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44937</v>
      </c>
      <c r="AG316" s="65" t="str">
        <f ca="1">IF(NOTA[[#This Row],[NAMA BARANG]]="","",INDEX(NOTA[SUPPLIER],MATCH(,INDIRECT(ADDRESS(ROW(NOTA[ID]),COLUMN(NOTA[ID]))&amp;":"&amp;ADDRESS(ROW(),COLUMN(NOTA[ID]))),-1)))</f>
        <v>SBS</v>
      </c>
      <c r="AH316" s="65" t="str">
        <f ca="1">IF(NOTA[[#This Row],[ID_H]]="","",IF(NOTA[[#This Row],[FAKTUR]]="",INDIRECT(ADDRESS(ROW()-1,COLUMN())),NOTA[[#This Row],[FAKTUR]]))</f>
        <v>UNTANA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1</v>
      </c>
      <c r="AK316" s="38" t="str">
        <f>LOWER(SUBSTITUTE(SUBSTITUTE(SUBSTITUTE(SUBSTITUTE(SUBSTITUTE(SUBSTITUTE(SUBSTITUTE(SUBSTITUTE(SUBSTITUTE(NOTA[NAMA BARANG]," ",),".",""),"-",""),"(",""),")",""),",",""),"/",""),"""",""),"+",""))</f>
        <v>paletgambaranggur</v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>paletgambaranggur0</v>
      </c>
      <c r="AM316" s="193" t="e">
        <f>IF(NOTA[[#This Row],[CONCAT1]]="","",MATCH(NOTA[[#This Row],[CONCAT1]],[2]!db[NB NOTA_C],0)+1)</f>
        <v>#N/A</v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93" t="str">
        <f>IF(NOTA[[#This Row],[CONCAT1]]="","",MATCH(NOTA[[#This Row],[CONCAT1]],[2]!db[NB NOTA_C],0)+1)</f>
        <v/>
      </c>
    </row>
    <row r="318" spans="1:39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18" s="50" t="e">
        <f ca="1">IF(NOTA[[#This Row],[ID_P]]="","",MATCH(NOTA[[#This Row],[ID_P]],[1]!B_MSK[N_ID],0))</f>
        <v>#REF!</v>
      </c>
      <c r="D318" s="50">
        <f ca="1">IF(NOTA[[#This Row],[NAMA BARANG]]="","",INDEX(NOTA[ID],MATCH(,INDIRECT(ADDRESS(ROW(NOTA[ID]),COLUMN(NOTA[ID]))&amp;":"&amp;ADDRESS(ROW(),COLUMN(NOTA[ID]))),-1)))</f>
        <v>63</v>
      </c>
      <c r="E318" s="23">
        <v>44938</v>
      </c>
      <c r="F318" s="26" t="s">
        <v>475</v>
      </c>
      <c r="G318" s="26" t="s">
        <v>87</v>
      </c>
      <c r="H318" s="31" t="s">
        <v>476</v>
      </c>
      <c r="I318" s="26"/>
      <c r="J318" s="51">
        <v>44932</v>
      </c>
      <c r="K318" s="51"/>
      <c r="L318" s="26" t="s">
        <v>477</v>
      </c>
      <c r="M318" s="39">
        <v>20</v>
      </c>
      <c r="N318" s="26">
        <v>1920</v>
      </c>
      <c r="O318" s="26" t="s">
        <v>104</v>
      </c>
      <c r="P318" s="49">
        <v>18500</v>
      </c>
      <c r="Q318" s="52"/>
      <c r="R318" s="39"/>
      <c r="S318" s="53"/>
      <c r="T318" s="53"/>
      <c r="U318" s="54"/>
      <c r="V318" s="37" t="s">
        <v>478</v>
      </c>
      <c r="W318" s="54">
        <f>IF(NOTA[[#This Row],[HARGA/ CTN]]="",NOTA[[#This Row],[JUMLAH_H]],NOTA[[#This Row],[HARGA/ CTN]]*IF(NOTA[[#This Row],[C]]="",0,NOTA[[#This Row],[C]]))</f>
        <v>35520000</v>
      </c>
      <c r="X318" s="54">
        <f>IF(NOTA[[#This Row],[JUMLAH]]="","",NOTA[[#This Row],[JUMLAH]]*NOTA[[#This Row],[DISC 1]])</f>
        <v>0</v>
      </c>
      <c r="Y318" s="54">
        <f>IF(NOTA[[#This Row],[JUMLAH]]="","",(NOTA[[#This Row],[JUMLAH]]-NOTA[[#This Row],[DISC 1-]])*NOTA[[#This Row],[DISC 2]])</f>
        <v>0</v>
      </c>
      <c r="Z318" s="54">
        <f>IF(NOTA[[#This Row],[JUMLAH]]="","",NOTA[[#This Row],[DISC 1-]]+NOTA[[#This Row],[DISC 2-]])</f>
        <v>0</v>
      </c>
      <c r="AA318" s="54">
        <f>IF(NOTA[[#This Row],[JUMLAH]]="","",NOTA[[#This Row],[JUMLAH]]-NOTA[[#This Row],[DISC]])</f>
        <v>35520000</v>
      </c>
      <c r="AB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D318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318" s="54">
        <f>IF(OR(NOTA[[#This Row],[QTY]]="",NOTA[[#This Row],[HARGA SATUAN]]="",),"",NOTA[[#This Row],[QTY]]*NOTA[[#This Row],[HARGA SATUAN]])</f>
        <v>35520000</v>
      </c>
      <c r="AF318" s="51">
        <f ca="1">IF(NOTA[ID_H]="","",INDEX(NOTA[TANGGAL],MATCH(,INDIRECT(ADDRESS(ROW(NOTA[TANGGAL]),COLUMN(NOTA[TANGGAL]))&amp;":"&amp;ADDRESS(ROW(),COLUMN(NOTA[TANGGAL]))),-1)))</f>
        <v>44938</v>
      </c>
      <c r="AG318" s="65" t="str">
        <f ca="1">IF(NOTA[[#This Row],[NAMA BARANG]]="","",INDEX(NOTA[SUPPLIER],MATCH(,INDIRECT(ADDRESS(ROW(NOTA[ID]),COLUMN(NOTA[ID]))&amp;":"&amp;ADDRESS(ROW(),COLUMN(NOTA[ID]))),-1)))</f>
        <v>SINAR MAS</v>
      </c>
      <c r="AH318" s="65" t="str">
        <f ca="1">IF(NOTA[[#This Row],[ID_H]]="","",IF(NOTA[[#This Row],[FAKTUR]]="",INDIRECT(ADDRESS(ROW()-1,COLUMN())),NOTA[[#This Row],[FAKTUR]]))</f>
        <v>UNTANA</v>
      </c>
      <c r="AI318" s="38">
        <f ca="1">IF(NOTA[[#This Row],[ID]]="","",COUNTIF(NOTA[ID_H],NOTA[[#This Row],[ID_H]]))</f>
        <v>1</v>
      </c>
      <c r="AJ318" s="38">
        <f>IF(NOTA[[#This Row],[TGL.NOTA]]="",IF(NOTA[[#This Row],[SUPPLIER_H]]="","",AJ317),MONTH(NOTA[[#This Row],[TGL.NOTA]]))</f>
        <v>1</v>
      </c>
      <c r="AK318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>pckode3ss3da2020d1776000</v>
      </c>
      <c r="AM318" s="193" t="e">
        <f>IF(NOTA[[#This Row],[CONCAT1]]="","",MATCH(NOTA[[#This Row],[CONCAT1]],[2]!db[NB NOTA_C],0)+1)</f>
        <v>#N/A</v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93" t="str">
        <f>IF(NOTA[[#This Row],[CONCAT1]]="","",MATCH(NOTA[[#This Row],[CONCAT1]],[2]!db[NB NOTA_C],0)+1)</f>
        <v/>
      </c>
    </row>
    <row r="320" spans="1:39" ht="20.100000000000001" customHeight="1" x14ac:dyDescent="0.25">
      <c r="A320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0" s="50" t="e">
        <f ca="1">IF(NOTA[[#This Row],[ID_P]]="","",MATCH(NOTA[[#This Row],[ID_P]],[1]!B_MSK[N_ID],0))</f>
        <v>#REF!</v>
      </c>
      <c r="D320" s="50">
        <f ca="1">IF(NOTA[[#This Row],[NAMA BARANG]]="","",INDEX(NOTA[ID],MATCH(,INDIRECT(ADDRESS(ROW(NOTA[ID]),COLUMN(NOTA[ID]))&amp;":"&amp;ADDRESS(ROW(),COLUMN(NOTA[ID]))),-1)))</f>
        <v>64</v>
      </c>
      <c r="E320" s="23"/>
      <c r="F320" s="26" t="s">
        <v>25</v>
      </c>
      <c r="G320" s="26" t="s">
        <v>24</v>
      </c>
      <c r="H320" s="31" t="s">
        <v>479</v>
      </c>
      <c r="I320" s="26"/>
      <c r="J320" s="51">
        <v>44933</v>
      </c>
      <c r="K320" s="26"/>
      <c r="L320" s="26" t="s">
        <v>429</v>
      </c>
      <c r="M320" s="39">
        <v>10</v>
      </c>
      <c r="N320" s="26">
        <v>300</v>
      </c>
      <c r="O320" s="26" t="s">
        <v>274</v>
      </c>
      <c r="P320" s="49">
        <v>104400</v>
      </c>
      <c r="Q320" s="52"/>
      <c r="R320" s="39" t="s">
        <v>371</v>
      </c>
      <c r="S320" s="53">
        <v>0.125</v>
      </c>
      <c r="T320" s="53">
        <v>0.05</v>
      </c>
      <c r="U320" s="54"/>
      <c r="V320" s="37"/>
      <c r="W320" s="54">
        <f>IF(NOTA[[#This Row],[HARGA/ CTN]]="",NOTA[[#This Row],[JUMLAH_H]],NOTA[[#This Row],[HARGA/ CTN]]*IF(NOTA[[#This Row],[C]]="",0,NOTA[[#This Row],[C]]))</f>
        <v>31320000</v>
      </c>
      <c r="X320" s="54">
        <f>IF(NOTA[[#This Row],[JUMLAH]]="","",NOTA[[#This Row],[JUMLAH]]*NOTA[[#This Row],[DISC 1]])</f>
        <v>3915000</v>
      </c>
      <c r="Y320" s="54">
        <f>IF(NOTA[[#This Row],[JUMLAH]]="","",(NOTA[[#This Row],[JUMLAH]]-NOTA[[#This Row],[DISC 1-]])*NOTA[[#This Row],[DISC 2]])</f>
        <v>1370250</v>
      </c>
      <c r="Z320" s="54">
        <f>IF(NOTA[[#This Row],[JUMLAH]]="","",NOTA[[#This Row],[DISC 1-]]+NOTA[[#This Row],[DISC 2-]])</f>
        <v>5285250</v>
      </c>
      <c r="AA320" s="54">
        <f>IF(NOTA[[#This Row],[JUMLAH]]="","",NOTA[[#This Row],[JUMLAH]]-NOTA[[#This Row],[DISC]])</f>
        <v>26034750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20" s="54">
        <f>IF(OR(NOTA[[#This Row],[QTY]]="",NOTA[[#This Row],[HARGA SATUAN]]="",),"",NOTA[[#This Row],[QTY]]*NOTA[[#This Row],[HARGA SATUAN]])</f>
        <v>31320000</v>
      </c>
      <c r="AF320" s="51">
        <f ca="1">IF(NOTA[ID_H]="","",INDEX(NOTA[TANGGAL],MATCH(,INDIRECT(ADDRESS(ROW(NOTA[TANGGAL]),COLUMN(NOTA[TANGGAL]))&amp;":"&amp;ADDRESS(ROW(),COLUMN(NOTA[TANGGAL]))),-1)))</f>
        <v>44938</v>
      </c>
      <c r="AG320" s="65" t="str">
        <f ca="1">IF(NOTA[[#This Row],[NAMA BARANG]]="","",INDEX(NOTA[SUPPLIER],MATCH(,INDIRECT(ADDRESS(ROW(NOTA[ID]),COLUMN(NOTA[ID]))&amp;":"&amp;ADDRESS(ROW(),COLUMN(NOTA[ID]))),-1)))</f>
        <v>ATALI MAKMUR</v>
      </c>
      <c r="AH320" s="65" t="str">
        <f ca="1">IF(NOTA[[#This Row],[ID_H]]="","",IF(NOTA[[#This Row],[FAKTUR]]="",INDIRECT(ADDRESS(ROW()-1,COLUMN())),NOTA[[#This Row],[FAKTUR]]))</f>
        <v>ARTO MORO</v>
      </c>
      <c r="AI320" s="38">
        <f ca="1">IF(NOTA[[#This Row],[ID]]="","",COUNTIF(NOTA[ID_H],NOTA[[#This Row],[ID_H]]))</f>
        <v>11</v>
      </c>
      <c r="AJ320" s="38">
        <f>IF(NOTA[[#This Row],[TGL.NOTA]]="",IF(NOTA[[#This Row],[SUPPLIER_H]]="","",AJ319),MONTH(NOTA[[#This Row],[TGL.NOTA]]))</f>
        <v>1</v>
      </c>
      <c r="AK320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320" s="193">
        <f>IF(NOTA[[#This Row],[CONCAT1]]="","",MATCH(NOTA[[#This Row],[CONCAT1]],[2]!db[NB NOTA_C],0)+1)</f>
        <v>1732</v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64</v>
      </c>
      <c r="E321" s="23"/>
      <c r="F321" s="26"/>
      <c r="G321" s="38"/>
      <c r="H321" s="26"/>
      <c r="I321" s="26"/>
      <c r="J321" s="51"/>
      <c r="K321" s="26"/>
      <c r="L321" s="26" t="s">
        <v>480</v>
      </c>
      <c r="M321" s="39">
        <v>1</v>
      </c>
      <c r="N321" s="26">
        <v>500</v>
      </c>
      <c r="O321" s="26" t="s">
        <v>131</v>
      </c>
      <c r="P321" s="49">
        <v>1850</v>
      </c>
      <c r="Q321" s="52"/>
      <c r="R321" s="39" t="s">
        <v>481</v>
      </c>
      <c r="S321" s="53">
        <v>0.125</v>
      </c>
      <c r="T321" s="53">
        <v>0.05</v>
      </c>
      <c r="U321" s="54"/>
      <c r="V321" s="37"/>
      <c r="W321" s="54">
        <f>IF(NOTA[[#This Row],[HARGA/ CTN]]="",NOTA[[#This Row],[JUMLAH_H]],NOTA[[#This Row],[HARGA/ CTN]]*IF(NOTA[[#This Row],[C]]="",0,NOTA[[#This Row],[C]]))</f>
        <v>925000</v>
      </c>
      <c r="X321" s="54">
        <f>IF(NOTA[[#This Row],[JUMLAH]]="","",NOTA[[#This Row],[JUMLAH]]*NOTA[[#This Row],[DISC 1]])</f>
        <v>115625</v>
      </c>
      <c r="Y321" s="54">
        <f>IF(NOTA[[#This Row],[JUMLAH]]="","",(NOTA[[#This Row],[JUMLAH]]-NOTA[[#This Row],[DISC 1-]])*NOTA[[#This Row],[DISC 2]])</f>
        <v>40468.75</v>
      </c>
      <c r="Z321" s="54">
        <f>IF(NOTA[[#This Row],[JUMLAH]]="","",NOTA[[#This Row],[DISC 1-]]+NOTA[[#This Row],[DISC 2-]])</f>
        <v>156093.75</v>
      </c>
      <c r="AA321" s="54">
        <f>IF(NOTA[[#This Row],[JUMLAH]]="","",NOTA[[#This Row],[JUMLAH]]-NOTA[[#This Row],[DISC]])</f>
        <v>768906.25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21" s="54">
        <f>IF(OR(NOTA[[#This Row],[QTY]]="",NOTA[[#This Row],[HARGA SATUAN]]="",),"",NOTA[[#This Row],[QTY]]*NOTA[[#This Row],[HARGA SATUAN]])</f>
        <v>925000</v>
      </c>
      <c r="AF321" s="51">
        <f ca="1">IF(NOTA[ID_H]="","",INDEX(NOTA[TANGGAL],MATCH(,INDIRECT(ADDRESS(ROW(NOTA[TANGGAL]),COLUMN(NOTA[TANGGAL]))&amp;":"&amp;ADDRESS(ROW(),COLUMN(NOTA[TANGGAL]))),-1)))</f>
        <v>44938</v>
      </c>
      <c r="AG321" s="65" t="str">
        <f ca="1">IF(NOTA[[#This Row],[NAMA BARANG]]="","",INDEX(NOTA[SUPPLIER],MATCH(,INDIRECT(ADDRESS(ROW(NOTA[ID]),COLUMN(NOTA[ID]))&amp;":"&amp;ADDRESS(ROW(),COLUMN(NOTA[ID]))),-1)))</f>
        <v>ATALI MAKMUR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1</v>
      </c>
      <c r="AK321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>trigonalclipno1jk9250000.1250.05</v>
      </c>
      <c r="AM321" s="193">
        <f>IF(NOTA[[#This Row],[CONCAT1]]="","",MATCH(NOTA[[#This Row],[CONCAT1]],[2]!db[NB NOTA_C],0)+1)</f>
        <v>2039</v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64</v>
      </c>
      <c r="E322" s="23"/>
      <c r="F322" s="26"/>
      <c r="G322" s="26"/>
      <c r="H322" s="31"/>
      <c r="I322" s="26"/>
      <c r="J322" s="51"/>
      <c r="K322" s="26"/>
      <c r="L322" s="26" t="s">
        <v>482</v>
      </c>
      <c r="M322" s="39">
        <v>1</v>
      </c>
      <c r="N322" s="26">
        <v>72</v>
      </c>
      <c r="O322" s="26" t="s">
        <v>104</v>
      </c>
      <c r="P322" s="49">
        <v>34500</v>
      </c>
      <c r="Q322" s="52"/>
      <c r="R322" s="39" t="s">
        <v>483</v>
      </c>
      <c r="S322" s="53">
        <v>0.125</v>
      </c>
      <c r="T322" s="53">
        <v>0.05</v>
      </c>
      <c r="U322" s="54"/>
      <c r="V322" s="37"/>
      <c r="W322" s="54">
        <f>IF(NOTA[[#This Row],[HARGA/ CTN]]="",NOTA[[#This Row],[JUMLAH_H]],NOTA[[#This Row],[HARGA/ CTN]]*IF(NOTA[[#This Row],[C]]="",0,NOTA[[#This Row],[C]]))</f>
        <v>2484000</v>
      </c>
      <c r="X322" s="54">
        <f>IF(NOTA[[#This Row],[JUMLAH]]="","",NOTA[[#This Row],[JUMLAH]]*NOTA[[#This Row],[DISC 1]])</f>
        <v>310500</v>
      </c>
      <c r="Y322" s="54">
        <f>IF(NOTA[[#This Row],[JUMLAH]]="","",(NOTA[[#This Row],[JUMLAH]]-NOTA[[#This Row],[DISC 1-]])*NOTA[[#This Row],[DISC 2]])</f>
        <v>108675</v>
      </c>
      <c r="Z322" s="54">
        <f>IF(NOTA[[#This Row],[JUMLAH]]="","",NOTA[[#This Row],[DISC 1-]]+NOTA[[#This Row],[DISC 2-]])</f>
        <v>419175</v>
      </c>
      <c r="AA322" s="54">
        <f>IF(NOTA[[#This Row],[JUMLAH]]="","",NOTA[[#This Row],[JUMLAH]]-NOTA[[#This Row],[DISC]])</f>
        <v>2064825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322" s="54">
        <f>IF(OR(NOTA[[#This Row],[QTY]]="",NOTA[[#This Row],[HARGA SATUAN]]="",),"",NOTA[[#This Row],[QTY]]*NOTA[[#This Row],[HARGA SATUAN]])</f>
        <v>2484000</v>
      </c>
      <c r="AF322" s="51">
        <f ca="1">IF(NOTA[ID_H]="","",INDEX(NOTA[TANGGAL],MATCH(,INDIRECT(ADDRESS(ROW(NOTA[TANGGAL]),COLUMN(NOTA[TANGGAL]))&amp;":"&amp;ADDRESS(ROW(),COLUMN(NOTA[TANGGAL]))),-1)))</f>
        <v>44938</v>
      </c>
      <c r="AG322" s="65" t="str">
        <f ca="1">IF(NOTA[[#This Row],[NAMA BARANG]]="","",INDEX(NOTA[SUPPLIER],MATCH(,INDIRECT(ADDRESS(ROW(NOTA[ID]),COLUMN(NOTA[ID]))&amp;":"&amp;ADDRESS(ROW(),COLUMN(NOTA[ID]))),-1)))</f>
        <v>ATALI MAKMUR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1</v>
      </c>
      <c r="AK322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322" s="193">
        <f>IF(NOTA[[#This Row],[CONCAT1]]="","",MATCH(NOTA[[#This Row],[CONCAT1]],[2]!db[NB NOTA_C],0)+1)</f>
        <v>939</v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64</v>
      </c>
      <c r="E323" s="23"/>
      <c r="F323" s="26"/>
      <c r="G323" s="26"/>
      <c r="H323" s="31"/>
      <c r="I323" s="26"/>
      <c r="J323" s="51"/>
      <c r="K323" s="26"/>
      <c r="L323" s="26" t="s">
        <v>484</v>
      </c>
      <c r="M323" s="39">
        <v>2</v>
      </c>
      <c r="N323" s="26">
        <v>24</v>
      </c>
      <c r="O323" s="26" t="s">
        <v>274</v>
      </c>
      <c r="P323" s="49">
        <v>176400</v>
      </c>
      <c r="Q323" s="52"/>
      <c r="R323" s="39" t="s">
        <v>117</v>
      </c>
      <c r="S323" s="53">
        <v>0.125</v>
      </c>
      <c r="T323" s="53">
        <v>0.05</v>
      </c>
      <c r="U323" s="54"/>
      <c r="V323" s="37"/>
      <c r="W323" s="54">
        <f>IF(NOTA[[#This Row],[HARGA/ CTN]]="",NOTA[[#This Row],[JUMLAH_H]],NOTA[[#This Row],[HARGA/ CTN]]*IF(NOTA[[#This Row],[C]]="",0,NOTA[[#This Row],[C]]))</f>
        <v>4233600</v>
      </c>
      <c r="X323" s="54">
        <f>IF(NOTA[[#This Row],[JUMLAH]]="","",NOTA[[#This Row],[JUMLAH]]*NOTA[[#This Row],[DISC 1]])</f>
        <v>529200</v>
      </c>
      <c r="Y323" s="54">
        <f>IF(NOTA[[#This Row],[JUMLAH]]="","",(NOTA[[#This Row],[JUMLAH]]-NOTA[[#This Row],[DISC 1-]])*NOTA[[#This Row],[DISC 2]])</f>
        <v>185220</v>
      </c>
      <c r="Z323" s="54">
        <f>IF(NOTA[[#This Row],[JUMLAH]]="","",NOTA[[#This Row],[DISC 1-]]+NOTA[[#This Row],[DISC 2-]])</f>
        <v>714420</v>
      </c>
      <c r="AA323" s="54">
        <f>IF(NOTA[[#This Row],[JUMLAH]]="","",NOTA[[#This Row],[JUMLAH]]-NOTA[[#This Row],[DISC]])</f>
        <v>3519180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323" s="54">
        <f>IF(OR(NOTA[[#This Row],[QTY]]="",NOTA[[#This Row],[HARGA SATUAN]]="",),"",NOTA[[#This Row],[QTY]]*NOTA[[#This Row],[HARGA SATUAN]])</f>
        <v>4233600</v>
      </c>
      <c r="AF323" s="51">
        <f ca="1">IF(NOTA[ID_H]="","",INDEX(NOTA[TANGGAL],MATCH(,INDIRECT(ADDRESS(ROW(NOTA[TANGGAL]),COLUMN(NOTA[TANGGAL]))&amp;":"&amp;ADDRESS(ROW(),COLUMN(NOTA[TANGGAL]))),-1)))</f>
        <v>44938</v>
      </c>
      <c r="AG323" s="65" t="str">
        <f ca="1">IF(NOTA[[#This Row],[NAMA BARANG]]="","",INDEX(NOTA[SUPPLIER],MATCH(,INDIRECT(ADDRESS(ROW(NOTA[ID]),COLUMN(NOTA[ID]))&amp;":"&amp;ADDRESS(ROW(),COLUMN(NOTA[ID]))),-1)))</f>
        <v>ATALI MAKMUR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1</v>
      </c>
      <c r="AK32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323" s="193">
        <f>IF(NOTA[[#This Row],[CONCAT1]]="","",MATCH(NOTA[[#This Row],[CONCAT1]],[2]!db[NB NOTA_C],0)+1)</f>
        <v>1727</v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64</v>
      </c>
      <c r="E324" s="23"/>
      <c r="F324" s="26"/>
      <c r="G324" s="26"/>
      <c r="H324" s="31"/>
      <c r="I324" s="26"/>
      <c r="J324" s="51"/>
      <c r="K324" s="26"/>
      <c r="L324" s="26" t="s">
        <v>485</v>
      </c>
      <c r="M324" s="39">
        <v>3</v>
      </c>
      <c r="N324" s="26">
        <v>432</v>
      </c>
      <c r="O324" s="26" t="s">
        <v>116</v>
      </c>
      <c r="P324" s="49">
        <v>19800</v>
      </c>
      <c r="Q324" s="52"/>
      <c r="R324" s="39" t="s">
        <v>486</v>
      </c>
      <c r="S324" s="53">
        <v>0.125</v>
      </c>
      <c r="T324" s="53">
        <v>0.05</v>
      </c>
      <c r="U324" s="54"/>
      <c r="V324" s="37"/>
      <c r="W324" s="54">
        <f>IF(NOTA[[#This Row],[HARGA/ CTN]]="",NOTA[[#This Row],[JUMLAH_H]],NOTA[[#This Row],[HARGA/ CTN]]*IF(NOTA[[#This Row],[C]]="",0,NOTA[[#This Row],[C]]))</f>
        <v>8553600</v>
      </c>
      <c r="X324" s="54">
        <f>IF(NOTA[[#This Row],[JUMLAH]]="","",NOTA[[#This Row],[JUMLAH]]*NOTA[[#This Row],[DISC 1]])</f>
        <v>1069200</v>
      </c>
      <c r="Y324" s="54">
        <f>IF(NOTA[[#This Row],[JUMLAH]]="","",(NOTA[[#This Row],[JUMLAH]]-NOTA[[#This Row],[DISC 1-]])*NOTA[[#This Row],[DISC 2]])</f>
        <v>374220</v>
      </c>
      <c r="Z324" s="54">
        <f>IF(NOTA[[#This Row],[JUMLAH]]="","",NOTA[[#This Row],[DISC 1-]]+NOTA[[#This Row],[DISC 2-]])</f>
        <v>1443420</v>
      </c>
      <c r="AA324" s="54">
        <f>IF(NOTA[[#This Row],[JUMLAH]]="","",NOTA[[#This Row],[JUMLAH]]-NOTA[[#This Row],[DISC]])</f>
        <v>7110180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324" s="54">
        <f>IF(OR(NOTA[[#This Row],[QTY]]="",NOTA[[#This Row],[HARGA SATUAN]]="",),"",NOTA[[#This Row],[QTY]]*NOTA[[#This Row],[HARGA SATUAN]])</f>
        <v>8553600</v>
      </c>
      <c r="AF324" s="51">
        <f ca="1">IF(NOTA[ID_H]="","",INDEX(NOTA[TANGGAL],MATCH(,INDIRECT(ADDRESS(ROW(NOTA[TANGGAL]),COLUMN(NOTA[TANGGAL]))&amp;":"&amp;ADDRESS(ROW(),COLUMN(NOTA[TANGGAL]))),-1)))</f>
        <v>44938</v>
      </c>
      <c r="AG324" s="65" t="str">
        <f ca="1">IF(NOTA[[#This Row],[NAMA BARANG]]="","",INDEX(NOTA[SUPPLIER],MATCH(,INDIRECT(ADDRESS(ROW(NOTA[ID]),COLUMN(NOTA[ID]))&amp;":"&amp;ADDRESS(ROW(),COLUMN(NOTA[ID]))),-1)))</f>
        <v>ATALI MAKMUR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1</v>
      </c>
      <c r="AK324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324" s="193">
        <f>IF(NOTA[[#This Row],[CONCAT1]]="","",MATCH(NOTA[[#This Row],[CONCAT1]],[2]!db[NB NOTA_C],0)+1)</f>
        <v>1728</v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64</v>
      </c>
      <c r="E325" s="23"/>
      <c r="F325" s="38"/>
      <c r="G325" s="38"/>
      <c r="H325" s="79"/>
      <c r="I325" s="26"/>
      <c r="J325" s="51"/>
      <c r="K325" s="26"/>
      <c r="L325" s="26" t="s">
        <v>487</v>
      </c>
      <c r="M325" s="39">
        <v>3</v>
      </c>
      <c r="N325" s="26">
        <v>216</v>
      </c>
      <c r="O325" s="26" t="s">
        <v>116</v>
      </c>
      <c r="P325" s="49">
        <v>37200</v>
      </c>
      <c r="Q325" s="52"/>
      <c r="R325" s="39" t="s">
        <v>428</v>
      </c>
      <c r="S325" s="53">
        <v>0.125</v>
      </c>
      <c r="T325" s="53">
        <v>0.05</v>
      </c>
      <c r="U325" s="54"/>
      <c r="V325" s="37"/>
      <c r="W325" s="54">
        <f>IF(NOTA[[#This Row],[HARGA/ CTN]]="",NOTA[[#This Row],[JUMLAH_H]],NOTA[[#This Row],[HARGA/ CTN]]*IF(NOTA[[#This Row],[C]]="",0,NOTA[[#This Row],[C]]))</f>
        <v>8035200</v>
      </c>
      <c r="X325" s="54">
        <f>IF(NOTA[[#This Row],[JUMLAH]]="","",NOTA[[#This Row],[JUMLAH]]*NOTA[[#This Row],[DISC 1]])</f>
        <v>1004400</v>
      </c>
      <c r="Y325" s="54">
        <f>IF(NOTA[[#This Row],[JUMLAH]]="","",(NOTA[[#This Row],[JUMLAH]]-NOTA[[#This Row],[DISC 1-]])*NOTA[[#This Row],[DISC 2]])</f>
        <v>351540</v>
      </c>
      <c r="Z325" s="54">
        <f>IF(NOTA[[#This Row],[JUMLAH]]="","",NOTA[[#This Row],[DISC 1-]]+NOTA[[#This Row],[DISC 2-]])</f>
        <v>1355940</v>
      </c>
      <c r="AA325" s="54">
        <f>IF(NOTA[[#This Row],[JUMLAH]]="","",NOTA[[#This Row],[JUMLAH]]-NOTA[[#This Row],[DISC]])</f>
        <v>6679260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25" s="54">
        <f>IF(OR(NOTA[[#This Row],[QTY]]="",NOTA[[#This Row],[HARGA SATUAN]]="",),"",NOTA[[#This Row],[QTY]]*NOTA[[#This Row],[HARGA SATUAN]])</f>
        <v>8035200</v>
      </c>
      <c r="AF325" s="51">
        <f ca="1">IF(NOTA[ID_H]="","",INDEX(NOTA[TANGGAL],MATCH(,INDIRECT(ADDRESS(ROW(NOTA[TANGGAL]),COLUMN(NOTA[TANGGAL]))&amp;":"&amp;ADDRESS(ROW(),COLUMN(NOTA[TANGGAL]))),-1)))</f>
        <v>44938</v>
      </c>
      <c r="AG325" s="65" t="str">
        <f ca="1">IF(NOTA[[#This Row],[NAMA BARANG]]="","",INDEX(NOTA[SUPPLIER],MATCH(,INDIRECT(ADDRESS(ROW(NOTA[ID]),COLUMN(NOTA[ID]))&amp;":"&amp;ADDRESS(ROW(),COLUMN(NOTA[ID]))),-1)))</f>
        <v>ATALI MAKMUR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1</v>
      </c>
      <c r="AK325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325" s="193">
        <f>IF(NOTA[[#This Row],[CONCAT1]]="","",MATCH(NOTA[[#This Row],[CONCAT1]],[2]!db[NB NOTA_C],0)+1)</f>
        <v>1729</v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64</v>
      </c>
      <c r="E326" s="23"/>
      <c r="F326" s="26"/>
      <c r="G326" s="26"/>
      <c r="H326" s="31"/>
      <c r="I326" s="26"/>
      <c r="J326" s="51"/>
      <c r="K326" s="26"/>
      <c r="L326" s="26" t="s">
        <v>488</v>
      </c>
      <c r="M326" s="39">
        <v>1</v>
      </c>
      <c r="N326" s="26">
        <v>20</v>
      </c>
      <c r="O326" s="26" t="s">
        <v>104</v>
      </c>
      <c r="P326" s="49">
        <v>40500</v>
      </c>
      <c r="Q326" s="52"/>
      <c r="R326" s="39" t="s">
        <v>489</v>
      </c>
      <c r="S326" s="53">
        <v>0.125</v>
      </c>
      <c r="T326" s="53">
        <v>0.05</v>
      </c>
      <c r="U326" s="54"/>
      <c r="V326" s="37"/>
      <c r="W326" s="54">
        <f>IF(NOTA[[#This Row],[HARGA/ CTN]]="",NOTA[[#This Row],[JUMLAH_H]],NOTA[[#This Row],[HARGA/ CTN]]*IF(NOTA[[#This Row],[C]]="",0,NOTA[[#This Row],[C]]))</f>
        <v>810000</v>
      </c>
      <c r="X326" s="54">
        <f>IF(NOTA[[#This Row],[JUMLAH]]="","",NOTA[[#This Row],[JUMLAH]]*NOTA[[#This Row],[DISC 1]])</f>
        <v>101250</v>
      </c>
      <c r="Y326" s="54">
        <f>IF(NOTA[[#This Row],[JUMLAH]]="","",(NOTA[[#This Row],[JUMLAH]]-NOTA[[#This Row],[DISC 1-]])*NOTA[[#This Row],[DISC 2]])</f>
        <v>35437.5</v>
      </c>
      <c r="Z326" s="54">
        <f>IF(NOTA[[#This Row],[JUMLAH]]="","",NOTA[[#This Row],[DISC 1-]]+NOTA[[#This Row],[DISC 2-]])</f>
        <v>136687.5</v>
      </c>
      <c r="AA326" s="54">
        <f>IF(NOTA[[#This Row],[JUMLAH]]="","",NOTA[[#This Row],[JUMLAH]]-NOTA[[#This Row],[DISC]])</f>
        <v>673312.5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26" s="54">
        <f>IF(OR(NOTA[[#This Row],[QTY]]="",NOTA[[#This Row],[HARGA SATUAN]]="",),"",NOTA[[#This Row],[QTY]]*NOTA[[#This Row],[HARGA SATUAN]])</f>
        <v>810000</v>
      </c>
      <c r="AF326" s="51">
        <f ca="1">IF(NOTA[ID_H]="","",INDEX(NOTA[TANGGAL],MATCH(,INDIRECT(ADDRESS(ROW(NOTA[TANGGAL]),COLUMN(NOTA[TANGGAL]))&amp;":"&amp;ADDRESS(ROW(),COLUMN(NOTA[TANGGAL]))),-1)))</f>
        <v>44938</v>
      </c>
      <c r="AG326" s="65" t="str">
        <f ca="1">IF(NOTA[[#This Row],[NAMA BARANG]]="","",INDEX(NOTA[SUPPLIER],MATCH(,INDIRECT(ADDRESS(ROW(NOTA[ID]),COLUMN(NOTA[ID]))&amp;":"&amp;ADDRESS(ROW(),COLUMN(NOTA[ID]))),-1)))</f>
        <v>ATALI MAKMUR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1</v>
      </c>
      <c r="AK32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326" s="193">
        <f>IF(NOTA[[#This Row],[CONCAT1]]="","",MATCH(NOTA[[#This Row],[CONCAT1]],[2]!db[NB NOTA_C],0)+1)</f>
        <v>1344</v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64</v>
      </c>
      <c r="E327" s="23"/>
      <c r="F327" s="26"/>
      <c r="G327" s="26"/>
      <c r="H327" s="31"/>
      <c r="I327" s="26"/>
      <c r="J327" s="51"/>
      <c r="K327" s="26"/>
      <c r="L327" s="26" t="s">
        <v>436</v>
      </c>
      <c r="M327" s="39">
        <v>3</v>
      </c>
      <c r="N327" s="26">
        <v>3000</v>
      </c>
      <c r="O327" s="26" t="s">
        <v>133</v>
      </c>
      <c r="P327" s="49">
        <v>2050</v>
      </c>
      <c r="Q327" s="52"/>
      <c r="R327" s="39" t="s">
        <v>437</v>
      </c>
      <c r="S327" s="53">
        <v>0.125</v>
      </c>
      <c r="T327" s="53">
        <v>0.05</v>
      </c>
      <c r="U327" s="54"/>
      <c r="V327" s="37"/>
      <c r="W327" s="54">
        <f>IF(NOTA[[#This Row],[HARGA/ CTN]]="",NOTA[[#This Row],[JUMLAH_H]],NOTA[[#This Row],[HARGA/ CTN]]*IF(NOTA[[#This Row],[C]]="",0,NOTA[[#This Row],[C]]))</f>
        <v>6150000</v>
      </c>
      <c r="X327" s="54">
        <f>IF(NOTA[[#This Row],[JUMLAH]]="","",NOTA[[#This Row],[JUMLAH]]*NOTA[[#This Row],[DISC 1]])</f>
        <v>768750</v>
      </c>
      <c r="Y327" s="54">
        <f>IF(NOTA[[#This Row],[JUMLAH]]="","",(NOTA[[#This Row],[JUMLAH]]-NOTA[[#This Row],[DISC 1-]])*NOTA[[#This Row],[DISC 2]])</f>
        <v>269062.5</v>
      </c>
      <c r="Z327" s="54">
        <f>IF(NOTA[[#This Row],[JUMLAH]]="","",NOTA[[#This Row],[DISC 1-]]+NOTA[[#This Row],[DISC 2-]])</f>
        <v>1037812.5</v>
      </c>
      <c r="AA327" s="54">
        <f>IF(NOTA[[#This Row],[JUMLAH]]="","",NOTA[[#This Row],[JUMLAH]]-NOTA[[#This Row],[DISC]])</f>
        <v>5112187.5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27" s="54">
        <f>IF(OR(NOTA[[#This Row],[QTY]]="",NOTA[[#This Row],[HARGA SATUAN]]="",),"",NOTA[[#This Row],[QTY]]*NOTA[[#This Row],[HARGA SATUAN]])</f>
        <v>6150000</v>
      </c>
      <c r="AF327" s="51">
        <f ca="1">IF(NOTA[ID_H]="","",INDEX(NOTA[TANGGAL],MATCH(,INDIRECT(ADDRESS(ROW(NOTA[TANGGAL]),COLUMN(NOTA[TANGGAL]))&amp;":"&amp;ADDRESS(ROW(),COLUMN(NOTA[TANGGAL]))),-1)))</f>
        <v>44938</v>
      </c>
      <c r="AG327" s="65" t="str">
        <f ca="1">IF(NOTA[[#This Row],[NAMA BARANG]]="","",INDEX(NOTA[SUPPLIER],MATCH(,INDIRECT(ADDRESS(ROW(NOTA[ID]),COLUMN(NOTA[ID]))&amp;":"&amp;ADDRESS(ROW(),COLUMN(NOTA[ID]))),-1)))</f>
        <v>ATALI MAKMUR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1</v>
      </c>
      <c r="AK32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327" s="193">
        <f>IF(NOTA[[#This Row],[CONCAT1]]="","",MATCH(NOTA[[#This Row],[CONCAT1]],[2]!db[NB NOTA_C],0)+1)</f>
        <v>1338</v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64</v>
      </c>
      <c r="E328" s="23"/>
      <c r="F328" s="26"/>
      <c r="G328" s="26"/>
      <c r="H328" s="31"/>
      <c r="I328" s="26"/>
      <c r="J328" s="51"/>
      <c r="K328" s="26"/>
      <c r="L328" s="26" t="s">
        <v>541</v>
      </c>
      <c r="M328" s="39">
        <v>1</v>
      </c>
      <c r="N328" s="26">
        <v>48</v>
      </c>
      <c r="O328" s="26" t="s">
        <v>131</v>
      </c>
      <c r="P328" s="49">
        <v>31200</v>
      </c>
      <c r="Q328" s="52"/>
      <c r="R328" s="39" t="s">
        <v>276</v>
      </c>
      <c r="S328" s="53">
        <v>0.125</v>
      </c>
      <c r="T328" s="53">
        <v>0.05</v>
      </c>
      <c r="U328" s="54"/>
      <c r="V328" s="37"/>
      <c r="W328" s="54">
        <f>IF(NOTA[[#This Row],[HARGA/ CTN]]="",NOTA[[#This Row],[JUMLAH_H]],NOTA[[#This Row],[HARGA/ CTN]]*IF(NOTA[[#This Row],[C]]="",0,NOTA[[#This Row],[C]]))</f>
        <v>1497600</v>
      </c>
      <c r="X328" s="54">
        <f>IF(NOTA[[#This Row],[JUMLAH]]="","",NOTA[[#This Row],[JUMLAH]]*NOTA[[#This Row],[DISC 1]])</f>
        <v>187200</v>
      </c>
      <c r="Y328" s="54">
        <f>IF(NOTA[[#This Row],[JUMLAH]]="","",(NOTA[[#This Row],[JUMLAH]]-NOTA[[#This Row],[DISC 1-]])*NOTA[[#This Row],[DISC 2]])</f>
        <v>65520</v>
      </c>
      <c r="Z328" s="54">
        <f>IF(NOTA[[#This Row],[JUMLAH]]="","",NOTA[[#This Row],[DISC 1-]]+NOTA[[#This Row],[DISC 2-]])</f>
        <v>252720</v>
      </c>
      <c r="AA328" s="54">
        <f>IF(NOTA[[#This Row],[JUMLAH]]="","",NOTA[[#This Row],[JUMLAH]]-NOTA[[#This Row],[DISC]])</f>
        <v>1244880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328" s="54">
        <f>IF(OR(NOTA[[#This Row],[QTY]]="",NOTA[[#This Row],[HARGA SATUAN]]="",),"",NOTA[[#This Row],[QTY]]*NOTA[[#This Row],[HARGA SATUAN]])</f>
        <v>1497600</v>
      </c>
      <c r="AF328" s="51">
        <f ca="1">IF(NOTA[ID_H]="","",INDEX(NOTA[TANGGAL],MATCH(,INDIRECT(ADDRESS(ROW(NOTA[TANGGAL]),COLUMN(NOTA[TANGGAL]))&amp;":"&amp;ADDRESS(ROW(),COLUMN(NOTA[TANGGAL]))),-1)))</f>
        <v>44938</v>
      </c>
      <c r="AG328" s="65" t="str">
        <f ca="1">IF(NOTA[[#This Row],[NAMA BARANG]]="","",INDEX(NOTA[SUPPLIER],MATCH(,INDIRECT(ADDRESS(ROW(NOTA[ID]),COLUMN(NOTA[ID]))&amp;":"&amp;ADDRESS(ROW(),COLUMN(NOTA[ID]))),-1)))</f>
        <v>ATALI MAKMUR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1</v>
      </c>
      <c r="AK328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>pushpinpp30jk14976000.1250.05</v>
      </c>
      <c r="AM328" s="193">
        <f>IF(NOTA[[#This Row],[CONCAT1]]="","",MATCH(NOTA[[#This Row],[CONCAT1]],[2]!db[NB NOTA_C],0)+1)</f>
        <v>1849</v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64</v>
      </c>
      <c r="E329" s="23"/>
      <c r="F329" s="26"/>
      <c r="G329" s="26"/>
      <c r="H329" s="31"/>
      <c r="I329" s="26"/>
      <c r="J329" s="51"/>
      <c r="K329" s="26"/>
      <c r="L329" s="26" t="s">
        <v>542</v>
      </c>
      <c r="M329" s="39">
        <v>1</v>
      </c>
      <c r="N329" s="26">
        <v>240</v>
      </c>
      <c r="O329" s="26" t="s">
        <v>104</v>
      </c>
      <c r="P329" s="49">
        <v>8600</v>
      </c>
      <c r="Q329" s="52"/>
      <c r="R329" s="39" t="s">
        <v>490</v>
      </c>
      <c r="S329" s="53">
        <v>0.125</v>
      </c>
      <c r="T329" s="53">
        <v>0.05</v>
      </c>
      <c r="U329" s="54"/>
      <c r="V329" s="37"/>
      <c r="W329" s="54">
        <f>IF(NOTA[[#This Row],[HARGA/ CTN]]="",NOTA[[#This Row],[JUMLAH_H]],NOTA[[#This Row],[HARGA/ CTN]]*IF(NOTA[[#This Row],[C]]="",0,NOTA[[#This Row],[C]]))</f>
        <v>2064000</v>
      </c>
      <c r="X329" s="54">
        <f>IF(NOTA[[#This Row],[JUMLAH]]="","",NOTA[[#This Row],[JUMLAH]]*NOTA[[#This Row],[DISC 1]])</f>
        <v>258000</v>
      </c>
      <c r="Y329" s="54">
        <f>IF(NOTA[[#This Row],[JUMLAH]]="","",(NOTA[[#This Row],[JUMLAH]]-NOTA[[#This Row],[DISC 1-]])*NOTA[[#This Row],[DISC 2]])</f>
        <v>90300</v>
      </c>
      <c r="Z329" s="54">
        <f>IF(NOTA[[#This Row],[JUMLAH]]="","",NOTA[[#This Row],[DISC 1-]]+NOTA[[#This Row],[DISC 2-]])</f>
        <v>348300</v>
      </c>
      <c r="AA329" s="54">
        <f>IF(NOTA[[#This Row],[JUMLAH]]="","",NOTA[[#This Row],[JUMLAH]]-NOTA[[#This Row],[DISC]])</f>
        <v>1715700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E329" s="54">
        <f>IF(OR(NOTA[[#This Row],[QTY]]="",NOTA[[#This Row],[HARGA SATUAN]]="",),"",NOTA[[#This Row],[QTY]]*NOTA[[#This Row],[HARGA SATUAN]])</f>
        <v>2064000</v>
      </c>
      <c r="AF329" s="51">
        <f ca="1">IF(NOTA[ID_H]="","",INDEX(NOTA[TANGGAL],MATCH(,INDIRECT(ADDRESS(ROW(NOTA[TANGGAL]),COLUMN(NOTA[TANGGAL]))&amp;":"&amp;ADDRESS(ROW(),COLUMN(NOTA[TANGGAL]))),-1)))</f>
        <v>44938</v>
      </c>
      <c r="AG329" s="65" t="str">
        <f ca="1">IF(NOTA[[#This Row],[NAMA BARANG]]="","",INDEX(NOTA[SUPPLIER],MATCH(,INDIRECT(ADDRESS(ROW(NOTA[ID]),COLUMN(NOTA[ID]))&amp;":"&amp;ADDRESS(ROW(),COLUMN(NOTA[ID]))),-1)))</f>
        <v>ATALI MAKMUR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1</v>
      </c>
      <c r="AK329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>datestamps68lunasjk20640000.1250.05</v>
      </c>
      <c r="AM329" s="193">
        <f>IF(NOTA[[#This Row],[CONCAT1]]="","",MATCH(NOTA[[#This Row],[CONCAT1]],[2]!db[NB NOTA_C],0)+1)</f>
        <v>574</v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64</v>
      </c>
      <c r="E330" s="23"/>
      <c r="F330" s="26"/>
      <c r="G330" s="26"/>
      <c r="H330" s="31"/>
      <c r="I330" s="26"/>
      <c r="J330" s="51"/>
      <c r="K330" s="26"/>
      <c r="L330" s="26" t="s">
        <v>491</v>
      </c>
      <c r="M330" s="39">
        <v>1</v>
      </c>
      <c r="N330" s="26">
        <v>720</v>
      </c>
      <c r="O330" s="26" t="s">
        <v>104</v>
      </c>
      <c r="P330" s="49">
        <v>4600</v>
      </c>
      <c r="Q330" s="52"/>
      <c r="R330" s="39" t="s">
        <v>492</v>
      </c>
      <c r="S330" s="53">
        <v>0.125</v>
      </c>
      <c r="T330" s="53">
        <v>0.05</v>
      </c>
      <c r="U330" s="54"/>
      <c r="V330" s="37"/>
      <c r="W330" s="54">
        <f>IF(NOTA[[#This Row],[HARGA/ CTN]]="",NOTA[[#This Row],[JUMLAH_H]],NOTA[[#This Row],[HARGA/ CTN]]*IF(NOTA[[#This Row],[C]]="",0,NOTA[[#This Row],[C]]))</f>
        <v>3312000</v>
      </c>
      <c r="X330" s="54">
        <f>IF(NOTA[[#This Row],[JUMLAH]]="","",NOTA[[#This Row],[JUMLAH]]*NOTA[[#This Row],[DISC 1]])</f>
        <v>414000</v>
      </c>
      <c r="Y330" s="54">
        <f>IF(NOTA[[#This Row],[JUMLAH]]="","",(NOTA[[#This Row],[JUMLAH]]-NOTA[[#This Row],[DISC 1-]])*NOTA[[#This Row],[DISC 2]])</f>
        <v>144900</v>
      </c>
      <c r="Z330" s="54">
        <f>IF(NOTA[[#This Row],[JUMLAH]]="","",NOTA[[#This Row],[DISC 1-]]+NOTA[[#This Row],[DISC 2-]])</f>
        <v>558900</v>
      </c>
      <c r="AA330" s="54">
        <f>IF(NOTA[[#This Row],[JUMLAH]]="","",NOTA[[#This Row],[JUMLAH]]-NOTA[[#This Row],[DISC]])</f>
        <v>2753100</v>
      </c>
      <c r="AB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C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30" s="54">
        <f>IF(OR(NOTA[[#This Row],[QTY]]="",NOTA[[#This Row],[HARGA SATUAN]]="",),"",NOTA[[#This Row],[QTY]]*NOTA[[#This Row],[HARGA SATUAN]])</f>
        <v>3312000</v>
      </c>
      <c r="AF330" s="51">
        <f ca="1">IF(NOTA[ID_H]="","",INDEX(NOTA[TANGGAL],MATCH(,INDIRECT(ADDRESS(ROW(NOTA[TANGGAL]),COLUMN(NOTA[TANGGAL]))&amp;":"&amp;ADDRESS(ROW(),COLUMN(NOTA[TANGGAL]))),-1)))</f>
        <v>44938</v>
      </c>
      <c r="AG330" s="65" t="str">
        <f ca="1">IF(NOTA[[#This Row],[NAMA BARANG]]="","",INDEX(NOTA[SUPPLIER],MATCH(,INDIRECT(ADDRESS(ROW(NOTA[ID]),COLUMN(NOTA[ID]))&amp;":"&amp;ADDRESS(ROW(),COLUMN(NOTA[ID]))),-1)))</f>
        <v>ATALI MAKMUR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1</v>
      </c>
      <c r="AK330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>correctiontapect507jk33120000.1250.05</v>
      </c>
      <c r="AM330" s="193">
        <f>IF(NOTA[[#This Row],[CONCAT1]]="","",MATCH(NOTA[[#This Row],[CONCAT1]],[2]!db[NB NOTA_C],0)+1)</f>
        <v>516</v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93" t="str">
        <f>IF(NOTA[[#This Row],[CONCAT1]]="","",MATCH(NOTA[[#This Row],[CONCAT1]],[2]!db[NB NOTA_C],0)+1)</f>
        <v/>
      </c>
    </row>
    <row r="332" spans="1:39" ht="20.100000000000001" customHeight="1" x14ac:dyDescent="0.25">
      <c r="A332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2" s="50" t="e">
        <f ca="1">IF(NOTA[[#This Row],[ID_P]]="","",MATCH(NOTA[[#This Row],[ID_P]],[1]!B_MSK[N_ID],0))</f>
        <v>#REF!</v>
      </c>
      <c r="D332" s="50">
        <f ca="1">IF(NOTA[[#This Row],[NAMA BARANG]]="","",INDEX(NOTA[ID],MATCH(,INDIRECT(ADDRESS(ROW(NOTA[ID]),COLUMN(NOTA[ID]))&amp;":"&amp;ADDRESS(ROW(),COLUMN(NOTA[ID]))),-1)))</f>
        <v>65</v>
      </c>
      <c r="E332" s="23"/>
      <c r="F332" s="26" t="s">
        <v>25</v>
      </c>
      <c r="G332" s="26" t="s">
        <v>24</v>
      </c>
      <c r="H332" s="31" t="s">
        <v>493</v>
      </c>
      <c r="I332" s="26"/>
      <c r="J332" s="51">
        <v>44933</v>
      </c>
      <c r="K332" s="26"/>
      <c r="L332" s="26" t="s">
        <v>543</v>
      </c>
      <c r="M332" s="39">
        <v>1</v>
      </c>
      <c r="N332" s="26">
        <v>288</v>
      </c>
      <c r="O332" s="26" t="s">
        <v>104</v>
      </c>
      <c r="P332" s="49">
        <v>4800</v>
      </c>
      <c r="Q332" s="52"/>
      <c r="R332" s="39" t="s">
        <v>494</v>
      </c>
      <c r="S332" s="53">
        <v>0.125</v>
      </c>
      <c r="T332" s="53">
        <v>0.05</v>
      </c>
      <c r="U332" s="54"/>
      <c r="V332" s="37"/>
      <c r="W332" s="54">
        <f>IF(NOTA[[#This Row],[HARGA/ CTN]]="",NOTA[[#This Row],[JUMLAH_H]],NOTA[[#This Row],[HARGA/ CTN]]*IF(NOTA[[#This Row],[C]]="",0,NOTA[[#This Row],[C]]))</f>
        <v>1382400</v>
      </c>
      <c r="X332" s="54">
        <f>IF(NOTA[[#This Row],[JUMLAH]]="","",NOTA[[#This Row],[JUMLAH]]*NOTA[[#This Row],[DISC 1]])</f>
        <v>172800</v>
      </c>
      <c r="Y332" s="54">
        <f>IF(NOTA[[#This Row],[JUMLAH]]="","",(NOTA[[#This Row],[JUMLAH]]-NOTA[[#This Row],[DISC 1-]])*NOTA[[#This Row],[DISC 2]])</f>
        <v>60480</v>
      </c>
      <c r="Z332" s="54">
        <f>IF(NOTA[[#This Row],[JUMLAH]]="","",NOTA[[#This Row],[DISC 1-]]+NOTA[[#This Row],[DISC 2-]])</f>
        <v>233280</v>
      </c>
      <c r="AA332" s="54">
        <f>IF(NOTA[[#This Row],[JUMLAH]]="","",NOTA[[#This Row],[JUMLAH]]-NOTA[[#This Row],[DISC]])</f>
        <v>1149120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2" s="54">
        <f>IF(OR(NOTA[[#This Row],[QTY]]="",NOTA[[#This Row],[HARGA SATUAN]]="",),"",NOTA[[#This Row],[QTY]]*NOTA[[#This Row],[HARGA SATUAN]])</f>
        <v>1382400</v>
      </c>
      <c r="AF332" s="51">
        <f ca="1">IF(NOTA[ID_H]="","",INDEX(NOTA[TANGGAL],MATCH(,INDIRECT(ADDRESS(ROW(NOTA[TANGGAL]),COLUMN(NOTA[TANGGAL]))&amp;":"&amp;ADDRESS(ROW(),COLUMN(NOTA[TANGGAL]))),-1)))</f>
        <v>44938</v>
      </c>
      <c r="AG332" s="65" t="str">
        <f ca="1">IF(NOTA[[#This Row],[NAMA BARANG]]="","",INDEX(NOTA[SUPPLIER],MATCH(,INDIRECT(ADDRESS(ROW(NOTA[ID]),COLUMN(NOTA[ID]))&amp;":"&amp;ADDRESS(ROW(),COLUMN(NOTA[ID]))),-1)))</f>
        <v>ATALI MAKMUR</v>
      </c>
      <c r="AH332" s="65" t="str">
        <f ca="1">IF(NOTA[[#This Row],[ID_H]]="","",IF(NOTA[[#This Row],[FAKTUR]]="",INDIRECT(ADDRESS(ROW()-1,COLUMN())),NOTA[[#This Row],[FAKTUR]]))</f>
        <v>ARTO MORO</v>
      </c>
      <c r="AI332" s="38">
        <f ca="1">IF(NOTA[[#This Row],[ID]]="","",COUNTIF(NOTA[ID_H],NOTA[[#This Row],[ID_H]]))</f>
        <v>9</v>
      </c>
      <c r="AJ332" s="38">
        <f>IF(NOTA[[#This Row],[TGL.NOTA]]="",IF(NOTA[[#This Row],[SUPPLIER_H]]="","",AJ331),MONTH(NOTA[[#This Row],[TGL.NOTA]]))</f>
        <v>1</v>
      </c>
      <c r="AK33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332" s="193">
        <f>IF(NOTA[[#This Row],[CONCAT1]]="","",MATCH(NOTA[[#This Row],[CONCAT1]],[2]!db[NB NOTA_C],0)+1)</f>
        <v>1710</v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65</v>
      </c>
      <c r="E333" s="23"/>
      <c r="F333" s="26"/>
      <c r="G333" s="26"/>
      <c r="H333" s="31"/>
      <c r="I333" s="26"/>
      <c r="J333" s="51"/>
      <c r="K333" s="26"/>
      <c r="L333" s="26" t="s">
        <v>495</v>
      </c>
      <c r="M333" s="39">
        <v>1</v>
      </c>
      <c r="N333" s="26">
        <v>288</v>
      </c>
      <c r="O333" s="26" t="s">
        <v>104</v>
      </c>
      <c r="P333" s="49">
        <v>4800</v>
      </c>
      <c r="Q333" s="52"/>
      <c r="R333" s="39" t="s">
        <v>496</v>
      </c>
      <c r="S333" s="53">
        <v>0.125</v>
      </c>
      <c r="T333" s="53">
        <v>0.05</v>
      </c>
      <c r="U333" s="54"/>
      <c r="V333" s="37"/>
      <c r="W333" s="54">
        <f>IF(NOTA[[#This Row],[HARGA/ CTN]]="",NOTA[[#This Row],[JUMLAH_H]],NOTA[[#This Row],[HARGA/ CTN]]*IF(NOTA[[#This Row],[C]]="",0,NOTA[[#This Row],[C]]))</f>
        <v>1382400</v>
      </c>
      <c r="X333" s="54">
        <f>IF(NOTA[[#This Row],[JUMLAH]]="","",NOTA[[#This Row],[JUMLAH]]*NOTA[[#This Row],[DISC 1]])</f>
        <v>172800</v>
      </c>
      <c r="Y333" s="54">
        <f>IF(NOTA[[#This Row],[JUMLAH]]="","",(NOTA[[#This Row],[JUMLAH]]-NOTA[[#This Row],[DISC 1-]])*NOTA[[#This Row],[DISC 2]])</f>
        <v>60480</v>
      </c>
      <c r="Z333" s="54">
        <f>IF(NOTA[[#This Row],[JUMLAH]]="","",NOTA[[#This Row],[DISC 1-]]+NOTA[[#This Row],[DISC 2-]])</f>
        <v>233280</v>
      </c>
      <c r="AA333" s="54">
        <f>IF(NOTA[[#This Row],[JUMLAH]]="","",NOTA[[#This Row],[JUMLAH]]-NOTA[[#This Row],[DISC]])</f>
        <v>1149120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3" s="54">
        <f>IF(OR(NOTA[[#This Row],[QTY]]="",NOTA[[#This Row],[HARGA SATUAN]]="",),"",NOTA[[#This Row],[QTY]]*NOTA[[#This Row],[HARGA SATUAN]])</f>
        <v>1382400</v>
      </c>
      <c r="AF333" s="51">
        <f ca="1">IF(NOTA[ID_H]="","",INDEX(NOTA[TANGGAL],MATCH(,INDIRECT(ADDRESS(ROW(NOTA[TANGGAL]),COLUMN(NOTA[TANGGAL]))&amp;":"&amp;ADDRESS(ROW(),COLUMN(NOTA[TANGGAL]))),-1)))</f>
        <v>44938</v>
      </c>
      <c r="AG333" s="65" t="str">
        <f ca="1">IF(NOTA[[#This Row],[NAMA BARANG]]="","",INDEX(NOTA[SUPPLIER],MATCH(,INDIRECT(ADDRESS(ROW(NOTA[ID]),COLUMN(NOTA[ID]))&amp;":"&amp;ADDRESS(ROW(),COLUMN(NOTA[ID]))),-1)))</f>
        <v>ATALI MAKMUR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1</v>
      </c>
      <c r="AK33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333" s="193">
        <f>IF(NOTA[[#This Row],[CONCAT1]]="","",MATCH(NOTA[[#This Row],[CONCAT1]],[2]!db[NB NOTA_C],0)+1)</f>
        <v>1722</v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65</v>
      </c>
      <c r="E334" s="23"/>
      <c r="F334" s="26"/>
      <c r="G334" s="26"/>
      <c r="H334" s="31"/>
      <c r="I334" s="26"/>
      <c r="J334" s="51"/>
      <c r="K334" s="26"/>
      <c r="L334" s="26" t="s">
        <v>497</v>
      </c>
      <c r="M334" s="39"/>
      <c r="N334" s="26">
        <v>72</v>
      </c>
      <c r="O334" s="26" t="s">
        <v>104</v>
      </c>
      <c r="P334" s="49">
        <v>4800</v>
      </c>
      <c r="Q334" s="52"/>
      <c r="R334" s="39" t="s">
        <v>494</v>
      </c>
      <c r="S334" s="53">
        <v>0.125</v>
      </c>
      <c r="T334" s="53">
        <v>0.05</v>
      </c>
      <c r="U334" s="54"/>
      <c r="V334" s="37"/>
      <c r="W334" s="54">
        <f>IF(NOTA[[#This Row],[HARGA/ CTN]]="",NOTA[[#This Row],[JUMLAH_H]],NOTA[[#This Row],[HARGA/ CTN]]*IF(NOTA[[#This Row],[C]]="",0,NOTA[[#This Row],[C]]))</f>
        <v>345600</v>
      </c>
      <c r="X334" s="54">
        <f>IF(NOTA[[#This Row],[JUMLAH]]="","",NOTA[[#This Row],[JUMLAH]]*NOTA[[#This Row],[DISC 1]])</f>
        <v>43200</v>
      </c>
      <c r="Y334" s="54">
        <f>IF(NOTA[[#This Row],[JUMLAH]]="","",(NOTA[[#This Row],[JUMLAH]]-NOTA[[#This Row],[DISC 1-]])*NOTA[[#This Row],[DISC 2]])</f>
        <v>15120</v>
      </c>
      <c r="Z334" s="54">
        <f>IF(NOTA[[#This Row],[JUMLAH]]="","",NOTA[[#This Row],[DISC 1-]]+NOTA[[#This Row],[DISC 2-]])</f>
        <v>58320</v>
      </c>
      <c r="AA334" s="54">
        <f>IF(NOTA[[#This Row],[JUMLAH]]="","",NOTA[[#This Row],[JUMLAH]]-NOTA[[#This Row],[DISC]])</f>
        <v>287280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4" s="54">
        <f>IF(OR(NOTA[[#This Row],[QTY]]="",NOTA[[#This Row],[HARGA SATUAN]]="",),"",NOTA[[#This Row],[QTY]]*NOTA[[#This Row],[HARGA SATUAN]])</f>
        <v>345600</v>
      </c>
      <c r="AF334" s="51">
        <f ca="1">IF(NOTA[ID_H]="","",INDEX(NOTA[TANGGAL],MATCH(,INDIRECT(ADDRESS(ROW(NOTA[TANGGAL]),COLUMN(NOTA[TANGGAL]))&amp;":"&amp;ADDRESS(ROW(),COLUMN(NOTA[TANGGAL]))),-1)))</f>
        <v>44938</v>
      </c>
      <c r="AG334" s="65" t="str">
        <f ca="1">IF(NOTA[[#This Row],[NAMA BARANG]]="","",INDEX(NOTA[SUPPLIER],MATCH(,INDIRECT(ADDRESS(ROW(NOTA[ID]),COLUMN(NOTA[ID]))&amp;":"&amp;ADDRESS(ROW(),COLUMN(NOTA[ID]))),-1)))</f>
        <v>ATALI MAKMUR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1</v>
      </c>
      <c r="AK334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334" s="193">
        <f>IF(NOTA[[#This Row],[CONCAT1]]="","",MATCH(NOTA[[#This Row],[CONCAT1]],[2]!db[NB NOTA_C],0)+1)</f>
        <v>1717</v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65</v>
      </c>
      <c r="E335" s="23"/>
      <c r="F335" s="26"/>
      <c r="G335" s="26"/>
      <c r="H335" s="31"/>
      <c r="I335" s="26"/>
      <c r="J335" s="51"/>
      <c r="K335" s="26"/>
      <c r="L335" s="26" t="s">
        <v>498</v>
      </c>
      <c r="M335" s="39"/>
      <c r="N335" s="26">
        <v>72</v>
      </c>
      <c r="O335" s="26" t="s">
        <v>104</v>
      </c>
      <c r="P335" s="49">
        <v>4800</v>
      </c>
      <c r="Q335" s="52"/>
      <c r="R335" s="39" t="s">
        <v>494</v>
      </c>
      <c r="S335" s="53">
        <v>0.125</v>
      </c>
      <c r="T335" s="53">
        <v>0.05</v>
      </c>
      <c r="U335" s="54"/>
      <c r="V335" s="37"/>
      <c r="W335" s="54">
        <f>IF(NOTA[[#This Row],[HARGA/ CTN]]="",NOTA[[#This Row],[JUMLAH_H]],NOTA[[#This Row],[HARGA/ CTN]]*IF(NOTA[[#This Row],[C]]="",0,NOTA[[#This Row],[C]]))</f>
        <v>345600</v>
      </c>
      <c r="X335" s="54">
        <f>IF(NOTA[[#This Row],[JUMLAH]]="","",NOTA[[#This Row],[JUMLAH]]*NOTA[[#This Row],[DISC 1]])</f>
        <v>43200</v>
      </c>
      <c r="Y335" s="54">
        <f>IF(NOTA[[#This Row],[JUMLAH]]="","",(NOTA[[#This Row],[JUMLAH]]-NOTA[[#This Row],[DISC 1-]])*NOTA[[#This Row],[DISC 2]])</f>
        <v>15120</v>
      </c>
      <c r="Z335" s="54">
        <f>IF(NOTA[[#This Row],[JUMLAH]]="","",NOTA[[#This Row],[DISC 1-]]+NOTA[[#This Row],[DISC 2-]])</f>
        <v>58320</v>
      </c>
      <c r="AA335" s="54">
        <f>IF(NOTA[[#This Row],[JUMLAH]]="","",NOTA[[#This Row],[JUMLAH]]-NOTA[[#This Row],[DISC]])</f>
        <v>287280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5" s="54">
        <f>IF(OR(NOTA[[#This Row],[QTY]]="",NOTA[[#This Row],[HARGA SATUAN]]="",),"",NOTA[[#This Row],[QTY]]*NOTA[[#This Row],[HARGA SATUAN]])</f>
        <v>345600</v>
      </c>
      <c r="AF335" s="51">
        <f ca="1">IF(NOTA[ID_H]="","",INDEX(NOTA[TANGGAL],MATCH(,INDIRECT(ADDRESS(ROW(NOTA[TANGGAL]),COLUMN(NOTA[TANGGAL]))&amp;":"&amp;ADDRESS(ROW(),COLUMN(NOTA[TANGGAL]))),-1)))</f>
        <v>44938</v>
      </c>
      <c r="AG335" s="65" t="str">
        <f ca="1">IF(NOTA[[#This Row],[NAMA BARANG]]="","",INDEX(NOTA[SUPPLIER],MATCH(,INDIRECT(ADDRESS(ROW(NOTA[ID]),COLUMN(NOTA[ID]))&amp;":"&amp;ADDRESS(ROW(),COLUMN(NOTA[ID]))),-1)))</f>
        <v>ATALI MAKMUR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1</v>
      </c>
      <c r="AK335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335" s="193">
        <f>IF(NOTA[[#This Row],[CONCAT1]]="","",MATCH(NOTA[[#This Row],[CONCAT1]],[2]!db[NB NOTA_C],0)+1)</f>
        <v>1718</v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65</v>
      </c>
      <c r="E336" s="23"/>
      <c r="F336" s="26"/>
      <c r="G336" s="26"/>
      <c r="H336" s="31"/>
      <c r="I336" s="26"/>
      <c r="J336" s="51"/>
      <c r="K336" s="26"/>
      <c r="L336" s="26" t="s">
        <v>499</v>
      </c>
      <c r="M336" s="39"/>
      <c r="N336" s="26">
        <v>72</v>
      </c>
      <c r="O336" s="26" t="s">
        <v>104</v>
      </c>
      <c r="P336" s="49">
        <v>4800</v>
      </c>
      <c r="Q336" s="52"/>
      <c r="R336" s="39" t="s">
        <v>494</v>
      </c>
      <c r="S336" s="53">
        <v>0.125</v>
      </c>
      <c r="T336" s="53">
        <v>0.05</v>
      </c>
      <c r="U336" s="54"/>
      <c r="V336" s="37"/>
      <c r="W336" s="54">
        <f>IF(NOTA[[#This Row],[HARGA/ CTN]]="",NOTA[[#This Row],[JUMLAH_H]],NOTA[[#This Row],[HARGA/ CTN]]*IF(NOTA[[#This Row],[C]]="",0,NOTA[[#This Row],[C]]))</f>
        <v>345600</v>
      </c>
      <c r="X336" s="54">
        <f>IF(NOTA[[#This Row],[JUMLAH]]="","",NOTA[[#This Row],[JUMLAH]]*NOTA[[#This Row],[DISC 1]])</f>
        <v>43200</v>
      </c>
      <c r="Y336" s="54">
        <f>IF(NOTA[[#This Row],[JUMLAH]]="","",(NOTA[[#This Row],[JUMLAH]]-NOTA[[#This Row],[DISC 1-]])*NOTA[[#This Row],[DISC 2]])</f>
        <v>15120</v>
      </c>
      <c r="Z336" s="54">
        <f>IF(NOTA[[#This Row],[JUMLAH]]="","",NOTA[[#This Row],[DISC 1-]]+NOTA[[#This Row],[DISC 2-]])</f>
        <v>58320</v>
      </c>
      <c r="AA336" s="54">
        <f>IF(NOTA[[#This Row],[JUMLAH]]="","",NOTA[[#This Row],[JUMLAH]]-NOTA[[#This Row],[DISC]])</f>
        <v>287280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6" s="54">
        <f>IF(OR(NOTA[[#This Row],[QTY]]="",NOTA[[#This Row],[HARGA SATUAN]]="",),"",NOTA[[#This Row],[QTY]]*NOTA[[#This Row],[HARGA SATUAN]])</f>
        <v>345600</v>
      </c>
      <c r="AF336" s="51">
        <f ca="1">IF(NOTA[ID_H]="","",INDEX(NOTA[TANGGAL],MATCH(,INDIRECT(ADDRESS(ROW(NOTA[TANGGAL]),COLUMN(NOTA[TANGGAL]))&amp;":"&amp;ADDRESS(ROW(),COLUMN(NOTA[TANGGAL]))),-1)))</f>
        <v>44938</v>
      </c>
      <c r="AG336" s="65" t="str">
        <f ca="1">IF(NOTA[[#This Row],[NAMA BARANG]]="","",INDEX(NOTA[SUPPLIER],MATCH(,INDIRECT(ADDRESS(ROW(NOTA[ID]),COLUMN(NOTA[ID]))&amp;":"&amp;ADDRESS(ROW(),COLUMN(NOTA[ID]))),-1)))</f>
        <v>ATALI MAKMUR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1</v>
      </c>
      <c r="AK336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336" s="193">
        <f>IF(NOTA[[#This Row],[CONCAT1]]="","",MATCH(NOTA[[#This Row],[CONCAT1]],[2]!db[NB NOTA_C],0)+1)</f>
        <v>1719</v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65</v>
      </c>
      <c r="E337" s="23"/>
      <c r="F337" s="26"/>
      <c r="G337" s="26"/>
      <c r="H337" s="31"/>
      <c r="I337" s="26"/>
      <c r="J337" s="51"/>
      <c r="K337" s="26"/>
      <c r="L337" s="26" t="s">
        <v>500</v>
      </c>
      <c r="M337" s="39"/>
      <c r="N337" s="26">
        <v>72</v>
      </c>
      <c r="O337" s="26" t="s">
        <v>104</v>
      </c>
      <c r="P337" s="49">
        <v>4800</v>
      </c>
      <c r="Q337" s="52"/>
      <c r="R337" s="39" t="s">
        <v>494</v>
      </c>
      <c r="S337" s="53">
        <v>0.125</v>
      </c>
      <c r="T337" s="53">
        <v>0.05</v>
      </c>
      <c r="U337" s="54"/>
      <c r="V337" s="37"/>
      <c r="W337" s="54">
        <f>IF(NOTA[[#This Row],[HARGA/ CTN]]="",NOTA[[#This Row],[JUMLAH_H]],NOTA[[#This Row],[HARGA/ CTN]]*IF(NOTA[[#This Row],[C]]="",0,NOTA[[#This Row],[C]]))</f>
        <v>345600</v>
      </c>
      <c r="X337" s="54">
        <f>IF(NOTA[[#This Row],[JUMLAH]]="","",NOTA[[#This Row],[JUMLAH]]*NOTA[[#This Row],[DISC 1]])</f>
        <v>43200</v>
      </c>
      <c r="Y337" s="54">
        <f>IF(NOTA[[#This Row],[JUMLAH]]="","",(NOTA[[#This Row],[JUMLAH]]-NOTA[[#This Row],[DISC 1-]])*NOTA[[#This Row],[DISC 2]])</f>
        <v>15120</v>
      </c>
      <c r="Z337" s="54">
        <f>IF(NOTA[[#This Row],[JUMLAH]]="","",NOTA[[#This Row],[DISC 1-]]+NOTA[[#This Row],[DISC 2-]])</f>
        <v>58320</v>
      </c>
      <c r="AA337" s="54">
        <f>IF(NOTA[[#This Row],[JUMLAH]]="","",NOTA[[#This Row],[JUMLAH]]-NOTA[[#This Row],[DISC]])</f>
        <v>287280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7" s="54">
        <f>IF(OR(NOTA[[#This Row],[QTY]]="",NOTA[[#This Row],[HARGA SATUAN]]="",),"",NOTA[[#This Row],[QTY]]*NOTA[[#This Row],[HARGA SATUAN]])</f>
        <v>345600</v>
      </c>
      <c r="AF337" s="51">
        <f ca="1">IF(NOTA[ID_H]="","",INDEX(NOTA[TANGGAL],MATCH(,INDIRECT(ADDRESS(ROW(NOTA[TANGGAL]),COLUMN(NOTA[TANGGAL]))&amp;":"&amp;ADDRESS(ROW(),COLUMN(NOTA[TANGGAL]))),-1)))</f>
        <v>44938</v>
      </c>
      <c r="AG337" s="65" t="str">
        <f ca="1">IF(NOTA[[#This Row],[NAMA BARANG]]="","",INDEX(NOTA[SUPPLIER],MATCH(,INDIRECT(ADDRESS(ROW(NOTA[ID]),COLUMN(NOTA[ID]))&amp;":"&amp;ADDRESS(ROW(),COLUMN(NOTA[ID]))),-1)))</f>
        <v>ATALI MAKMUR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1</v>
      </c>
      <c r="AK337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337" s="193">
        <f>IF(NOTA[[#This Row],[CONCAT1]]="","",MATCH(NOTA[[#This Row],[CONCAT1]],[2]!db[NB NOTA_C],0)+1)</f>
        <v>1720</v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65</v>
      </c>
      <c r="E338" s="23"/>
      <c r="F338" s="26"/>
      <c r="G338" s="26"/>
      <c r="H338" s="31"/>
      <c r="I338" s="26"/>
      <c r="J338" s="51"/>
      <c r="K338" s="26"/>
      <c r="L338" s="26" t="s">
        <v>501</v>
      </c>
      <c r="M338" s="39">
        <v>5</v>
      </c>
      <c r="N338" s="26">
        <v>120</v>
      </c>
      <c r="O338" s="26" t="s">
        <v>131</v>
      </c>
      <c r="P338" s="49">
        <v>70800</v>
      </c>
      <c r="Q338" s="52"/>
      <c r="R338" s="39" t="s">
        <v>502</v>
      </c>
      <c r="S338" s="53">
        <v>0.125</v>
      </c>
      <c r="T338" s="53">
        <v>0.05</v>
      </c>
      <c r="U338" s="54"/>
      <c r="V338" s="37"/>
      <c r="W338" s="54">
        <f>IF(NOTA[[#This Row],[HARGA/ CTN]]="",NOTA[[#This Row],[JUMLAH_H]],NOTA[[#This Row],[HARGA/ CTN]]*IF(NOTA[[#This Row],[C]]="",0,NOTA[[#This Row],[C]]))</f>
        <v>8496000</v>
      </c>
      <c r="X338" s="54">
        <f>IF(NOTA[[#This Row],[JUMLAH]]="","",NOTA[[#This Row],[JUMLAH]]*NOTA[[#This Row],[DISC 1]])</f>
        <v>1062000</v>
      </c>
      <c r="Y338" s="54">
        <f>IF(NOTA[[#This Row],[JUMLAH]]="","",(NOTA[[#This Row],[JUMLAH]]-NOTA[[#This Row],[DISC 1-]])*NOTA[[#This Row],[DISC 2]])</f>
        <v>371700</v>
      </c>
      <c r="Z338" s="54">
        <f>IF(NOTA[[#This Row],[JUMLAH]]="","",NOTA[[#This Row],[DISC 1-]]+NOTA[[#This Row],[DISC 2-]])</f>
        <v>1433700</v>
      </c>
      <c r="AA338" s="54">
        <f>IF(NOTA[[#This Row],[JUMLAH]]="","",NOTA[[#This Row],[JUMLAH]]-NOTA[[#This Row],[DISC]])</f>
        <v>7062300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8" s="54">
        <f>IF(OR(NOTA[[#This Row],[QTY]]="",NOTA[[#This Row],[HARGA SATUAN]]="",),"",NOTA[[#This Row],[QTY]]*NOTA[[#This Row],[HARGA SATUAN]])</f>
        <v>8496000</v>
      </c>
      <c r="AF338" s="51">
        <f ca="1">IF(NOTA[ID_H]="","",INDEX(NOTA[TANGGAL],MATCH(,INDIRECT(ADDRESS(ROW(NOTA[TANGGAL]),COLUMN(NOTA[TANGGAL]))&amp;":"&amp;ADDRESS(ROW(),COLUMN(NOTA[TANGGAL]))),-1)))</f>
        <v>44938</v>
      </c>
      <c r="AG338" s="65" t="str">
        <f ca="1">IF(NOTA[[#This Row],[NAMA BARANG]]="","",INDEX(NOTA[SUPPLIER],MATCH(,INDIRECT(ADDRESS(ROW(NOTA[ID]),COLUMN(NOTA[ID]))&amp;":"&amp;ADDRESS(ROW(),COLUMN(NOTA[ID]))),-1)))</f>
        <v>ATALI MAKMUR</v>
      </c>
      <c r="AH338" s="65" t="str">
        <f ca="1">IF(NOTA[[#This Row],[ID_H]]="","",IF(NOTA[[#This Row],[FAKTUR]]="",INDIRECT(ADDRESS(ROW()-1,COLUMN())),NOTA[[#This Row],[FAKTUR]]))</f>
        <v>ARTO MORO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1</v>
      </c>
      <c r="AK338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>correctionfluidcfs221jk16992000.1250.05</v>
      </c>
      <c r="AM338" s="193">
        <f>IF(NOTA[[#This Row],[CONCAT1]]="","",MATCH(NOTA[[#This Row],[CONCAT1]],[2]!db[NB NOTA_C],0)+1)</f>
        <v>509</v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65</v>
      </c>
      <c r="E339" s="23"/>
      <c r="F339" s="26"/>
      <c r="G339" s="26"/>
      <c r="H339" s="31"/>
      <c r="I339" s="26"/>
      <c r="J339" s="51"/>
      <c r="K339" s="26"/>
      <c r="L339" s="26" t="s">
        <v>503</v>
      </c>
      <c r="M339" s="39">
        <v>5</v>
      </c>
      <c r="N339" s="26">
        <v>120</v>
      </c>
      <c r="O339" s="26" t="s">
        <v>131</v>
      </c>
      <c r="P339" s="49">
        <v>70800</v>
      </c>
      <c r="Q339" s="52"/>
      <c r="R339" s="39" t="s">
        <v>502</v>
      </c>
      <c r="S339" s="53">
        <v>0.125</v>
      </c>
      <c r="T339" s="53">
        <v>0.05</v>
      </c>
      <c r="U339" s="54"/>
      <c r="V339" s="37"/>
      <c r="W339" s="54">
        <f>IF(NOTA[[#This Row],[HARGA/ CTN]]="",NOTA[[#This Row],[JUMLAH_H]],NOTA[[#This Row],[HARGA/ CTN]]*IF(NOTA[[#This Row],[C]]="",0,NOTA[[#This Row],[C]]))</f>
        <v>8496000</v>
      </c>
      <c r="X339" s="54">
        <f>IF(NOTA[[#This Row],[JUMLAH]]="","",NOTA[[#This Row],[JUMLAH]]*NOTA[[#This Row],[DISC 1]])</f>
        <v>1062000</v>
      </c>
      <c r="Y339" s="54">
        <f>IF(NOTA[[#This Row],[JUMLAH]]="","",(NOTA[[#This Row],[JUMLAH]]-NOTA[[#This Row],[DISC 1-]])*NOTA[[#This Row],[DISC 2]])</f>
        <v>371700</v>
      </c>
      <c r="Z339" s="54">
        <f>IF(NOTA[[#This Row],[JUMLAH]]="","",NOTA[[#This Row],[DISC 1-]]+NOTA[[#This Row],[DISC 2-]])</f>
        <v>1433700</v>
      </c>
      <c r="AA339" s="54">
        <f>IF(NOTA[[#This Row],[JUMLAH]]="","",NOTA[[#This Row],[JUMLAH]]-NOTA[[#This Row],[DISC]])</f>
        <v>7062300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9" s="54">
        <f>IF(OR(NOTA[[#This Row],[QTY]]="",NOTA[[#This Row],[HARGA SATUAN]]="",),"",NOTA[[#This Row],[QTY]]*NOTA[[#This Row],[HARGA SATUAN]])</f>
        <v>8496000</v>
      </c>
      <c r="AF339" s="51">
        <f ca="1">IF(NOTA[ID_H]="","",INDEX(NOTA[TANGGAL],MATCH(,INDIRECT(ADDRESS(ROW(NOTA[TANGGAL]),COLUMN(NOTA[TANGGAL]))&amp;":"&amp;ADDRESS(ROW(),COLUMN(NOTA[TANGGAL]))),-1)))</f>
        <v>44938</v>
      </c>
      <c r="AG339" s="65" t="str">
        <f ca="1">IF(NOTA[[#This Row],[NAMA BARANG]]="","",INDEX(NOTA[SUPPLIER],MATCH(,INDIRECT(ADDRESS(ROW(NOTA[ID]),COLUMN(NOTA[ID]))&amp;":"&amp;ADDRESS(ROW(),COLUMN(NOTA[ID]))),-1)))</f>
        <v>ATALI MAKMUR</v>
      </c>
      <c r="AH339" s="65" t="str">
        <f ca="1">IF(NOTA[[#This Row],[ID_H]]="","",IF(NOTA[[#This Row],[FAKTUR]]="",INDIRECT(ADDRESS(ROW()-1,COLUMN())),NOTA[[#This Row],[FAKTUR]]))</f>
        <v>ARTO MORO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1</v>
      </c>
      <c r="AK339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>correctionfluidcfs224jk16992000.1250.05</v>
      </c>
      <c r="AM339" s="193">
        <f>IF(NOTA[[#This Row],[CONCAT1]]="","",MATCH(NOTA[[#This Row],[CONCAT1]],[2]!db[NB NOTA_C],0)+1)</f>
        <v>510</v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65</v>
      </c>
      <c r="E340" s="23"/>
      <c r="F340" s="26"/>
      <c r="G340" s="26"/>
      <c r="H340" s="31"/>
      <c r="I340" s="26"/>
      <c r="J340" s="51"/>
      <c r="K340" s="26"/>
      <c r="L340" s="26" t="s">
        <v>504</v>
      </c>
      <c r="M340" s="39">
        <v>2</v>
      </c>
      <c r="N340" s="26">
        <v>72</v>
      </c>
      <c r="O340" s="26" t="s">
        <v>116</v>
      </c>
      <c r="P340" s="49">
        <v>34200</v>
      </c>
      <c r="Q340" s="52"/>
      <c r="R340" s="39" t="s">
        <v>505</v>
      </c>
      <c r="S340" s="53">
        <v>0.125</v>
      </c>
      <c r="T340" s="53">
        <v>0.05</v>
      </c>
      <c r="U340" s="54"/>
      <c r="V340" s="89"/>
      <c r="W340" s="54">
        <f>IF(NOTA[[#This Row],[HARGA/ CTN]]="",NOTA[[#This Row],[JUMLAH_H]],NOTA[[#This Row],[HARGA/ CTN]]*IF(NOTA[[#This Row],[C]]="",0,NOTA[[#This Row],[C]]))</f>
        <v>2462400</v>
      </c>
      <c r="X340" s="54">
        <f>IF(NOTA[[#This Row],[JUMLAH]]="","",NOTA[[#This Row],[JUMLAH]]*NOTA[[#This Row],[DISC 1]])</f>
        <v>307800</v>
      </c>
      <c r="Y340" s="54">
        <f>IF(NOTA[[#This Row],[JUMLAH]]="","",(NOTA[[#This Row],[JUMLAH]]-NOTA[[#This Row],[DISC 1-]])*NOTA[[#This Row],[DISC 2]])</f>
        <v>107730</v>
      </c>
      <c r="Z340" s="54">
        <f>IF(NOTA[[#This Row],[JUMLAH]]="","",NOTA[[#This Row],[DISC 1-]]+NOTA[[#This Row],[DISC 2-]])</f>
        <v>415530</v>
      </c>
      <c r="AA340" s="54">
        <f>IF(NOTA[[#This Row],[JUMLAH]]="","",NOTA[[#This Row],[JUMLAH]]-NOTA[[#This Row],[DISC]])</f>
        <v>2046870</v>
      </c>
      <c r="AB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C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340" s="54">
        <f>IF(OR(NOTA[[#This Row],[QTY]]="",NOTA[[#This Row],[HARGA SATUAN]]="",),"",NOTA[[#This Row],[QTY]]*NOTA[[#This Row],[HARGA SATUAN]])</f>
        <v>2462400</v>
      </c>
      <c r="AF340" s="51">
        <f ca="1">IF(NOTA[ID_H]="","",INDEX(NOTA[TANGGAL],MATCH(,INDIRECT(ADDRESS(ROW(NOTA[TANGGAL]),COLUMN(NOTA[TANGGAL]))&amp;":"&amp;ADDRESS(ROW(),COLUMN(NOTA[TANGGAL]))),-1)))</f>
        <v>44938</v>
      </c>
      <c r="AG340" s="65" t="str">
        <f ca="1">IF(NOTA[[#This Row],[NAMA BARANG]]="","",INDEX(NOTA[SUPPLIER],MATCH(,INDIRECT(ADDRESS(ROW(NOTA[ID]),COLUMN(NOTA[ID]))&amp;":"&amp;ADDRESS(ROW(),COLUMN(NOTA[ID]))),-1)))</f>
        <v>ATALI MAKMUR</v>
      </c>
      <c r="AH340" s="65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1</v>
      </c>
      <c r="AK340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>correctionfluidcfs225jk12312000.1250.05</v>
      </c>
      <c r="AM340" s="193">
        <f>IF(NOTA[[#This Row],[CONCAT1]]="","",MATCH(NOTA[[#This Row],[CONCAT1]],[2]!db[NB NOTA_C],0)+1)</f>
        <v>511</v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93" t="str">
        <f>IF(NOTA[[#This Row],[CONCAT1]]="","",MATCH(NOTA[[#This Row],[CONCAT1]],[2]!db[NB NOTA_C],0)+1)</f>
        <v/>
      </c>
    </row>
    <row r="342" spans="1:39" ht="20.100000000000001" customHeight="1" x14ac:dyDescent="0.25">
      <c r="A342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2" s="50" t="e">
        <f ca="1">IF(NOTA[[#This Row],[ID_P]]="","",MATCH(NOTA[[#This Row],[ID_P]],[1]!B_MSK[N_ID],0))</f>
        <v>#REF!</v>
      </c>
      <c r="D342" s="50">
        <f ca="1">IF(NOTA[[#This Row],[NAMA BARANG]]="","",INDEX(NOTA[ID],MATCH(,INDIRECT(ADDRESS(ROW(NOTA[ID]),COLUMN(NOTA[ID]))&amp;":"&amp;ADDRESS(ROW(),COLUMN(NOTA[ID]))),-1)))</f>
        <v>66</v>
      </c>
      <c r="E342" s="23"/>
      <c r="F342" s="26" t="s">
        <v>52</v>
      </c>
      <c r="G342" s="26" t="s">
        <v>24</v>
      </c>
      <c r="H342" s="31" t="s">
        <v>506</v>
      </c>
      <c r="I342" s="26"/>
      <c r="J342" s="51">
        <v>44935</v>
      </c>
      <c r="K342" s="26"/>
      <c r="L342" s="26" t="s">
        <v>507</v>
      </c>
      <c r="M342" s="39">
        <v>1</v>
      </c>
      <c r="N342" s="26">
        <v>160</v>
      </c>
      <c r="O342" s="26" t="s">
        <v>104</v>
      </c>
      <c r="P342" s="49">
        <v>32000</v>
      </c>
      <c r="Q342" s="52"/>
      <c r="R342" s="39" t="s">
        <v>517</v>
      </c>
      <c r="S342" s="53">
        <v>0.125</v>
      </c>
      <c r="T342" s="53">
        <v>0.1</v>
      </c>
      <c r="U342" s="54"/>
      <c r="V342" s="37"/>
      <c r="W342" s="54">
        <f>IF(NOTA[[#This Row],[HARGA/ CTN]]="",NOTA[[#This Row],[JUMLAH_H]],NOTA[[#This Row],[HARGA/ CTN]]*IF(NOTA[[#This Row],[C]]="",0,NOTA[[#This Row],[C]]))</f>
        <v>5120000</v>
      </c>
      <c r="X342" s="54">
        <f>IF(NOTA[[#This Row],[JUMLAH]]="","",NOTA[[#This Row],[JUMLAH]]*NOTA[[#This Row],[DISC 1]])</f>
        <v>640000</v>
      </c>
      <c r="Y342" s="54">
        <f>IF(NOTA[[#This Row],[JUMLAH]]="","",(NOTA[[#This Row],[JUMLAH]]-NOTA[[#This Row],[DISC 1-]])*NOTA[[#This Row],[DISC 2]])</f>
        <v>448000</v>
      </c>
      <c r="Z342" s="54">
        <f>IF(NOTA[[#This Row],[JUMLAH]]="","",NOTA[[#This Row],[DISC 1-]]+NOTA[[#This Row],[DISC 2-]])</f>
        <v>1088000</v>
      </c>
      <c r="AA342" s="54">
        <f>IF(NOTA[[#This Row],[JUMLAH]]="","",NOTA[[#This Row],[JUMLAH]]-NOTA[[#This Row],[DISC]])</f>
        <v>4032000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342" s="54">
        <f>IF(OR(NOTA[[#This Row],[QTY]]="",NOTA[[#This Row],[HARGA SATUAN]]="",),"",NOTA[[#This Row],[QTY]]*NOTA[[#This Row],[HARGA SATUAN]])</f>
        <v>5120000</v>
      </c>
      <c r="AF342" s="51">
        <f ca="1">IF(NOTA[ID_H]="","",INDEX(NOTA[TANGGAL],MATCH(,INDIRECT(ADDRESS(ROW(NOTA[TANGGAL]),COLUMN(NOTA[TANGGAL]))&amp;":"&amp;ADDRESS(ROW(),COLUMN(NOTA[TANGGAL]))),-1)))</f>
        <v>44938</v>
      </c>
      <c r="AG342" s="65" t="str">
        <f ca="1">IF(NOTA[[#This Row],[NAMA BARANG]]="","",INDEX(NOTA[SUPPLIER],MATCH(,INDIRECT(ADDRESS(ROW(NOTA[ID]),COLUMN(NOTA[ID]))&amp;":"&amp;ADDRESS(ROW(),COLUMN(NOTA[ID]))),-1)))</f>
        <v>KALINDO SUKSES</v>
      </c>
      <c r="AH342" s="65" t="str">
        <f ca="1">IF(NOTA[[#This Row],[ID_H]]="","",IF(NOTA[[#This Row],[FAKTUR]]="",INDIRECT(ADDRESS(ROW()-1,COLUMN())),NOTA[[#This Row],[FAKTUR]]))</f>
        <v>ARTO MORO</v>
      </c>
      <c r="AI342" s="38">
        <f ca="1">IF(NOTA[[#This Row],[ID]]="","",COUNTIF(NOTA[ID_H],NOTA[[#This Row],[ID_H]]))</f>
        <v>11</v>
      </c>
      <c r="AJ342" s="38">
        <f>IF(NOTA[[#This Row],[TGL.NOTA]]="",IF(NOTA[[#This Row],[SUPPLIER_H]]="","",AJ341),MONTH(NOTA[[#This Row],[TGL.NOTA]]))</f>
        <v>1</v>
      </c>
      <c r="AK342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calculatorjoykocc3751200000.1250.1</v>
      </c>
      <c r="AM342" s="193">
        <f>IF(NOTA[[#This Row],[CONCAT1]]="","",MATCH(NOTA[[#This Row],[CONCAT1]],[2]!db[NB NOTA_C],0)+1)</f>
        <v>407</v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66</v>
      </c>
      <c r="E343" s="23"/>
      <c r="F343" s="26"/>
      <c r="G343" s="26"/>
      <c r="H343" s="31"/>
      <c r="I343" s="26"/>
      <c r="J343" s="51"/>
      <c r="K343" s="26"/>
      <c r="L343" s="26" t="s">
        <v>508</v>
      </c>
      <c r="M343" s="39">
        <v>1</v>
      </c>
      <c r="N343" s="26">
        <v>160</v>
      </c>
      <c r="O343" s="26" t="s">
        <v>104</v>
      </c>
      <c r="P343" s="49">
        <v>27500</v>
      </c>
      <c r="Q343" s="105"/>
      <c r="R343" s="39" t="s">
        <v>517</v>
      </c>
      <c r="S343" s="53">
        <v>0.125</v>
      </c>
      <c r="T343" s="53">
        <v>0.1</v>
      </c>
      <c r="U343" s="54"/>
      <c r="V343" s="37"/>
      <c r="W343" s="54">
        <f>IF(NOTA[[#This Row],[HARGA/ CTN]]="",NOTA[[#This Row],[JUMLAH_H]],NOTA[[#This Row],[HARGA/ CTN]]*IF(NOTA[[#This Row],[C]]="",0,NOTA[[#This Row],[C]]))</f>
        <v>4400000</v>
      </c>
      <c r="X343" s="54">
        <f>IF(NOTA[[#This Row],[JUMLAH]]="","",NOTA[[#This Row],[JUMLAH]]*NOTA[[#This Row],[DISC 1]])</f>
        <v>550000</v>
      </c>
      <c r="Y343" s="54">
        <f>IF(NOTA[[#This Row],[JUMLAH]]="","",(NOTA[[#This Row],[JUMLAH]]-NOTA[[#This Row],[DISC 1-]])*NOTA[[#This Row],[DISC 2]])</f>
        <v>385000</v>
      </c>
      <c r="Z343" s="54">
        <f>IF(NOTA[[#This Row],[JUMLAH]]="","",NOTA[[#This Row],[DISC 1-]]+NOTA[[#This Row],[DISC 2-]])</f>
        <v>935000</v>
      </c>
      <c r="AA343" s="54">
        <f>IF(NOTA[[#This Row],[JUMLAH]]="","",NOTA[[#This Row],[JUMLAH]]-NOTA[[#This Row],[DISC]])</f>
        <v>3465000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343" s="54">
        <f>IF(OR(NOTA[[#This Row],[QTY]]="",NOTA[[#This Row],[HARGA SATUAN]]="",),"",NOTA[[#This Row],[QTY]]*NOTA[[#This Row],[HARGA SATUAN]])</f>
        <v>4400000</v>
      </c>
      <c r="AF343" s="51">
        <f ca="1">IF(NOTA[ID_H]="","",INDEX(NOTA[TANGGAL],MATCH(,INDIRECT(ADDRESS(ROW(NOTA[TANGGAL]),COLUMN(NOTA[TANGGAL]))&amp;":"&amp;ADDRESS(ROW(),COLUMN(NOTA[TANGGAL]))),-1)))</f>
        <v>44938</v>
      </c>
      <c r="AG343" s="65" t="str">
        <f ca="1">IF(NOTA[[#This Row],[NAMA BARANG]]="","",INDEX(NOTA[SUPPLIER],MATCH(,INDIRECT(ADDRESS(ROW(NOTA[ID]),COLUMN(NOTA[ID]))&amp;":"&amp;ADDRESS(ROW(),COLUMN(NOTA[ID]))),-1)))</f>
        <v>KALINDO SUKSES</v>
      </c>
      <c r="AH343" s="65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1</v>
      </c>
      <c r="AK343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calculatorjoykocc3844000000.1250.1</v>
      </c>
      <c r="AM343" s="193">
        <f>IF(NOTA[[#This Row],[CONCAT1]]="","",MATCH(NOTA[[#This Row],[CONCAT1]],[2]!db[NB NOTA_C],0)+1)</f>
        <v>408</v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66</v>
      </c>
      <c r="E344" s="23"/>
      <c r="F344" s="26"/>
      <c r="G344" s="26"/>
      <c r="H344" s="31"/>
      <c r="I344" s="26"/>
      <c r="J344" s="51"/>
      <c r="K344" s="26"/>
      <c r="L344" s="26" t="s">
        <v>509</v>
      </c>
      <c r="M344" s="39">
        <v>2</v>
      </c>
      <c r="N344" s="26">
        <v>120</v>
      </c>
      <c r="O344" s="26" t="s">
        <v>104</v>
      </c>
      <c r="P344" s="49">
        <v>74000</v>
      </c>
      <c r="Q344" s="105"/>
      <c r="R344" s="39" t="s">
        <v>518</v>
      </c>
      <c r="S344" s="53">
        <v>0.125</v>
      </c>
      <c r="T344" s="53">
        <v>0.1</v>
      </c>
      <c r="U344" s="54"/>
      <c r="V344" s="37"/>
      <c r="W344" s="54">
        <f>IF(NOTA[[#This Row],[HARGA/ CTN]]="",NOTA[[#This Row],[JUMLAH_H]],NOTA[[#This Row],[HARGA/ CTN]]*IF(NOTA[[#This Row],[C]]="",0,NOTA[[#This Row],[C]]))</f>
        <v>8880000</v>
      </c>
      <c r="X344" s="54">
        <f>IF(NOTA[[#This Row],[JUMLAH]]="","",NOTA[[#This Row],[JUMLAH]]*NOTA[[#This Row],[DISC 1]])</f>
        <v>1110000</v>
      </c>
      <c r="Y344" s="54">
        <f>IF(NOTA[[#This Row],[JUMLAH]]="","",(NOTA[[#This Row],[JUMLAH]]-NOTA[[#This Row],[DISC 1-]])*NOTA[[#This Row],[DISC 2]])</f>
        <v>777000</v>
      </c>
      <c r="Z344" s="54">
        <f>IF(NOTA[[#This Row],[JUMLAH]]="","",NOTA[[#This Row],[DISC 1-]]+NOTA[[#This Row],[DISC 2-]])</f>
        <v>1887000</v>
      </c>
      <c r="AA344" s="54">
        <f>IF(NOTA[[#This Row],[JUMLAH]]="","",NOTA[[#This Row],[JUMLAH]]-NOTA[[#This Row],[DISC]])</f>
        <v>6993000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344" s="54">
        <f>IF(OR(NOTA[[#This Row],[QTY]]="",NOTA[[#This Row],[HARGA SATUAN]]="",),"",NOTA[[#This Row],[QTY]]*NOTA[[#This Row],[HARGA SATUAN]])</f>
        <v>8880000</v>
      </c>
      <c r="AF344" s="51">
        <f ca="1">IF(NOTA[ID_H]="","",INDEX(NOTA[TANGGAL],MATCH(,INDIRECT(ADDRESS(ROW(NOTA[TANGGAL]),COLUMN(NOTA[TANGGAL]))&amp;":"&amp;ADDRESS(ROW(),COLUMN(NOTA[TANGGAL]))),-1)))</f>
        <v>44938</v>
      </c>
      <c r="AG344" s="65" t="str">
        <f ca="1">IF(NOTA[[#This Row],[NAMA BARANG]]="","",INDEX(NOTA[SUPPLIER],MATCH(,INDIRECT(ADDRESS(ROW(NOTA[ID]),COLUMN(NOTA[ID]))&amp;":"&amp;ADDRESS(ROW(),COLUMN(NOTA[ID]))),-1)))</f>
        <v>KALINDO SUKSES</v>
      </c>
      <c r="AH344" s="65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1</v>
      </c>
      <c r="AK344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>calculatorjoykocc4144400000.1250.1</v>
      </c>
      <c r="AM344" s="193">
        <f>IF(NOTA[[#This Row],[CONCAT1]]="","",MATCH(NOTA[[#This Row],[CONCAT1]],[2]!db[NB NOTA_C],0)+1)</f>
        <v>410</v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66</v>
      </c>
      <c r="E345" s="23"/>
      <c r="F345" s="26"/>
      <c r="G345" s="26"/>
      <c r="H345" s="31"/>
      <c r="I345" s="26"/>
      <c r="J345" s="51"/>
      <c r="K345" s="26"/>
      <c r="L345" s="26" t="s">
        <v>510</v>
      </c>
      <c r="M345" s="39">
        <v>1</v>
      </c>
      <c r="N345" s="26">
        <v>120</v>
      </c>
      <c r="O345" s="26" t="s">
        <v>104</v>
      </c>
      <c r="P345" s="49">
        <v>47000</v>
      </c>
      <c r="Q345" s="105"/>
      <c r="R345" s="39" t="s">
        <v>519</v>
      </c>
      <c r="S345" s="53">
        <v>0.125</v>
      </c>
      <c r="T345" s="53">
        <v>0.05</v>
      </c>
      <c r="U345" s="54"/>
      <c r="V345" s="37"/>
      <c r="W345" s="54">
        <f>IF(NOTA[[#This Row],[HARGA/ CTN]]="",NOTA[[#This Row],[JUMLAH_H]],NOTA[[#This Row],[HARGA/ CTN]]*IF(NOTA[[#This Row],[C]]="",0,NOTA[[#This Row],[C]]))</f>
        <v>5640000</v>
      </c>
      <c r="X345" s="54">
        <f>IF(NOTA[[#This Row],[JUMLAH]]="","",NOTA[[#This Row],[JUMLAH]]*NOTA[[#This Row],[DISC 1]])</f>
        <v>705000</v>
      </c>
      <c r="Y345" s="54">
        <f>IF(NOTA[[#This Row],[JUMLAH]]="","",(NOTA[[#This Row],[JUMLAH]]-NOTA[[#This Row],[DISC 1-]])*NOTA[[#This Row],[DISC 2]])</f>
        <v>246750</v>
      </c>
      <c r="Z345" s="54">
        <f>IF(NOTA[[#This Row],[JUMLAH]]="","",NOTA[[#This Row],[DISC 1-]]+NOTA[[#This Row],[DISC 2-]])</f>
        <v>951750</v>
      </c>
      <c r="AA345" s="54">
        <f>IF(NOTA[[#This Row],[JUMLAH]]="","",NOTA[[#This Row],[JUMLAH]]-NOTA[[#This Row],[DISC]])</f>
        <v>4688250</v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5" s="54">
        <f>IF(OR(NOTA[[#This Row],[QTY]]="",NOTA[[#This Row],[HARGA SATUAN]]="",),"",NOTA[[#This Row],[QTY]]*NOTA[[#This Row],[HARGA SATUAN]])</f>
        <v>5640000</v>
      </c>
      <c r="AF345" s="51">
        <f ca="1">IF(NOTA[ID_H]="","",INDEX(NOTA[TANGGAL],MATCH(,INDIRECT(ADDRESS(ROW(NOTA[TANGGAL]),COLUMN(NOTA[TANGGAL]))&amp;":"&amp;ADDRESS(ROW(),COLUMN(NOTA[TANGGAL]))),-1)))</f>
        <v>44938</v>
      </c>
      <c r="AG345" s="65" t="str">
        <f ca="1">IF(NOTA[[#This Row],[NAMA BARANG]]="","",INDEX(NOTA[SUPPLIER],MATCH(,INDIRECT(ADDRESS(ROW(NOTA[ID]),COLUMN(NOTA[ID]))&amp;":"&amp;ADDRESS(ROW(),COLUMN(NOTA[ID]))),-1)))</f>
        <v>KALINDO SUKSES</v>
      </c>
      <c r="AH345" s="65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1</v>
      </c>
      <c r="AK345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>calculatorjoykocc15a56400000.1250.05</v>
      </c>
      <c r="AM345" s="193">
        <f>IF(NOTA[[#This Row],[CONCAT1]]="","",MATCH(NOTA[[#This Row],[CONCAT1]],[2]!db[NB NOTA_C],0)+1)</f>
        <v>393</v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>
        <f ca="1">IF(NOTA[[#This Row],[NAMA BARANG]]="","",INDEX(NOTA[ID],MATCH(,INDIRECT(ADDRESS(ROW(NOTA[ID]),COLUMN(NOTA[ID]))&amp;":"&amp;ADDRESS(ROW(),COLUMN(NOTA[ID]))),-1)))</f>
        <v>66</v>
      </c>
      <c r="E346" s="23"/>
      <c r="F346" s="26"/>
      <c r="G346" s="26"/>
      <c r="H346" s="31"/>
      <c r="I346" s="26"/>
      <c r="J346" s="51"/>
      <c r="K346" s="26"/>
      <c r="L346" s="26" t="s">
        <v>511</v>
      </c>
      <c r="M346" s="39"/>
      <c r="N346" s="26">
        <v>40</v>
      </c>
      <c r="O346" s="26" t="s">
        <v>104</v>
      </c>
      <c r="P346" s="49">
        <v>47000</v>
      </c>
      <c r="Q346" s="52"/>
      <c r="R346" s="39" t="s">
        <v>519</v>
      </c>
      <c r="S346" s="53">
        <v>0.125</v>
      </c>
      <c r="T346" s="53">
        <v>0.05</v>
      </c>
      <c r="U346" s="54"/>
      <c r="V346" s="37"/>
      <c r="W346" s="54">
        <f>IF(NOTA[[#This Row],[HARGA/ CTN]]="",NOTA[[#This Row],[JUMLAH_H]],NOTA[[#This Row],[HARGA/ CTN]]*IF(NOTA[[#This Row],[C]]="",0,NOTA[[#This Row],[C]]))</f>
        <v>1880000</v>
      </c>
      <c r="X346" s="54">
        <f>IF(NOTA[[#This Row],[JUMLAH]]="","",NOTA[[#This Row],[JUMLAH]]*NOTA[[#This Row],[DISC 1]])</f>
        <v>235000</v>
      </c>
      <c r="Y346" s="54">
        <f>IF(NOTA[[#This Row],[JUMLAH]]="","",(NOTA[[#This Row],[JUMLAH]]-NOTA[[#This Row],[DISC 1-]])*NOTA[[#This Row],[DISC 2]])</f>
        <v>82250</v>
      </c>
      <c r="Z346" s="54">
        <f>IF(NOTA[[#This Row],[JUMLAH]]="","",NOTA[[#This Row],[DISC 1-]]+NOTA[[#This Row],[DISC 2-]])</f>
        <v>317250</v>
      </c>
      <c r="AA346" s="54">
        <f>IF(NOTA[[#This Row],[JUMLAH]]="","",NOTA[[#This Row],[JUMLAH]]-NOTA[[#This Row],[DISC]])</f>
        <v>1562750</v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6" s="54">
        <f>IF(OR(NOTA[[#This Row],[QTY]]="",NOTA[[#This Row],[HARGA SATUAN]]="",),"",NOTA[[#This Row],[QTY]]*NOTA[[#This Row],[HARGA SATUAN]])</f>
        <v>1880000</v>
      </c>
      <c r="AF346" s="51">
        <f ca="1">IF(NOTA[ID_H]="","",INDEX(NOTA[TANGGAL],MATCH(,INDIRECT(ADDRESS(ROW(NOTA[TANGGAL]),COLUMN(NOTA[TANGGAL]))&amp;":"&amp;ADDRESS(ROW(),COLUMN(NOTA[TANGGAL]))),-1)))</f>
        <v>44938</v>
      </c>
      <c r="AG346" s="65" t="str">
        <f ca="1">IF(NOTA[[#This Row],[NAMA BARANG]]="","",INDEX(NOTA[SUPPLIER],MATCH(,INDIRECT(ADDRESS(ROW(NOTA[ID]),COLUMN(NOTA[ID]))&amp;":"&amp;ADDRESS(ROW(),COLUMN(NOTA[ID]))),-1)))</f>
        <v>KALINDO SUKSES</v>
      </c>
      <c r="AH346" s="65" t="str">
        <f ca="1">IF(NOTA[[#This Row],[ID_H]]="","",IF(NOTA[[#This Row],[FAKTUR]]="",INDIRECT(ADDRESS(ROW()-1,COLUMN())),NOTA[[#This Row],[FAKTUR]]))</f>
        <v>ARTO MORO</v>
      </c>
      <c r="AI346" s="38" t="str">
        <f ca="1">IF(NOTA[[#This Row],[ID]]="","",COUNTIF(NOTA[ID_H],NOTA[[#This Row],[ID_H]]))</f>
        <v/>
      </c>
      <c r="AJ346" s="38">
        <f ca="1">IF(NOTA[[#This Row],[TGL.NOTA]]="",IF(NOTA[[#This Row],[SUPPLIER_H]]="","",AJ345),MONTH(NOTA[[#This Row],[TGL.NOTA]]))</f>
        <v>1</v>
      </c>
      <c r="AK346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>calculatorjoykocc8coblue47000</v>
      </c>
      <c r="AM346" s="193">
        <f>IF(NOTA[[#This Row],[CONCAT1]]="","",MATCH(NOTA[[#This Row],[CONCAT1]],[2]!db[NB NOTA_C],0)+1)</f>
        <v>426</v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>
        <f ca="1">IF(NOTA[[#This Row],[NAMA BARANG]]="","",INDEX(NOTA[ID],MATCH(,INDIRECT(ADDRESS(ROW(NOTA[ID]),COLUMN(NOTA[ID]))&amp;":"&amp;ADDRESS(ROW(),COLUMN(NOTA[ID]))),-1)))</f>
        <v>66</v>
      </c>
      <c r="E347" s="23"/>
      <c r="F347" s="26"/>
      <c r="G347" s="26"/>
      <c r="H347" s="31"/>
      <c r="I347" s="26"/>
      <c r="J347" s="51"/>
      <c r="K347" s="26"/>
      <c r="L347" s="26" t="s">
        <v>512</v>
      </c>
      <c r="M347" s="39"/>
      <c r="N347" s="26">
        <v>40</v>
      </c>
      <c r="O347" s="26" t="s">
        <v>104</v>
      </c>
      <c r="P347" s="49">
        <v>47000</v>
      </c>
      <c r="Q347" s="52"/>
      <c r="R347" s="39" t="s">
        <v>519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1880000</v>
      </c>
      <c r="X347" s="54">
        <f>IF(NOTA[[#This Row],[JUMLAH]]="","",NOTA[[#This Row],[JUMLAH]]*NOTA[[#This Row],[DISC 1]])</f>
        <v>235000</v>
      </c>
      <c r="Y347" s="54">
        <f>IF(NOTA[[#This Row],[JUMLAH]]="","",(NOTA[[#This Row],[JUMLAH]]-NOTA[[#This Row],[DISC 1-]])*NOTA[[#This Row],[DISC 2]])</f>
        <v>82250</v>
      </c>
      <c r="Z347" s="54">
        <f>IF(NOTA[[#This Row],[JUMLAH]]="","",NOTA[[#This Row],[DISC 1-]]+NOTA[[#This Row],[DISC 2-]])</f>
        <v>317250</v>
      </c>
      <c r="AA347" s="54">
        <f>IF(NOTA[[#This Row],[JUMLAH]]="","",NOTA[[#This Row],[JUMLAH]]-NOTA[[#This Row],[DISC]])</f>
        <v>1562750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7" s="54">
        <f>IF(OR(NOTA[[#This Row],[QTY]]="",NOTA[[#This Row],[HARGA SATUAN]]="",),"",NOTA[[#This Row],[QTY]]*NOTA[[#This Row],[HARGA SATUAN]])</f>
        <v>1880000</v>
      </c>
      <c r="AF347" s="51">
        <f ca="1">IF(NOTA[ID_H]="","",INDEX(NOTA[TANGGAL],MATCH(,INDIRECT(ADDRESS(ROW(NOTA[TANGGAL]),COLUMN(NOTA[TANGGAL]))&amp;":"&amp;ADDRESS(ROW(),COLUMN(NOTA[TANGGAL]))),-1)))</f>
        <v>44938</v>
      </c>
      <c r="AG347" s="65" t="str">
        <f ca="1">IF(NOTA[[#This Row],[NAMA BARANG]]="","",INDEX(NOTA[SUPPLIER],MATCH(,INDIRECT(ADDRESS(ROW(NOTA[ID]),COLUMN(NOTA[ID]))&amp;":"&amp;ADDRESS(ROW(),COLUMN(NOTA[ID]))),-1)))</f>
        <v>KALINDO SUKSES</v>
      </c>
      <c r="AH347" s="65" t="str">
        <f ca="1">IF(NOTA[[#This Row],[ID_H]]="","",IF(NOTA[[#This Row],[FAKTUR]]="",INDIRECT(ADDRESS(ROW()-1,COLUMN())),NOTA[[#This Row],[FAKTUR]]))</f>
        <v>ARTO MORO</v>
      </c>
      <c r="AI347" s="38" t="str">
        <f ca="1">IF(NOTA[[#This Row],[ID]]="","",COUNTIF(NOTA[ID_H],NOTA[[#This Row],[ID_H]]))</f>
        <v/>
      </c>
      <c r="AJ347" s="38">
        <f ca="1">IF(NOTA[[#This Row],[TGL.NOTA]]="",IF(NOTA[[#This Row],[SUPPLIER_H]]="","",AJ346),MONTH(NOTA[[#This Row],[TGL.NOTA]]))</f>
        <v>1</v>
      </c>
      <c r="AK347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>calculatorjoykocc8cogreen47000</v>
      </c>
      <c r="AM347" s="193">
        <f>IF(NOTA[[#This Row],[CONCAT1]]="","",MATCH(NOTA[[#This Row],[CONCAT1]],[2]!db[NB NOTA_C],0)+1)</f>
        <v>419</v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66</v>
      </c>
      <c r="E348" s="23"/>
      <c r="F348" s="26"/>
      <c r="G348" s="26"/>
      <c r="H348" s="31"/>
      <c r="I348" s="26"/>
      <c r="J348" s="51"/>
      <c r="K348" s="26"/>
      <c r="L348" s="26" t="s">
        <v>513</v>
      </c>
      <c r="M348" s="39"/>
      <c r="N348" s="26">
        <v>40</v>
      </c>
      <c r="O348" s="26" t="s">
        <v>104</v>
      </c>
      <c r="P348" s="49">
        <v>47000</v>
      </c>
      <c r="Q348" s="52"/>
      <c r="R348" s="39" t="s">
        <v>519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1880000</v>
      </c>
      <c r="X348" s="54">
        <f>IF(NOTA[[#This Row],[JUMLAH]]="","",NOTA[[#This Row],[JUMLAH]]*NOTA[[#This Row],[DISC 1]])</f>
        <v>235000</v>
      </c>
      <c r="Y348" s="54">
        <f>IF(NOTA[[#This Row],[JUMLAH]]="","",(NOTA[[#This Row],[JUMLAH]]-NOTA[[#This Row],[DISC 1-]])*NOTA[[#This Row],[DISC 2]])</f>
        <v>82250</v>
      </c>
      <c r="Z348" s="54">
        <f>IF(NOTA[[#This Row],[JUMLAH]]="","",NOTA[[#This Row],[DISC 1-]]+NOTA[[#This Row],[DISC 2-]])</f>
        <v>317250</v>
      </c>
      <c r="AA348" s="54">
        <f>IF(NOTA[[#This Row],[JUMLAH]]="","",NOTA[[#This Row],[JUMLAH]]-NOTA[[#This Row],[DISC]])</f>
        <v>1562750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8" s="54">
        <f>IF(OR(NOTA[[#This Row],[QTY]]="",NOTA[[#This Row],[HARGA SATUAN]]="",),"",NOTA[[#This Row],[QTY]]*NOTA[[#This Row],[HARGA SATUAN]])</f>
        <v>1880000</v>
      </c>
      <c r="AF348" s="51">
        <f ca="1">IF(NOTA[ID_H]="","",INDEX(NOTA[TANGGAL],MATCH(,INDIRECT(ADDRESS(ROW(NOTA[TANGGAL]),COLUMN(NOTA[TANGGAL]))&amp;":"&amp;ADDRESS(ROW(),COLUMN(NOTA[TANGGAL]))),-1)))</f>
        <v>44938</v>
      </c>
      <c r="AG348" s="65" t="str">
        <f ca="1">IF(NOTA[[#This Row],[NAMA BARANG]]="","",INDEX(NOTA[SUPPLIER],MATCH(,INDIRECT(ADDRESS(ROW(NOTA[ID]),COLUMN(NOTA[ID]))&amp;":"&amp;ADDRESS(ROW(),COLUMN(NOTA[ID]))),-1)))</f>
        <v>KALINDO SUKSES</v>
      </c>
      <c r="AH348" s="65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1</v>
      </c>
      <c r="AK348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>calculatorjoykocc8coorange47000</v>
      </c>
      <c r="AM348" s="193">
        <f>IF(NOTA[[#This Row],[CONCAT1]]="","",MATCH(NOTA[[#This Row],[CONCAT1]],[2]!db[NB NOTA_C],0)+1)</f>
        <v>427</v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66</v>
      </c>
      <c r="E349" s="23"/>
      <c r="F349" s="26"/>
      <c r="G349" s="26"/>
      <c r="H349" s="31"/>
      <c r="I349" s="26"/>
      <c r="J349" s="51"/>
      <c r="K349" s="26"/>
      <c r="L349" s="26" t="s">
        <v>514</v>
      </c>
      <c r="M349" s="39">
        <v>1</v>
      </c>
      <c r="N349" s="26">
        <v>120</v>
      </c>
      <c r="O349" s="26" t="s">
        <v>104</v>
      </c>
      <c r="P349" s="49">
        <v>47000</v>
      </c>
      <c r="Q349" s="52"/>
      <c r="R349" s="39" t="s">
        <v>519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5640000</v>
      </c>
      <c r="X349" s="54">
        <f>IF(NOTA[[#This Row],[JUMLAH]]="","",NOTA[[#This Row],[JUMLAH]]*NOTA[[#This Row],[DISC 1]])</f>
        <v>705000</v>
      </c>
      <c r="Y349" s="54">
        <f>IF(NOTA[[#This Row],[JUMLAH]]="","",(NOTA[[#This Row],[JUMLAH]]-NOTA[[#This Row],[DISC 1-]])*NOTA[[#This Row],[DISC 2]])</f>
        <v>246750</v>
      </c>
      <c r="Z349" s="54">
        <f>IF(NOTA[[#This Row],[JUMLAH]]="","",NOTA[[#This Row],[DISC 1-]]+NOTA[[#This Row],[DISC 2-]])</f>
        <v>951750</v>
      </c>
      <c r="AA349" s="54">
        <f>IF(NOTA[[#This Row],[JUMLAH]]="","",NOTA[[#This Row],[JUMLAH]]-NOTA[[#This Row],[DISC]])</f>
        <v>4688250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9" s="54">
        <f>IF(OR(NOTA[[#This Row],[QTY]]="",NOTA[[#This Row],[HARGA SATUAN]]="",),"",NOTA[[#This Row],[QTY]]*NOTA[[#This Row],[HARGA SATUAN]])</f>
        <v>5640000</v>
      </c>
      <c r="AF349" s="51">
        <f ca="1">IF(NOTA[ID_H]="","",INDEX(NOTA[TANGGAL],MATCH(,INDIRECT(ADDRESS(ROW(NOTA[TANGGAL]),COLUMN(NOTA[TANGGAL]))&amp;":"&amp;ADDRESS(ROW(),COLUMN(NOTA[TANGGAL]))),-1)))</f>
        <v>44938</v>
      </c>
      <c r="AG349" s="65" t="str">
        <f ca="1">IF(NOTA[[#This Row],[NAMA BARANG]]="","",INDEX(NOTA[SUPPLIER],MATCH(,INDIRECT(ADDRESS(ROW(NOTA[ID]),COLUMN(NOTA[ID]))&amp;":"&amp;ADDRESS(ROW(),COLUMN(NOTA[ID]))),-1)))</f>
        <v>KALINDO SUKSES</v>
      </c>
      <c r="AH349" s="65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1</v>
      </c>
      <c r="AK349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>calculatorjoykocc8a56400000.1250.05</v>
      </c>
      <c r="AM349" s="193">
        <f>IF(NOTA[[#This Row],[CONCAT1]]="","",MATCH(NOTA[[#This Row],[CONCAT1]],[2]!db[NB NOTA_C],0)+1)</f>
        <v>425</v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66</v>
      </c>
      <c r="E350" s="23"/>
      <c r="F350" s="26"/>
      <c r="G350" s="26"/>
      <c r="H350" s="31"/>
      <c r="I350" s="26"/>
      <c r="J350" s="51"/>
      <c r="K350" s="26"/>
      <c r="L350" s="26" t="s">
        <v>515</v>
      </c>
      <c r="M350" s="39"/>
      <c r="N350" s="26">
        <v>27</v>
      </c>
      <c r="O350" s="26" t="s">
        <v>104</v>
      </c>
      <c r="P350" s="49">
        <v>56000</v>
      </c>
      <c r="Q350" s="52"/>
      <c r="R350" s="39" t="s">
        <v>443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1512000</v>
      </c>
      <c r="X350" s="54">
        <f>IF(NOTA[[#This Row],[JUMLAH]]="","",NOTA[[#This Row],[JUMLAH]]*NOTA[[#This Row],[DISC 1]])</f>
        <v>189000</v>
      </c>
      <c r="Y350" s="54">
        <f>IF(NOTA[[#This Row],[JUMLAH]]="","",(NOTA[[#This Row],[JUMLAH]]-NOTA[[#This Row],[DISC 1-]])*NOTA[[#This Row],[DISC 2]])</f>
        <v>66150</v>
      </c>
      <c r="Z350" s="54">
        <f>IF(NOTA[[#This Row],[JUMLAH]]="","",NOTA[[#This Row],[DISC 1-]]+NOTA[[#This Row],[DISC 2-]])</f>
        <v>255150</v>
      </c>
      <c r="AA350" s="54">
        <f>IF(NOTA[[#This Row],[JUMLAH]]="","",NOTA[[#This Row],[JUMLAH]]-NOTA[[#This Row],[DISC]])</f>
        <v>1256850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0" s="54">
        <f>IF(OR(NOTA[[#This Row],[QTY]]="",NOTA[[#This Row],[HARGA SATUAN]]="",),"",NOTA[[#This Row],[QTY]]*NOTA[[#This Row],[HARGA SATUAN]])</f>
        <v>1512000</v>
      </c>
      <c r="AF350" s="51">
        <f ca="1">IF(NOTA[ID_H]="","",INDEX(NOTA[TANGGAL],MATCH(,INDIRECT(ADDRESS(ROW(NOTA[TANGGAL]),COLUMN(NOTA[TANGGAL]))&amp;":"&amp;ADDRESS(ROW(),COLUMN(NOTA[TANGGAL]))),-1)))</f>
        <v>44938</v>
      </c>
      <c r="AG350" s="65" t="str">
        <f ca="1">IF(NOTA[[#This Row],[NAMA BARANG]]="","",INDEX(NOTA[SUPPLIER],MATCH(,INDIRECT(ADDRESS(ROW(NOTA[ID]),COLUMN(NOTA[ID]))&amp;":"&amp;ADDRESS(ROW(),COLUMN(NOTA[ID]))),-1)))</f>
        <v>KALINDO SUKSES</v>
      </c>
      <c r="AH350" s="65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1</v>
      </c>
      <c r="AK350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>calculatorjoykocc12coblue56000</v>
      </c>
      <c r="AM350" s="193">
        <f>IF(NOTA[[#This Row],[CONCAT1]]="","",MATCH(NOTA[[#This Row],[CONCAT1]],[2]!db[NB NOTA_C],0)+1)</f>
        <v>390</v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66</v>
      </c>
      <c r="E351" s="23"/>
      <c r="F351" s="26"/>
      <c r="G351" s="26"/>
      <c r="H351" s="31"/>
      <c r="I351" s="26"/>
      <c r="J351" s="51"/>
      <c r="K351" s="26"/>
      <c r="L351" s="26" t="s">
        <v>520</v>
      </c>
      <c r="M351" s="39"/>
      <c r="N351" s="26">
        <v>27</v>
      </c>
      <c r="O351" s="26" t="s">
        <v>104</v>
      </c>
      <c r="P351" s="49">
        <v>56000</v>
      </c>
      <c r="Q351" s="52"/>
      <c r="R351" s="39" t="s">
        <v>443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1512000</v>
      </c>
      <c r="X351" s="54">
        <f>IF(NOTA[[#This Row],[JUMLAH]]="","",NOTA[[#This Row],[JUMLAH]]*NOTA[[#This Row],[DISC 1]])</f>
        <v>189000</v>
      </c>
      <c r="Y351" s="54">
        <f>IF(NOTA[[#This Row],[JUMLAH]]="","",(NOTA[[#This Row],[JUMLAH]]-NOTA[[#This Row],[DISC 1-]])*NOTA[[#This Row],[DISC 2]])</f>
        <v>66150</v>
      </c>
      <c r="Z351" s="54">
        <f>IF(NOTA[[#This Row],[JUMLAH]]="","",NOTA[[#This Row],[DISC 1-]]+NOTA[[#This Row],[DISC 2-]])</f>
        <v>255150</v>
      </c>
      <c r="AA351" s="54">
        <f>IF(NOTA[[#This Row],[JUMLAH]]="","",NOTA[[#This Row],[JUMLAH]]-NOTA[[#This Row],[DISC]])</f>
        <v>1256850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1" s="54">
        <f>IF(OR(NOTA[[#This Row],[QTY]]="",NOTA[[#This Row],[HARGA SATUAN]]="",),"",NOTA[[#This Row],[QTY]]*NOTA[[#This Row],[HARGA SATUAN]])</f>
        <v>1512000</v>
      </c>
      <c r="AF351" s="51">
        <f ca="1">IF(NOTA[ID_H]="","",INDEX(NOTA[TANGGAL],MATCH(,INDIRECT(ADDRESS(ROW(NOTA[TANGGAL]),COLUMN(NOTA[TANGGAL]))&amp;":"&amp;ADDRESS(ROW(),COLUMN(NOTA[TANGGAL]))),-1)))</f>
        <v>44938</v>
      </c>
      <c r="AG351" s="65" t="str">
        <f ca="1">IF(NOTA[[#This Row],[NAMA BARANG]]="","",INDEX(NOTA[SUPPLIER],MATCH(,INDIRECT(ADDRESS(ROW(NOTA[ID]),COLUMN(NOTA[ID]))&amp;":"&amp;ADDRESS(ROW(),COLUMN(NOTA[ID]))),-1)))</f>
        <v>KALINDO SUKSES</v>
      </c>
      <c r="AH351" s="65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1</v>
      </c>
      <c r="AK351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>calculatorjoykocc12cogreen56000</v>
      </c>
      <c r="AM351" s="193">
        <f>IF(NOTA[[#This Row],[CONCAT1]]="","",MATCH(NOTA[[#This Row],[CONCAT1]],[2]!db[NB NOTA_C],0)+1)</f>
        <v>391</v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66</v>
      </c>
      <c r="E352" s="23"/>
      <c r="F352" s="26"/>
      <c r="G352" s="26"/>
      <c r="H352" s="31"/>
      <c r="I352" s="26"/>
      <c r="J352" s="51"/>
      <c r="K352" s="26"/>
      <c r="L352" s="26" t="s">
        <v>516</v>
      </c>
      <c r="M352" s="39"/>
      <c r="N352" s="26">
        <v>26</v>
      </c>
      <c r="O352" s="26" t="s">
        <v>104</v>
      </c>
      <c r="P352" s="49">
        <v>56000</v>
      </c>
      <c r="Q352" s="52"/>
      <c r="R352" s="39" t="s">
        <v>443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1456000</v>
      </c>
      <c r="X352" s="54">
        <f>IF(NOTA[[#This Row],[JUMLAH]]="","",NOTA[[#This Row],[JUMLAH]]*NOTA[[#This Row],[DISC 1]])</f>
        <v>182000</v>
      </c>
      <c r="Y352" s="54">
        <f>IF(NOTA[[#This Row],[JUMLAH]]="","",(NOTA[[#This Row],[JUMLAH]]-NOTA[[#This Row],[DISC 1-]])*NOTA[[#This Row],[DISC 2]])</f>
        <v>63700</v>
      </c>
      <c r="Z352" s="54">
        <f>IF(NOTA[[#This Row],[JUMLAH]]="","",NOTA[[#This Row],[DISC 1-]]+NOTA[[#This Row],[DISC 2-]])</f>
        <v>245700</v>
      </c>
      <c r="AA352" s="54">
        <f>IF(NOTA[[#This Row],[JUMLAH]]="","",NOTA[[#This Row],[JUMLAH]]-NOTA[[#This Row],[DISC]])</f>
        <v>1210300</v>
      </c>
      <c r="AB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C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E352" s="54">
        <f>IF(OR(NOTA[[#This Row],[QTY]]="",NOTA[[#This Row],[HARGA SATUAN]]="",),"",NOTA[[#This Row],[QTY]]*NOTA[[#This Row],[HARGA SATUAN]])</f>
        <v>1456000</v>
      </c>
      <c r="AF352" s="51">
        <f ca="1">IF(NOTA[ID_H]="","",INDEX(NOTA[TANGGAL],MATCH(,INDIRECT(ADDRESS(ROW(NOTA[TANGGAL]),COLUMN(NOTA[TANGGAL]))&amp;":"&amp;ADDRESS(ROW(),COLUMN(NOTA[TANGGAL]))),-1)))</f>
        <v>44938</v>
      </c>
      <c r="AG352" s="65" t="str">
        <f ca="1">IF(NOTA[[#This Row],[NAMA BARANG]]="","",INDEX(NOTA[SUPPLIER],MATCH(,INDIRECT(ADDRESS(ROW(NOTA[ID]),COLUMN(NOTA[ID]))&amp;":"&amp;ADDRESS(ROW(),COLUMN(NOTA[ID]))),-1)))</f>
        <v>KALINDO SUKSES</v>
      </c>
      <c r="AH352" s="65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1</v>
      </c>
      <c r="AK352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>calculatorjoykocc12coyellow56000</v>
      </c>
      <c r="AM352" s="193">
        <f>IF(NOTA[[#This Row],[CONCAT1]]="","",MATCH(NOTA[[#This Row],[CONCAT1]],[2]!db[NB NOTA_C],0)+1)</f>
        <v>392</v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93" t="str">
        <f>IF(NOTA[[#This Row],[CONCAT1]]="","",MATCH(NOTA[[#This Row],[CONCAT1]],[2]!db[NB NOTA_C],0)+1)</f>
        <v/>
      </c>
    </row>
    <row r="354" spans="1:39" ht="20.100000000000001" customHeight="1" x14ac:dyDescent="0.25">
      <c r="A354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4" s="50" t="e">
        <f ca="1">IF(NOTA[[#This Row],[ID_P]]="","",MATCH(NOTA[[#This Row],[ID_P]],[1]!B_MSK[N_ID],0))</f>
        <v>#REF!</v>
      </c>
      <c r="D354" s="50">
        <f ca="1">IF(NOTA[[#This Row],[NAMA BARANG]]="","",INDEX(NOTA[ID],MATCH(,INDIRECT(ADDRESS(ROW(NOTA[ID]),COLUMN(NOTA[ID]))&amp;":"&amp;ADDRESS(ROW(),COLUMN(NOTA[ID]))),-1)))</f>
        <v>67</v>
      </c>
      <c r="E354" s="23"/>
      <c r="F354" s="26" t="s">
        <v>52</v>
      </c>
      <c r="G354" s="26" t="s">
        <v>24</v>
      </c>
      <c r="H354" s="31" t="s">
        <v>521</v>
      </c>
      <c r="I354" s="26"/>
      <c r="J354" s="51">
        <v>44935</v>
      </c>
      <c r="K354" s="26"/>
      <c r="L354" s="26" t="s">
        <v>522</v>
      </c>
      <c r="M354" s="39">
        <v>1</v>
      </c>
      <c r="N354" s="26">
        <v>60</v>
      </c>
      <c r="O354" s="26" t="s">
        <v>104</v>
      </c>
      <c r="P354" s="49">
        <v>79000</v>
      </c>
      <c r="Q354" s="52"/>
      <c r="R354" s="39" t="s">
        <v>518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4740000</v>
      </c>
      <c r="X354" s="54">
        <f>IF(NOTA[[#This Row],[JUMLAH]]="","",NOTA[[#This Row],[JUMLAH]]*NOTA[[#This Row],[DISC 1]])</f>
        <v>592500</v>
      </c>
      <c r="Y354" s="54">
        <f>IF(NOTA[[#This Row],[JUMLAH]]="","",(NOTA[[#This Row],[JUMLAH]]-NOTA[[#This Row],[DISC 1-]])*NOTA[[#This Row],[DISC 2]])</f>
        <v>207375</v>
      </c>
      <c r="Z354" s="54">
        <f>IF(NOTA[[#This Row],[JUMLAH]]="","",NOTA[[#This Row],[DISC 1-]]+NOTA[[#This Row],[DISC 2-]])</f>
        <v>799875</v>
      </c>
      <c r="AA354" s="54">
        <f>IF(NOTA[[#This Row],[JUMLAH]]="","",NOTA[[#This Row],[JUMLAH]]-NOTA[[#This Row],[DISC]])</f>
        <v>3940125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E354" s="54">
        <f>IF(OR(NOTA[[#This Row],[QTY]]="",NOTA[[#This Row],[HARGA SATUAN]]="",),"",NOTA[[#This Row],[QTY]]*NOTA[[#This Row],[HARGA SATUAN]])</f>
        <v>4740000</v>
      </c>
      <c r="AF354" s="51">
        <f ca="1">IF(NOTA[ID_H]="","",INDEX(NOTA[TANGGAL],MATCH(,INDIRECT(ADDRESS(ROW(NOTA[TANGGAL]),COLUMN(NOTA[TANGGAL]))&amp;":"&amp;ADDRESS(ROW(),COLUMN(NOTA[TANGGAL]))),-1)))</f>
        <v>44938</v>
      </c>
      <c r="AG354" s="65" t="str">
        <f ca="1">IF(NOTA[[#This Row],[NAMA BARANG]]="","",INDEX(NOTA[SUPPLIER],MATCH(,INDIRECT(ADDRESS(ROW(NOTA[ID]),COLUMN(NOTA[ID]))&amp;":"&amp;ADDRESS(ROW(),COLUMN(NOTA[ID]))),-1)))</f>
        <v>KALINDO SUKSES</v>
      </c>
      <c r="AH354" s="65" t="str">
        <f ca="1">IF(NOTA[[#This Row],[ID_H]]="","",IF(NOTA[[#This Row],[FAKTUR]]="",INDIRECT(ADDRESS(ROW()-1,COLUMN())),NOTA[[#This Row],[FAKTUR]]))</f>
        <v>ARTO MORO</v>
      </c>
      <c r="AI354" s="38">
        <f ca="1">IF(NOTA[[#This Row],[ID]]="","",COUNTIF(NOTA[ID_H],NOTA[[#This Row],[ID_H]]))</f>
        <v>1</v>
      </c>
      <c r="AJ354" s="38">
        <f>IF(NOTA[[#This Row],[TGL.NOTA]]="",IF(NOTA[[#This Row],[SUPPLIER_H]]="","",AJ353),MONTH(NOTA[[#This Row],[TGL.NOTA]]))</f>
        <v>1</v>
      </c>
      <c r="AK354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>calculatorjoykocc800ch47400000.1250.05</v>
      </c>
      <c r="AM354" s="193">
        <f>IF(NOTA[[#This Row],[CONCAT1]]="","",MATCH(NOTA[[#This Row],[CONCAT1]],[2]!db[NB NOTA_C],0)+1)</f>
        <v>420</v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93" t="str">
        <f>IF(NOTA[[#This Row],[CONCAT1]]="","",MATCH(NOTA[[#This Row],[CONCAT1]],[2]!db[NB NOTA_C],0)+1)</f>
        <v/>
      </c>
    </row>
    <row r="356" spans="1:39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68</v>
      </c>
      <c r="E356" s="23"/>
      <c r="F356" s="26" t="s">
        <v>23</v>
      </c>
      <c r="G356" s="26" t="s">
        <v>24</v>
      </c>
      <c r="H356" s="31" t="s">
        <v>523</v>
      </c>
      <c r="I356" s="26" t="s">
        <v>536</v>
      </c>
      <c r="J356" s="51">
        <v>44936</v>
      </c>
      <c r="K356" s="26"/>
      <c r="L356" s="26" t="s">
        <v>456</v>
      </c>
      <c r="M356" s="39">
        <v>2</v>
      </c>
      <c r="N356" s="26"/>
      <c r="O356" s="26"/>
      <c r="P356" s="49"/>
      <c r="Q356" s="52">
        <v>2052000</v>
      </c>
      <c r="R356" s="39" t="s">
        <v>118</v>
      </c>
      <c r="S356" s="53">
        <v>0.17</v>
      </c>
      <c r="T356" s="53"/>
      <c r="U356" s="54"/>
      <c r="V356" s="37"/>
      <c r="W356" s="54">
        <f>IF(NOTA[[#This Row],[HARGA/ CTN]]="",NOTA[[#This Row],[JUMLAH_H]],NOTA[[#This Row],[HARGA/ CTN]]*IF(NOTA[[#This Row],[C]]="",0,NOTA[[#This Row],[C]]))</f>
        <v>4104000</v>
      </c>
      <c r="X356" s="54">
        <f>IF(NOTA[[#This Row],[JUMLAH]]="","",NOTA[[#This Row],[JUMLAH]]*NOTA[[#This Row],[DISC 1]])</f>
        <v>697680</v>
      </c>
      <c r="Y356" s="54">
        <f>IF(NOTA[[#This Row],[JUMLAH]]="","",(NOTA[[#This Row],[JUMLAH]]-NOTA[[#This Row],[DISC 1-]])*NOTA[[#This Row],[DISC 2]])</f>
        <v>0</v>
      </c>
      <c r="Z356" s="54">
        <f>IF(NOTA[[#This Row],[JUMLAH]]="","",NOTA[[#This Row],[DISC 1-]]+NOTA[[#This Row],[DISC 2-]])</f>
        <v>697680</v>
      </c>
      <c r="AA356" s="54">
        <f>IF(NOTA[[#This Row],[JUMLAH]]="","",NOTA[[#This Row],[JUMLAH]]-NOTA[[#This Row],[DISC]])</f>
        <v>3406320</v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56" s="54" t="str">
        <f>IF(OR(NOTA[[#This Row],[QTY]]="",NOTA[[#This Row],[HARGA SATUAN]]="",),"",NOTA[[#This Row],[QTY]]*NOTA[[#This Row],[HARGA SATUAN]])</f>
        <v/>
      </c>
      <c r="AF356" s="51">
        <f ca="1">IF(NOTA[ID_H]="","",INDEX(NOTA[TANGGAL],MATCH(,INDIRECT(ADDRESS(ROW(NOTA[TANGGAL]),COLUMN(NOTA[TANGGAL]))&amp;":"&amp;ADDRESS(ROW(),COLUMN(NOTA[TANGGAL]))),-1)))</f>
        <v>44938</v>
      </c>
      <c r="AG356" s="65" t="str">
        <f ca="1">IF(NOTA[[#This Row],[NAMA BARANG]]="","",INDEX(NOTA[SUPPLIER],MATCH(,INDIRECT(ADDRESS(ROW(NOTA[ID]),COLUMN(NOTA[ID]))&amp;":"&amp;ADDRESS(ROW(),COLUMN(NOTA[ID]))),-1)))</f>
        <v>KENKO SINAR INDONESIA</v>
      </c>
      <c r="AH356" s="65" t="str">
        <f ca="1">IF(NOTA[[#This Row],[ID_H]]="","",IF(NOTA[[#This Row],[FAKTUR]]="",INDIRECT(ADDRESS(ROW()-1,COLUMN())),NOTA[[#This Row],[FAKTUR]]))</f>
        <v>ARTO MORO</v>
      </c>
      <c r="AI356" s="38">
        <f ca="1">IF(NOTA[[#This Row],[ID]]="","",COUNTIF(NOTA[ID_H],NOTA[[#This Row],[ID_H]]))</f>
        <v>10</v>
      </c>
      <c r="AJ356" s="38">
        <f>IF(NOTA[[#This Row],[TGL.NOTA]]="",IF(NOTA[[#This Row],[SUPPLIER_H]]="","",AJ355),MONTH(NOTA[[#This Row],[TGL.NOTA]]))</f>
        <v>1</v>
      </c>
      <c r="AK356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56" s="193">
        <f>IF(NOTA[[#This Row],[CONCAT1]]="","",MATCH(NOTA[[#This Row],[CONCAT1]],[2]!db[NB NOTA_C],0)+1)</f>
        <v>1093</v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>
        <f ca="1">IF(NOTA[[#This Row],[NAMA BARANG]]="","",INDEX(NOTA[ID],MATCH(,INDIRECT(ADDRESS(ROW(NOTA[ID]),COLUMN(NOTA[ID]))&amp;":"&amp;ADDRESS(ROW(),COLUMN(NOTA[ID]))),-1)))</f>
        <v>68</v>
      </c>
      <c r="E357" s="23"/>
      <c r="F357" s="26"/>
      <c r="G357" s="26"/>
      <c r="H357" s="31"/>
      <c r="I357" s="26"/>
      <c r="J357" s="51"/>
      <c r="K357" s="26"/>
      <c r="L357" s="26" t="s">
        <v>524</v>
      </c>
      <c r="M357" s="39">
        <v>1</v>
      </c>
      <c r="N357" s="26"/>
      <c r="O357" s="26"/>
      <c r="P357" s="49"/>
      <c r="Q357" s="52">
        <v>570000</v>
      </c>
      <c r="R357" s="39" t="s">
        <v>535</v>
      </c>
      <c r="S357" s="53">
        <v>0.17</v>
      </c>
      <c r="T357" s="53"/>
      <c r="U357" s="54"/>
      <c r="V357" s="37"/>
      <c r="W357" s="54">
        <f>IF(NOTA[[#This Row],[HARGA/ CTN]]="",NOTA[[#This Row],[JUMLAH_H]],NOTA[[#This Row],[HARGA/ CTN]]*IF(NOTA[[#This Row],[C]]="",0,NOTA[[#This Row],[C]]))</f>
        <v>570000</v>
      </c>
      <c r="X357" s="54">
        <f>IF(NOTA[[#This Row],[JUMLAH]]="","",NOTA[[#This Row],[JUMLAH]]*NOTA[[#This Row],[DISC 1]])</f>
        <v>96900</v>
      </c>
      <c r="Y357" s="54">
        <f>IF(NOTA[[#This Row],[JUMLAH]]="","",(NOTA[[#This Row],[JUMLAH]]-NOTA[[#This Row],[DISC 1-]])*NOTA[[#This Row],[DISC 2]])</f>
        <v>0</v>
      </c>
      <c r="Z357" s="54">
        <f>IF(NOTA[[#This Row],[JUMLAH]]="","",NOTA[[#This Row],[DISC 1-]]+NOTA[[#This Row],[DISC 2-]])</f>
        <v>96900</v>
      </c>
      <c r="AA357" s="54">
        <f>IF(NOTA[[#This Row],[JUMLAH]]="","",NOTA[[#This Row],[JUMLAH]]-NOTA[[#This Row],[DISC]])</f>
        <v>473100</v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57" s="54" t="str">
        <f>IF(OR(NOTA[[#This Row],[QTY]]="",NOTA[[#This Row],[HARGA SATUAN]]="",),"",NOTA[[#This Row],[QTY]]*NOTA[[#This Row],[HARGA SATUAN]])</f>
        <v/>
      </c>
      <c r="AF357" s="51">
        <f ca="1">IF(NOTA[ID_H]="","",INDEX(NOTA[TANGGAL],MATCH(,INDIRECT(ADDRESS(ROW(NOTA[TANGGAL]),COLUMN(NOTA[TANGGAL]))&amp;":"&amp;ADDRESS(ROW(),COLUMN(NOTA[TANGGAL]))),-1)))</f>
        <v>44938</v>
      </c>
      <c r="AG357" s="65" t="str">
        <f ca="1">IF(NOTA[[#This Row],[NAMA BARANG]]="","",INDEX(NOTA[SUPPLIER],MATCH(,INDIRECT(ADDRESS(ROW(NOTA[ID]),COLUMN(NOTA[ID]))&amp;":"&amp;ADDRESS(ROW(),COLUMN(NOTA[ID]))),-1)))</f>
        <v>KENKO SINAR INDONESIA</v>
      </c>
      <c r="AH357" s="65" t="str">
        <f ca="1">IF(NOTA[[#This Row],[ID_H]]="","",IF(NOTA[[#This Row],[FAKTUR]]="",INDIRECT(ADDRESS(ROW()-1,COLUMN())),NOTA[[#This Row],[FAKTUR]]))</f>
        <v>ARTO MORO</v>
      </c>
      <c r="AI357" s="38" t="str">
        <f ca="1">IF(NOTA[[#This Row],[ID]]="","",COUNTIF(NOTA[ID_H],NOTA[[#This Row],[ID_H]]))</f>
        <v/>
      </c>
      <c r="AJ357" s="38">
        <f ca="1">IF(NOTA[[#This Row],[TGL.NOTA]]="",IF(NOTA[[#This Row],[SUPPLIER_H]]="","",AJ356),MONTH(NOTA[[#This Row],[TGL.NOTA]]))</f>
        <v>1</v>
      </c>
      <c r="AK357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>kenkodoubletape48mmhgbluecorebt5700000.17</v>
      </c>
      <c r="AM357" s="193">
        <f>IF(NOTA[[#This Row],[CONCAT1]]="","",MATCH(NOTA[[#This Row],[CONCAT1]],[2]!db[NB NOTA_C],0)+1)</f>
        <v>1129</v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>
        <f ca="1">IF(NOTA[[#This Row],[NAMA BARANG]]="","",INDEX(NOTA[ID],MATCH(,INDIRECT(ADDRESS(ROW(NOTA[ID]),COLUMN(NOTA[ID]))&amp;":"&amp;ADDRESS(ROW(),COLUMN(NOTA[ID]))),-1)))</f>
        <v>68</v>
      </c>
      <c r="E358" s="23"/>
      <c r="F358" s="26"/>
      <c r="G358" s="26"/>
      <c r="H358" s="31"/>
      <c r="I358" s="26"/>
      <c r="J358" s="51"/>
      <c r="K358" s="26"/>
      <c r="L358" s="26" t="s">
        <v>525</v>
      </c>
      <c r="M358" s="39">
        <v>2</v>
      </c>
      <c r="N358" s="26"/>
      <c r="O358" s="26"/>
      <c r="P358" s="49"/>
      <c r="Q358" s="52">
        <v>2170800</v>
      </c>
      <c r="R358" s="39" t="s">
        <v>118</v>
      </c>
      <c r="S358" s="53">
        <v>0.17</v>
      </c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4341600</v>
      </c>
      <c r="X358" s="54">
        <f>IF(NOTA[[#This Row],[JUMLAH]]="","",NOTA[[#This Row],[JUMLAH]]*NOTA[[#This Row],[DISC 1]])</f>
        <v>738072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738072</v>
      </c>
      <c r="AA358" s="54">
        <f>IF(NOTA[[#This Row],[JUMLAH]]="","",NOTA[[#This Row],[JUMLAH]]-NOTA[[#This Row],[DISC]])</f>
        <v>3603528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358" s="54" t="str">
        <f>IF(OR(NOTA[[#This Row],[QTY]]="",NOTA[[#This Row],[HARGA SATUAN]]="",),"",NOTA[[#This Row],[QTY]]*NOTA[[#This Row],[HARGA SATUAN]])</f>
        <v/>
      </c>
      <c r="AF358" s="51">
        <f ca="1">IF(NOTA[ID_H]="","",INDEX(NOTA[TANGGAL],MATCH(,INDIRECT(ADDRESS(ROW(NOTA[TANGGAL]),COLUMN(NOTA[TANGGAL]))&amp;":"&amp;ADDRESS(ROW(),COLUMN(NOTA[TANGGAL]))),-1)))</f>
        <v>44938</v>
      </c>
      <c r="AG358" s="65" t="str">
        <f ca="1">IF(NOTA[[#This Row],[NAMA BARANG]]="","",INDEX(NOTA[SUPPLIER],MATCH(,INDIRECT(ADDRESS(ROW(NOTA[ID]),COLUMN(NOTA[ID]))&amp;":"&amp;ADDRESS(ROW(),COLUMN(NOTA[ID]))),-1)))</f>
        <v>KENKO SINAR INDONESIA</v>
      </c>
      <c r="AH358" s="65" t="str">
        <f ca="1">IF(NOTA[[#This Row],[ID_H]]="","",IF(NOTA[[#This Row],[FAKTUR]]="",INDIRECT(ADDRESS(ROW()-1,COLUMN())),NOTA[[#This Row],[FAKTUR]]))</f>
        <v>ARTO MORO</v>
      </c>
      <c r="AI358" s="38" t="str">
        <f ca="1">IF(NOTA[[#This Row],[ID]]="","",COUNTIF(NOTA[ID_H],NOTA[[#This Row],[ID_H]]))</f>
        <v/>
      </c>
      <c r="AJ358" s="38">
        <f ca="1">IF(NOTA[[#This Row],[TGL.NOTA]]="",IF(NOTA[[#This Row],[SUPPLIER_H]]="","",AJ357),MONTH(NOTA[[#This Row],[TGL.NOTA]]))</f>
        <v>1</v>
      </c>
      <c r="AK358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358" s="193">
        <f>IF(NOTA[[#This Row],[CONCAT1]]="","",MATCH(NOTA[[#This Row],[CONCAT1]],[2]!db[NB NOTA_C],0)+1)</f>
        <v>1094</v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68</v>
      </c>
      <c r="E359" s="23"/>
      <c r="F359" s="26"/>
      <c r="G359" s="26"/>
      <c r="H359" s="31"/>
      <c r="I359" s="26"/>
      <c r="J359" s="51"/>
      <c r="K359" s="26"/>
      <c r="L359" s="26" t="s">
        <v>526</v>
      </c>
      <c r="M359" s="39">
        <v>1</v>
      </c>
      <c r="N359" s="26"/>
      <c r="O359" s="26"/>
      <c r="P359" s="49"/>
      <c r="Q359" s="52">
        <v>844800</v>
      </c>
      <c r="R359" s="39" t="s">
        <v>106</v>
      </c>
      <c r="S359" s="53">
        <v>0.17</v>
      </c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844800</v>
      </c>
      <c r="X359" s="54">
        <f>IF(NOTA[[#This Row],[JUMLAH]]="","",NOTA[[#This Row],[JUMLAH]]*NOTA[[#This Row],[DISC 1]])</f>
        <v>143616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143616</v>
      </c>
      <c r="AA359" s="54">
        <f>IF(NOTA[[#This Row],[JUMLAH]]="","",NOTA[[#This Row],[JUMLAH]]-NOTA[[#This Row],[DISC]])</f>
        <v>701184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59" s="54" t="str">
        <f>IF(OR(NOTA[[#This Row],[QTY]]="",NOTA[[#This Row],[HARGA SATUAN]]="",),"",NOTA[[#This Row],[QTY]]*NOTA[[#This Row],[HARGA SATUAN]])</f>
        <v/>
      </c>
      <c r="AF359" s="51">
        <f ca="1">IF(NOTA[ID_H]="","",INDEX(NOTA[TANGGAL],MATCH(,INDIRECT(ADDRESS(ROW(NOTA[TANGGAL]),COLUMN(NOTA[TANGGAL]))&amp;":"&amp;ADDRESS(ROW(),COLUMN(NOTA[TANGGAL]))),-1)))</f>
        <v>44938</v>
      </c>
      <c r="AG359" s="65" t="str">
        <f ca="1">IF(NOTA[[#This Row],[NAMA BARANG]]="","",INDEX(NOTA[SUPPLIER],MATCH(,INDIRECT(ADDRESS(ROW(NOTA[ID]),COLUMN(NOTA[ID]))&amp;":"&amp;ADDRESS(ROW(),COLUMN(NOTA[ID]))),-1)))</f>
        <v>KENKO SINAR INDONESIA</v>
      </c>
      <c r="AH359" s="65" t="str">
        <f ca="1">IF(NOTA[[#This Row],[ID_H]]="","",IF(NOTA[[#This Row],[FAKTUR]]="",INDIRECT(ADDRESS(ROW()-1,COLUMN())),NOTA[[#This Row],[FAKTUR]]))</f>
        <v>ARTO MORO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1</v>
      </c>
      <c r="AK359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>kenkolooseleafa5ll5020708448000.17</v>
      </c>
      <c r="AM359" s="193">
        <f>IF(NOTA[[#This Row],[CONCAT1]]="","",MATCH(NOTA[[#This Row],[CONCAT1]],[2]!db[NB NOTA_C],0)+1)</f>
        <v>1203</v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68</v>
      </c>
      <c r="E360" s="23"/>
      <c r="F360" s="26"/>
      <c r="G360" s="26"/>
      <c r="H360" s="31"/>
      <c r="I360" s="26"/>
      <c r="J360" s="51"/>
      <c r="K360" s="26"/>
      <c r="L360" s="26" t="s">
        <v>527</v>
      </c>
      <c r="M360" s="39">
        <v>1</v>
      </c>
      <c r="N360" s="26"/>
      <c r="O360" s="26"/>
      <c r="P360" s="49"/>
      <c r="Q360" s="52">
        <v>1040000</v>
      </c>
      <c r="R360" s="39" t="s">
        <v>533</v>
      </c>
      <c r="S360" s="53">
        <v>0.17</v>
      </c>
      <c r="T360" s="53"/>
      <c r="U360" s="54"/>
      <c r="V360" s="37"/>
      <c r="W360" s="54">
        <f>IF(NOTA[[#This Row],[HARGA/ CTN]]="",NOTA[[#This Row],[JUMLAH_H]],NOTA[[#This Row],[HARGA/ CTN]]*IF(NOTA[[#This Row],[C]]="",0,NOTA[[#This Row],[C]]))</f>
        <v>1040000</v>
      </c>
      <c r="X360" s="54">
        <f>IF(NOTA[[#This Row],[JUMLAH]]="","",NOTA[[#This Row],[JUMLAH]]*NOTA[[#This Row],[DISC 1]])</f>
        <v>176800</v>
      </c>
      <c r="Y360" s="54">
        <f>IF(NOTA[[#This Row],[JUMLAH]]="","",(NOTA[[#This Row],[JUMLAH]]-NOTA[[#This Row],[DISC 1-]])*NOTA[[#This Row],[DISC 2]])</f>
        <v>0</v>
      </c>
      <c r="Z360" s="54">
        <f>IF(NOTA[[#This Row],[JUMLAH]]="","",NOTA[[#This Row],[DISC 1-]]+NOTA[[#This Row],[DISC 2-]])</f>
        <v>176800</v>
      </c>
      <c r="AA360" s="54">
        <f>IF(NOTA[[#This Row],[JUMLAH]]="","",NOTA[[#This Row],[JUMLAH]]-NOTA[[#This Row],[DISC]])</f>
        <v>863200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60" s="54" t="str">
        <f>IF(OR(NOTA[[#This Row],[QTY]]="",NOTA[[#This Row],[HARGA SATUAN]]="",),"",NOTA[[#This Row],[QTY]]*NOTA[[#This Row],[HARGA SATUAN]])</f>
        <v/>
      </c>
      <c r="AF360" s="51">
        <f ca="1">IF(NOTA[ID_H]="","",INDEX(NOTA[TANGGAL],MATCH(,INDIRECT(ADDRESS(ROW(NOTA[TANGGAL]),COLUMN(NOTA[TANGGAL]))&amp;":"&amp;ADDRESS(ROW(),COLUMN(NOTA[TANGGAL]))),-1)))</f>
        <v>44938</v>
      </c>
      <c r="AG360" s="65" t="str">
        <f ca="1">IF(NOTA[[#This Row],[NAMA BARANG]]="","",INDEX(NOTA[SUPPLIER],MATCH(,INDIRECT(ADDRESS(ROW(NOTA[ID]),COLUMN(NOTA[ID]))&amp;":"&amp;ADDRESS(ROW(),COLUMN(NOTA[ID]))),-1)))</f>
        <v>KENKO SINAR INDONESIA</v>
      </c>
      <c r="AH360" s="65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1</v>
      </c>
      <c r="AK36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>kenkolooseleafb5ll100267010400000.17</v>
      </c>
      <c r="AM360" s="193">
        <f>IF(NOTA[[#This Row],[CONCAT1]]="","",MATCH(NOTA[[#This Row],[CONCAT1]],[2]!db[NB NOTA_C],0)+1)</f>
        <v>1204</v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68</v>
      </c>
      <c r="E361" s="23"/>
      <c r="F361" s="26"/>
      <c r="G361" s="26"/>
      <c r="H361" s="31"/>
      <c r="I361" s="26"/>
      <c r="J361" s="51"/>
      <c r="K361" s="26"/>
      <c r="L361" s="26" t="s">
        <v>528</v>
      </c>
      <c r="M361" s="39">
        <v>2</v>
      </c>
      <c r="N361" s="26"/>
      <c r="O361" s="26"/>
      <c r="P361" s="49"/>
      <c r="Q361" s="52">
        <v>2008800</v>
      </c>
      <c r="R361" s="39" t="s">
        <v>118</v>
      </c>
      <c r="S361" s="53">
        <v>0.17</v>
      </c>
      <c r="T361" s="53"/>
      <c r="U361" s="54"/>
      <c r="V361" s="37"/>
      <c r="W361" s="54">
        <f>IF(NOTA[[#This Row],[HARGA/ CTN]]="",NOTA[[#This Row],[JUMLAH_H]],NOTA[[#This Row],[HARGA/ CTN]]*IF(NOTA[[#This Row],[C]]="",0,NOTA[[#This Row],[C]]))</f>
        <v>4017600</v>
      </c>
      <c r="X361" s="54">
        <f>IF(NOTA[[#This Row],[JUMLAH]]="","",NOTA[[#This Row],[JUMLAH]]*NOTA[[#This Row],[DISC 1]])</f>
        <v>682992</v>
      </c>
      <c r="Y361" s="54">
        <f>IF(NOTA[[#This Row],[JUMLAH]]="","",(NOTA[[#This Row],[JUMLAH]]-NOTA[[#This Row],[DISC 1-]])*NOTA[[#This Row],[DISC 2]])</f>
        <v>0</v>
      </c>
      <c r="Z361" s="54">
        <f>IF(NOTA[[#This Row],[JUMLAH]]="","",NOTA[[#This Row],[DISC 1-]]+NOTA[[#This Row],[DISC 2-]])</f>
        <v>682992</v>
      </c>
      <c r="AA361" s="54">
        <f>IF(NOTA[[#This Row],[JUMLAH]]="","",NOTA[[#This Row],[JUMLAH]]-NOTA[[#This Row],[DISC]])</f>
        <v>3334608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61" s="54" t="str">
        <f>IF(OR(NOTA[[#This Row],[QTY]]="",NOTA[[#This Row],[HARGA SATUAN]]="",),"",NOTA[[#This Row],[QTY]]*NOTA[[#This Row],[HARGA SATUAN]])</f>
        <v/>
      </c>
      <c r="AF361" s="51">
        <f ca="1">IF(NOTA[ID_H]="","",INDEX(NOTA[TANGGAL],MATCH(,INDIRECT(ADDRESS(ROW(NOTA[TANGGAL]),COLUMN(NOTA[TANGGAL]))&amp;":"&amp;ADDRESS(ROW(),COLUMN(NOTA[TANGGAL]))),-1)))</f>
        <v>44938</v>
      </c>
      <c r="AG361" s="65" t="str">
        <f ca="1">IF(NOTA[[#This Row],[NAMA BARANG]]="","",INDEX(NOTA[SUPPLIER],MATCH(,INDIRECT(ADDRESS(ROW(NOTA[ID]),COLUMN(NOTA[ID]))&amp;":"&amp;ADDRESS(ROW(),COLUMN(NOTA[ID]))),-1)))</f>
        <v>KENKO SINAR INDONESIA</v>
      </c>
      <c r="AH361" s="65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1</v>
      </c>
      <c r="AK36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361" s="193">
        <f>IF(NOTA[[#This Row],[CONCAT1]]="","",MATCH(NOTA[[#This Row],[CONCAT1]],[2]!db[NB NOTA_C],0)+1)</f>
        <v>1090</v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68</v>
      </c>
      <c r="E362" s="23"/>
      <c r="F362" s="26"/>
      <c r="G362" s="26"/>
      <c r="H362" s="31"/>
      <c r="I362" s="26"/>
      <c r="J362" s="51"/>
      <c r="K362" s="26"/>
      <c r="L362" s="26" t="s">
        <v>135</v>
      </c>
      <c r="M362" s="39">
        <v>2</v>
      </c>
      <c r="N362" s="26"/>
      <c r="O362" s="26"/>
      <c r="P362" s="49"/>
      <c r="Q362" s="52">
        <v>462000</v>
      </c>
      <c r="R362" s="39" t="s">
        <v>130</v>
      </c>
      <c r="S362" s="53">
        <v>0.17</v>
      </c>
      <c r="T362" s="53"/>
      <c r="U362" s="54"/>
      <c r="V362" s="37"/>
      <c r="W362" s="54">
        <f>IF(NOTA[[#This Row],[HARGA/ CTN]]="",NOTA[[#This Row],[JUMLAH_H]],NOTA[[#This Row],[HARGA/ CTN]]*IF(NOTA[[#This Row],[C]]="",0,NOTA[[#This Row],[C]]))</f>
        <v>924000</v>
      </c>
      <c r="X362" s="54">
        <f>IF(NOTA[[#This Row],[JUMLAH]]="","",NOTA[[#This Row],[JUMLAH]]*NOTA[[#This Row],[DISC 1]])</f>
        <v>157080</v>
      </c>
      <c r="Y362" s="54">
        <f>IF(NOTA[[#This Row],[JUMLAH]]="","",(NOTA[[#This Row],[JUMLAH]]-NOTA[[#This Row],[DISC 1-]])*NOTA[[#This Row],[DISC 2]])</f>
        <v>0</v>
      </c>
      <c r="Z362" s="54">
        <f>IF(NOTA[[#This Row],[JUMLAH]]="","",NOTA[[#This Row],[DISC 1-]]+NOTA[[#This Row],[DISC 2-]])</f>
        <v>157080</v>
      </c>
      <c r="AA362" s="54">
        <f>IF(NOTA[[#This Row],[JUMLAH]]="","",NOTA[[#This Row],[JUMLAH]]-NOTA[[#This Row],[DISC]])</f>
        <v>766920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62" s="54" t="str">
        <f>IF(OR(NOTA[[#This Row],[QTY]]="",NOTA[[#This Row],[HARGA SATUAN]]="",),"",NOTA[[#This Row],[QTY]]*NOTA[[#This Row],[HARGA SATUAN]])</f>
        <v/>
      </c>
      <c r="AF362" s="51">
        <f ca="1">IF(NOTA[ID_H]="","",INDEX(NOTA[TANGGAL],MATCH(,INDIRECT(ADDRESS(ROW(NOTA[TANGGAL]),COLUMN(NOTA[TANGGAL]))&amp;":"&amp;ADDRESS(ROW(),COLUMN(NOTA[TANGGAL]))),-1)))</f>
        <v>44938</v>
      </c>
      <c r="AG362" s="65" t="str">
        <f ca="1">IF(NOTA[[#This Row],[NAMA BARANG]]="","",INDEX(NOTA[SUPPLIER],MATCH(,INDIRECT(ADDRESS(ROW(NOTA[ID]),COLUMN(NOTA[ID]))&amp;":"&amp;ADDRESS(ROW(),COLUMN(NOTA[ID]))),-1)))</f>
        <v>KENKO SINAR INDONESIA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1</v>
      </c>
      <c r="AK3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62" s="193">
        <f>IF(NOTA[[#This Row],[CONCAT1]]="","",MATCH(NOTA[[#This Row],[CONCAT1]],[2]!db[NB NOTA_C],0)+1)</f>
        <v>1296</v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68</v>
      </c>
      <c r="E363" s="23"/>
      <c r="F363" s="26"/>
      <c r="G363" s="26"/>
      <c r="H363" s="31"/>
      <c r="I363" s="26"/>
      <c r="J363" s="51"/>
      <c r="K363" s="26"/>
      <c r="L363" s="26" t="s">
        <v>529</v>
      </c>
      <c r="M363" s="39">
        <v>1</v>
      </c>
      <c r="N363" s="26"/>
      <c r="O363" s="26"/>
      <c r="P363" s="49"/>
      <c r="Q363" s="52">
        <v>762000</v>
      </c>
      <c r="R363" s="39" t="s">
        <v>132</v>
      </c>
      <c r="S363" s="53">
        <v>0.17</v>
      </c>
      <c r="T363" s="53"/>
      <c r="U363" s="54"/>
      <c r="V363" s="37"/>
      <c r="W363" s="54">
        <f>IF(NOTA[[#This Row],[HARGA/ CTN]]="",NOTA[[#This Row],[JUMLAH_H]],NOTA[[#This Row],[HARGA/ CTN]]*IF(NOTA[[#This Row],[C]]="",0,NOTA[[#This Row],[C]]))</f>
        <v>762000</v>
      </c>
      <c r="X363" s="54">
        <f>IF(NOTA[[#This Row],[JUMLAH]]="","",NOTA[[#This Row],[JUMLAH]]*NOTA[[#This Row],[DISC 1]])</f>
        <v>129540.00000000001</v>
      </c>
      <c r="Y363" s="54">
        <f>IF(NOTA[[#This Row],[JUMLAH]]="","",(NOTA[[#This Row],[JUMLAH]]-NOTA[[#This Row],[DISC 1-]])*NOTA[[#This Row],[DISC 2]])</f>
        <v>0</v>
      </c>
      <c r="Z363" s="54">
        <f>IF(NOTA[[#This Row],[JUMLAH]]="","",NOTA[[#This Row],[DISC 1-]]+NOTA[[#This Row],[DISC 2-]])</f>
        <v>129540.00000000001</v>
      </c>
      <c r="AA363" s="54">
        <f>IF(NOTA[[#This Row],[JUMLAH]]="","",NOTA[[#This Row],[JUMLAH]]-NOTA[[#This Row],[DISC]])</f>
        <v>632460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E363" s="54" t="str">
        <f>IF(OR(NOTA[[#This Row],[QTY]]="",NOTA[[#This Row],[HARGA SATUAN]]="",),"",NOTA[[#This Row],[QTY]]*NOTA[[#This Row],[HARGA SATUAN]])</f>
        <v/>
      </c>
      <c r="AF363" s="51">
        <f ca="1">IF(NOTA[ID_H]="","",INDEX(NOTA[TANGGAL],MATCH(,INDIRECT(ADDRESS(ROW(NOTA[TANGGAL]),COLUMN(NOTA[TANGGAL]))&amp;":"&amp;ADDRESS(ROW(),COLUMN(NOTA[TANGGAL]))),-1)))</f>
        <v>44938</v>
      </c>
      <c r="AG363" s="65" t="str">
        <f ca="1">IF(NOTA[[#This Row],[NAMA BARANG]]="","",INDEX(NOTA[SUPPLIER],MATCH(,INDIRECT(ADDRESS(ROW(NOTA[ID]),COLUMN(NOTA[ID]))&amp;":"&amp;ADDRESS(ROW(),COLUMN(NOTA[ID]))),-1)))</f>
        <v>KENKO SINAR INDONESIA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1</v>
      </c>
      <c r="AK363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>kenkoclothtape24mmbluecoreblackbt7620000.17</v>
      </c>
      <c r="AM363" s="193">
        <f>IF(NOTA[[#This Row],[CONCAT1]]="","",MATCH(NOTA[[#This Row],[CONCAT1]],[2]!db[NB NOTA_C],0)+1)</f>
        <v>1065</v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68</v>
      </c>
      <c r="E364" s="23"/>
      <c r="F364" s="26"/>
      <c r="G364" s="26"/>
      <c r="H364" s="31"/>
      <c r="I364" s="26"/>
      <c r="J364" s="51"/>
      <c r="K364" s="26"/>
      <c r="L364" s="26" t="s">
        <v>530</v>
      </c>
      <c r="M364" s="39">
        <v>2</v>
      </c>
      <c r="N364" s="26"/>
      <c r="O364" s="26"/>
      <c r="P364" s="49"/>
      <c r="Q364" s="52">
        <v>732000</v>
      </c>
      <c r="R364" s="39" t="s">
        <v>534</v>
      </c>
      <c r="S364" s="53">
        <v>0.17</v>
      </c>
      <c r="T364" s="53"/>
      <c r="U364" s="54"/>
      <c r="V364" s="37"/>
      <c r="W364" s="54">
        <f>IF(NOTA[[#This Row],[HARGA/ CTN]]="",NOTA[[#This Row],[JUMLAH_H]],NOTA[[#This Row],[HARGA/ CTN]]*IF(NOTA[[#This Row],[C]]="",0,NOTA[[#This Row],[C]]))</f>
        <v>1464000</v>
      </c>
      <c r="X364" s="54">
        <f>IF(NOTA[[#This Row],[JUMLAH]]="","",NOTA[[#This Row],[JUMLAH]]*NOTA[[#This Row],[DISC 1]])</f>
        <v>248880.00000000003</v>
      </c>
      <c r="Y364" s="54">
        <f>IF(NOTA[[#This Row],[JUMLAH]]="","",(NOTA[[#This Row],[JUMLAH]]-NOTA[[#This Row],[DISC 1-]])*NOTA[[#This Row],[DISC 2]])</f>
        <v>0</v>
      </c>
      <c r="Z364" s="54">
        <f>IF(NOTA[[#This Row],[JUMLAH]]="","",NOTA[[#This Row],[DISC 1-]]+NOTA[[#This Row],[DISC 2-]])</f>
        <v>248880.00000000003</v>
      </c>
      <c r="AA364" s="54">
        <f>IF(NOTA[[#This Row],[JUMLAH]]="","",NOTA[[#This Row],[JUMLAH]]-NOTA[[#This Row],[DISC]])</f>
        <v>1215120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4" s="54" t="str">
        <f>IF(OR(NOTA[[#This Row],[QTY]]="",NOTA[[#This Row],[HARGA SATUAN]]="",),"",NOTA[[#This Row],[QTY]]*NOTA[[#This Row],[HARGA SATUAN]])</f>
        <v/>
      </c>
      <c r="AF364" s="51">
        <f ca="1">IF(NOTA[ID_H]="","",INDEX(NOTA[TANGGAL],MATCH(,INDIRECT(ADDRESS(ROW(NOTA[TANGGAL]),COLUMN(NOTA[TANGGAL]))&amp;":"&amp;ADDRESS(ROW(),COLUMN(NOTA[TANGGAL]))),-1)))</f>
        <v>44938</v>
      </c>
      <c r="AG364" s="65" t="str">
        <f ca="1">IF(NOTA[[#This Row],[NAMA BARANG]]="","",INDEX(NOTA[SUPPLIER],MATCH(,INDIRECT(ADDRESS(ROW(NOTA[ID]),COLUMN(NOTA[ID]))&amp;":"&amp;ADDRESS(ROW(),COLUMN(NOTA[ID]))),-1)))</f>
        <v>KENKO SINAR INDONESIA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1</v>
      </c>
      <c r="AK364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>kenkoclothtape36mmbluecoreblackbt7320000.17</v>
      </c>
      <c r="AM364" s="193">
        <f>IF(NOTA[[#This Row],[CONCAT1]]="","",MATCH(NOTA[[#This Row],[CONCAT1]],[2]!db[NB NOTA_C],0)+1)</f>
        <v>1069</v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68</v>
      </c>
      <c r="E365" s="23"/>
      <c r="F365" s="26"/>
      <c r="G365" s="26"/>
      <c r="H365" s="31"/>
      <c r="I365" s="26"/>
      <c r="J365" s="51"/>
      <c r="K365" s="26"/>
      <c r="L365" s="26" t="s">
        <v>531</v>
      </c>
      <c r="M365" s="39">
        <v>2</v>
      </c>
      <c r="N365" s="26"/>
      <c r="O365" s="26"/>
      <c r="P365" s="49"/>
      <c r="Q365" s="52">
        <v>732000</v>
      </c>
      <c r="R365" s="39" t="s">
        <v>535</v>
      </c>
      <c r="S365" s="53">
        <v>0.17</v>
      </c>
      <c r="T365" s="53"/>
      <c r="U365" s="54"/>
      <c r="V365" s="37"/>
      <c r="W365" s="54">
        <f>IF(NOTA[[#This Row],[HARGA/ CTN]]="",NOTA[[#This Row],[JUMLAH_H]],NOTA[[#This Row],[HARGA/ CTN]]*IF(NOTA[[#This Row],[C]]="",0,NOTA[[#This Row],[C]]))</f>
        <v>1464000</v>
      </c>
      <c r="X365" s="54">
        <f>IF(NOTA[[#This Row],[JUMLAH]]="","",NOTA[[#This Row],[JUMLAH]]*NOTA[[#This Row],[DISC 1]])</f>
        <v>248880.00000000003</v>
      </c>
      <c r="Y365" s="54">
        <f>IF(NOTA[[#This Row],[JUMLAH]]="","",(NOTA[[#This Row],[JUMLAH]]-NOTA[[#This Row],[DISC 1-]])*NOTA[[#This Row],[DISC 2]])</f>
        <v>0</v>
      </c>
      <c r="Z365" s="54">
        <f>IF(NOTA[[#This Row],[JUMLAH]]="","",NOTA[[#This Row],[DISC 1-]]+NOTA[[#This Row],[DISC 2-]])</f>
        <v>248880.00000000003</v>
      </c>
      <c r="AA365" s="54">
        <f>IF(NOTA[[#This Row],[JUMLAH]]="","",NOTA[[#This Row],[JUMLAH]]-NOTA[[#This Row],[DISC]])</f>
        <v>1215120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5" s="54" t="str">
        <f>IF(OR(NOTA[[#This Row],[QTY]]="",NOTA[[#This Row],[HARGA SATUAN]]="",),"",NOTA[[#This Row],[QTY]]*NOTA[[#This Row],[HARGA SATUAN]])</f>
        <v/>
      </c>
      <c r="AF365" s="51">
        <f ca="1">IF(NOTA[ID_H]="","",INDEX(NOTA[TANGGAL],MATCH(,INDIRECT(ADDRESS(ROW(NOTA[TANGGAL]),COLUMN(NOTA[TANGGAL]))&amp;":"&amp;ADDRESS(ROW(),COLUMN(NOTA[TANGGAL]))),-1)))</f>
        <v>44938</v>
      </c>
      <c r="AG365" s="65" t="str">
        <f ca="1">IF(NOTA[[#This Row],[NAMA BARANG]]="","",INDEX(NOTA[SUPPLIER],MATCH(,INDIRECT(ADDRESS(ROW(NOTA[ID]),COLUMN(NOTA[ID]))&amp;":"&amp;ADDRESS(ROW(),COLUMN(NOTA[ID]))),-1)))</f>
        <v>KENKO SINAR INDONESIA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1</v>
      </c>
      <c r="AK365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>kenkoclothtape48mmbluecoreblackbt7320000.17</v>
      </c>
      <c r="AM365" s="193">
        <f>IF(NOTA[[#This Row],[CONCAT1]]="","",MATCH(NOTA[[#This Row],[CONCAT1]],[2]!db[NB NOTA_C],0)+1)</f>
        <v>1073</v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93" t="str">
        <f>IF(NOTA[[#This Row],[CONCAT1]]="","",MATCH(NOTA[[#This Row],[CONCAT1]],[2]!db[NB NOTA_C],0)+1)</f>
        <v/>
      </c>
    </row>
    <row r="367" spans="1:39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69</v>
      </c>
      <c r="E367" s="23"/>
      <c r="F367" s="26" t="s">
        <v>23</v>
      </c>
      <c r="G367" s="26" t="s">
        <v>24</v>
      </c>
      <c r="H367" s="31" t="s">
        <v>532</v>
      </c>
      <c r="I367" s="26" t="s">
        <v>537</v>
      </c>
      <c r="J367" s="51">
        <v>44936</v>
      </c>
      <c r="K367" s="26"/>
      <c r="L367" s="26" t="s">
        <v>127</v>
      </c>
      <c r="M367" s="39">
        <v>2</v>
      </c>
      <c r="N367" s="26"/>
      <c r="O367" s="26"/>
      <c r="P367" s="49"/>
      <c r="Q367" s="52">
        <v>1860000</v>
      </c>
      <c r="R367" s="39" t="s">
        <v>119</v>
      </c>
      <c r="S367" s="53">
        <v>0.17</v>
      </c>
      <c r="T367" s="53"/>
      <c r="U367" s="54"/>
      <c r="V367" s="37"/>
      <c r="W367" s="54">
        <f>IF(NOTA[[#This Row],[HARGA/ CTN]]="",NOTA[[#This Row],[JUMLAH_H]],NOTA[[#This Row],[HARGA/ CTN]]*IF(NOTA[[#This Row],[C]]="",0,NOTA[[#This Row],[C]]))</f>
        <v>3720000</v>
      </c>
      <c r="X367" s="54">
        <f>IF(NOTA[[#This Row],[JUMLAH]]="","",NOTA[[#This Row],[JUMLAH]]*NOTA[[#This Row],[DISC 1]])</f>
        <v>632400</v>
      </c>
      <c r="Y367" s="54">
        <f>IF(NOTA[[#This Row],[JUMLAH]]="","",(NOTA[[#This Row],[JUMLAH]]-NOTA[[#This Row],[DISC 1-]])*NOTA[[#This Row],[DISC 2]])</f>
        <v>0</v>
      </c>
      <c r="Z367" s="54">
        <f>IF(NOTA[[#This Row],[JUMLAH]]="","",NOTA[[#This Row],[DISC 1-]]+NOTA[[#This Row],[DISC 2-]])</f>
        <v>632400</v>
      </c>
      <c r="AA367" s="54">
        <f>IF(NOTA[[#This Row],[JUMLAH]]="","",NOTA[[#This Row],[JUMLAH]]-NOTA[[#This Row],[DISC]])</f>
        <v>3087600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367" s="54" t="str">
        <f>IF(OR(NOTA[[#This Row],[QTY]]="",NOTA[[#This Row],[HARGA SATUAN]]="",),"",NOTA[[#This Row],[QTY]]*NOTA[[#This Row],[HARGA SATUAN]])</f>
        <v/>
      </c>
      <c r="AF367" s="51">
        <f ca="1">IF(NOTA[ID_H]="","",INDEX(NOTA[TANGGAL],MATCH(,INDIRECT(ADDRESS(ROW(NOTA[TANGGAL]),COLUMN(NOTA[TANGGAL]))&amp;":"&amp;ADDRESS(ROW(),COLUMN(NOTA[TANGGAL]))),-1)))</f>
        <v>44938</v>
      </c>
      <c r="AG367" s="65" t="str">
        <f ca="1">IF(NOTA[[#This Row],[NAMA BARANG]]="","",INDEX(NOTA[SUPPLIER],MATCH(,INDIRECT(ADDRESS(ROW(NOTA[ID]),COLUMN(NOTA[ID]))&amp;":"&amp;ADDRESS(ROW(),COLUMN(NOTA[ID]))),-1)))</f>
        <v>KENKO SINAR INDONESIA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2</v>
      </c>
      <c r="AJ367" s="38">
        <f>IF(NOTA[[#This Row],[TGL.NOTA]]="",IF(NOTA[[#This Row],[SUPPLIER_H]]="","",AJ366),MONTH(NOTA[[#This Row],[TGL.NOTA]]))</f>
        <v>1</v>
      </c>
      <c r="AK367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367" s="193">
        <f>IF(NOTA[[#This Row],[CONCAT1]]="","",MATCH(NOTA[[#This Row],[CONCAT1]],[2]!db[NB NOTA_C],0)+1)</f>
        <v>1281</v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69</v>
      </c>
      <c r="E368" s="23"/>
      <c r="F368" s="26"/>
      <c r="G368" s="26"/>
      <c r="H368" s="31"/>
      <c r="I368" s="26"/>
      <c r="J368" s="51"/>
      <c r="K368" s="26"/>
      <c r="L368" s="26" t="s">
        <v>358</v>
      </c>
      <c r="M368" s="39">
        <v>2</v>
      </c>
      <c r="N368" s="26"/>
      <c r="O368" s="26"/>
      <c r="P368" s="49"/>
      <c r="Q368" s="52">
        <v>2280000</v>
      </c>
      <c r="R368" s="39" t="s">
        <v>367</v>
      </c>
      <c r="S368" s="53">
        <v>0.17</v>
      </c>
      <c r="T368" s="53"/>
      <c r="U368" s="54"/>
      <c r="V368" s="37"/>
      <c r="W368" s="54">
        <f>IF(NOTA[[#This Row],[HARGA/ CTN]]="",NOTA[[#This Row],[JUMLAH_H]],NOTA[[#This Row],[HARGA/ CTN]]*IF(NOTA[[#This Row],[C]]="",0,NOTA[[#This Row],[C]]))</f>
        <v>4560000</v>
      </c>
      <c r="X368" s="54">
        <f>IF(NOTA[[#This Row],[JUMLAH]]="","",NOTA[[#This Row],[JUMLAH]]*NOTA[[#This Row],[DISC 1]])</f>
        <v>775200</v>
      </c>
      <c r="Y368" s="54">
        <f>IF(NOTA[[#This Row],[JUMLAH]]="","",(NOTA[[#This Row],[JUMLAH]]-NOTA[[#This Row],[DISC 1-]])*NOTA[[#This Row],[DISC 2]])</f>
        <v>0</v>
      </c>
      <c r="Z368" s="54">
        <f>IF(NOTA[[#This Row],[JUMLAH]]="","",NOTA[[#This Row],[DISC 1-]]+NOTA[[#This Row],[DISC 2-]])</f>
        <v>775200</v>
      </c>
      <c r="AA368" s="54">
        <f>IF(NOTA[[#This Row],[JUMLAH]]="","",NOTA[[#This Row],[JUMLAH]]-NOTA[[#This Row],[DISC]])</f>
        <v>3784800</v>
      </c>
      <c r="AB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368" s="54" t="str">
        <f>IF(OR(NOTA[[#This Row],[QTY]]="",NOTA[[#This Row],[HARGA SATUAN]]="",),"",NOTA[[#This Row],[QTY]]*NOTA[[#This Row],[HARGA SATUAN]])</f>
        <v/>
      </c>
      <c r="AF368" s="51">
        <f ca="1">IF(NOTA[ID_H]="","",INDEX(NOTA[TANGGAL],MATCH(,INDIRECT(ADDRESS(ROW(NOTA[TANGGAL]),COLUMN(NOTA[TANGGAL]))&amp;":"&amp;ADDRESS(ROW(),COLUMN(NOTA[TANGGAL]))),-1)))</f>
        <v>44938</v>
      </c>
      <c r="AG368" s="65" t="str">
        <f ca="1">IF(NOTA[[#This Row],[NAMA BARANG]]="","",INDEX(NOTA[SUPPLIER],MATCH(,INDIRECT(ADDRESS(ROW(NOTA[ID]),COLUMN(NOTA[ID]))&amp;":"&amp;ADDRESS(ROW(),COLUMN(NOTA[ID]))),-1)))</f>
        <v>KENKO SINAR INDONESIA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1</v>
      </c>
      <c r="AK36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368" s="193">
        <f>IF(NOTA[[#This Row],[CONCAT1]]="","",MATCH(NOTA[[#This Row],[CONCAT1]],[2]!db[NB NOTA_C],0)+1)</f>
        <v>1287</v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93" t="str">
        <f>IF(NOTA[[#This Row],[CONCAT1]]="","",MATCH(NOTA[[#This Row],[CONCAT1]],[2]!db[NB NOTA_C],0)+1)</f>
        <v/>
      </c>
    </row>
    <row r="370" spans="1:39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0" s="50" t="e">
        <f ca="1">IF(NOTA[[#This Row],[ID_P]]="","",MATCH(NOTA[[#This Row],[ID_P]],[1]!B_MSK[N_ID],0))</f>
        <v>#REF!</v>
      </c>
      <c r="D370" s="50">
        <f ca="1">IF(NOTA[[#This Row],[NAMA BARANG]]="","",INDEX(NOTA[ID],MATCH(,INDIRECT(ADDRESS(ROW(NOTA[ID]),COLUMN(NOTA[ID]))&amp;":"&amp;ADDRESS(ROW(),COLUMN(NOTA[ID]))),-1)))</f>
        <v>70</v>
      </c>
      <c r="E370" s="23"/>
      <c r="F370" s="26" t="s">
        <v>538</v>
      </c>
      <c r="G370" s="26" t="s">
        <v>87</v>
      </c>
      <c r="H370" s="31" t="s">
        <v>539</v>
      </c>
      <c r="I370" s="26"/>
      <c r="J370" s="51">
        <v>44937</v>
      </c>
      <c r="K370" s="26"/>
      <c r="L370" s="26" t="s">
        <v>540</v>
      </c>
      <c r="M370" s="39">
        <v>10</v>
      </c>
      <c r="N370" s="26">
        <v>480</v>
      </c>
      <c r="O370" s="26" t="s">
        <v>90</v>
      </c>
      <c r="P370" s="49">
        <v>36000</v>
      </c>
      <c r="Q370" s="52"/>
      <c r="R370" s="39" t="s">
        <v>105</v>
      </c>
      <c r="S370" s="53">
        <v>0.12</v>
      </c>
      <c r="T370" s="53"/>
      <c r="U370" s="54"/>
      <c r="V370" s="37"/>
      <c r="W370" s="54">
        <f>IF(NOTA[[#This Row],[HARGA/ CTN]]="",NOTA[[#This Row],[JUMLAH_H]],NOTA[[#This Row],[HARGA/ CTN]]*IF(NOTA[[#This Row],[C]]="",0,NOTA[[#This Row],[C]]))</f>
        <v>17280000</v>
      </c>
      <c r="X370" s="54">
        <f>IF(NOTA[[#This Row],[JUMLAH]]="","",NOTA[[#This Row],[JUMLAH]]*NOTA[[#This Row],[DISC 1]])</f>
        <v>2073600</v>
      </c>
      <c r="Y370" s="54">
        <f>IF(NOTA[[#This Row],[JUMLAH]]="","",(NOTA[[#This Row],[JUMLAH]]-NOTA[[#This Row],[DISC 1-]])*NOTA[[#This Row],[DISC 2]])</f>
        <v>0</v>
      </c>
      <c r="Z370" s="54">
        <f>IF(NOTA[[#This Row],[JUMLAH]]="","",NOTA[[#This Row],[DISC 1-]]+NOTA[[#This Row],[DISC 2-]])</f>
        <v>2073600</v>
      </c>
      <c r="AA370" s="54">
        <f>IF(NOTA[[#This Row],[JUMLAH]]="","",NOTA[[#This Row],[JUMLAH]]-NOTA[[#This Row],[DISC]])</f>
        <v>15206400</v>
      </c>
      <c r="AB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C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70" s="54">
        <f>IF(OR(NOTA[[#This Row],[QTY]]="",NOTA[[#This Row],[HARGA SATUAN]]="",),"",NOTA[[#This Row],[QTY]]*NOTA[[#This Row],[HARGA SATUAN]])</f>
        <v>17280000</v>
      </c>
      <c r="AF370" s="51">
        <f ca="1">IF(NOTA[ID_H]="","",INDEX(NOTA[TANGGAL],MATCH(,INDIRECT(ADDRESS(ROW(NOTA[TANGGAL]),COLUMN(NOTA[TANGGAL]))&amp;":"&amp;ADDRESS(ROW(),COLUMN(NOTA[TANGGAL]))),-1)))</f>
        <v>44938</v>
      </c>
      <c r="AG370" s="65" t="str">
        <f ca="1">IF(NOTA[[#This Row],[NAMA BARANG]]="","",INDEX(NOTA[SUPPLIER],MATCH(,INDIRECT(ADDRESS(ROW(NOTA[ID]),COLUMN(NOTA[ID]))&amp;":"&amp;ADDRESS(ROW(),COLUMN(NOTA[ID]))),-1)))</f>
        <v>D-R</v>
      </c>
      <c r="AH370" s="65" t="str">
        <f ca="1">IF(NOTA[[#This Row],[ID_H]]="","",IF(NOTA[[#This Row],[FAKTUR]]="",INDIRECT(ADDRESS(ROW()-1,COLUMN())),NOTA[[#This Row],[FAKTUR]]))</f>
        <v>UNTANA</v>
      </c>
      <c r="AI370" s="38">
        <f ca="1">IF(NOTA[[#This Row],[ID]]="","",COUNTIF(NOTA[ID_H],NOTA[[#This Row],[ID_H]]))</f>
        <v>1</v>
      </c>
      <c r="AJ370" s="38">
        <f>IF(NOTA[[#This Row],[TGL.NOTA]]="",IF(NOTA[[#This Row],[SUPPLIER_H]]="","",AJ369),MONTH(NOTA[[#This Row],[TGL.NOTA]]))</f>
        <v>1</v>
      </c>
      <c r="AK370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>guntingjuniorj100junior17280000.12</v>
      </c>
      <c r="AM370" s="193">
        <f>IF(NOTA[[#This Row],[CONCAT1]]="","",MATCH(NOTA[[#This Row],[CONCAT1]],[2]!db[NB NOTA_C],0)+1)</f>
        <v>941</v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93" t="str">
        <f>IF(NOTA[[#This Row],[CONCAT1]]="","",MATCH(NOTA[[#This Row],[CONCAT1]],[2]!db[NB NOTA_C],0)+1)</f>
        <v/>
      </c>
    </row>
    <row r="372" spans="1:39" ht="20.100000000000001" customHeight="1" x14ac:dyDescent="0.25">
      <c r="A372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KEN_1201_-4</v>
      </c>
      <c r="C372" s="50" t="e">
        <f ca="1">IF(NOTA[[#This Row],[ID_P]]="","",MATCH(NOTA[[#This Row],[ID_P]],[1]!B_MSK[N_ID],0))</f>
        <v>#REF!</v>
      </c>
      <c r="D372" s="50">
        <f ca="1">IF(NOTA[[#This Row],[NAMA BARANG]]="","",INDEX(NOTA[ID],MATCH(,INDIRECT(ADDRESS(ROW(NOTA[ID]),COLUMN(NOTA[ID]))&amp;":"&amp;ADDRESS(ROW(),COLUMN(NOTA[ID]))),-1)))</f>
        <v>71</v>
      </c>
      <c r="E372" s="23"/>
      <c r="F372" s="26" t="s">
        <v>23</v>
      </c>
      <c r="G372" s="26" t="s">
        <v>24</v>
      </c>
      <c r="H372" s="31"/>
      <c r="I372" s="26"/>
      <c r="J372" s="51"/>
      <c r="K372" s="26"/>
      <c r="L372" s="26" t="s">
        <v>544</v>
      </c>
      <c r="M372" s="39">
        <v>2</v>
      </c>
      <c r="N372" s="26">
        <v>40</v>
      </c>
      <c r="O372" s="26" t="s">
        <v>95</v>
      </c>
      <c r="P372" s="49">
        <v>42000</v>
      </c>
      <c r="Q372" s="52"/>
      <c r="R372" s="39" t="s">
        <v>364</v>
      </c>
      <c r="S372" s="53">
        <v>0.17</v>
      </c>
      <c r="T372" s="53"/>
      <c r="U372" s="54"/>
      <c r="V372" s="37"/>
      <c r="W372" s="54">
        <f>IF(NOTA[[#This Row],[HARGA/ CTN]]="",NOTA[[#This Row],[JUMLAH_H]],NOTA[[#This Row],[HARGA/ CTN]]*IF(NOTA[[#This Row],[C]]="",0,NOTA[[#This Row],[C]]))</f>
        <v>1680000</v>
      </c>
      <c r="X372" s="54">
        <f>IF(NOTA[[#This Row],[JUMLAH]]="","",NOTA[[#This Row],[JUMLAH]]*NOTA[[#This Row],[DISC 1]])</f>
        <v>285600</v>
      </c>
      <c r="Y372" s="54">
        <f>IF(NOTA[[#This Row],[JUMLAH]]="","",(NOTA[[#This Row],[JUMLAH]]-NOTA[[#This Row],[DISC 1-]])*NOTA[[#This Row],[DISC 2]])</f>
        <v>0</v>
      </c>
      <c r="Z372" s="54">
        <f>IF(NOTA[[#This Row],[JUMLAH]]="","",NOTA[[#This Row],[DISC 1-]]+NOTA[[#This Row],[DISC 2-]])</f>
        <v>285600</v>
      </c>
      <c r="AA372" s="54">
        <f>IF(NOTA[[#This Row],[JUMLAH]]="","",NOTA[[#This Row],[JUMLAH]]-NOTA[[#This Row],[DISC]])</f>
        <v>1394400</v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372" s="54">
        <f>IF(OR(NOTA[[#This Row],[QTY]]="",NOTA[[#This Row],[HARGA SATUAN]]="",),"",NOTA[[#This Row],[QTY]]*NOTA[[#This Row],[HARGA SATUAN]])</f>
        <v>1680000</v>
      </c>
      <c r="AF372" s="51">
        <f ca="1">IF(NOTA[ID_H]="","",INDEX(NOTA[TANGGAL],MATCH(,INDIRECT(ADDRESS(ROW(NOTA[TANGGAL]),COLUMN(NOTA[TANGGAL]))&amp;":"&amp;ADDRESS(ROW(),COLUMN(NOTA[TANGGAL]))),-1)))</f>
        <v>44938</v>
      </c>
      <c r="AG372" s="65" t="str">
        <f ca="1">IF(NOTA[[#This Row],[NAMA BARANG]]="","",INDEX(NOTA[SUPPLIER],MATCH(,INDIRECT(ADDRESS(ROW(NOTA[ID]),COLUMN(NOTA[ID]))&amp;":"&amp;ADDRESS(ROW(),COLUMN(NOTA[ID]))),-1)))</f>
        <v>KENKO SINAR INDONESIA</v>
      </c>
      <c r="AH372" s="65" t="str">
        <f ca="1">IF(NOTA[[#This Row],[ID_H]]="","",IF(NOTA[[#This Row],[FAKTUR]]="",INDIRECT(ADDRESS(ROW()-1,COLUMN())),NOTA[[#This Row],[FAKTUR]]))</f>
        <v>ARTO MORO</v>
      </c>
      <c r="AI372" s="38">
        <f ca="1">IF(NOTA[[#This Row],[ID]]="","",COUNTIF(NOTA[ID_H],NOTA[[#This Row],[ID_H]]))</f>
        <v>4</v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>staples2310</v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>staples23108400000.17</v>
      </c>
      <c r="AM372" s="193" t="e">
        <f>IF(NOTA[[#This Row],[CONCAT1]]="","",MATCH(NOTA[[#This Row],[CONCAT1]],[2]!db[NB NOTA_C],0)+1)</f>
        <v>#N/A</v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>
        <f ca="1">IF(NOTA[[#This Row],[NAMA BARANG]]="","",INDEX(NOTA[ID],MATCH(,INDIRECT(ADDRESS(ROW(NOTA[ID]),COLUMN(NOTA[ID]))&amp;":"&amp;ADDRESS(ROW(),COLUMN(NOTA[ID]))),-1)))</f>
        <v>71</v>
      </c>
      <c r="E373" s="23"/>
      <c r="F373" s="26"/>
      <c r="G373" s="26"/>
      <c r="H373" s="31"/>
      <c r="I373" s="26"/>
      <c r="J373" s="51"/>
      <c r="K373" s="26"/>
      <c r="L373" s="26" t="s">
        <v>545</v>
      </c>
      <c r="M373" s="39">
        <v>4</v>
      </c>
      <c r="N373" s="26">
        <v>150</v>
      </c>
      <c r="O373" s="26" t="s">
        <v>90</v>
      </c>
      <c r="P373" s="49">
        <v>32400</v>
      </c>
      <c r="Q373" s="52"/>
      <c r="R373" s="39" t="s">
        <v>188</v>
      </c>
      <c r="S373" s="53">
        <v>0.17</v>
      </c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4860000</v>
      </c>
      <c r="X373" s="54">
        <f>IF(NOTA[[#This Row],[JUMLAH]]="","",NOTA[[#This Row],[JUMLAH]]*NOTA[[#This Row],[DISC 1]])</f>
        <v>826200.00000000012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826200.00000000012</v>
      </c>
      <c r="AA373" s="54">
        <f>IF(NOTA[[#This Row],[JUMLAH]]="","",NOTA[[#This Row],[JUMLAH]]-NOTA[[#This Row],[DISC]])</f>
        <v>4033800</v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373" s="54">
        <f>IF(OR(NOTA[[#This Row],[QTY]]="",NOTA[[#This Row],[HARGA SATUAN]]="",),"",NOTA[[#This Row],[QTY]]*NOTA[[#This Row],[HARGA SATUAN]])</f>
        <v>4860000</v>
      </c>
      <c r="AF373" s="51">
        <f ca="1">IF(NOTA[ID_H]="","",INDEX(NOTA[TANGGAL],MATCH(,INDIRECT(ADDRESS(ROW(NOTA[TANGGAL]),COLUMN(NOTA[TANGGAL]))&amp;":"&amp;ADDRESS(ROW(),COLUMN(NOTA[TANGGAL]))),-1)))</f>
        <v>44938</v>
      </c>
      <c r="AG373" s="65" t="str">
        <f ca="1">IF(NOTA[[#This Row],[NAMA BARANG]]="","",INDEX(NOTA[SUPPLIER],MATCH(,INDIRECT(ADDRESS(ROW(NOTA[ID]),COLUMN(NOTA[ID]))&amp;":"&amp;ADDRESS(ROW(),COLUMN(NOTA[ID]))),-1)))</f>
        <v>KENKO SINAR INDONESIA</v>
      </c>
      <c r="AH373" s="65" t="str">
        <f ca="1">IF(NOTA[[#This Row],[ID_H]]="","",IF(NOTA[[#This Row],[FAKTUR]]="",INDIRECT(ADDRESS(ROW()-1,COLUMN())),NOTA[[#This Row],[FAKTUR]]))</f>
        <v>ARTO MORO</v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>cutterbladea100</v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>cutterbladea10012150000.17</v>
      </c>
      <c r="AM373" s="193" t="e">
        <f>IF(NOTA[[#This Row],[CONCAT1]]="","",MATCH(NOTA[[#This Row],[CONCAT1]],[2]!db[NB NOTA_C],0)+1)</f>
        <v>#N/A</v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>
        <f ca="1">IF(NOTA[[#This Row],[NAMA BARANG]]="","",INDEX(NOTA[ID],MATCH(,INDIRECT(ADDRESS(ROW(NOTA[ID]),COLUMN(NOTA[ID]))&amp;":"&amp;ADDRESS(ROW(),COLUMN(NOTA[ID]))),-1)))</f>
        <v>71</v>
      </c>
      <c r="E374" s="23"/>
      <c r="F374" s="26"/>
      <c r="G374" s="26"/>
      <c r="H374" s="31"/>
      <c r="I374" s="26"/>
      <c r="J374" s="51"/>
      <c r="K374" s="26"/>
      <c r="L374" s="26" t="s">
        <v>546</v>
      </c>
      <c r="M374" s="39">
        <v>2</v>
      </c>
      <c r="N374" s="26">
        <v>96</v>
      </c>
      <c r="O374" s="26" t="s">
        <v>90</v>
      </c>
      <c r="P374" s="49">
        <v>69600</v>
      </c>
      <c r="Q374" s="52"/>
      <c r="R374" s="39" t="s">
        <v>105</v>
      </c>
      <c r="S374" s="53">
        <v>0.17</v>
      </c>
      <c r="T374" s="53"/>
      <c r="U374" s="54"/>
      <c r="V374" s="37"/>
      <c r="W374" s="54">
        <f>IF(NOTA[[#This Row],[HARGA/ CTN]]="",NOTA[[#This Row],[JUMLAH_H]],NOTA[[#This Row],[HARGA/ CTN]]*IF(NOTA[[#This Row],[C]]="",0,NOTA[[#This Row],[C]]))</f>
        <v>6681600</v>
      </c>
      <c r="X374" s="54">
        <f>IF(NOTA[[#This Row],[JUMLAH]]="","",NOTA[[#This Row],[JUMLAH]]*NOTA[[#This Row],[DISC 1]])</f>
        <v>1135872</v>
      </c>
      <c r="Y374" s="54">
        <f>IF(NOTA[[#This Row],[JUMLAH]]="","",(NOTA[[#This Row],[JUMLAH]]-NOTA[[#This Row],[DISC 1-]])*NOTA[[#This Row],[DISC 2]])</f>
        <v>0</v>
      </c>
      <c r="Z374" s="54">
        <f>IF(NOTA[[#This Row],[JUMLAH]]="","",NOTA[[#This Row],[DISC 1-]]+NOTA[[#This Row],[DISC 2-]])</f>
        <v>1135872</v>
      </c>
      <c r="AA374" s="54">
        <f>IF(NOTA[[#This Row],[JUMLAH]]="","",NOTA[[#This Row],[JUMLAH]]-NOTA[[#This Row],[DISC]])</f>
        <v>5545728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374" s="54">
        <f>IF(OR(NOTA[[#This Row],[QTY]]="",NOTA[[#This Row],[HARGA SATUAN]]="",),"",NOTA[[#This Row],[QTY]]*NOTA[[#This Row],[HARGA SATUAN]])</f>
        <v>6681600</v>
      </c>
      <c r="AF374" s="51">
        <f ca="1">IF(NOTA[ID_H]="","",INDEX(NOTA[TANGGAL],MATCH(,INDIRECT(ADDRESS(ROW(NOTA[TANGGAL]),COLUMN(NOTA[TANGGAL]))&amp;":"&amp;ADDRESS(ROW(),COLUMN(NOTA[TANGGAL]))),-1)))</f>
        <v>44938</v>
      </c>
      <c r="AG374" s="65" t="str">
        <f ca="1">IF(NOTA[[#This Row],[NAMA BARANG]]="","",INDEX(NOTA[SUPPLIER],MATCH(,INDIRECT(ADDRESS(ROW(NOTA[ID]),COLUMN(NOTA[ID]))&amp;":"&amp;ADDRESS(ROW(),COLUMN(NOTA[ID]))),-1)))</f>
        <v>KENKO SINAR INDONESIA</v>
      </c>
      <c r="AH374" s="65" t="str">
        <f ca="1">IF(NOTA[[#This Row],[ID_H]]="","",IF(NOTA[[#This Row],[FAKTUR]]="",INDIRECT(ADDRESS(ROW()-1,COLUMN())),NOTA[[#This Row],[FAKTUR]]))</f>
        <v>ARTO MORO</v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>tipeexct1505pc</v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>tipeexct1505pc33408000.17</v>
      </c>
      <c r="AM374" s="193" t="e">
        <f>IF(NOTA[[#This Row],[CONCAT1]]="","",MATCH(NOTA[[#This Row],[CONCAT1]],[2]!db[NB NOTA_C],0)+1)</f>
        <v>#N/A</v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71</v>
      </c>
      <c r="E375" s="23"/>
      <c r="F375" s="26"/>
      <c r="G375" s="26"/>
      <c r="H375" s="31"/>
      <c r="I375" s="26"/>
      <c r="J375" s="51"/>
      <c r="K375" s="26"/>
      <c r="L375" s="26" t="s">
        <v>547</v>
      </c>
      <c r="M375" s="39">
        <v>5</v>
      </c>
      <c r="N375" s="26">
        <v>240</v>
      </c>
      <c r="O375" s="26" t="s">
        <v>90</v>
      </c>
      <c r="P375" s="49">
        <v>60000</v>
      </c>
      <c r="Q375" s="52"/>
      <c r="R375" s="39" t="s">
        <v>105</v>
      </c>
      <c r="S375" s="53">
        <v>0.17</v>
      </c>
      <c r="T375" s="53"/>
      <c r="U375" s="54"/>
      <c r="V375" s="37"/>
      <c r="W375" s="54">
        <f>IF(NOTA[[#This Row],[HARGA/ CTN]]="",NOTA[[#This Row],[JUMLAH_H]],NOTA[[#This Row],[HARGA/ CTN]]*IF(NOTA[[#This Row],[C]]="",0,NOTA[[#This Row],[C]]))</f>
        <v>14400000</v>
      </c>
      <c r="X375" s="54">
        <f>IF(NOTA[[#This Row],[JUMLAH]]="","",NOTA[[#This Row],[JUMLAH]]*NOTA[[#This Row],[DISC 1]])</f>
        <v>2448000</v>
      </c>
      <c r="Y375" s="54">
        <f>IF(NOTA[[#This Row],[JUMLAH]]="","",(NOTA[[#This Row],[JUMLAH]]-NOTA[[#This Row],[DISC 1-]])*NOTA[[#This Row],[DISC 2]])</f>
        <v>0</v>
      </c>
      <c r="Z375" s="54">
        <f>IF(NOTA[[#This Row],[JUMLAH]]="","",NOTA[[#This Row],[DISC 1-]]+NOTA[[#This Row],[DISC 2-]])</f>
        <v>2448000</v>
      </c>
      <c r="AA375" s="54">
        <f>IF(NOTA[[#This Row],[JUMLAH]]="","",NOTA[[#This Row],[JUMLAH]]-NOTA[[#This Row],[DISC]])</f>
        <v>11952000</v>
      </c>
      <c r="AB3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4695672</v>
      </c>
      <c r="AC3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22925928</v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75" s="54">
        <f>IF(OR(NOTA[[#This Row],[QTY]]="",NOTA[[#This Row],[HARGA SATUAN]]="",),"",NOTA[[#This Row],[QTY]]*NOTA[[#This Row],[HARGA SATUAN]])</f>
        <v>14400000</v>
      </c>
      <c r="AF375" s="51">
        <f ca="1">IF(NOTA[ID_H]="","",INDEX(NOTA[TANGGAL],MATCH(,INDIRECT(ADDRESS(ROW(NOTA[TANGGAL]),COLUMN(NOTA[TANGGAL]))&amp;":"&amp;ADDRESS(ROW(),COLUMN(NOTA[TANGGAL]))),-1)))</f>
        <v>44938</v>
      </c>
      <c r="AG375" s="65" t="str">
        <f ca="1">IF(NOTA[[#This Row],[NAMA BARANG]]="","",INDEX(NOTA[SUPPLIER],MATCH(,INDIRECT(ADDRESS(ROW(NOTA[ID]),COLUMN(NOTA[ID]))&amp;":"&amp;ADDRESS(ROW(),COLUMN(NOTA[ID]))),-1)))</f>
        <v>KENKO SINAR INDONESIA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>tipeexct909</v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>tipeexct90928800000.17</v>
      </c>
      <c r="AM375" s="193" t="e">
        <f>IF(NOTA[[#This Row],[CONCAT1]]="","",MATCH(NOTA[[#This Row],[CONCAT1]],[2]!db[NB NOTA_C],0)+1)</f>
        <v>#N/A</v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93" t="str">
        <f>IF(NOTA[[#This Row],[CONCAT1]]="","",MATCH(NOTA[[#This Row],[CONCAT1]],[2]!db[NB NOTA_C],0)+1)</f>
        <v/>
      </c>
    </row>
    <row r="377" spans="1:39" ht="20.100000000000001" customHeight="1" x14ac:dyDescent="0.25">
      <c r="A377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7" s="50" t="e">
        <f ca="1">IF(NOTA[[#This Row],[ID_P]]="","",MATCH(NOTA[[#This Row],[ID_P]],[1]!B_MSK[N_ID],0))</f>
        <v>#REF!</v>
      </c>
      <c r="D377" s="50">
        <f ca="1">IF(NOTA[[#This Row],[NAMA BARANG]]="","",INDEX(NOTA[ID],MATCH(,INDIRECT(ADDRESS(ROW(NOTA[ID]),COLUMN(NOTA[ID]))&amp;":"&amp;ADDRESS(ROW(),COLUMN(NOTA[ID]))),-1)))</f>
        <v>72</v>
      </c>
      <c r="E377" s="23"/>
      <c r="F377" s="26" t="s">
        <v>23</v>
      </c>
      <c r="G377" s="26" t="s">
        <v>24</v>
      </c>
      <c r="H377" s="31" t="s">
        <v>548</v>
      </c>
      <c r="I377" s="26" t="s">
        <v>552</v>
      </c>
      <c r="J377" s="51">
        <v>44938</v>
      </c>
      <c r="K377" s="26"/>
      <c r="L377" s="26" t="s">
        <v>549</v>
      </c>
      <c r="M377" s="39">
        <v>5</v>
      </c>
      <c r="N377" s="26"/>
      <c r="O377" s="26"/>
      <c r="P377" s="90"/>
      <c r="Q377" s="52">
        <v>3758400</v>
      </c>
      <c r="R377" s="39"/>
      <c r="S377" s="53">
        <v>0.17</v>
      </c>
      <c r="T377" s="53"/>
      <c r="U377" s="54"/>
      <c r="V377" s="37"/>
      <c r="W377" s="54">
        <f>IF(NOTA[[#This Row],[HARGA/ CTN]]="",NOTA[[#This Row],[JUMLAH_H]],NOTA[[#This Row],[HARGA/ CTN]]*IF(NOTA[[#This Row],[C]]="",0,NOTA[[#This Row],[C]]))</f>
        <v>18792000</v>
      </c>
      <c r="X377" s="54">
        <f>IF(NOTA[[#This Row],[JUMLAH]]="","",NOTA[[#This Row],[JUMLAH]]*NOTA[[#This Row],[DISC 1]])</f>
        <v>3194640</v>
      </c>
      <c r="Y377" s="54">
        <f>IF(NOTA[[#This Row],[JUMLAH]]="","",(NOTA[[#This Row],[JUMLAH]]-NOTA[[#This Row],[DISC 1-]])*NOTA[[#This Row],[DISC 2]])</f>
        <v>0</v>
      </c>
      <c r="Z377" s="54">
        <f>IF(NOTA[[#This Row],[JUMLAH]]="","",NOTA[[#This Row],[DISC 1-]]+NOTA[[#This Row],[DISC 2-]])</f>
        <v>3194640</v>
      </c>
      <c r="AA377" s="54">
        <f>IF(NOTA[[#This Row],[JUMLAH]]="","",NOTA[[#This Row],[JUMLAH]]-NOTA[[#This Row],[DISC]])</f>
        <v>15597360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377" s="54" t="str">
        <f>IF(OR(NOTA[[#This Row],[QTY]]="",NOTA[[#This Row],[HARGA SATUAN]]="",),"",NOTA[[#This Row],[QTY]]*NOTA[[#This Row],[HARGA SATUAN]])</f>
        <v/>
      </c>
      <c r="AF377" s="51">
        <f ca="1">IF(NOTA[ID_H]="","",INDEX(NOTA[TANGGAL],MATCH(,INDIRECT(ADDRESS(ROW(NOTA[TANGGAL]),COLUMN(NOTA[TANGGAL]))&amp;":"&amp;ADDRESS(ROW(),COLUMN(NOTA[TANGGAL]))),-1)))</f>
        <v>44938</v>
      </c>
      <c r="AG377" s="49" t="str">
        <f ca="1">IF(NOTA[[#This Row],[NAMA BARANG]]="","",INDEX(NOTA[SUPPLIER],MATCH(,INDIRECT(ADDRESS(ROW(NOTA[ID]),COLUMN(NOTA[ID]))&amp;":"&amp;ADDRESS(ROW(),COLUMN(NOTA[ID]))),-1)))</f>
        <v>KENKO SINAR INDONESIA</v>
      </c>
      <c r="AH377" s="49" t="str">
        <f ca="1">IF(NOTA[[#This Row],[ID_H]]="","",IF(NOTA[[#This Row],[FAKTUR]]="",INDIRECT(ADDRESS(ROW()-1,COLUMN())),NOTA[[#This Row],[FAKTUR]]))</f>
        <v>ARTO MORO</v>
      </c>
      <c r="AI377" s="38">
        <f ca="1">IF(NOTA[[#This Row],[ID]]="","",COUNTIF(NOTA[ID_H],NOTA[[#This Row],[ID_H]]))</f>
        <v>4</v>
      </c>
      <c r="AJ377" s="38">
        <f>IF(NOTA[[#This Row],[TGL.NOTA]]="",IF(NOTA[[#This Row],[SUPPLIER_H]]="","",AJ376),MONTH(NOTA[[#This Row],[TGL.NOTA]]))</f>
        <v>1</v>
      </c>
      <c r="AK377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377" s="193">
        <f>IF(NOTA[[#This Row],[CONCAT1]]="","",MATCH(NOTA[[#This Row],[CONCAT1]],[2]!db[NB NOTA_C],0)+1)</f>
        <v>1136</v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72</v>
      </c>
      <c r="E378" s="23"/>
      <c r="F378" s="26"/>
      <c r="G378" s="26"/>
      <c r="H378" s="31"/>
      <c r="I378" s="26"/>
      <c r="J378" s="51"/>
      <c r="K378" s="26"/>
      <c r="L378" s="26" t="s">
        <v>550</v>
      </c>
      <c r="M378" s="39">
        <v>2</v>
      </c>
      <c r="N378" s="26"/>
      <c r="O378" s="26"/>
      <c r="P378" s="90"/>
      <c r="Q378" s="52">
        <v>2980800</v>
      </c>
      <c r="R378" s="39"/>
      <c r="S378" s="53">
        <v>0.17</v>
      </c>
      <c r="T378" s="53"/>
      <c r="U378" s="54"/>
      <c r="V378" s="37"/>
      <c r="W378" s="54">
        <f>IF(NOTA[[#This Row],[HARGA/ CTN]]="",NOTA[[#This Row],[JUMLAH_H]],NOTA[[#This Row],[HARGA/ CTN]]*IF(NOTA[[#This Row],[C]]="",0,NOTA[[#This Row],[C]]))</f>
        <v>5961600</v>
      </c>
      <c r="X378" s="54">
        <f>IF(NOTA[[#This Row],[JUMLAH]]="","",NOTA[[#This Row],[JUMLAH]]*NOTA[[#This Row],[DISC 1]])</f>
        <v>1013472.0000000001</v>
      </c>
      <c r="Y378" s="54">
        <f>IF(NOTA[[#This Row],[JUMLAH]]="","",(NOTA[[#This Row],[JUMLAH]]-NOTA[[#This Row],[DISC 1-]])*NOTA[[#This Row],[DISC 2]])</f>
        <v>0</v>
      </c>
      <c r="Z378" s="54">
        <f>IF(NOTA[[#This Row],[JUMLAH]]="","",NOTA[[#This Row],[DISC 1-]]+NOTA[[#This Row],[DISC 2-]])</f>
        <v>1013472.0000000001</v>
      </c>
      <c r="AA378" s="54">
        <f>IF(NOTA[[#This Row],[JUMLAH]]="","",NOTA[[#This Row],[JUMLAH]]-NOTA[[#This Row],[DISC]])</f>
        <v>4948128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378" s="54" t="str">
        <f>IF(OR(NOTA[[#This Row],[QTY]]="",NOTA[[#This Row],[HARGA SATUAN]]="",),"",NOTA[[#This Row],[QTY]]*NOTA[[#This Row],[HARGA SATUAN]])</f>
        <v/>
      </c>
      <c r="AF378" s="51">
        <f ca="1">IF(NOTA[ID_H]="","",INDEX(NOTA[TANGGAL],MATCH(,INDIRECT(ADDRESS(ROW(NOTA[TANGGAL]),COLUMN(NOTA[TANGGAL]))&amp;":"&amp;ADDRESS(ROW(),COLUMN(NOTA[TANGGAL]))),-1)))</f>
        <v>44938</v>
      </c>
      <c r="AG378" s="49" t="str">
        <f ca="1">IF(NOTA[[#This Row],[NAMA BARANG]]="","",INDEX(NOTA[SUPPLIER],MATCH(,INDIRECT(ADDRESS(ROW(NOTA[ID]),COLUMN(NOTA[ID]))&amp;":"&amp;ADDRESS(ROW(),COLUMN(NOTA[ID]))),-1)))</f>
        <v>KENKO SINAR INDONESIA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1</v>
      </c>
      <c r="AK378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>kenko24colorpencilcp24fclassic29808000.17</v>
      </c>
      <c r="AM378" s="193">
        <f>IF(NOTA[[#This Row],[CONCAT1]]="","",MATCH(NOTA[[#This Row],[CONCAT1]],[2]!db[NB NOTA_C],0)+1)</f>
        <v>1030</v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72</v>
      </c>
      <c r="E379" s="23"/>
      <c r="F379" s="26"/>
      <c r="G379" s="26"/>
      <c r="H379" s="31"/>
      <c r="I379" s="26"/>
      <c r="J379" s="51"/>
      <c r="K379" s="26"/>
      <c r="L379" s="26" t="s">
        <v>167</v>
      </c>
      <c r="M379" s="39">
        <v>1</v>
      </c>
      <c r="N379" s="26"/>
      <c r="O379" s="26"/>
      <c r="P379" s="90"/>
      <c r="Q379" s="52">
        <v>2448000</v>
      </c>
      <c r="R379" s="39"/>
      <c r="S379" s="53">
        <v>0.17</v>
      </c>
      <c r="T379" s="53"/>
      <c r="U379" s="54"/>
      <c r="V379" s="37"/>
      <c r="W379" s="54">
        <f>IF(NOTA[[#This Row],[HARGA/ CTN]]="",NOTA[[#This Row],[JUMLAH_H]],NOTA[[#This Row],[HARGA/ CTN]]*IF(NOTA[[#This Row],[C]]="",0,NOTA[[#This Row],[C]]))</f>
        <v>2448000</v>
      </c>
      <c r="X379" s="54">
        <f>IF(NOTA[[#This Row],[JUMLAH]]="","",NOTA[[#This Row],[JUMLAH]]*NOTA[[#This Row],[DISC 1]])</f>
        <v>416160.00000000006</v>
      </c>
      <c r="Y379" s="54">
        <f>IF(NOTA[[#This Row],[JUMLAH]]="","",(NOTA[[#This Row],[JUMLAH]]-NOTA[[#This Row],[DISC 1-]])*NOTA[[#This Row],[DISC 2]])</f>
        <v>0</v>
      </c>
      <c r="Z379" s="54">
        <f>IF(NOTA[[#This Row],[JUMLAH]]="","",NOTA[[#This Row],[DISC 1-]]+NOTA[[#This Row],[DISC 2-]])</f>
        <v>416160.00000000006</v>
      </c>
      <c r="AA379" s="54">
        <f>IF(NOTA[[#This Row],[JUMLAH]]="","",NOTA[[#This Row],[JUMLAH]]-NOTA[[#This Row],[DISC]])</f>
        <v>2031840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379" s="54" t="str">
        <f>IF(OR(NOTA[[#This Row],[QTY]]="",NOTA[[#This Row],[HARGA SATUAN]]="",),"",NOTA[[#This Row],[QTY]]*NOTA[[#This Row],[HARGA SATUAN]])</f>
        <v/>
      </c>
      <c r="AF379" s="51">
        <f ca="1">IF(NOTA[ID_H]="","",INDEX(NOTA[TANGGAL],MATCH(,INDIRECT(ADDRESS(ROW(NOTA[TANGGAL]),COLUMN(NOTA[TANGGAL]))&amp;":"&amp;ADDRESS(ROW(),COLUMN(NOTA[TANGGAL]))),-1)))</f>
        <v>44938</v>
      </c>
      <c r="AG379" s="49" t="str">
        <f ca="1">IF(NOTA[[#This Row],[NAMA BARANG]]="","",INDEX(NOTA[SUPPLIER],MATCH(,INDIRECT(ADDRESS(ROW(NOTA[ID]),COLUMN(NOTA[ID]))&amp;":"&amp;ADDRESS(ROW(),COLUMN(NOTA[ID]))),-1)))</f>
        <v>KENKO SINAR INDONESIA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1</v>
      </c>
      <c r="AK379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379" s="193">
        <f>IF(NOTA[[#This Row],[CONCAT1]]="","",MATCH(NOTA[[#This Row],[CONCAT1]],[2]!db[NB NOTA_C],0)+1)</f>
        <v>1107</v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72</v>
      </c>
      <c r="E380" s="23"/>
      <c r="F380" s="26"/>
      <c r="G380" s="26"/>
      <c r="H380" s="31"/>
      <c r="I380" s="26"/>
      <c r="J380" s="51"/>
      <c r="K380" s="26"/>
      <c r="L380" s="26" t="s">
        <v>551</v>
      </c>
      <c r="M380" s="39">
        <v>1</v>
      </c>
      <c r="N380" s="26"/>
      <c r="O380" s="26"/>
      <c r="P380" s="90"/>
      <c r="Q380" s="52">
        <v>3024000</v>
      </c>
      <c r="R380" s="39"/>
      <c r="S380" s="53">
        <v>0.17</v>
      </c>
      <c r="T380" s="53"/>
      <c r="U380" s="54"/>
      <c r="V380" s="37"/>
      <c r="W380" s="54">
        <f>IF(NOTA[[#This Row],[HARGA/ CTN]]="",NOTA[[#This Row],[JUMLAH_H]],NOTA[[#This Row],[HARGA/ CTN]]*IF(NOTA[[#This Row],[C]]="",0,NOTA[[#This Row],[C]]))</f>
        <v>3024000</v>
      </c>
      <c r="X380" s="54">
        <f>IF(NOTA[[#This Row],[JUMLAH]]="","",NOTA[[#This Row],[JUMLAH]]*NOTA[[#This Row],[DISC 1]])</f>
        <v>514080.00000000006</v>
      </c>
      <c r="Y380" s="54">
        <f>IF(NOTA[[#This Row],[JUMLAH]]="","",(NOTA[[#This Row],[JUMLAH]]-NOTA[[#This Row],[DISC 1-]])*NOTA[[#This Row],[DISC 2]])</f>
        <v>0</v>
      </c>
      <c r="Z380" s="54">
        <f>IF(NOTA[[#This Row],[JUMLAH]]="","",NOTA[[#This Row],[DISC 1-]]+NOTA[[#This Row],[DISC 2-]])</f>
        <v>514080.00000000006</v>
      </c>
      <c r="AA380" s="54">
        <f>IF(NOTA[[#This Row],[JUMLAH]]="","",NOTA[[#This Row],[JUMLAH]]-NOTA[[#This Row],[DISC]])</f>
        <v>2509920</v>
      </c>
      <c r="AB3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C3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80" s="54" t="str">
        <f>IF(OR(NOTA[[#This Row],[QTY]]="",NOTA[[#This Row],[HARGA SATUAN]]="",),"",NOTA[[#This Row],[QTY]]*NOTA[[#This Row],[HARGA SATUAN]])</f>
        <v/>
      </c>
      <c r="AF380" s="51">
        <f ca="1">IF(NOTA[ID_H]="","",INDEX(NOTA[TANGGAL],MATCH(,INDIRECT(ADDRESS(ROW(NOTA[TANGGAL]),COLUMN(NOTA[TANGGAL]))&amp;":"&amp;ADDRESS(ROW(),COLUMN(NOTA[TANGGAL]))),-1)))</f>
        <v>44938</v>
      </c>
      <c r="AG380" s="49" t="str">
        <f ca="1">IF(NOTA[[#This Row],[NAMA BARANG]]="","",INDEX(NOTA[SUPPLIER],MATCH(,INDIRECT(ADDRESS(ROW(NOTA[ID]),COLUMN(NOTA[ID]))&amp;":"&amp;ADDRESS(ROW(),COLUMN(NOTA[ID]))),-1)))</f>
        <v>KENKO SINAR INDONESIA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1</v>
      </c>
      <c r="AK380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>kenkocorrectiontapect90312mx5mm30240000.17</v>
      </c>
      <c r="AM380" s="193">
        <f>IF(NOTA[[#This Row],[CONCAT1]]="","",MATCH(NOTA[[#This Row],[CONCAT1]],[2]!db[NB NOTA_C],0)+1)</f>
        <v>1114</v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93" t="str">
        <f>IF(NOTA[[#This Row],[CONCAT1]]="","",MATCH(NOTA[[#This Row],[CONCAT1]],[2]!db[NB NOTA_C],0)+1)</f>
        <v/>
      </c>
    </row>
    <row r="382" spans="1:39" ht="20.100000000000001" customHeight="1" x14ac:dyDescent="0.25">
      <c r="A382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2" s="50" t="e">
        <f ca="1">IF(NOTA[[#This Row],[ID_P]]="","",MATCH(NOTA[[#This Row],[ID_P]],[1]!B_MSK[N_ID],0))</f>
        <v>#REF!</v>
      </c>
      <c r="D382" s="50">
        <f ca="1">IF(NOTA[[#This Row],[NAMA BARANG]]="","",INDEX(NOTA[ID],MATCH(,INDIRECT(ADDRESS(ROW(NOTA[ID]),COLUMN(NOTA[ID]))&amp;":"&amp;ADDRESS(ROW(),COLUMN(NOTA[ID]))),-1)))</f>
        <v>73</v>
      </c>
      <c r="E382" s="23">
        <v>44940</v>
      </c>
      <c r="F382" s="26" t="s">
        <v>25</v>
      </c>
      <c r="G382" s="26" t="s">
        <v>24</v>
      </c>
      <c r="H382" s="31" t="s">
        <v>553</v>
      </c>
      <c r="I382" s="26"/>
      <c r="J382" s="51">
        <v>44937</v>
      </c>
      <c r="K382" s="26"/>
      <c r="L382" s="26" t="s">
        <v>554</v>
      </c>
      <c r="M382" s="39">
        <v>10</v>
      </c>
      <c r="N382" s="26">
        <v>7200</v>
      </c>
      <c r="O382" s="26" t="s">
        <v>104</v>
      </c>
      <c r="P382" s="49">
        <v>4800</v>
      </c>
      <c r="Q382" s="52"/>
      <c r="R382" s="39" t="s">
        <v>492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34560000</v>
      </c>
      <c r="X382" s="54">
        <f>IF(NOTA[[#This Row],[JUMLAH]]="","",NOTA[[#This Row],[JUMLAH]]*NOTA[[#This Row],[DISC 1]])</f>
        <v>4320000</v>
      </c>
      <c r="Y382" s="54">
        <f>IF(NOTA[[#This Row],[JUMLAH]]="","",(NOTA[[#This Row],[JUMLAH]]-NOTA[[#This Row],[DISC 1-]])*NOTA[[#This Row],[DISC 2]])</f>
        <v>1512000</v>
      </c>
      <c r="Z382" s="54">
        <f>IF(NOTA[[#This Row],[JUMLAH]]="","",NOTA[[#This Row],[DISC 1-]]+NOTA[[#This Row],[DISC 2-]])</f>
        <v>5832000</v>
      </c>
      <c r="AA382" s="54">
        <f>IF(NOTA[[#This Row],[JUMLAH]]="","",NOTA[[#This Row],[JUMLAH]]-NOTA[[#This Row],[DISC]])</f>
        <v>28728000</v>
      </c>
      <c r="AB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C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82" s="54">
        <f>IF(OR(NOTA[[#This Row],[QTY]]="",NOTA[[#This Row],[HARGA SATUAN]]="",),"",NOTA[[#This Row],[QTY]]*NOTA[[#This Row],[HARGA SATUAN]])</f>
        <v>34560000</v>
      </c>
      <c r="AF382" s="51">
        <f ca="1">IF(NOTA[ID_H]="","",INDEX(NOTA[TANGGAL],MATCH(,INDIRECT(ADDRESS(ROW(NOTA[TANGGAL]),COLUMN(NOTA[TANGGAL]))&amp;":"&amp;ADDRESS(ROW(),COLUMN(NOTA[TANGGAL]))),-1)))</f>
        <v>44940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>
        <f ca="1">IF(NOTA[[#This Row],[ID]]="","",COUNTIF(NOTA[ID_H],NOTA[[#This Row],[ID_H]]))</f>
        <v>1</v>
      </c>
      <c r="AJ382" s="38">
        <f>IF(NOTA[[#This Row],[TGL.NOTA]]="",IF(NOTA[[#This Row],[SUPPLIER_H]]="","",AJ381),MONTH(NOTA[[#This Row],[TGL.NOTA]]))</f>
        <v>1</v>
      </c>
      <c r="AK38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>correctiontapect522jk34560000.1250.05</v>
      </c>
      <c r="AM382" s="193">
        <f>IF(NOTA[[#This Row],[CONCAT1]]="","",MATCH(NOTA[[#This Row],[CONCAT1]],[2]!db[NB NOTA_C],0)+1)</f>
        <v>521</v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93" t="str">
        <f>IF(NOTA[[#This Row],[CONCAT1]]="","",MATCH(NOTA[[#This Row],[CONCAT1]],[2]!db[NB NOTA_C],0)+1)</f>
        <v/>
      </c>
    </row>
    <row r="384" spans="1:39" ht="20.100000000000001" customHeight="1" x14ac:dyDescent="0.25">
      <c r="A384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4" s="50" t="e">
        <f ca="1">IF(NOTA[[#This Row],[ID_P]]="","",MATCH(NOTA[[#This Row],[ID_P]],[1]!B_MSK[N_ID],0))</f>
        <v>#REF!</v>
      </c>
      <c r="D384" s="50">
        <f ca="1">IF(NOTA[[#This Row],[NAMA BARANG]]="","",INDEX(NOTA[ID],MATCH(,INDIRECT(ADDRESS(ROW(NOTA[ID]),COLUMN(NOTA[ID]))&amp;":"&amp;ADDRESS(ROW(),COLUMN(NOTA[ID]))),-1)))</f>
        <v>74</v>
      </c>
      <c r="E384" s="23"/>
      <c r="F384" s="26" t="s">
        <v>26</v>
      </c>
      <c r="G384" s="26" t="s">
        <v>24</v>
      </c>
      <c r="H384" s="31" t="s">
        <v>555</v>
      </c>
      <c r="I384" s="26"/>
      <c r="J384" s="51">
        <v>44938</v>
      </c>
      <c r="K384" s="26"/>
      <c r="L384" s="26" t="s">
        <v>556</v>
      </c>
      <c r="M384" s="39">
        <v>1</v>
      </c>
      <c r="N384" s="26">
        <v>120</v>
      </c>
      <c r="O384" s="26" t="s">
        <v>90</v>
      </c>
      <c r="P384" s="49">
        <v>18250</v>
      </c>
      <c r="Q384" s="52"/>
      <c r="R384" s="39" t="s">
        <v>188</v>
      </c>
      <c r="S384" s="53"/>
      <c r="T384" s="53"/>
      <c r="U384" s="54"/>
      <c r="V384" s="37"/>
      <c r="W384" s="54">
        <f>IF(NOTA[[#This Row],[HARGA/ CTN]]="",NOTA[[#This Row],[JUMLAH_H]],NOTA[[#This Row],[HARGA/ CTN]]*IF(NOTA[[#This Row],[C]]="",0,NOTA[[#This Row],[C]]))</f>
        <v>2190000</v>
      </c>
      <c r="X384" s="54">
        <f>IF(NOTA[[#This Row],[JUMLAH]]="","",NOTA[[#This Row],[JUMLAH]]*NOTA[[#This Row],[DISC 1]])</f>
        <v>0</v>
      </c>
      <c r="Y384" s="54">
        <f>IF(NOTA[[#This Row],[JUMLAH]]="","",(NOTA[[#This Row],[JUMLAH]]-NOTA[[#This Row],[DISC 1-]])*NOTA[[#This Row],[DISC 2]])</f>
        <v>0</v>
      </c>
      <c r="Z384" s="54">
        <f>IF(NOTA[[#This Row],[JUMLAH]]="","",NOTA[[#This Row],[DISC 1-]]+NOTA[[#This Row],[DISC 2-]])</f>
        <v>0</v>
      </c>
      <c r="AA384" s="54">
        <f>IF(NOTA[[#This Row],[JUMLAH]]="","",NOTA[[#This Row],[JUMLAH]]-NOTA[[#This Row],[DISC]])</f>
        <v>2190000</v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4" s="54">
        <f>IF(OR(NOTA[[#This Row],[QTY]]="",NOTA[[#This Row],[HARGA SATUAN]]="",),"",NOTA[[#This Row],[QTY]]*NOTA[[#This Row],[HARGA SATUAN]])</f>
        <v>2190000</v>
      </c>
      <c r="AF384" s="51">
        <f ca="1">IF(NOTA[ID_H]="","",INDEX(NOTA[TANGGAL],MATCH(,INDIRECT(ADDRESS(ROW(NOTA[TANGGAL]),COLUMN(NOTA[TANGGAL]))&amp;":"&amp;ADDRESS(ROW(),COLUMN(NOTA[TANGGAL]))),-1)))</f>
        <v>44940</v>
      </c>
      <c r="AG384" s="49" t="str">
        <f ca="1">IF(NOTA[[#This Row],[NAMA BARANG]]="","",INDEX(NOTA[SUPPLIER],MATCH(,INDIRECT(ADDRESS(ROW(NOTA[ID]),COLUMN(NOTA[ID]))&amp;":"&amp;ADDRESS(ROW(),COLUMN(NOTA[ID]))),-1)))</f>
        <v>99 JAYA UTAMA</v>
      </c>
      <c r="AH384" s="49" t="str">
        <f ca="1">IF(NOTA[[#This Row],[ID_H]]="","",IF(NOTA[[#This Row],[FAKTUR]]="",INDIRECT(ADDRESS(ROW()-1,COLUMN())),NOTA[[#This Row],[FAKTUR]]))</f>
        <v>ARTO MORO</v>
      </c>
      <c r="AI384" s="38">
        <f ca="1">IF(NOTA[[#This Row],[ID]]="","",COUNTIF(NOTA[ID_H],NOTA[[#This Row],[ID_H]]))</f>
        <v>4</v>
      </c>
      <c r="AJ384" s="38">
        <f>IF(NOTA[[#This Row],[TGL.NOTA]]="",IF(NOTA[[#This Row],[SUPPLIER_H]]="","",AJ383),MONTH(NOTA[[#This Row],[TGL.NOTA]]))</f>
        <v>1</v>
      </c>
      <c r="AK384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>gelzhixinrefillg31182190000</v>
      </c>
      <c r="AM384" s="193">
        <f>IF(NOTA[[#This Row],[CONCAT1]]="","",MATCH(NOTA[[#This Row],[CONCAT1]],[2]!db[NB NOTA_C],0)+1)</f>
        <v>901</v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>
        <f ca="1">IF(NOTA[[#This Row],[NAMA BARANG]]="","",INDEX(NOTA[ID],MATCH(,INDIRECT(ADDRESS(ROW(NOTA[ID]),COLUMN(NOTA[ID]))&amp;":"&amp;ADDRESS(ROW(),COLUMN(NOTA[ID]))),-1)))</f>
        <v>74</v>
      </c>
      <c r="E385" s="23"/>
      <c r="F385" s="26"/>
      <c r="G385" s="26"/>
      <c r="H385" s="31"/>
      <c r="I385" s="26"/>
      <c r="J385" s="51"/>
      <c r="K385" s="26"/>
      <c r="L385" s="26" t="s">
        <v>558</v>
      </c>
      <c r="M385" s="39">
        <v>1</v>
      </c>
      <c r="N385" s="26">
        <v>120</v>
      </c>
      <c r="O385" s="26" t="s">
        <v>90</v>
      </c>
      <c r="P385" s="49">
        <v>18250</v>
      </c>
      <c r="Q385" s="52"/>
      <c r="R385" s="39" t="s">
        <v>188</v>
      </c>
      <c r="S385" s="53"/>
      <c r="T385" s="53"/>
      <c r="U385" s="54"/>
      <c r="V385" s="37"/>
      <c r="W385" s="54">
        <f>IF(NOTA[[#This Row],[HARGA/ CTN]]="",NOTA[[#This Row],[JUMLAH_H]],NOTA[[#This Row],[HARGA/ CTN]]*IF(NOTA[[#This Row],[C]]="",0,NOTA[[#This Row],[C]]))</f>
        <v>2190000</v>
      </c>
      <c r="X385" s="54">
        <f>IF(NOTA[[#This Row],[JUMLAH]]="","",NOTA[[#This Row],[JUMLAH]]*NOTA[[#This Row],[DISC 1]])</f>
        <v>0</v>
      </c>
      <c r="Y385" s="54">
        <f>IF(NOTA[[#This Row],[JUMLAH]]="","",(NOTA[[#This Row],[JUMLAH]]-NOTA[[#This Row],[DISC 1-]])*NOTA[[#This Row],[DISC 2]])</f>
        <v>0</v>
      </c>
      <c r="Z385" s="54">
        <f>IF(NOTA[[#This Row],[JUMLAH]]="","",NOTA[[#This Row],[DISC 1-]]+NOTA[[#This Row],[DISC 2-]])</f>
        <v>0</v>
      </c>
      <c r="AA385" s="54">
        <f>IF(NOTA[[#This Row],[JUMLAH]]="","",NOTA[[#This Row],[JUMLAH]]-NOTA[[#This Row],[DISC]])</f>
        <v>2190000</v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5" s="54">
        <f>IF(OR(NOTA[[#This Row],[QTY]]="",NOTA[[#This Row],[HARGA SATUAN]]="",),"",NOTA[[#This Row],[QTY]]*NOTA[[#This Row],[HARGA SATUAN]])</f>
        <v>2190000</v>
      </c>
      <c r="AF385" s="51">
        <f ca="1">IF(NOTA[ID_H]="","",INDEX(NOTA[TANGGAL],MATCH(,INDIRECT(ADDRESS(ROW(NOTA[TANGGAL]),COLUMN(NOTA[TANGGAL]))&amp;":"&amp;ADDRESS(ROW(),COLUMN(NOTA[TANGGAL]))),-1)))</f>
        <v>44940</v>
      </c>
      <c r="AG385" s="49" t="str">
        <f ca="1">IF(NOTA[[#This Row],[NAMA BARANG]]="","",INDEX(NOTA[SUPPLIER],MATCH(,INDIRECT(ADDRESS(ROW(NOTA[ID]),COLUMN(NOTA[ID]))&amp;":"&amp;ADDRESS(ROW(),COLUMN(NOTA[ID]))),-1)))</f>
        <v>99 JAYA UTAMA</v>
      </c>
      <c r="AH385" s="49" t="str">
        <f ca="1">IF(NOTA[[#This Row],[ID_H]]="","",IF(NOTA[[#This Row],[FAKTUR]]="",INDIRECT(ADDRESS(ROW()-1,COLUMN())),NOTA[[#This Row],[FAKTUR]]))</f>
        <v>ARTO MORO</v>
      </c>
      <c r="AI385" s="38" t="str">
        <f ca="1">IF(NOTA[[#This Row],[ID]]="","",COUNTIF(NOTA[ID_H],NOTA[[#This Row],[ID_H]]))</f>
        <v/>
      </c>
      <c r="AJ385" s="38">
        <f ca="1">IF(NOTA[[#This Row],[TGL.NOTA]]="",IF(NOTA[[#This Row],[SUPPLIER_H]]="","",AJ384),MONTH(NOTA[[#This Row],[TGL.NOTA]]))</f>
        <v>1</v>
      </c>
      <c r="AK385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>gelzhixinrefillg31032190000</v>
      </c>
      <c r="AM385" s="193">
        <f>IF(NOTA[[#This Row],[CONCAT1]]="","",MATCH(NOTA[[#This Row],[CONCAT1]],[2]!db[NB NOTA_C],0)+1)</f>
        <v>846</v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>
        <f ca="1">IF(NOTA[[#This Row],[NAMA BARANG]]="","",INDEX(NOTA[ID],MATCH(,INDIRECT(ADDRESS(ROW(NOTA[ID]),COLUMN(NOTA[ID]))&amp;":"&amp;ADDRESS(ROW(),COLUMN(NOTA[ID]))),-1)))</f>
        <v>74</v>
      </c>
      <c r="E386" s="23"/>
      <c r="F386" s="26"/>
      <c r="G386" s="26"/>
      <c r="H386" s="31"/>
      <c r="I386" s="26"/>
      <c r="J386" s="51"/>
      <c r="K386" s="26"/>
      <c r="L386" s="26" t="s">
        <v>557</v>
      </c>
      <c r="M386" s="39">
        <v>1</v>
      </c>
      <c r="N386" s="26">
        <v>120</v>
      </c>
      <c r="O386" s="26" t="s">
        <v>90</v>
      </c>
      <c r="P386" s="49">
        <v>18250</v>
      </c>
      <c r="Q386" s="52"/>
      <c r="R386" s="39" t="s">
        <v>188</v>
      </c>
      <c r="S386" s="53"/>
      <c r="T386" s="53"/>
      <c r="U386" s="54"/>
      <c r="V386" s="37"/>
      <c r="W386" s="54">
        <f>IF(NOTA[[#This Row],[HARGA/ CTN]]="",NOTA[[#This Row],[JUMLAH_H]],NOTA[[#This Row],[HARGA/ CTN]]*IF(NOTA[[#This Row],[C]]="",0,NOTA[[#This Row],[C]]))</f>
        <v>2190000</v>
      </c>
      <c r="X386" s="54">
        <f>IF(NOTA[[#This Row],[JUMLAH]]="","",NOTA[[#This Row],[JUMLAH]]*NOTA[[#This Row],[DISC 1]])</f>
        <v>0</v>
      </c>
      <c r="Y386" s="54">
        <f>IF(NOTA[[#This Row],[JUMLAH]]="","",(NOTA[[#This Row],[JUMLAH]]-NOTA[[#This Row],[DISC 1-]])*NOTA[[#This Row],[DISC 2]])</f>
        <v>0</v>
      </c>
      <c r="Z386" s="54">
        <f>IF(NOTA[[#This Row],[JUMLAH]]="","",NOTA[[#This Row],[DISC 1-]]+NOTA[[#This Row],[DISC 2-]])</f>
        <v>0</v>
      </c>
      <c r="AA386" s="54">
        <f>IF(NOTA[[#This Row],[JUMLAH]]="","",NOTA[[#This Row],[JUMLAH]]-NOTA[[#This Row],[DISC]])</f>
        <v>2190000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6" s="54">
        <f>IF(OR(NOTA[[#This Row],[QTY]]="",NOTA[[#This Row],[HARGA SATUAN]]="",),"",NOTA[[#This Row],[QTY]]*NOTA[[#This Row],[HARGA SATUAN]])</f>
        <v>2190000</v>
      </c>
      <c r="AF386" s="51">
        <f ca="1">IF(NOTA[ID_H]="","",INDEX(NOTA[TANGGAL],MATCH(,INDIRECT(ADDRESS(ROW(NOTA[TANGGAL]),COLUMN(NOTA[TANGGAL]))&amp;":"&amp;ADDRESS(ROW(),COLUMN(NOTA[TANGGAL]))),-1)))</f>
        <v>44940</v>
      </c>
      <c r="AG386" s="49" t="str">
        <f ca="1">IF(NOTA[[#This Row],[NAMA BARANG]]="","",INDEX(NOTA[SUPPLIER],MATCH(,INDIRECT(ADDRESS(ROW(NOTA[ID]),COLUMN(NOTA[ID]))&amp;":"&amp;ADDRESS(ROW(),COLUMN(NOTA[ID]))),-1)))</f>
        <v>99 JAYA UTAMA</v>
      </c>
      <c r="AH386" s="49" t="str">
        <f ca="1">IF(NOTA[[#This Row],[ID_H]]="","",IF(NOTA[[#This Row],[FAKTUR]]="",INDIRECT(ADDRESS(ROW()-1,COLUMN())),NOTA[[#This Row],[FAKTUR]]))</f>
        <v>ARTO MORO</v>
      </c>
      <c r="AI386" s="38" t="str">
        <f ca="1">IF(NOTA[[#This Row],[ID]]="","",COUNTIF(NOTA[ID_H],NOTA[[#This Row],[ID_H]]))</f>
        <v/>
      </c>
      <c r="AJ386" s="38">
        <f ca="1">IF(NOTA[[#This Row],[TGL.NOTA]]="",IF(NOTA[[#This Row],[SUPPLIER_H]]="","",AJ385),MONTH(NOTA[[#This Row],[TGL.NOTA]]))</f>
        <v>1</v>
      </c>
      <c r="AK386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>gelzhixinrefillg30932190000</v>
      </c>
      <c r="AM386" s="193">
        <f>IF(NOTA[[#This Row],[CONCAT1]]="","",MATCH(NOTA[[#This Row],[CONCAT1]],[2]!db[NB NOTA_C],0)+1)</f>
        <v>842</v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74</v>
      </c>
      <c r="E387" s="23"/>
      <c r="F387" s="26"/>
      <c r="G387" s="26"/>
      <c r="H387" s="31"/>
      <c r="I387" s="26"/>
      <c r="J387" s="51"/>
      <c r="K387" s="26"/>
      <c r="L387" s="26" t="s">
        <v>559</v>
      </c>
      <c r="M387" s="39">
        <v>1</v>
      </c>
      <c r="N387" s="26">
        <v>120</v>
      </c>
      <c r="O387" s="26" t="s">
        <v>90</v>
      </c>
      <c r="P387" s="49">
        <v>18250</v>
      </c>
      <c r="Q387" s="52"/>
      <c r="R387" s="39" t="s">
        <v>188</v>
      </c>
      <c r="S387" s="53"/>
      <c r="T387" s="53"/>
      <c r="U387" s="54"/>
      <c r="V387" s="37"/>
      <c r="W387" s="54">
        <f>IF(NOTA[[#This Row],[HARGA/ CTN]]="",NOTA[[#This Row],[JUMLAH_H]],NOTA[[#This Row],[HARGA/ CTN]]*IF(NOTA[[#This Row],[C]]="",0,NOTA[[#This Row],[C]]))</f>
        <v>2190000</v>
      </c>
      <c r="X387" s="54">
        <f>IF(NOTA[[#This Row],[JUMLAH]]="","",NOTA[[#This Row],[JUMLAH]]*NOTA[[#This Row],[DISC 1]])</f>
        <v>0</v>
      </c>
      <c r="Y387" s="54">
        <f>IF(NOTA[[#This Row],[JUMLAH]]="","",(NOTA[[#This Row],[JUMLAH]]-NOTA[[#This Row],[DISC 1-]])*NOTA[[#This Row],[DISC 2]])</f>
        <v>0</v>
      </c>
      <c r="Z387" s="54">
        <f>IF(NOTA[[#This Row],[JUMLAH]]="","",NOTA[[#This Row],[DISC 1-]]+NOTA[[#This Row],[DISC 2-]])</f>
        <v>0</v>
      </c>
      <c r="AA387" s="54">
        <f>IF(NOTA[[#This Row],[JUMLAH]]="","",NOTA[[#This Row],[JUMLAH]]-NOTA[[#This Row],[DISC]])</f>
        <v>2190000</v>
      </c>
      <c r="AB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7" s="54">
        <f>IF(OR(NOTA[[#This Row],[QTY]]="",NOTA[[#This Row],[HARGA SATUAN]]="",),"",NOTA[[#This Row],[QTY]]*NOTA[[#This Row],[HARGA SATUAN]])</f>
        <v>2190000</v>
      </c>
      <c r="AF387" s="51">
        <f ca="1">IF(NOTA[ID_H]="","",INDEX(NOTA[TANGGAL],MATCH(,INDIRECT(ADDRESS(ROW(NOTA[TANGGAL]),COLUMN(NOTA[TANGGAL]))&amp;":"&amp;ADDRESS(ROW(),COLUMN(NOTA[TANGGAL]))),-1)))</f>
        <v>44940</v>
      </c>
      <c r="AG387" s="49" t="str">
        <f ca="1">IF(NOTA[[#This Row],[NAMA BARANG]]="","",INDEX(NOTA[SUPPLIER],MATCH(,INDIRECT(ADDRESS(ROW(NOTA[ID]),COLUMN(NOTA[ID]))&amp;":"&amp;ADDRESS(ROW(),COLUMN(NOTA[ID]))),-1)))</f>
        <v>99 JAYA UTAMA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1</v>
      </c>
      <c r="AK387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>gelzhixinrefillg31122190000</v>
      </c>
      <c r="AM387" s="193">
        <f>IF(NOTA[[#This Row],[CONCAT1]]="","",MATCH(NOTA[[#This Row],[CONCAT1]],[2]!db[NB NOTA_C],0)+1)</f>
        <v>897</v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93" t="str">
        <f>IF(NOTA[[#This Row],[CONCAT1]]="","",MATCH(NOTA[[#This Row],[CONCAT1]],[2]!db[NB NOTA_C],0)+1)</f>
        <v/>
      </c>
    </row>
    <row r="389" spans="1:39" ht="20.100000000000001" customHeight="1" x14ac:dyDescent="0.25">
      <c r="A389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89" s="50" t="e">
        <f ca="1">IF(NOTA[[#This Row],[ID_P]]="","",MATCH(NOTA[[#This Row],[ID_P]],[1]!B_MSK[N_ID],0))</f>
        <v>#REF!</v>
      </c>
      <c r="D389" s="50">
        <f ca="1">IF(NOTA[[#This Row],[NAMA BARANG]]="","",INDEX(NOTA[ID],MATCH(,INDIRECT(ADDRESS(ROW(NOTA[ID]),COLUMN(NOTA[ID]))&amp;":"&amp;ADDRESS(ROW(),COLUMN(NOTA[ID]))),-1)))</f>
        <v>75</v>
      </c>
      <c r="E389" s="23"/>
      <c r="F389" s="26" t="s">
        <v>220</v>
      </c>
      <c r="G389" s="26" t="s">
        <v>87</v>
      </c>
      <c r="H389" s="31" t="s">
        <v>560</v>
      </c>
      <c r="I389" s="26"/>
      <c r="J389" s="51">
        <v>44938</v>
      </c>
      <c r="K389" s="26"/>
      <c r="L389" s="26" t="s">
        <v>561</v>
      </c>
      <c r="M389" s="39">
        <v>1</v>
      </c>
      <c r="N389" s="26">
        <v>120</v>
      </c>
      <c r="O389" s="26" t="s">
        <v>90</v>
      </c>
      <c r="P389" s="49">
        <v>18250</v>
      </c>
      <c r="Q389" s="52"/>
      <c r="R389" s="39" t="s">
        <v>188</v>
      </c>
      <c r="S389" s="53"/>
      <c r="T389" s="53"/>
      <c r="U389" s="54"/>
      <c r="V389" s="37"/>
      <c r="W389" s="54">
        <f>IF(NOTA[[#This Row],[HARGA/ CTN]]="",NOTA[[#This Row],[JUMLAH_H]],NOTA[[#This Row],[HARGA/ CTN]]*IF(NOTA[[#This Row],[C]]="",0,NOTA[[#This Row],[C]]))</f>
        <v>2190000</v>
      </c>
      <c r="X389" s="54">
        <f>IF(NOTA[[#This Row],[JUMLAH]]="","",NOTA[[#This Row],[JUMLAH]]*NOTA[[#This Row],[DISC 1]])</f>
        <v>0</v>
      </c>
      <c r="Y389" s="54">
        <f>IF(NOTA[[#This Row],[JUMLAH]]="","",(NOTA[[#This Row],[JUMLAH]]-NOTA[[#This Row],[DISC 1-]])*NOTA[[#This Row],[DISC 2]])</f>
        <v>0</v>
      </c>
      <c r="Z389" s="54">
        <f>IF(NOTA[[#This Row],[JUMLAH]]="","",NOTA[[#This Row],[DISC 1-]]+NOTA[[#This Row],[DISC 2-]])</f>
        <v>0</v>
      </c>
      <c r="AA389" s="54">
        <f>IF(NOTA[[#This Row],[JUMLAH]]="","",NOTA[[#This Row],[JUMLAH]]-NOTA[[#This Row],[DISC]])</f>
        <v>2190000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9" s="54">
        <f>IF(OR(NOTA[[#This Row],[QTY]]="",NOTA[[#This Row],[HARGA SATUAN]]="",),"",NOTA[[#This Row],[QTY]]*NOTA[[#This Row],[HARGA SATUAN]])</f>
        <v>2190000</v>
      </c>
      <c r="AF389" s="51">
        <f ca="1">IF(NOTA[ID_H]="","",INDEX(NOTA[TANGGAL],MATCH(,INDIRECT(ADDRESS(ROW(NOTA[TANGGAL]),COLUMN(NOTA[TANGGAL]))&amp;":"&amp;ADDRESS(ROW(),COLUMN(NOTA[TANGGAL]))),-1)))</f>
        <v>44940</v>
      </c>
      <c r="AG389" s="49" t="str">
        <f ca="1">IF(NOTA[[#This Row],[NAMA BARANG]]="","",INDEX(NOTA[SUPPLIER],MATCH(,INDIRECT(ADDRESS(ROW(NOTA[ID]),COLUMN(NOTA[ID]))&amp;":"&amp;ADDRESS(ROW(),COLUMN(NOTA[ID]))),-1)))</f>
        <v>DB STATIONERY</v>
      </c>
      <c r="AH389" s="49" t="str">
        <f ca="1">IF(NOTA[[#This Row],[ID_H]]="","",IF(NOTA[[#This Row],[FAKTUR]]="",INDIRECT(ADDRESS(ROW()-1,COLUMN())),NOTA[[#This Row],[FAKTUR]]))</f>
        <v>UNTANA</v>
      </c>
      <c r="AI389" s="38">
        <f ca="1">IF(NOTA[[#This Row],[ID]]="","",COUNTIF(NOTA[ID_H],NOTA[[#This Row],[ID_H]]))</f>
        <v>17</v>
      </c>
      <c r="AJ389" s="38">
        <f>IF(NOTA[[#This Row],[TGL.NOTA]]="",IF(NOTA[[#This Row],[SUPPLIER_H]]="","",AJ388),MONTH(NOTA[[#This Row],[TGL.NOTA]]))</f>
        <v>1</v>
      </c>
      <c r="AK389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>gelzhixinrefillg50022190000</v>
      </c>
      <c r="AM389" s="193" t="e">
        <f>IF(NOTA[[#This Row],[CONCAT1]]="","",MATCH(NOTA[[#This Row],[CONCAT1]],[2]!db[NB NOTA_C],0)+1)</f>
        <v>#N/A</v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75</v>
      </c>
      <c r="E390" s="23"/>
      <c r="F390" s="26"/>
      <c r="G390" s="26"/>
      <c r="H390" s="31"/>
      <c r="I390" s="26"/>
      <c r="J390" s="51"/>
      <c r="K390" s="26"/>
      <c r="L390" s="26" t="s">
        <v>562</v>
      </c>
      <c r="M390" s="39">
        <v>1</v>
      </c>
      <c r="N390" s="26">
        <v>120</v>
      </c>
      <c r="O390" s="26" t="s">
        <v>90</v>
      </c>
      <c r="P390" s="49">
        <v>18250</v>
      </c>
      <c r="Q390" s="52"/>
      <c r="R390" s="39" t="s">
        <v>188</v>
      </c>
      <c r="S390" s="53"/>
      <c r="T390" s="53"/>
      <c r="U390" s="54"/>
      <c r="V390" s="37"/>
      <c r="W390" s="54">
        <f>IF(NOTA[[#This Row],[HARGA/ CTN]]="",NOTA[[#This Row],[JUMLAH_H]],NOTA[[#This Row],[HARGA/ CTN]]*IF(NOTA[[#This Row],[C]]="",0,NOTA[[#This Row],[C]]))</f>
        <v>2190000</v>
      </c>
      <c r="X390" s="54">
        <f>IF(NOTA[[#This Row],[JUMLAH]]="","",NOTA[[#This Row],[JUMLAH]]*NOTA[[#This Row],[DISC 1]])</f>
        <v>0</v>
      </c>
      <c r="Y390" s="54">
        <f>IF(NOTA[[#This Row],[JUMLAH]]="","",(NOTA[[#This Row],[JUMLAH]]-NOTA[[#This Row],[DISC 1-]])*NOTA[[#This Row],[DISC 2]])</f>
        <v>0</v>
      </c>
      <c r="Z390" s="54">
        <f>IF(NOTA[[#This Row],[JUMLAH]]="","",NOTA[[#This Row],[DISC 1-]]+NOTA[[#This Row],[DISC 2-]])</f>
        <v>0</v>
      </c>
      <c r="AA390" s="54">
        <f>IF(NOTA[[#This Row],[JUMLAH]]="","",NOTA[[#This Row],[JUMLAH]]-NOTA[[#This Row],[DISC]])</f>
        <v>2190000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0" s="54">
        <f>IF(OR(NOTA[[#This Row],[QTY]]="",NOTA[[#This Row],[HARGA SATUAN]]="",),"",NOTA[[#This Row],[QTY]]*NOTA[[#This Row],[HARGA SATUAN]])</f>
        <v>2190000</v>
      </c>
      <c r="AF390" s="51">
        <f ca="1">IF(NOTA[ID_H]="","",INDEX(NOTA[TANGGAL],MATCH(,INDIRECT(ADDRESS(ROW(NOTA[TANGGAL]),COLUMN(NOTA[TANGGAL]))&amp;":"&amp;ADDRESS(ROW(),COLUMN(NOTA[TANGGAL]))),-1)))</f>
        <v>44940</v>
      </c>
      <c r="AG390" s="49" t="str">
        <f ca="1">IF(NOTA[[#This Row],[NAMA BARANG]]="","",INDEX(NOTA[SUPPLIER],MATCH(,INDIRECT(ADDRESS(ROW(NOTA[ID]),COLUMN(NOTA[ID]))&amp;":"&amp;ADDRESS(ROW(),COLUMN(NOTA[ID]))),-1)))</f>
        <v>DB STATIONERY</v>
      </c>
      <c r="AH390" s="49" t="str">
        <f ca="1">IF(NOTA[[#This Row],[ID_H]]="","",IF(NOTA[[#This Row],[FAKTUR]]="",INDIRECT(ADDRESS(ROW()-1,COLUMN())),NOTA[[#This Row],[FAKTUR]]))</f>
        <v>UNTANA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1</v>
      </c>
      <c r="AK390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>gelzhixinrefillg31372190000</v>
      </c>
      <c r="AM390" s="193">
        <f>IF(NOTA[[#This Row],[CONCAT1]]="","",MATCH(NOTA[[#This Row],[CONCAT1]],[2]!db[NB NOTA_C],0)+1)</f>
        <v>859</v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75</v>
      </c>
      <c r="E391" s="23"/>
      <c r="F391" s="26"/>
      <c r="G391" s="26"/>
      <c r="H391" s="31"/>
      <c r="I391" s="26"/>
      <c r="J391" s="51"/>
      <c r="K391" s="26"/>
      <c r="L391" s="26" t="s">
        <v>563</v>
      </c>
      <c r="M391" s="39">
        <v>1</v>
      </c>
      <c r="N391" s="26">
        <v>120</v>
      </c>
      <c r="O391" s="26" t="s">
        <v>90</v>
      </c>
      <c r="P391" s="49">
        <v>18250</v>
      </c>
      <c r="Q391" s="52"/>
      <c r="R391" s="39" t="s">
        <v>188</v>
      </c>
      <c r="S391" s="53"/>
      <c r="T391" s="53"/>
      <c r="U391" s="54"/>
      <c r="V391" s="37"/>
      <c r="W391" s="54">
        <f>IF(NOTA[[#This Row],[HARGA/ CTN]]="",NOTA[[#This Row],[JUMLAH_H]],NOTA[[#This Row],[HARGA/ CTN]]*IF(NOTA[[#This Row],[C]]="",0,NOTA[[#This Row],[C]]))</f>
        <v>2190000</v>
      </c>
      <c r="X391" s="54">
        <f>IF(NOTA[[#This Row],[JUMLAH]]="","",NOTA[[#This Row],[JUMLAH]]*NOTA[[#This Row],[DISC 1]])</f>
        <v>0</v>
      </c>
      <c r="Y391" s="54">
        <f>IF(NOTA[[#This Row],[JUMLAH]]="","",(NOTA[[#This Row],[JUMLAH]]-NOTA[[#This Row],[DISC 1-]])*NOTA[[#This Row],[DISC 2]])</f>
        <v>0</v>
      </c>
      <c r="Z391" s="54">
        <f>IF(NOTA[[#This Row],[JUMLAH]]="","",NOTA[[#This Row],[DISC 1-]]+NOTA[[#This Row],[DISC 2-]])</f>
        <v>0</v>
      </c>
      <c r="AA391" s="54">
        <f>IF(NOTA[[#This Row],[JUMLAH]]="","",NOTA[[#This Row],[JUMLAH]]-NOTA[[#This Row],[DISC]])</f>
        <v>2190000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1" s="54">
        <f>IF(OR(NOTA[[#This Row],[QTY]]="",NOTA[[#This Row],[HARGA SATUAN]]="",),"",NOTA[[#This Row],[QTY]]*NOTA[[#This Row],[HARGA SATUAN]])</f>
        <v>2190000</v>
      </c>
      <c r="AF391" s="51">
        <f ca="1">IF(NOTA[ID_H]="","",INDEX(NOTA[TANGGAL],MATCH(,INDIRECT(ADDRESS(ROW(NOTA[TANGGAL]),COLUMN(NOTA[TANGGAL]))&amp;":"&amp;ADDRESS(ROW(),COLUMN(NOTA[TANGGAL]))),-1)))</f>
        <v>44940</v>
      </c>
      <c r="AG391" s="49" t="str">
        <f ca="1">IF(NOTA[[#This Row],[NAMA BARANG]]="","",INDEX(NOTA[SUPPLIER],MATCH(,INDIRECT(ADDRESS(ROW(NOTA[ID]),COLUMN(NOTA[ID]))&amp;":"&amp;ADDRESS(ROW(),COLUMN(NOTA[ID]))),-1)))</f>
        <v>DB STATIONERY</v>
      </c>
      <c r="AH391" s="49" t="str">
        <f ca="1">IF(NOTA[[#This Row],[ID_H]]="","",IF(NOTA[[#This Row],[FAKTUR]]="",INDIRECT(ADDRESS(ROW()-1,COLUMN())),NOTA[[#This Row],[FAKTUR]]))</f>
        <v>UNTANA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1</v>
      </c>
      <c r="AK391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>gelzhixinrefillg31362190000</v>
      </c>
      <c r="AM391" s="193">
        <f>IF(NOTA[[#This Row],[CONCAT1]]="","",MATCH(NOTA[[#This Row],[CONCAT1]],[2]!db[NB NOTA_C],0)+1)</f>
        <v>858</v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75</v>
      </c>
      <c r="E392" s="23"/>
      <c r="F392" s="26"/>
      <c r="G392" s="26"/>
      <c r="H392" s="31"/>
      <c r="I392" s="26"/>
      <c r="J392" s="51"/>
      <c r="K392" s="26"/>
      <c r="L392" s="26" t="s">
        <v>564</v>
      </c>
      <c r="M392" s="39">
        <v>1</v>
      </c>
      <c r="N392" s="26">
        <v>120</v>
      </c>
      <c r="O392" s="26" t="s">
        <v>90</v>
      </c>
      <c r="P392" s="49">
        <v>18250</v>
      </c>
      <c r="Q392" s="52"/>
      <c r="R392" s="39" t="s">
        <v>188</v>
      </c>
      <c r="S392" s="53"/>
      <c r="T392" s="53"/>
      <c r="U392" s="54"/>
      <c r="V392" s="37"/>
      <c r="W392" s="54">
        <f>IF(NOTA[[#This Row],[HARGA/ CTN]]="",NOTA[[#This Row],[JUMLAH_H]],NOTA[[#This Row],[HARGA/ CTN]]*IF(NOTA[[#This Row],[C]]="",0,NOTA[[#This Row],[C]]))</f>
        <v>2190000</v>
      </c>
      <c r="X392" s="54">
        <f>IF(NOTA[[#This Row],[JUMLAH]]="","",NOTA[[#This Row],[JUMLAH]]*NOTA[[#This Row],[DISC 1]])</f>
        <v>0</v>
      </c>
      <c r="Y392" s="54">
        <f>IF(NOTA[[#This Row],[JUMLAH]]="","",(NOTA[[#This Row],[JUMLAH]]-NOTA[[#This Row],[DISC 1-]])*NOTA[[#This Row],[DISC 2]])</f>
        <v>0</v>
      </c>
      <c r="Z392" s="54">
        <f>IF(NOTA[[#This Row],[JUMLAH]]="","",NOTA[[#This Row],[DISC 1-]]+NOTA[[#This Row],[DISC 2-]])</f>
        <v>0</v>
      </c>
      <c r="AA392" s="54">
        <f>IF(NOTA[[#This Row],[JUMLAH]]="","",NOTA[[#This Row],[JUMLAH]]-NOTA[[#This Row],[DISC]])</f>
        <v>2190000</v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2" s="54">
        <f>IF(OR(NOTA[[#This Row],[QTY]]="",NOTA[[#This Row],[HARGA SATUAN]]="",),"",NOTA[[#This Row],[QTY]]*NOTA[[#This Row],[HARGA SATUAN]])</f>
        <v>2190000</v>
      </c>
      <c r="AF392" s="51">
        <f ca="1">IF(NOTA[ID_H]="","",INDEX(NOTA[TANGGAL],MATCH(,INDIRECT(ADDRESS(ROW(NOTA[TANGGAL]),COLUMN(NOTA[TANGGAL]))&amp;":"&amp;ADDRESS(ROW(),COLUMN(NOTA[TANGGAL]))),-1)))</f>
        <v>44940</v>
      </c>
      <c r="AG392" s="49" t="str">
        <f ca="1">IF(NOTA[[#This Row],[NAMA BARANG]]="","",INDEX(NOTA[SUPPLIER],MATCH(,INDIRECT(ADDRESS(ROW(NOTA[ID]),COLUMN(NOTA[ID]))&amp;":"&amp;ADDRESS(ROW(),COLUMN(NOTA[ID]))),-1)))</f>
        <v>DB STATIONERY</v>
      </c>
      <c r="AH392" s="49" t="str">
        <f ca="1">IF(NOTA[[#This Row],[ID_H]]="","",IF(NOTA[[#This Row],[FAKTUR]]="",INDIRECT(ADDRESS(ROW()-1,COLUMN())),NOTA[[#This Row],[FAKTUR]]))</f>
        <v>UNTANA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1</v>
      </c>
      <c r="AK392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>gelzhixinrefillg31352190000</v>
      </c>
      <c r="AM392" s="193">
        <f>IF(NOTA[[#This Row],[CONCAT1]]="","",MATCH(NOTA[[#This Row],[CONCAT1]],[2]!db[NB NOTA_C],0)+1)</f>
        <v>857</v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>
        <f ca="1">IF(NOTA[[#This Row],[NAMA BARANG]]="","",INDEX(NOTA[ID],MATCH(,INDIRECT(ADDRESS(ROW(NOTA[ID]),COLUMN(NOTA[ID]))&amp;":"&amp;ADDRESS(ROW(),COLUMN(NOTA[ID]))),-1)))</f>
        <v>75</v>
      </c>
      <c r="E393" s="23"/>
      <c r="F393" s="26"/>
      <c r="G393" s="26"/>
      <c r="H393" s="31"/>
      <c r="I393" s="26"/>
      <c r="J393" s="51"/>
      <c r="K393" s="26"/>
      <c r="L393" s="26" t="s">
        <v>565</v>
      </c>
      <c r="M393" s="39">
        <v>1</v>
      </c>
      <c r="N393" s="26">
        <v>120</v>
      </c>
      <c r="O393" s="26" t="s">
        <v>90</v>
      </c>
      <c r="P393" s="49">
        <v>18250</v>
      </c>
      <c r="Q393" s="52"/>
      <c r="R393" s="39" t="s">
        <v>188</v>
      </c>
      <c r="S393" s="53"/>
      <c r="T393" s="53"/>
      <c r="U393" s="54"/>
      <c r="V393" s="37"/>
      <c r="W393" s="54">
        <f>IF(NOTA[[#This Row],[HARGA/ CTN]]="",NOTA[[#This Row],[JUMLAH_H]],NOTA[[#This Row],[HARGA/ CTN]]*IF(NOTA[[#This Row],[C]]="",0,NOTA[[#This Row],[C]]))</f>
        <v>2190000</v>
      </c>
      <c r="X393" s="54">
        <f>IF(NOTA[[#This Row],[JUMLAH]]="","",NOTA[[#This Row],[JUMLAH]]*NOTA[[#This Row],[DISC 1]])</f>
        <v>0</v>
      </c>
      <c r="Y393" s="54">
        <f>IF(NOTA[[#This Row],[JUMLAH]]="","",(NOTA[[#This Row],[JUMLAH]]-NOTA[[#This Row],[DISC 1-]])*NOTA[[#This Row],[DISC 2]])</f>
        <v>0</v>
      </c>
      <c r="Z393" s="54">
        <f>IF(NOTA[[#This Row],[JUMLAH]]="","",NOTA[[#This Row],[DISC 1-]]+NOTA[[#This Row],[DISC 2-]])</f>
        <v>0</v>
      </c>
      <c r="AA393" s="54">
        <f>IF(NOTA[[#This Row],[JUMLAH]]="","",NOTA[[#This Row],[JUMLAH]]-NOTA[[#This Row],[DISC]])</f>
        <v>2190000</v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3" s="54">
        <f>IF(OR(NOTA[[#This Row],[QTY]]="",NOTA[[#This Row],[HARGA SATUAN]]="",),"",NOTA[[#This Row],[QTY]]*NOTA[[#This Row],[HARGA SATUAN]])</f>
        <v>2190000</v>
      </c>
      <c r="AF393" s="51">
        <f ca="1">IF(NOTA[ID_H]="","",INDEX(NOTA[TANGGAL],MATCH(,INDIRECT(ADDRESS(ROW(NOTA[TANGGAL]),COLUMN(NOTA[TANGGAL]))&amp;":"&amp;ADDRESS(ROW(),COLUMN(NOTA[TANGGAL]))),-1)))</f>
        <v>44940</v>
      </c>
      <c r="AG393" s="49" t="str">
        <f ca="1">IF(NOTA[[#This Row],[NAMA BARANG]]="","",INDEX(NOTA[SUPPLIER],MATCH(,INDIRECT(ADDRESS(ROW(NOTA[ID]),COLUMN(NOTA[ID]))&amp;":"&amp;ADDRESS(ROW(),COLUMN(NOTA[ID]))),-1)))</f>
        <v>DB STATIONERY</v>
      </c>
      <c r="AH393" s="49" t="str">
        <f ca="1">IF(NOTA[[#This Row],[ID_H]]="","",IF(NOTA[[#This Row],[FAKTUR]]="",INDIRECT(ADDRESS(ROW()-1,COLUMN())),NOTA[[#This Row],[FAKTUR]]))</f>
        <v>UNTANA</v>
      </c>
      <c r="AI393" s="38" t="str">
        <f ca="1">IF(NOTA[[#This Row],[ID]]="","",COUNTIF(NOTA[ID_H],NOTA[[#This Row],[ID_H]]))</f>
        <v/>
      </c>
      <c r="AJ393" s="38">
        <f ca="1">IF(NOTA[[#This Row],[TGL.NOTA]]="",IF(NOTA[[#This Row],[SUPPLIER_H]]="","",AJ392),MONTH(NOTA[[#This Row],[TGL.NOTA]]))</f>
        <v>1</v>
      </c>
      <c r="AK393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>gelzhixinrefillg31332190000</v>
      </c>
      <c r="AM393" s="193">
        <f>IF(NOTA[[#This Row],[CONCAT1]]="","",MATCH(NOTA[[#This Row],[CONCAT1]],[2]!db[NB NOTA_C],0)+1)</f>
        <v>856</v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>
        <f ca="1">IF(NOTA[[#This Row],[NAMA BARANG]]="","",INDEX(NOTA[ID],MATCH(,INDIRECT(ADDRESS(ROW(NOTA[ID]),COLUMN(NOTA[ID]))&amp;":"&amp;ADDRESS(ROW(),COLUMN(NOTA[ID]))),-1)))</f>
        <v>75</v>
      </c>
      <c r="E394" s="23"/>
      <c r="F394" s="26"/>
      <c r="G394" s="26"/>
      <c r="H394" s="31"/>
      <c r="I394" s="26"/>
      <c r="J394" s="51"/>
      <c r="K394" s="26"/>
      <c r="L394" s="26" t="s">
        <v>566</v>
      </c>
      <c r="M394" s="39">
        <v>1</v>
      </c>
      <c r="N394" s="26">
        <v>120</v>
      </c>
      <c r="O394" s="26" t="s">
        <v>90</v>
      </c>
      <c r="P394" s="49">
        <v>18250</v>
      </c>
      <c r="Q394" s="52"/>
      <c r="R394" s="39" t="s">
        <v>188</v>
      </c>
      <c r="S394" s="53"/>
      <c r="T394" s="53"/>
      <c r="U394" s="54"/>
      <c r="V394" s="37"/>
      <c r="W394" s="54">
        <f>IF(NOTA[[#This Row],[HARGA/ CTN]]="",NOTA[[#This Row],[JUMLAH_H]],NOTA[[#This Row],[HARGA/ CTN]]*IF(NOTA[[#This Row],[C]]="",0,NOTA[[#This Row],[C]]))</f>
        <v>2190000</v>
      </c>
      <c r="X394" s="54">
        <f>IF(NOTA[[#This Row],[JUMLAH]]="","",NOTA[[#This Row],[JUMLAH]]*NOTA[[#This Row],[DISC 1]])</f>
        <v>0</v>
      </c>
      <c r="Y394" s="54">
        <f>IF(NOTA[[#This Row],[JUMLAH]]="","",(NOTA[[#This Row],[JUMLAH]]-NOTA[[#This Row],[DISC 1-]])*NOTA[[#This Row],[DISC 2]])</f>
        <v>0</v>
      </c>
      <c r="Z394" s="54">
        <f>IF(NOTA[[#This Row],[JUMLAH]]="","",NOTA[[#This Row],[DISC 1-]]+NOTA[[#This Row],[DISC 2-]])</f>
        <v>0</v>
      </c>
      <c r="AA394" s="54">
        <f>IF(NOTA[[#This Row],[JUMLAH]]="","",NOTA[[#This Row],[JUMLAH]]-NOTA[[#This Row],[DISC]])</f>
        <v>2190000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4" s="54">
        <f>IF(OR(NOTA[[#This Row],[QTY]]="",NOTA[[#This Row],[HARGA SATUAN]]="",),"",NOTA[[#This Row],[QTY]]*NOTA[[#This Row],[HARGA SATUAN]])</f>
        <v>2190000</v>
      </c>
      <c r="AF394" s="51">
        <f ca="1">IF(NOTA[ID_H]="","",INDEX(NOTA[TANGGAL],MATCH(,INDIRECT(ADDRESS(ROW(NOTA[TANGGAL]),COLUMN(NOTA[TANGGAL]))&amp;":"&amp;ADDRESS(ROW(),COLUMN(NOTA[TANGGAL]))),-1)))</f>
        <v>44940</v>
      </c>
      <c r="AG394" s="49" t="str">
        <f ca="1">IF(NOTA[[#This Row],[NAMA BARANG]]="","",INDEX(NOTA[SUPPLIER],MATCH(,INDIRECT(ADDRESS(ROW(NOTA[ID]),COLUMN(NOTA[ID]))&amp;":"&amp;ADDRESS(ROW(),COLUMN(NOTA[ID]))),-1)))</f>
        <v>DB STATIONERY</v>
      </c>
      <c r="AH394" s="49" t="str">
        <f ca="1">IF(NOTA[[#This Row],[ID_H]]="","",IF(NOTA[[#This Row],[FAKTUR]]="",INDIRECT(ADDRESS(ROW()-1,COLUMN())),NOTA[[#This Row],[FAKTUR]]))</f>
        <v>UNTANA</v>
      </c>
      <c r="AI394" s="38" t="str">
        <f ca="1">IF(NOTA[[#This Row],[ID]]="","",COUNTIF(NOTA[ID_H],NOTA[[#This Row],[ID_H]]))</f>
        <v/>
      </c>
      <c r="AJ394" s="38">
        <f ca="1">IF(NOTA[[#This Row],[TGL.NOTA]]="",IF(NOTA[[#This Row],[SUPPLIER_H]]="","",AJ393),MONTH(NOTA[[#This Row],[TGL.NOTA]]))</f>
        <v>1</v>
      </c>
      <c r="AK394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>gelzhixinrefillg31322190000</v>
      </c>
      <c r="AM394" s="193">
        <f>IF(NOTA[[#This Row],[CONCAT1]]="","",MATCH(NOTA[[#This Row],[CONCAT1]],[2]!db[NB NOTA_C],0)+1)</f>
        <v>855</v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75</v>
      </c>
      <c r="E395" s="23"/>
      <c r="F395" s="26"/>
      <c r="G395" s="26"/>
      <c r="H395" s="31"/>
      <c r="I395" s="26"/>
      <c r="J395" s="51"/>
      <c r="K395" s="26"/>
      <c r="L395" s="26" t="s">
        <v>567</v>
      </c>
      <c r="M395" s="39">
        <v>1</v>
      </c>
      <c r="N395" s="26">
        <v>120</v>
      </c>
      <c r="O395" s="26" t="s">
        <v>90</v>
      </c>
      <c r="P395" s="49">
        <v>18250</v>
      </c>
      <c r="Q395" s="52"/>
      <c r="R395" s="39" t="s">
        <v>188</v>
      </c>
      <c r="S395" s="53"/>
      <c r="T395" s="53"/>
      <c r="U395" s="54"/>
      <c r="V395" s="37"/>
      <c r="W395" s="54">
        <f>IF(NOTA[[#This Row],[HARGA/ CTN]]="",NOTA[[#This Row],[JUMLAH_H]],NOTA[[#This Row],[HARGA/ CTN]]*IF(NOTA[[#This Row],[C]]="",0,NOTA[[#This Row],[C]]))</f>
        <v>2190000</v>
      </c>
      <c r="X395" s="54">
        <f>IF(NOTA[[#This Row],[JUMLAH]]="","",NOTA[[#This Row],[JUMLAH]]*NOTA[[#This Row],[DISC 1]])</f>
        <v>0</v>
      </c>
      <c r="Y395" s="54">
        <f>IF(NOTA[[#This Row],[JUMLAH]]="","",(NOTA[[#This Row],[JUMLAH]]-NOTA[[#This Row],[DISC 1-]])*NOTA[[#This Row],[DISC 2]])</f>
        <v>0</v>
      </c>
      <c r="Z395" s="54">
        <f>IF(NOTA[[#This Row],[JUMLAH]]="","",NOTA[[#This Row],[DISC 1-]]+NOTA[[#This Row],[DISC 2-]])</f>
        <v>0</v>
      </c>
      <c r="AA395" s="54">
        <f>IF(NOTA[[#This Row],[JUMLAH]]="","",NOTA[[#This Row],[JUMLAH]]-NOTA[[#This Row],[DISC]])</f>
        <v>2190000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5" s="54">
        <f>IF(OR(NOTA[[#This Row],[QTY]]="",NOTA[[#This Row],[HARGA SATUAN]]="",),"",NOTA[[#This Row],[QTY]]*NOTA[[#This Row],[HARGA SATUAN]])</f>
        <v>2190000</v>
      </c>
      <c r="AF395" s="51">
        <f ca="1">IF(NOTA[ID_H]="","",INDEX(NOTA[TANGGAL],MATCH(,INDIRECT(ADDRESS(ROW(NOTA[TANGGAL]),COLUMN(NOTA[TANGGAL]))&amp;":"&amp;ADDRESS(ROW(),COLUMN(NOTA[TANGGAL]))),-1)))</f>
        <v>44940</v>
      </c>
      <c r="AG395" s="49" t="str">
        <f ca="1">IF(NOTA[[#This Row],[NAMA BARANG]]="","",INDEX(NOTA[SUPPLIER],MATCH(,INDIRECT(ADDRESS(ROW(NOTA[ID]),COLUMN(NOTA[ID]))&amp;":"&amp;ADDRESS(ROW(),COLUMN(NOTA[ID]))),-1)))</f>
        <v>DB STATIONERY</v>
      </c>
      <c r="AH395" s="49" t="str">
        <f ca="1">IF(NOTA[[#This Row],[ID_H]]="","",IF(NOTA[[#This Row],[FAKTUR]]="",INDIRECT(ADDRESS(ROW()-1,COLUMN())),NOTA[[#This Row],[FAKTUR]]))</f>
        <v>UNTANA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1</v>
      </c>
      <c r="AK395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>gelzhixinrefillg31312190000</v>
      </c>
      <c r="AM395" s="193">
        <f>IF(NOTA[[#This Row],[CONCAT1]]="","",MATCH(NOTA[[#This Row],[CONCAT1]],[2]!db[NB NOTA_C],0)+1)</f>
        <v>854</v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75</v>
      </c>
      <c r="E396" s="23"/>
      <c r="F396" s="26"/>
      <c r="G396" s="26"/>
      <c r="H396" s="31"/>
      <c r="I396" s="26"/>
      <c r="J396" s="51"/>
      <c r="K396" s="26"/>
      <c r="L396" s="26" t="s">
        <v>568</v>
      </c>
      <c r="M396" s="39">
        <v>1</v>
      </c>
      <c r="N396" s="26">
        <v>120</v>
      </c>
      <c r="O396" s="26" t="s">
        <v>90</v>
      </c>
      <c r="P396" s="49">
        <v>18250</v>
      </c>
      <c r="Q396" s="52"/>
      <c r="R396" s="39" t="s">
        <v>188</v>
      </c>
      <c r="S396" s="53"/>
      <c r="T396" s="53"/>
      <c r="U396" s="54"/>
      <c r="V396" s="37"/>
      <c r="W396" s="54">
        <f>IF(NOTA[[#This Row],[HARGA/ CTN]]="",NOTA[[#This Row],[JUMLAH_H]],NOTA[[#This Row],[HARGA/ CTN]]*IF(NOTA[[#This Row],[C]]="",0,NOTA[[#This Row],[C]]))</f>
        <v>2190000</v>
      </c>
      <c r="X396" s="54">
        <f>IF(NOTA[[#This Row],[JUMLAH]]="","",NOTA[[#This Row],[JUMLAH]]*NOTA[[#This Row],[DISC 1]])</f>
        <v>0</v>
      </c>
      <c r="Y396" s="54">
        <f>IF(NOTA[[#This Row],[JUMLAH]]="","",(NOTA[[#This Row],[JUMLAH]]-NOTA[[#This Row],[DISC 1-]])*NOTA[[#This Row],[DISC 2]])</f>
        <v>0</v>
      </c>
      <c r="Z396" s="54">
        <f>IF(NOTA[[#This Row],[JUMLAH]]="","",NOTA[[#This Row],[DISC 1-]]+NOTA[[#This Row],[DISC 2-]])</f>
        <v>0</v>
      </c>
      <c r="AA396" s="54">
        <f>IF(NOTA[[#This Row],[JUMLAH]]="","",NOTA[[#This Row],[JUMLAH]]-NOTA[[#This Row],[DISC]])</f>
        <v>2190000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6" s="54">
        <f>IF(OR(NOTA[[#This Row],[QTY]]="",NOTA[[#This Row],[HARGA SATUAN]]="",),"",NOTA[[#This Row],[QTY]]*NOTA[[#This Row],[HARGA SATUAN]])</f>
        <v>2190000</v>
      </c>
      <c r="AF396" s="51">
        <f ca="1">IF(NOTA[ID_H]="","",INDEX(NOTA[TANGGAL],MATCH(,INDIRECT(ADDRESS(ROW(NOTA[TANGGAL]),COLUMN(NOTA[TANGGAL]))&amp;":"&amp;ADDRESS(ROW(),COLUMN(NOTA[TANGGAL]))),-1)))</f>
        <v>44940</v>
      </c>
      <c r="AG396" s="49" t="str">
        <f ca="1">IF(NOTA[[#This Row],[NAMA BARANG]]="","",INDEX(NOTA[SUPPLIER],MATCH(,INDIRECT(ADDRESS(ROW(NOTA[ID]),COLUMN(NOTA[ID]))&amp;":"&amp;ADDRESS(ROW(),COLUMN(NOTA[ID]))),-1)))</f>
        <v>DB STATIONERY</v>
      </c>
      <c r="AH396" s="49" t="str">
        <f ca="1">IF(NOTA[[#This Row],[ID_H]]="","",IF(NOTA[[#This Row],[FAKTUR]]="",INDIRECT(ADDRESS(ROW()-1,COLUMN())),NOTA[[#This Row],[FAKTUR]]))</f>
        <v>UNTANA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1</v>
      </c>
      <c r="AK396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>gelzhixinrefillg31302190000</v>
      </c>
      <c r="AM396" s="193">
        <f>IF(NOTA[[#This Row],[CONCAT1]]="","",MATCH(NOTA[[#This Row],[CONCAT1]],[2]!db[NB NOTA_C],0)+1)</f>
        <v>853</v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75</v>
      </c>
      <c r="E397" s="23"/>
      <c r="F397" s="26"/>
      <c r="G397" s="26"/>
      <c r="H397" s="31"/>
      <c r="I397" s="26"/>
      <c r="J397" s="51"/>
      <c r="K397" s="26"/>
      <c r="L397" s="26" t="s">
        <v>569</v>
      </c>
      <c r="M397" s="39">
        <v>1</v>
      </c>
      <c r="N397" s="26">
        <v>120</v>
      </c>
      <c r="O397" s="26" t="s">
        <v>90</v>
      </c>
      <c r="P397" s="49">
        <v>18250</v>
      </c>
      <c r="Q397" s="52"/>
      <c r="R397" s="39" t="s">
        <v>188</v>
      </c>
      <c r="S397" s="53"/>
      <c r="T397" s="53"/>
      <c r="U397" s="54"/>
      <c r="V397" s="37"/>
      <c r="W397" s="54">
        <f>IF(NOTA[[#This Row],[HARGA/ CTN]]="",NOTA[[#This Row],[JUMLAH_H]],NOTA[[#This Row],[HARGA/ CTN]]*IF(NOTA[[#This Row],[C]]="",0,NOTA[[#This Row],[C]]))</f>
        <v>2190000</v>
      </c>
      <c r="X397" s="54">
        <f>IF(NOTA[[#This Row],[JUMLAH]]="","",NOTA[[#This Row],[JUMLAH]]*NOTA[[#This Row],[DISC 1]])</f>
        <v>0</v>
      </c>
      <c r="Y397" s="54">
        <f>IF(NOTA[[#This Row],[JUMLAH]]="","",(NOTA[[#This Row],[JUMLAH]]-NOTA[[#This Row],[DISC 1-]])*NOTA[[#This Row],[DISC 2]])</f>
        <v>0</v>
      </c>
      <c r="Z397" s="54">
        <f>IF(NOTA[[#This Row],[JUMLAH]]="","",NOTA[[#This Row],[DISC 1-]]+NOTA[[#This Row],[DISC 2-]])</f>
        <v>0</v>
      </c>
      <c r="AA397" s="54">
        <f>IF(NOTA[[#This Row],[JUMLAH]]="","",NOTA[[#This Row],[JUMLAH]]-NOTA[[#This Row],[DISC]])</f>
        <v>2190000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7" s="54">
        <f>IF(OR(NOTA[[#This Row],[QTY]]="",NOTA[[#This Row],[HARGA SATUAN]]="",),"",NOTA[[#This Row],[QTY]]*NOTA[[#This Row],[HARGA SATUAN]])</f>
        <v>2190000</v>
      </c>
      <c r="AF397" s="51">
        <f ca="1">IF(NOTA[ID_H]="","",INDEX(NOTA[TANGGAL],MATCH(,INDIRECT(ADDRESS(ROW(NOTA[TANGGAL]),COLUMN(NOTA[TANGGAL]))&amp;":"&amp;ADDRESS(ROW(),COLUMN(NOTA[TANGGAL]))),-1)))</f>
        <v>44940</v>
      </c>
      <c r="AG397" s="49" t="str">
        <f ca="1">IF(NOTA[[#This Row],[NAMA BARANG]]="","",INDEX(NOTA[SUPPLIER],MATCH(,INDIRECT(ADDRESS(ROW(NOTA[ID]),COLUMN(NOTA[ID]))&amp;":"&amp;ADDRESS(ROW(),COLUMN(NOTA[ID]))),-1)))</f>
        <v>DB STATIONERY</v>
      </c>
      <c r="AH397" s="49" t="str">
        <f ca="1">IF(NOTA[[#This Row],[ID_H]]="","",IF(NOTA[[#This Row],[FAKTUR]]="",INDIRECT(ADDRESS(ROW()-1,COLUMN())),NOTA[[#This Row],[FAKTUR]]))</f>
        <v>UNTANA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1</v>
      </c>
      <c r="AK397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>gelzhixinrefillg31292190000</v>
      </c>
      <c r="AM397" s="193">
        <f>IF(NOTA[[#This Row],[CONCAT1]]="","",MATCH(NOTA[[#This Row],[CONCAT1]],[2]!db[NB NOTA_C],0)+1)</f>
        <v>908</v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75</v>
      </c>
      <c r="E398" s="23"/>
      <c r="F398" s="26"/>
      <c r="G398" s="26"/>
      <c r="H398" s="31"/>
      <c r="I398" s="26"/>
      <c r="J398" s="51"/>
      <c r="K398" s="26"/>
      <c r="L398" s="26" t="s">
        <v>570</v>
      </c>
      <c r="M398" s="39">
        <v>1</v>
      </c>
      <c r="N398" s="26">
        <v>120</v>
      </c>
      <c r="O398" s="26" t="s">
        <v>90</v>
      </c>
      <c r="P398" s="49">
        <v>18250</v>
      </c>
      <c r="Q398" s="52"/>
      <c r="R398" s="39" t="s">
        <v>188</v>
      </c>
      <c r="S398" s="53"/>
      <c r="T398" s="53"/>
      <c r="U398" s="54"/>
      <c r="V398" s="37"/>
      <c r="W398" s="54">
        <f>IF(NOTA[[#This Row],[HARGA/ CTN]]="",NOTA[[#This Row],[JUMLAH_H]],NOTA[[#This Row],[HARGA/ CTN]]*IF(NOTA[[#This Row],[C]]="",0,NOTA[[#This Row],[C]]))</f>
        <v>2190000</v>
      </c>
      <c r="X398" s="54">
        <f>IF(NOTA[[#This Row],[JUMLAH]]="","",NOTA[[#This Row],[JUMLAH]]*NOTA[[#This Row],[DISC 1]])</f>
        <v>0</v>
      </c>
      <c r="Y398" s="54">
        <f>IF(NOTA[[#This Row],[JUMLAH]]="","",(NOTA[[#This Row],[JUMLAH]]-NOTA[[#This Row],[DISC 1-]])*NOTA[[#This Row],[DISC 2]])</f>
        <v>0</v>
      </c>
      <c r="Z398" s="54">
        <f>IF(NOTA[[#This Row],[JUMLAH]]="","",NOTA[[#This Row],[DISC 1-]]+NOTA[[#This Row],[DISC 2-]])</f>
        <v>0</v>
      </c>
      <c r="AA398" s="54">
        <f>IF(NOTA[[#This Row],[JUMLAH]]="","",NOTA[[#This Row],[JUMLAH]]-NOTA[[#This Row],[DISC]])</f>
        <v>2190000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8" s="54">
        <f>IF(OR(NOTA[[#This Row],[QTY]]="",NOTA[[#This Row],[HARGA SATUAN]]="",),"",NOTA[[#This Row],[QTY]]*NOTA[[#This Row],[HARGA SATUAN]])</f>
        <v>2190000</v>
      </c>
      <c r="AF398" s="51">
        <f ca="1">IF(NOTA[ID_H]="","",INDEX(NOTA[TANGGAL],MATCH(,INDIRECT(ADDRESS(ROW(NOTA[TANGGAL]),COLUMN(NOTA[TANGGAL]))&amp;":"&amp;ADDRESS(ROW(),COLUMN(NOTA[TANGGAL]))),-1)))</f>
        <v>44940</v>
      </c>
      <c r="AG398" s="49" t="str">
        <f ca="1">IF(NOTA[[#This Row],[NAMA BARANG]]="","",INDEX(NOTA[SUPPLIER],MATCH(,INDIRECT(ADDRESS(ROW(NOTA[ID]),COLUMN(NOTA[ID]))&amp;":"&amp;ADDRESS(ROW(),COLUMN(NOTA[ID]))),-1)))</f>
        <v>DB STATIONERY</v>
      </c>
      <c r="AH398" s="49" t="str">
        <f ca="1">IF(NOTA[[#This Row],[ID_H]]="","",IF(NOTA[[#This Row],[FAKTUR]]="",INDIRECT(ADDRESS(ROW()-1,COLUMN())),NOTA[[#This Row],[FAKTUR]]))</f>
        <v>UNTANA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1</v>
      </c>
      <c r="AK398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>gelzhixinrefillg31282190000</v>
      </c>
      <c r="AM398" s="193">
        <f>IF(NOTA[[#This Row],[CONCAT1]]="","",MATCH(NOTA[[#This Row],[CONCAT1]],[2]!db[NB NOTA_C],0)+1)</f>
        <v>852</v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75</v>
      </c>
      <c r="E399" s="23"/>
      <c r="F399" s="26"/>
      <c r="G399" s="26"/>
      <c r="H399" s="31"/>
      <c r="I399" s="26"/>
      <c r="J399" s="51"/>
      <c r="K399" s="26"/>
      <c r="L399" s="26" t="s">
        <v>571</v>
      </c>
      <c r="M399" s="39">
        <v>1</v>
      </c>
      <c r="N399" s="26">
        <v>120</v>
      </c>
      <c r="O399" s="26" t="s">
        <v>90</v>
      </c>
      <c r="P399" s="49">
        <v>18250</v>
      </c>
      <c r="Q399" s="52"/>
      <c r="R399" s="39" t="s">
        <v>188</v>
      </c>
      <c r="S399" s="53"/>
      <c r="T399" s="53"/>
      <c r="U399" s="54"/>
      <c r="V399" s="37"/>
      <c r="W399" s="54">
        <f>IF(NOTA[[#This Row],[HARGA/ CTN]]="",NOTA[[#This Row],[JUMLAH_H]],NOTA[[#This Row],[HARGA/ CTN]]*IF(NOTA[[#This Row],[C]]="",0,NOTA[[#This Row],[C]]))</f>
        <v>2190000</v>
      </c>
      <c r="X399" s="54">
        <f>IF(NOTA[[#This Row],[JUMLAH]]="","",NOTA[[#This Row],[JUMLAH]]*NOTA[[#This Row],[DISC 1]])</f>
        <v>0</v>
      </c>
      <c r="Y399" s="54">
        <f>IF(NOTA[[#This Row],[JUMLAH]]="","",(NOTA[[#This Row],[JUMLAH]]-NOTA[[#This Row],[DISC 1-]])*NOTA[[#This Row],[DISC 2]])</f>
        <v>0</v>
      </c>
      <c r="Z399" s="54">
        <f>IF(NOTA[[#This Row],[JUMLAH]]="","",NOTA[[#This Row],[DISC 1-]]+NOTA[[#This Row],[DISC 2-]])</f>
        <v>0</v>
      </c>
      <c r="AA399" s="54">
        <f>IF(NOTA[[#This Row],[JUMLAH]]="","",NOTA[[#This Row],[JUMLAH]]-NOTA[[#This Row],[DISC]])</f>
        <v>2190000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9" s="54">
        <f>IF(OR(NOTA[[#This Row],[QTY]]="",NOTA[[#This Row],[HARGA SATUAN]]="",),"",NOTA[[#This Row],[QTY]]*NOTA[[#This Row],[HARGA SATUAN]])</f>
        <v>2190000</v>
      </c>
      <c r="AF399" s="51">
        <f ca="1">IF(NOTA[ID_H]="","",INDEX(NOTA[TANGGAL],MATCH(,INDIRECT(ADDRESS(ROW(NOTA[TANGGAL]),COLUMN(NOTA[TANGGAL]))&amp;":"&amp;ADDRESS(ROW(),COLUMN(NOTA[TANGGAL]))),-1)))</f>
        <v>44940</v>
      </c>
      <c r="AG399" s="49" t="str">
        <f ca="1">IF(NOTA[[#This Row],[NAMA BARANG]]="","",INDEX(NOTA[SUPPLIER],MATCH(,INDIRECT(ADDRESS(ROW(NOTA[ID]),COLUMN(NOTA[ID]))&amp;":"&amp;ADDRESS(ROW(),COLUMN(NOTA[ID]))),-1)))</f>
        <v>DB STATIONERY</v>
      </c>
      <c r="AH399" s="49" t="str">
        <f ca="1">IF(NOTA[[#This Row],[ID_H]]="","",IF(NOTA[[#This Row],[FAKTUR]]="",INDIRECT(ADDRESS(ROW()-1,COLUMN())),NOTA[[#This Row],[FAKTUR]]))</f>
        <v>UNTANA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1</v>
      </c>
      <c r="AK399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>gelzhixinrefillg31272190000</v>
      </c>
      <c r="AM399" s="193">
        <f>IF(NOTA[[#This Row],[CONCAT1]]="","",MATCH(NOTA[[#This Row],[CONCAT1]],[2]!db[NB NOTA_C],0)+1)</f>
        <v>851</v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75</v>
      </c>
      <c r="E400" s="23"/>
      <c r="F400" s="26"/>
      <c r="G400" s="26"/>
      <c r="H400" s="31"/>
      <c r="I400" s="26"/>
      <c r="J400" s="51"/>
      <c r="K400" s="26"/>
      <c r="L400" s="26" t="s">
        <v>572</v>
      </c>
      <c r="M400" s="39">
        <v>1</v>
      </c>
      <c r="N400" s="26">
        <v>120</v>
      </c>
      <c r="O400" s="26" t="s">
        <v>90</v>
      </c>
      <c r="P400" s="49">
        <v>18250</v>
      </c>
      <c r="Q400" s="52"/>
      <c r="R400" s="39" t="s">
        <v>188</v>
      </c>
      <c r="S400" s="53"/>
      <c r="T400" s="53"/>
      <c r="U400" s="54"/>
      <c r="V400" s="37"/>
      <c r="W400" s="54">
        <f>IF(NOTA[[#This Row],[HARGA/ CTN]]="",NOTA[[#This Row],[JUMLAH_H]],NOTA[[#This Row],[HARGA/ CTN]]*IF(NOTA[[#This Row],[C]]="",0,NOTA[[#This Row],[C]]))</f>
        <v>2190000</v>
      </c>
      <c r="X400" s="54">
        <f>IF(NOTA[[#This Row],[JUMLAH]]="","",NOTA[[#This Row],[JUMLAH]]*NOTA[[#This Row],[DISC 1]])</f>
        <v>0</v>
      </c>
      <c r="Y400" s="54">
        <f>IF(NOTA[[#This Row],[JUMLAH]]="","",(NOTA[[#This Row],[JUMLAH]]-NOTA[[#This Row],[DISC 1-]])*NOTA[[#This Row],[DISC 2]])</f>
        <v>0</v>
      </c>
      <c r="Z400" s="54">
        <f>IF(NOTA[[#This Row],[JUMLAH]]="","",NOTA[[#This Row],[DISC 1-]]+NOTA[[#This Row],[DISC 2-]])</f>
        <v>0</v>
      </c>
      <c r="AA400" s="54">
        <f>IF(NOTA[[#This Row],[JUMLAH]]="","",NOTA[[#This Row],[JUMLAH]]-NOTA[[#This Row],[DISC]])</f>
        <v>2190000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0" s="54">
        <f>IF(OR(NOTA[[#This Row],[QTY]]="",NOTA[[#This Row],[HARGA SATUAN]]="",),"",NOTA[[#This Row],[QTY]]*NOTA[[#This Row],[HARGA SATUAN]])</f>
        <v>2190000</v>
      </c>
      <c r="AF400" s="51">
        <f ca="1">IF(NOTA[ID_H]="","",INDEX(NOTA[TANGGAL],MATCH(,INDIRECT(ADDRESS(ROW(NOTA[TANGGAL]),COLUMN(NOTA[TANGGAL]))&amp;":"&amp;ADDRESS(ROW(),COLUMN(NOTA[TANGGAL]))),-1)))</f>
        <v>44940</v>
      </c>
      <c r="AG400" s="49" t="str">
        <f ca="1">IF(NOTA[[#This Row],[NAMA BARANG]]="","",INDEX(NOTA[SUPPLIER],MATCH(,INDIRECT(ADDRESS(ROW(NOTA[ID]),COLUMN(NOTA[ID]))&amp;":"&amp;ADDRESS(ROW(),COLUMN(NOTA[ID]))),-1)))</f>
        <v>DB STATIONERY</v>
      </c>
      <c r="AH400" s="49" t="str">
        <f ca="1">IF(NOTA[[#This Row],[ID_H]]="","",IF(NOTA[[#This Row],[FAKTUR]]="",INDIRECT(ADDRESS(ROW()-1,COLUMN())),NOTA[[#This Row],[FAKTUR]]))</f>
        <v>UNTANA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1</v>
      </c>
      <c r="AK400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>gelzhixinrefillg31262190000</v>
      </c>
      <c r="AM400" s="193">
        <f>IF(NOTA[[#This Row],[CONCAT1]]="","",MATCH(NOTA[[#This Row],[CONCAT1]],[2]!db[NB NOTA_C],0)+1)</f>
        <v>907</v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75</v>
      </c>
      <c r="E401" s="23"/>
      <c r="F401" s="26"/>
      <c r="G401" s="26"/>
      <c r="H401" s="31"/>
      <c r="I401" s="26"/>
      <c r="J401" s="51"/>
      <c r="K401" s="26"/>
      <c r="L401" s="26" t="s">
        <v>573</v>
      </c>
      <c r="M401" s="39">
        <v>1</v>
      </c>
      <c r="N401" s="26">
        <v>120</v>
      </c>
      <c r="O401" s="26" t="s">
        <v>90</v>
      </c>
      <c r="P401" s="49">
        <v>18250</v>
      </c>
      <c r="Q401" s="52"/>
      <c r="R401" s="39" t="s">
        <v>188</v>
      </c>
      <c r="S401" s="53"/>
      <c r="T401" s="53"/>
      <c r="U401" s="54"/>
      <c r="V401" s="37"/>
      <c r="W401" s="54">
        <f>IF(NOTA[[#This Row],[HARGA/ CTN]]="",NOTA[[#This Row],[JUMLAH_H]],NOTA[[#This Row],[HARGA/ CTN]]*IF(NOTA[[#This Row],[C]]="",0,NOTA[[#This Row],[C]]))</f>
        <v>2190000</v>
      </c>
      <c r="X401" s="54">
        <f>IF(NOTA[[#This Row],[JUMLAH]]="","",NOTA[[#This Row],[JUMLAH]]*NOTA[[#This Row],[DISC 1]])</f>
        <v>0</v>
      </c>
      <c r="Y401" s="54">
        <f>IF(NOTA[[#This Row],[JUMLAH]]="","",(NOTA[[#This Row],[JUMLAH]]-NOTA[[#This Row],[DISC 1-]])*NOTA[[#This Row],[DISC 2]])</f>
        <v>0</v>
      </c>
      <c r="Z401" s="54">
        <f>IF(NOTA[[#This Row],[JUMLAH]]="","",NOTA[[#This Row],[DISC 1-]]+NOTA[[#This Row],[DISC 2-]])</f>
        <v>0</v>
      </c>
      <c r="AA401" s="54">
        <f>IF(NOTA[[#This Row],[JUMLAH]]="","",NOTA[[#This Row],[JUMLAH]]-NOTA[[#This Row],[DISC]])</f>
        <v>2190000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1" s="54">
        <f>IF(OR(NOTA[[#This Row],[QTY]]="",NOTA[[#This Row],[HARGA SATUAN]]="",),"",NOTA[[#This Row],[QTY]]*NOTA[[#This Row],[HARGA SATUAN]])</f>
        <v>2190000</v>
      </c>
      <c r="AF401" s="51">
        <f ca="1">IF(NOTA[ID_H]="","",INDEX(NOTA[TANGGAL],MATCH(,INDIRECT(ADDRESS(ROW(NOTA[TANGGAL]),COLUMN(NOTA[TANGGAL]))&amp;":"&amp;ADDRESS(ROW(),COLUMN(NOTA[TANGGAL]))),-1)))</f>
        <v>44940</v>
      </c>
      <c r="AG401" s="49" t="str">
        <f ca="1">IF(NOTA[[#This Row],[NAMA BARANG]]="","",INDEX(NOTA[SUPPLIER],MATCH(,INDIRECT(ADDRESS(ROW(NOTA[ID]),COLUMN(NOTA[ID]))&amp;":"&amp;ADDRESS(ROW(),COLUMN(NOTA[ID]))),-1)))</f>
        <v>DB STATIONERY</v>
      </c>
      <c r="AH401" s="49" t="str">
        <f ca="1">IF(NOTA[[#This Row],[ID_H]]="","",IF(NOTA[[#This Row],[FAKTUR]]="",INDIRECT(ADDRESS(ROW()-1,COLUMN())),NOTA[[#This Row],[FAKTUR]]))</f>
        <v>UNTANA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1</v>
      </c>
      <c r="AK401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>gelzhixinrefillg31252190000</v>
      </c>
      <c r="AM401" s="193">
        <f>IF(NOTA[[#This Row],[CONCAT1]]="","",MATCH(NOTA[[#This Row],[CONCAT1]],[2]!db[NB NOTA_C],0)+1)</f>
        <v>850</v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75</v>
      </c>
      <c r="E402" s="23"/>
      <c r="F402" s="26"/>
      <c r="G402" s="26"/>
      <c r="H402" s="31"/>
      <c r="I402" s="26"/>
      <c r="J402" s="51"/>
      <c r="K402" s="26"/>
      <c r="L402" s="26" t="s">
        <v>574</v>
      </c>
      <c r="M402" s="39">
        <v>1</v>
      </c>
      <c r="N402" s="26">
        <v>120</v>
      </c>
      <c r="O402" s="26" t="s">
        <v>90</v>
      </c>
      <c r="P402" s="49">
        <v>18250</v>
      </c>
      <c r="Q402" s="52"/>
      <c r="R402" s="39" t="s">
        <v>188</v>
      </c>
      <c r="S402" s="53"/>
      <c r="T402" s="53"/>
      <c r="U402" s="54"/>
      <c r="V402" s="37"/>
      <c r="W402" s="54">
        <f>IF(NOTA[[#This Row],[HARGA/ CTN]]="",NOTA[[#This Row],[JUMLAH_H]],NOTA[[#This Row],[HARGA/ CTN]]*IF(NOTA[[#This Row],[C]]="",0,NOTA[[#This Row],[C]]))</f>
        <v>2190000</v>
      </c>
      <c r="X402" s="54">
        <f>IF(NOTA[[#This Row],[JUMLAH]]="","",NOTA[[#This Row],[JUMLAH]]*NOTA[[#This Row],[DISC 1]])</f>
        <v>0</v>
      </c>
      <c r="Y402" s="54">
        <f>IF(NOTA[[#This Row],[JUMLAH]]="","",(NOTA[[#This Row],[JUMLAH]]-NOTA[[#This Row],[DISC 1-]])*NOTA[[#This Row],[DISC 2]])</f>
        <v>0</v>
      </c>
      <c r="Z402" s="54">
        <f>IF(NOTA[[#This Row],[JUMLAH]]="","",NOTA[[#This Row],[DISC 1-]]+NOTA[[#This Row],[DISC 2-]])</f>
        <v>0</v>
      </c>
      <c r="AA402" s="54">
        <f>IF(NOTA[[#This Row],[JUMLAH]]="","",NOTA[[#This Row],[JUMLAH]]-NOTA[[#This Row],[DISC]])</f>
        <v>2190000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2" s="54">
        <f>IF(OR(NOTA[[#This Row],[QTY]]="",NOTA[[#This Row],[HARGA SATUAN]]="",),"",NOTA[[#This Row],[QTY]]*NOTA[[#This Row],[HARGA SATUAN]])</f>
        <v>2190000</v>
      </c>
      <c r="AF402" s="51">
        <f ca="1">IF(NOTA[ID_H]="","",INDEX(NOTA[TANGGAL],MATCH(,INDIRECT(ADDRESS(ROW(NOTA[TANGGAL]),COLUMN(NOTA[TANGGAL]))&amp;":"&amp;ADDRESS(ROW(),COLUMN(NOTA[TANGGAL]))),-1)))</f>
        <v>44940</v>
      </c>
      <c r="AG402" s="49" t="str">
        <f ca="1">IF(NOTA[[#This Row],[NAMA BARANG]]="","",INDEX(NOTA[SUPPLIER],MATCH(,INDIRECT(ADDRESS(ROW(NOTA[ID]),COLUMN(NOTA[ID]))&amp;":"&amp;ADDRESS(ROW(),COLUMN(NOTA[ID]))),-1)))</f>
        <v>DB STATIONERY</v>
      </c>
      <c r="AH402" s="49" t="str">
        <f ca="1">IF(NOTA[[#This Row],[ID_H]]="","",IF(NOTA[[#This Row],[FAKTUR]]="",INDIRECT(ADDRESS(ROW()-1,COLUMN())),NOTA[[#This Row],[FAKTUR]]))</f>
        <v>UNTANA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1</v>
      </c>
      <c r="AK402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>gelzhixinrefillg31242190000</v>
      </c>
      <c r="AM402" s="193">
        <f>IF(NOTA[[#This Row],[CONCAT1]]="","",MATCH(NOTA[[#This Row],[CONCAT1]],[2]!db[NB NOTA_C],0)+1)</f>
        <v>906</v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75</v>
      </c>
      <c r="E403" s="23"/>
      <c r="F403" s="26"/>
      <c r="G403" s="26"/>
      <c r="H403" s="31"/>
      <c r="I403" s="26"/>
      <c r="J403" s="51"/>
      <c r="K403" s="26"/>
      <c r="L403" s="26" t="s">
        <v>575</v>
      </c>
      <c r="M403" s="39">
        <v>1</v>
      </c>
      <c r="N403" s="26">
        <v>120</v>
      </c>
      <c r="O403" s="26" t="s">
        <v>90</v>
      </c>
      <c r="P403" s="49">
        <v>18250</v>
      </c>
      <c r="Q403" s="52"/>
      <c r="R403" s="39" t="s">
        <v>188</v>
      </c>
      <c r="S403" s="53"/>
      <c r="T403" s="53"/>
      <c r="U403" s="54"/>
      <c r="V403" s="37"/>
      <c r="W403" s="54">
        <f>IF(NOTA[[#This Row],[HARGA/ CTN]]="",NOTA[[#This Row],[JUMLAH_H]],NOTA[[#This Row],[HARGA/ CTN]]*IF(NOTA[[#This Row],[C]]="",0,NOTA[[#This Row],[C]]))</f>
        <v>2190000</v>
      </c>
      <c r="X403" s="54">
        <f>IF(NOTA[[#This Row],[JUMLAH]]="","",NOTA[[#This Row],[JUMLAH]]*NOTA[[#This Row],[DISC 1]])</f>
        <v>0</v>
      </c>
      <c r="Y403" s="54">
        <f>IF(NOTA[[#This Row],[JUMLAH]]="","",(NOTA[[#This Row],[JUMLAH]]-NOTA[[#This Row],[DISC 1-]])*NOTA[[#This Row],[DISC 2]])</f>
        <v>0</v>
      </c>
      <c r="Z403" s="54">
        <f>IF(NOTA[[#This Row],[JUMLAH]]="","",NOTA[[#This Row],[DISC 1-]]+NOTA[[#This Row],[DISC 2-]])</f>
        <v>0</v>
      </c>
      <c r="AA403" s="54">
        <f>IF(NOTA[[#This Row],[JUMLAH]]="","",NOTA[[#This Row],[JUMLAH]]-NOTA[[#This Row],[DISC]])</f>
        <v>2190000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3" s="54">
        <f>IF(OR(NOTA[[#This Row],[QTY]]="",NOTA[[#This Row],[HARGA SATUAN]]="",),"",NOTA[[#This Row],[QTY]]*NOTA[[#This Row],[HARGA SATUAN]])</f>
        <v>2190000</v>
      </c>
      <c r="AF403" s="51">
        <f ca="1">IF(NOTA[ID_H]="","",INDEX(NOTA[TANGGAL],MATCH(,INDIRECT(ADDRESS(ROW(NOTA[TANGGAL]),COLUMN(NOTA[TANGGAL]))&amp;":"&amp;ADDRESS(ROW(),COLUMN(NOTA[TANGGAL]))),-1)))</f>
        <v>44940</v>
      </c>
      <c r="AG403" s="49" t="str">
        <f ca="1">IF(NOTA[[#This Row],[NAMA BARANG]]="","",INDEX(NOTA[SUPPLIER],MATCH(,INDIRECT(ADDRESS(ROW(NOTA[ID]),COLUMN(NOTA[ID]))&amp;":"&amp;ADDRESS(ROW(),COLUMN(NOTA[ID]))),-1)))</f>
        <v>DB STATIONERY</v>
      </c>
      <c r="AH403" s="49" t="str">
        <f ca="1">IF(NOTA[[#This Row],[ID_H]]="","",IF(NOTA[[#This Row],[FAKTUR]]="",INDIRECT(ADDRESS(ROW()-1,COLUMN())),NOTA[[#This Row],[FAKTUR]]))</f>
        <v>UNTANA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1</v>
      </c>
      <c r="AK403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>gelzhixinrefillg31232190000</v>
      </c>
      <c r="AM403" s="193">
        <f>IF(NOTA[[#This Row],[CONCAT1]]="","",MATCH(NOTA[[#This Row],[CONCAT1]],[2]!db[NB NOTA_C],0)+1)</f>
        <v>905</v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75</v>
      </c>
      <c r="E404" s="23"/>
      <c r="F404" s="26"/>
      <c r="G404" s="26"/>
      <c r="H404" s="31"/>
      <c r="I404" s="26"/>
      <c r="J404" s="51"/>
      <c r="K404" s="26"/>
      <c r="L404" s="26" t="s">
        <v>576</v>
      </c>
      <c r="M404" s="39">
        <v>1</v>
      </c>
      <c r="N404" s="26">
        <v>120</v>
      </c>
      <c r="O404" s="26" t="s">
        <v>90</v>
      </c>
      <c r="P404" s="49">
        <v>18250</v>
      </c>
      <c r="Q404" s="52"/>
      <c r="R404" s="39" t="s">
        <v>188</v>
      </c>
      <c r="S404" s="53"/>
      <c r="T404" s="53"/>
      <c r="U404" s="54"/>
      <c r="V404" s="37"/>
      <c r="W404" s="54">
        <f>IF(NOTA[[#This Row],[HARGA/ CTN]]="",NOTA[[#This Row],[JUMLAH_H]],NOTA[[#This Row],[HARGA/ CTN]]*IF(NOTA[[#This Row],[C]]="",0,NOTA[[#This Row],[C]]))</f>
        <v>2190000</v>
      </c>
      <c r="X404" s="54">
        <f>IF(NOTA[[#This Row],[JUMLAH]]="","",NOTA[[#This Row],[JUMLAH]]*NOTA[[#This Row],[DISC 1]])</f>
        <v>0</v>
      </c>
      <c r="Y404" s="54">
        <f>IF(NOTA[[#This Row],[JUMLAH]]="","",(NOTA[[#This Row],[JUMLAH]]-NOTA[[#This Row],[DISC 1-]])*NOTA[[#This Row],[DISC 2]])</f>
        <v>0</v>
      </c>
      <c r="Z404" s="54">
        <f>IF(NOTA[[#This Row],[JUMLAH]]="","",NOTA[[#This Row],[DISC 1-]]+NOTA[[#This Row],[DISC 2-]])</f>
        <v>0</v>
      </c>
      <c r="AA404" s="54">
        <f>IF(NOTA[[#This Row],[JUMLAH]]="","",NOTA[[#This Row],[JUMLAH]]-NOTA[[#This Row],[DISC]])</f>
        <v>2190000</v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4" s="54">
        <f>IF(OR(NOTA[[#This Row],[QTY]]="",NOTA[[#This Row],[HARGA SATUAN]]="",),"",NOTA[[#This Row],[QTY]]*NOTA[[#This Row],[HARGA SATUAN]])</f>
        <v>2190000</v>
      </c>
      <c r="AF404" s="51">
        <f ca="1">IF(NOTA[ID_H]="","",INDEX(NOTA[TANGGAL],MATCH(,INDIRECT(ADDRESS(ROW(NOTA[TANGGAL]),COLUMN(NOTA[TANGGAL]))&amp;":"&amp;ADDRESS(ROW(),COLUMN(NOTA[TANGGAL]))),-1)))</f>
        <v>44940</v>
      </c>
      <c r="AG404" s="49" t="str">
        <f ca="1">IF(NOTA[[#This Row],[NAMA BARANG]]="","",INDEX(NOTA[SUPPLIER],MATCH(,INDIRECT(ADDRESS(ROW(NOTA[ID]),COLUMN(NOTA[ID]))&amp;":"&amp;ADDRESS(ROW(),COLUMN(NOTA[ID]))),-1)))</f>
        <v>DB STATIONERY</v>
      </c>
      <c r="AH404" s="49" t="str">
        <f ca="1">IF(NOTA[[#This Row],[ID_H]]="","",IF(NOTA[[#This Row],[FAKTUR]]="",INDIRECT(ADDRESS(ROW()-1,COLUMN())),NOTA[[#This Row],[FAKTUR]]))</f>
        <v>UNTANA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1</v>
      </c>
      <c r="AK404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>gelzhixinrefillg31212190000</v>
      </c>
      <c r="AM404" s="193">
        <f>IF(NOTA[[#This Row],[CONCAT1]]="","",MATCH(NOTA[[#This Row],[CONCAT1]],[2]!db[NB NOTA_C],0)+1)</f>
        <v>849</v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>
        <f ca="1">IF(NOTA[[#This Row],[NAMA BARANG]]="","",INDEX(NOTA[ID],MATCH(,INDIRECT(ADDRESS(ROW(NOTA[ID]),COLUMN(NOTA[ID]))&amp;":"&amp;ADDRESS(ROW(),COLUMN(NOTA[ID]))),-1)))</f>
        <v>75</v>
      </c>
      <c r="E405" s="23"/>
      <c r="F405" s="26"/>
      <c r="G405" s="26"/>
      <c r="H405" s="31"/>
      <c r="I405" s="26"/>
      <c r="J405" s="51"/>
      <c r="K405" s="26"/>
      <c r="L405" s="26" t="s">
        <v>577</v>
      </c>
      <c r="M405" s="39">
        <v>1</v>
      </c>
      <c r="N405" s="26">
        <v>120</v>
      </c>
      <c r="O405" s="26" t="s">
        <v>90</v>
      </c>
      <c r="P405" s="49"/>
      <c r="Q405" s="52"/>
      <c r="R405" s="39" t="s">
        <v>188</v>
      </c>
      <c r="S405" s="53"/>
      <c r="T405" s="53"/>
      <c r="U405" s="54"/>
      <c r="V405" s="37" t="s">
        <v>211</v>
      </c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D40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5" s="54" t="str">
        <f>IF(OR(NOTA[[#This Row],[QTY]]="",NOTA[[#This Row],[HARGA SATUAN]]="",),"",NOTA[[#This Row],[QTY]]*NOTA[[#This Row],[HARGA SATUAN]])</f>
        <v/>
      </c>
      <c r="AF405" s="51">
        <f ca="1">IF(NOTA[ID_H]="","",INDEX(NOTA[TANGGAL],MATCH(,INDIRECT(ADDRESS(ROW(NOTA[TANGGAL]),COLUMN(NOTA[TANGGAL]))&amp;":"&amp;ADDRESS(ROW(),COLUMN(NOTA[TANGGAL]))),-1)))</f>
        <v>44940</v>
      </c>
      <c r="AG405" s="49" t="str">
        <f ca="1">IF(NOTA[[#This Row],[NAMA BARANG]]="","",INDEX(NOTA[SUPPLIER],MATCH(,INDIRECT(ADDRESS(ROW(NOTA[ID]),COLUMN(NOTA[ID]))&amp;":"&amp;ADDRESS(ROW(),COLUMN(NOTA[ID]))),-1)))</f>
        <v>DB STATIONERY</v>
      </c>
      <c r="AH405" s="49" t="str">
        <f ca="1">IF(NOTA[[#This Row],[ID_H]]="","",IF(NOTA[[#This Row],[FAKTUR]]="",INDIRECT(ADDRESS(ROW()-1,COLUMN())),NOTA[[#This Row],[FAKTUR]]))</f>
        <v>UNTANA</v>
      </c>
      <c r="AI405" s="38" t="str">
        <f ca="1">IF(NOTA[[#This Row],[ID]]="","",COUNTIF(NOTA[ID_H],NOTA[[#This Row],[ID_H]]))</f>
        <v/>
      </c>
      <c r="AJ405" s="38">
        <f ca="1">IF(NOTA[[#This Row],[TGL.NOTA]]="",IF(NOTA[[#This Row],[SUPPLIER_H]]="","",AJ404),MONTH(NOTA[[#This Row],[TGL.NOTA]]))</f>
        <v>1</v>
      </c>
      <c r="AK405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>gelzhixinrefillg31190</v>
      </c>
      <c r="AM405" s="193">
        <f>IF(NOTA[[#This Row],[CONCAT1]]="","",MATCH(NOTA[[#This Row],[CONCAT1]],[2]!db[NB NOTA_C],0)+1)</f>
        <v>902</v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Row],[SUPPLIER_H]]="","",#REF!),MONTH(NOTA[[#This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93" t="str">
        <f>IF(NOTA[[#This Row],[CONCAT1]]="","",MATCH(NOTA[[#This Row],[CONCAT1]],[2]!db[NB NOTA_C],0)+1)</f>
        <v/>
      </c>
    </row>
    <row r="407" spans="1:39" ht="20.100000000000001" customHeight="1" x14ac:dyDescent="0.25">
      <c r="A407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07" s="50" t="e">
        <f ca="1">IF(NOTA[[#This Row],[ID_P]]="","",MATCH(NOTA[[#This Row],[ID_P]],[1]!B_MSK[N_ID],0))</f>
        <v>#REF!</v>
      </c>
      <c r="D407" s="50">
        <f ca="1">IF(NOTA[[#This Row],[NAMA BARANG]]="","",INDEX(NOTA[ID],MATCH(,INDIRECT(ADDRESS(ROW(NOTA[ID]),COLUMN(NOTA[ID]))&amp;":"&amp;ADDRESS(ROW(),COLUMN(NOTA[ID]))),-1)))</f>
        <v>76</v>
      </c>
      <c r="E407" s="23"/>
      <c r="F407" s="26" t="s">
        <v>220</v>
      </c>
      <c r="G407" s="26" t="s">
        <v>87</v>
      </c>
      <c r="H407" s="31" t="s">
        <v>578</v>
      </c>
      <c r="I407" s="26"/>
      <c r="J407" s="51">
        <v>44938</v>
      </c>
      <c r="K407" s="26"/>
      <c r="L407" s="26" t="s">
        <v>308</v>
      </c>
      <c r="M407" s="39">
        <v>3</v>
      </c>
      <c r="N407" s="26">
        <v>540</v>
      </c>
      <c r="O407" s="26" t="s">
        <v>104</v>
      </c>
      <c r="P407" s="49">
        <v>11000</v>
      </c>
      <c r="Q407" s="52"/>
      <c r="R407" s="39" t="s">
        <v>306</v>
      </c>
      <c r="S407" s="53">
        <v>2.5000000000000001E-2</v>
      </c>
      <c r="T407" s="53"/>
      <c r="U407" s="54"/>
      <c r="V407" s="37"/>
      <c r="W407" s="54">
        <f>IF(NOTA[[#This Row],[HARGA/ CTN]]="",NOTA[[#This Row],[JUMLAH_H]],NOTA[[#This Row],[HARGA/ CTN]]*IF(NOTA[[#This Row],[C]]="",0,NOTA[[#This Row],[C]]))</f>
        <v>5940000</v>
      </c>
      <c r="X407" s="54">
        <f>IF(NOTA[[#This Row],[JUMLAH]]="","",NOTA[[#This Row],[JUMLAH]]*NOTA[[#This Row],[DISC 1]])</f>
        <v>148500</v>
      </c>
      <c r="Y407" s="54">
        <f>IF(NOTA[[#This Row],[JUMLAH]]="","",(NOTA[[#This Row],[JUMLAH]]-NOTA[[#This Row],[DISC 1-]])*NOTA[[#This Row],[DISC 2]])</f>
        <v>0</v>
      </c>
      <c r="Z407" s="54">
        <f>IF(NOTA[[#This Row],[JUMLAH]]="","",NOTA[[#This Row],[DISC 1-]]+NOTA[[#This Row],[DISC 2-]])</f>
        <v>148500</v>
      </c>
      <c r="AA407" s="54">
        <f>IF(NOTA[[#This Row],[JUMLAH]]="","",NOTA[[#This Row],[JUMLAH]]-NOTA[[#This Row],[DISC]])</f>
        <v>5791500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407" s="54">
        <f>IF(OR(NOTA[[#This Row],[QTY]]="",NOTA[[#This Row],[HARGA SATUAN]]="",),"",NOTA[[#This Row],[QTY]]*NOTA[[#This Row],[HARGA SATUAN]])</f>
        <v>5940000</v>
      </c>
      <c r="AF407" s="51">
        <f ca="1">IF(NOTA[ID_H]="","",INDEX(NOTA[TANGGAL],MATCH(,INDIRECT(ADDRESS(ROW(NOTA[TANGGAL]),COLUMN(NOTA[TANGGAL]))&amp;":"&amp;ADDRESS(ROW(),COLUMN(NOTA[TANGGAL]))),-1)))</f>
        <v>44940</v>
      </c>
      <c r="AG407" s="49" t="str">
        <f ca="1">IF(NOTA[[#This Row],[NAMA BARANG]]="","",INDEX(NOTA[SUPPLIER],MATCH(,INDIRECT(ADDRESS(ROW(NOTA[ID]),COLUMN(NOTA[ID]))&amp;":"&amp;ADDRESS(ROW(),COLUMN(NOTA[ID]))),-1)))</f>
        <v>DB STATIONERY</v>
      </c>
      <c r="AH407" s="49" t="str">
        <f ca="1">IF(NOTA[[#This Row],[ID_H]]="","",IF(NOTA[[#This Row],[FAKTUR]]="",INDIRECT(ADDRESS(ROW()-1,COLUMN())),NOTA[[#This Row],[FAKTUR]]))</f>
        <v>UNTANA</v>
      </c>
      <c r="AI407" s="38">
        <f ca="1">IF(NOTA[[#This Row],[ID]]="","",COUNTIF(NOTA[ID_H],NOTA[[#This Row],[ID_H]]))</f>
        <v>17</v>
      </c>
      <c r="AJ407" s="38">
        <f>IF(NOTA[[#This Row],[TGL.NOTA]]="",IF(NOTA[[#This Row],[SUPPLIER_H]]="","",AJ406),MONTH(NOTA[[#This Row],[TGL.NOTA]]))</f>
        <v>1</v>
      </c>
      <c r="AK407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>tpensilbdxlgbd1802619800000.025</v>
      </c>
      <c r="AM407" s="193">
        <f>IF(NOTA[[#This Row],[CONCAT1]]="","",MATCH(NOTA[[#This Row],[CONCAT1]],[2]!db[NB NOTA_C],0)+1)</f>
        <v>1963</v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76</v>
      </c>
      <c r="E408" s="23"/>
      <c r="F408" s="26"/>
      <c r="G408" s="26"/>
      <c r="H408" s="31"/>
      <c r="I408" s="26"/>
      <c r="J408" s="51"/>
      <c r="K408" s="26"/>
      <c r="L408" s="26" t="s">
        <v>579</v>
      </c>
      <c r="M408" s="39">
        <v>2</v>
      </c>
      <c r="N408" s="26">
        <v>192</v>
      </c>
      <c r="O408" s="26" t="s">
        <v>90</v>
      </c>
      <c r="P408" s="49">
        <v>29000</v>
      </c>
      <c r="Q408" s="52"/>
      <c r="R408" s="39" t="s">
        <v>223</v>
      </c>
      <c r="S408" s="53"/>
      <c r="T408" s="53"/>
      <c r="U408" s="54"/>
      <c r="V408" s="37"/>
      <c r="W408" s="54">
        <f>IF(NOTA[[#This Row],[HARGA/ CTN]]="",NOTA[[#This Row],[JUMLAH_H]],NOTA[[#This Row],[HARGA/ CTN]]*IF(NOTA[[#This Row],[C]]="",0,NOTA[[#This Row],[C]]))</f>
        <v>5568000</v>
      </c>
      <c r="X408" s="54">
        <f>IF(NOTA[[#This Row],[JUMLAH]]="","",NOTA[[#This Row],[JUMLAH]]*NOTA[[#This Row],[DISC 1]])</f>
        <v>0</v>
      </c>
      <c r="Y408" s="54">
        <f>IF(NOTA[[#This Row],[JUMLAH]]="","",(NOTA[[#This Row],[JUMLAH]]-NOTA[[#This Row],[DISC 1-]])*NOTA[[#This Row],[DISC 2]])</f>
        <v>0</v>
      </c>
      <c r="Z408" s="54">
        <f>IF(NOTA[[#This Row],[JUMLAH]]="","",NOTA[[#This Row],[DISC 1-]]+NOTA[[#This Row],[DISC 2-]])</f>
        <v>0</v>
      </c>
      <c r="AA408" s="54">
        <f>IF(NOTA[[#This Row],[JUMLAH]]="","",NOTA[[#This Row],[JUMLAH]]-NOTA[[#This Row],[DISC]])</f>
        <v>5568000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08" s="54">
        <f>IF(OR(NOTA[[#This Row],[QTY]]="",NOTA[[#This Row],[HARGA SATUAN]]="",),"",NOTA[[#This Row],[QTY]]*NOTA[[#This Row],[HARGA SATUAN]])</f>
        <v>5568000</v>
      </c>
      <c r="AF408" s="51">
        <f ca="1">IF(NOTA[ID_H]="","",INDEX(NOTA[TANGGAL],MATCH(,INDIRECT(ADDRESS(ROW(NOTA[TANGGAL]),COLUMN(NOTA[TANGGAL]))&amp;":"&amp;ADDRESS(ROW(),COLUMN(NOTA[TANGGAL]))),-1)))</f>
        <v>44940</v>
      </c>
      <c r="AG408" s="49" t="str">
        <f ca="1">IF(NOTA[[#This Row],[NAMA BARANG]]="","",INDEX(NOTA[SUPPLIER],MATCH(,INDIRECT(ADDRESS(ROW(NOTA[ID]),COLUMN(NOTA[ID]))&amp;":"&amp;ADDRESS(ROW(),COLUMN(NOTA[ID]))),-1)))</f>
        <v>DB STATIONERY</v>
      </c>
      <c r="AH408" s="49" t="str">
        <f ca="1">IF(NOTA[[#This Row],[ID_H]]="","",IF(NOTA[[#This Row],[FAKTUR]]="",INDIRECT(ADDRESS(ROW()-1,COLUMN())),NOTA[[#This Row],[FAKTUR]]))</f>
        <v>UNTANA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1</v>
      </c>
      <c r="AK408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408" s="193">
        <f>IF(NOTA[[#This Row],[CONCAT1]]="","",MATCH(NOTA[[#This Row],[CONCAT1]],[2]!db[NB NOTA_C],0)+1)</f>
        <v>1492</v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76</v>
      </c>
      <c r="E409" s="23"/>
      <c r="F409" s="26"/>
      <c r="G409" s="26"/>
      <c r="H409" s="31"/>
      <c r="I409" s="26"/>
      <c r="J409" s="51"/>
      <c r="K409" s="26"/>
      <c r="L409" s="26" t="s">
        <v>580</v>
      </c>
      <c r="M409" s="39">
        <v>2</v>
      </c>
      <c r="N409" s="26">
        <v>192</v>
      </c>
      <c r="O409" s="26" t="s">
        <v>90</v>
      </c>
      <c r="P409" s="49">
        <v>29000</v>
      </c>
      <c r="Q409" s="52"/>
      <c r="R409" s="39" t="s">
        <v>223</v>
      </c>
      <c r="S409" s="53"/>
      <c r="T409" s="53"/>
      <c r="U409" s="54"/>
      <c r="V409" s="37"/>
      <c r="W409" s="54">
        <f>IF(NOTA[[#This Row],[HARGA/ CTN]]="",NOTA[[#This Row],[JUMLAH_H]],NOTA[[#This Row],[HARGA/ CTN]]*IF(NOTA[[#This Row],[C]]="",0,NOTA[[#This Row],[C]]))</f>
        <v>5568000</v>
      </c>
      <c r="X409" s="54">
        <f>IF(NOTA[[#This Row],[JUMLAH]]="","",NOTA[[#This Row],[JUMLAH]]*NOTA[[#This Row],[DISC 1]])</f>
        <v>0</v>
      </c>
      <c r="Y409" s="54">
        <f>IF(NOTA[[#This Row],[JUMLAH]]="","",(NOTA[[#This Row],[JUMLAH]]-NOTA[[#This Row],[DISC 1-]])*NOTA[[#This Row],[DISC 2]])</f>
        <v>0</v>
      </c>
      <c r="Z409" s="54">
        <f>IF(NOTA[[#This Row],[JUMLAH]]="","",NOTA[[#This Row],[DISC 1-]]+NOTA[[#This Row],[DISC 2-]])</f>
        <v>0</v>
      </c>
      <c r="AA409" s="54">
        <f>IF(NOTA[[#This Row],[JUMLAH]]="","",NOTA[[#This Row],[JUMLAH]]-NOTA[[#This Row],[DISC]])</f>
        <v>5568000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09" s="54">
        <f>IF(OR(NOTA[[#This Row],[QTY]]="",NOTA[[#This Row],[HARGA SATUAN]]="",),"",NOTA[[#This Row],[QTY]]*NOTA[[#This Row],[HARGA SATUAN]])</f>
        <v>5568000</v>
      </c>
      <c r="AF409" s="51">
        <f ca="1">IF(NOTA[ID_H]="","",INDEX(NOTA[TANGGAL],MATCH(,INDIRECT(ADDRESS(ROW(NOTA[TANGGAL]),COLUMN(NOTA[TANGGAL]))&amp;":"&amp;ADDRESS(ROW(),COLUMN(NOTA[TANGGAL]))),-1)))</f>
        <v>44940</v>
      </c>
      <c r="AG409" s="49" t="str">
        <f ca="1">IF(NOTA[[#This Row],[NAMA BARANG]]="","",INDEX(NOTA[SUPPLIER],MATCH(,INDIRECT(ADDRESS(ROW(NOTA[ID]),COLUMN(NOTA[ID]))&amp;":"&amp;ADDRESS(ROW(),COLUMN(NOTA[ID]))),-1)))</f>
        <v>DB STATIONERY</v>
      </c>
      <c r="AH409" s="49" t="str">
        <f ca="1">IF(NOTA[[#This Row],[ID_H]]="","",IF(NOTA[[#This Row],[FAKTUR]]="",INDIRECT(ADDRESS(ROW()-1,COLUMN())),NOTA[[#This Row],[FAKTUR]]))</f>
        <v>UNTANA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1</v>
      </c>
      <c r="AK409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>mekaniktizo20tm030e2784000</v>
      </c>
      <c r="AM409" s="193">
        <f>IF(NOTA[[#This Row],[CONCAT1]]="","",MATCH(NOTA[[#This Row],[CONCAT1]],[2]!db[NB NOTA_C],0)+1)</f>
        <v>1511</v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76</v>
      </c>
      <c r="E410" s="23"/>
      <c r="F410" s="26"/>
      <c r="G410" s="26"/>
      <c r="H410" s="31"/>
      <c r="I410" s="26"/>
      <c r="J410" s="51"/>
      <c r="K410" s="26"/>
      <c r="L410" s="26" t="s">
        <v>581</v>
      </c>
      <c r="M410" s="39">
        <v>2</v>
      </c>
      <c r="N410" s="26">
        <v>192</v>
      </c>
      <c r="O410" s="26" t="s">
        <v>90</v>
      </c>
      <c r="P410" s="49">
        <v>29000</v>
      </c>
      <c r="Q410" s="52"/>
      <c r="R410" s="39" t="s">
        <v>223</v>
      </c>
      <c r="S410" s="53"/>
      <c r="T410" s="53"/>
      <c r="U410" s="54"/>
      <c r="V410" s="37"/>
      <c r="W410" s="54">
        <f>IF(NOTA[[#This Row],[HARGA/ CTN]]="",NOTA[[#This Row],[JUMLAH_H]],NOTA[[#This Row],[HARGA/ CTN]]*IF(NOTA[[#This Row],[C]]="",0,NOTA[[#This Row],[C]]))</f>
        <v>5568000</v>
      </c>
      <c r="X410" s="54">
        <f>IF(NOTA[[#This Row],[JUMLAH]]="","",NOTA[[#This Row],[JUMLAH]]*NOTA[[#This Row],[DISC 1]])</f>
        <v>0</v>
      </c>
      <c r="Y410" s="54">
        <f>IF(NOTA[[#This Row],[JUMLAH]]="","",(NOTA[[#This Row],[JUMLAH]]-NOTA[[#This Row],[DISC 1-]])*NOTA[[#This Row],[DISC 2]])</f>
        <v>0</v>
      </c>
      <c r="Z410" s="54">
        <f>IF(NOTA[[#This Row],[JUMLAH]]="","",NOTA[[#This Row],[DISC 1-]]+NOTA[[#This Row],[DISC 2-]])</f>
        <v>0</v>
      </c>
      <c r="AA410" s="54">
        <f>IF(NOTA[[#This Row],[JUMLAH]]="","",NOTA[[#This Row],[JUMLAH]]-NOTA[[#This Row],[DISC]])</f>
        <v>5568000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0" s="54">
        <f>IF(OR(NOTA[[#This Row],[QTY]]="",NOTA[[#This Row],[HARGA SATUAN]]="",),"",NOTA[[#This Row],[QTY]]*NOTA[[#This Row],[HARGA SATUAN]])</f>
        <v>5568000</v>
      </c>
      <c r="AF410" s="51">
        <f ca="1">IF(NOTA[ID_H]="","",INDEX(NOTA[TANGGAL],MATCH(,INDIRECT(ADDRESS(ROW(NOTA[TANGGAL]),COLUMN(NOTA[TANGGAL]))&amp;":"&amp;ADDRESS(ROW(),COLUMN(NOTA[TANGGAL]))),-1)))</f>
        <v>44940</v>
      </c>
      <c r="AG410" s="49" t="str">
        <f ca="1">IF(NOTA[[#This Row],[NAMA BARANG]]="","",INDEX(NOTA[SUPPLIER],MATCH(,INDIRECT(ADDRESS(ROW(NOTA[ID]),COLUMN(NOTA[ID]))&amp;":"&amp;ADDRESS(ROW(),COLUMN(NOTA[ID]))),-1)))</f>
        <v>DB STATIONERY</v>
      </c>
      <c r="AH410" s="49" t="str">
        <f ca="1">IF(NOTA[[#This Row],[ID_H]]="","",IF(NOTA[[#This Row],[FAKTUR]]="",INDIRECT(ADDRESS(ROW()-1,COLUMN())),NOTA[[#This Row],[FAKTUR]]))</f>
        <v>UNTANA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1</v>
      </c>
      <c r="AK410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>mekpensil20tm18002784000</v>
      </c>
      <c r="AM410" s="193">
        <f>IF(NOTA[[#This Row],[CONCAT1]]="","",MATCH(NOTA[[#This Row],[CONCAT1]],[2]!db[NB NOTA_C],0)+1)</f>
        <v>1486</v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76</v>
      </c>
      <c r="E411" s="23"/>
      <c r="F411" s="26"/>
      <c r="G411" s="26"/>
      <c r="H411" s="31"/>
      <c r="I411" s="26"/>
      <c r="J411" s="51"/>
      <c r="K411" s="26"/>
      <c r="L411" s="26" t="s">
        <v>582</v>
      </c>
      <c r="M411" s="39">
        <v>1</v>
      </c>
      <c r="N411" s="26">
        <v>96</v>
      </c>
      <c r="O411" s="26" t="s">
        <v>90</v>
      </c>
      <c r="P411" s="49">
        <v>29000</v>
      </c>
      <c r="Q411" s="52"/>
      <c r="R411" s="39" t="s">
        <v>223</v>
      </c>
      <c r="S411" s="53"/>
      <c r="T411" s="53"/>
      <c r="U411" s="54"/>
      <c r="V411" s="37"/>
      <c r="W411" s="54">
        <f>IF(NOTA[[#This Row],[HARGA/ CTN]]="",NOTA[[#This Row],[JUMLAH_H]],NOTA[[#This Row],[HARGA/ CTN]]*IF(NOTA[[#This Row],[C]]="",0,NOTA[[#This Row],[C]]))</f>
        <v>2784000</v>
      </c>
      <c r="X411" s="54">
        <f>IF(NOTA[[#This Row],[JUMLAH]]="","",NOTA[[#This Row],[JUMLAH]]*NOTA[[#This Row],[DISC 1]])</f>
        <v>0</v>
      </c>
      <c r="Y411" s="54">
        <f>IF(NOTA[[#This Row],[JUMLAH]]="","",(NOTA[[#This Row],[JUMLAH]]-NOTA[[#This Row],[DISC 1-]])*NOTA[[#This Row],[DISC 2]])</f>
        <v>0</v>
      </c>
      <c r="Z411" s="54">
        <f>IF(NOTA[[#This Row],[JUMLAH]]="","",NOTA[[#This Row],[DISC 1-]]+NOTA[[#This Row],[DISC 2-]])</f>
        <v>0</v>
      </c>
      <c r="AA411" s="54">
        <f>IF(NOTA[[#This Row],[JUMLAH]]="","",NOTA[[#This Row],[JUMLAH]]-NOTA[[#This Row],[DISC]])</f>
        <v>2784000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1" s="91">
        <f>IF(OR(NOTA[[#This Row],[QTY]]="",NOTA[[#This Row],[HARGA SATUAN]]="",),"",NOTA[[#This Row],[QTY]]*NOTA[[#This Row],[HARGA SATUAN]])</f>
        <v>2784000</v>
      </c>
      <c r="AF411" s="51">
        <f ca="1">IF(NOTA[ID_H]="","",INDEX(NOTA[TANGGAL],MATCH(,INDIRECT(ADDRESS(ROW(NOTA[TANGGAL]),COLUMN(NOTA[TANGGAL]))&amp;":"&amp;ADDRESS(ROW(),COLUMN(NOTA[TANGGAL]))),-1)))</f>
        <v>44940</v>
      </c>
      <c r="AG411" s="49" t="str">
        <f ca="1">IF(NOTA[[#This Row],[NAMA BARANG]]="","",INDEX(NOTA[SUPPLIER],MATCH(,INDIRECT(ADDRESS(ROW(NOTA[ID]),COLUMN(NOTA[ID]))&amp;":"&amp;ADDRESS(ROW(),COLUMN(NOTA[ID]))),-1)))</f>
        <v>DB STATIONERY</v>
      </c>
      <c r="AH411" s="49" t="str">
        <f ca="1">IF(NOTA[[#This Row],[ID_H]]="","",IF(NOTA[[#This Row],[FAKTUR]]="",INDIRECT(ADDRESS(ROW()-1,COLUMN())),NOTA[[#This Row],[FAKTUR]]))</f>
        <v>UNTANA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1</v>
      </c>
      <c r="AK411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411" s="193">
        <f>IF(NOTA[[#This Row],[CONCAT1]]="","",MATCH(NOTA[[#This Row],[CONCAT1]],[2]!db[NB NOTA_C],0)+1)</f>
        <v>1508</v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76</v>
      </c>
      <c r="E412" s="23"/>
      <c r="F412" s="26"/>
      <c r="G412" s="26"/>
      <c r="H412" s="31"/>
      <c r="I412" s="26"/>
      <c r="J412" s="51"/>
      <c r="K412" s="26"/>
      <c r="L412" s="26" t="s">
        <v>583</v>
      </c>
      <c r="M412" s="39">
        <v>1</v>
      </c>
      <c r="N412" s="26">
        <v>96</v>
      </c>
      <c r="O412" s="26" t="s">
        <v>90</v>
      </c>
      <c r="P412" s="49">
        <v>29000</v>
      </c>
      <c r="Q412" s="52"/>
      <c r="R412" s="39" t="s">
        <v>223</v>
      </c>
      <c r="S412" s="53"/>
      <c r="T412" s="53"/>
      <c r="U412" s="54"/>
      <c r="V412" s="37"/>
      <c r="W412" s="54">
        <f>IF(NOTA[[#This Row],[HARGA/ CTN]]="",NOTA[[#This Row],[JUMLAH_H]],NOTA[[#This Row],[HARGA/ CTN]]*IF(NOTA[[#This Row],[C]]="",0,NOTA[[#This Row],[C]]))</f>
        <v>2784000</v>
      </c>
      <c r="X412" s="54">
        <f>IF(NOTA[[#This Row],[JUMLAH]]="","",NOTA[[#This Row],[JUMLAH]]*NOTA[[#This Row],[DISC 1]])</f>
        <v>0</v>
      </c>
      <c r="Y412" s="54">
        <f>IF(NOTA[[#This Row],[JUMLAH]]="","",(NOTA[[#This Row],[JUMLAH]]-NOTA[[#This Row],[DISC 1-]])*NOTA[[#This Row],[DISC 2]])</f>
        <v>0</v>
      </c>
      <c r="Z412" s="54">
        <f>IF(NOTA[[#This Row],[JUMLAH]]="","",NOTA[[#This Row],[DISC 1-]]+NOTA[[#This Row],[DISC 2-]])</f>
        <v>0</v>
      </c>
      <c r="AA412" s="54">
        <f>IF(NOTA[[#This Row],[JUMLAH]]="","",NOTA[[#This Row],[JUMLAH]]-NOTA[[#This Row],[DISC]])</f>
        <v>2784000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2" s="54">
        <f>IF(OR(NOTA[[#This Row],[QTY]]="",NOTA[[#This Row],[HARGA SATUAN]]="",),"",NOTA[[#This Row],[QTY]]*NOTA[[#This Row],[HARGA SATUAN]])</f>
        <v>2784000</v>
      </c>
      <c r="AF412" s="51">
        <f ca="1">IF(NOTA[ID_H]="","",INDEX(NOTA[TANGGAL],MATCH(,INDIRECT(ADDRESS(ROW(NOTA[TANGGAL]),COLUMN(NOTA[TANGGAL]))&amp;":"&amp;ADDRESS(ROW(),COLUMN(NOTA[TANGGAL]))),-1)))</f>
        <v>44940</v>
      </c>
      <c r="AG412" s="49" t="str">
        <f ca="1">IF(NOTA[[#This Row],[NAMA BARANG]]="","",INDEX(NOTA[SUPPLIER],MATCH(,INDIRECT(ADDRESS(ROW(NOTA[ID]),COLUMN(NOTA[ID]))&amp;":"&amp;ADDRESS(ROW(),COLUMN(NOTA[ID]))),-1)))</f>
        <v>DB STATIONERY</v>
      </c>
      <c r="AH412" s="49" t="str">
        <f ca="1">IF(NOTA[[#This Row],[ID_H]]="","",IF(NOTA[[#This Row],[FAKTUR]]="",INDIRECT(ADDRESS(ROW()-1,COLUMN())),NOTA[[#This Row],[FAKTUR]]))</f>
        <v>UNTANA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1</v>
      </c>
      <c r="AK412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412" s="193">
        <f>IF(NOTA[[#This Row],[CONCAT1]]="","",MATCH(NOTA[[#This Row],[CONCAT1]],[2]!db[NB NOTA_C],0)+1)</f>
        <v>1502</v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76</v>
      </c>
      <c r="E413" s="23"/>
      <c r="F413" s="26"/>
      <c r="G413" s="26"/>
      <c r="H413" s="31"/>
      <c r="I413" s="26"/>
      <c r="J413" s="51"/>
      <c r="K413" s="26"/>
      <c r="L413" s="26" t="s">
        <v>584</v>
      </c>
      <c r="M413" s="39">
        <v>1</v>
      </c>
      <c r="N413" s="26">
        <v>96</v>
      </c>
      <c r="O413" s="26" t="s">
        <v>90</v>
      </c>
      <c r="P413" s="49">
        <v>29000</v>
      </c>
      <c r="Q413" s="52"/>
      <c r="R413" s="39" t="s">
        <v>223</v>
      </c>
      <c r="S413" s="53"/>
      <c r="T413" s="53"/>
      <c r="U413" s="54"/>
      <c r="V413" s="37"/>
      <c r="W413" s="54">
        <f>IF(NOTA[[#This Row],[HARGA/ CTN]]="",NOTA[[#This Row],[JUMLAH_H]],NOTA[[#This Row],[HARGA/ CTN]]*IF(NOTA[[#This Row],[C]]="",0,NOTA[[#This Row],[C]]))</f>
        <v>2784000</v>
      </c>
      <c r="X413" s="54">
        <f>IF(NOTA[[#This Row],[JUMLAH]]="","",NOTA[[#This Row],[JUMLAH]]*NOTA[[#This Row],[DISC 1]])</f>
        <v>0</v>
      </c>
      <c r="Y413" s="54">
        <f>IF(NOTA[[#This Row],[JUMLAH]]="","",(NOTA[[#This Row],[JUMLAH]]-NOTA[[#This Row],[DISC 1-]])*NOTA[[#This Row],[DISC 2]])</f>
        <v>0</v>
      </c>
      <c r="Z413" s="54">
        <f>IF(NOTA[[#This Row],[JUMLAH]]="","",NOTA[[#This Row],[DISC 1-]]+NOTA[[#This Row],[DISC 2-]])</f>
        <v>0</v>
      </c>
      <c r="AA413" s="54">
        <f>IF(NOTA[[#This Row],[JUMLAH]]="","",NOTA[[#This Row],[JUMLAH]]-NOTA[[#This Row],[DISC]])</f>
        <v>2784000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3" s="54">
        <f>IF(OR(NOTA[[#This Row],[QTY]]="",NOTA[[#This Row],[HARGA SATUAN]]="",),"",NOTA[[#This Row],[QTY]]*NOTA[[#This Row],[HARGA SATUAN]])</f>
        <v>2784000</v>
      </c>
      <c r="AF413" s="51">
        <f ca="1">IF(NOTA[ID_H]="","",INDEX(NOTA[TANGGAL],MATCH(,INDIRECT(ADDRESS(ROW(NOTA[TANGGAL]),COLUMN(NOTA[TANGGAL]))&amp;":"&amp;ADDRESS(ROW(),COLUMN(NOTA[TANGGAL]))),-1)))</f>
        <v>44940</v>
      </c>
      <c r="AG413" s="49" t="str">
        <f ca="1">IF(NOTA[[#This Row],[NAMA BARANG]]="","",INDEX(NOTA[SUPPLIER],MATCH(,INDIRECT(ADDRESS(ROW(NOTA[ID]),COLUMN(NOTA[ID]))&amp;":"&amp;ADDRESS(ROW(),COLUMN(NOTA[ID]))),-1)))</f>
        <v>DB STATIONERY</v>
      </c>
      <c r="AH413" s="49" t="str">
        <f ca="1">IF(NOTA[[#This Row],[ID_H]]="","",IF(NOTA[[#This Row],[FAKTUR]]="",INDIRECT(ADDRESS(ROW()-1,COLUMN())),NOTA[[#This Row],[FAKTUR]]))</f>
        <v>UNTANA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1</v>
      </c>
      <c r="AK413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413" s="193">
        <f>IF(NOTA[[#This Row],[CONCAT1]]="","",MATCH(NOTA[[#This Row],[CONCAT1]],[2]!db[NB NOTA_C],0)+1)</f>
        <v>1493</v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76</v>
      </c>
      <c r="E414" s="23"/>
      <c r="F414" s="26"/>
      <c r="G414" s="26"/>
      <c r="H414" s="31"/>
      <c r="I414" s="26"/>
      <c r="J414" s="51"/>
      <c r="K414" s="26"/>
      <c r="L414" s="26" t="s">
        <v>585</v>
      </c>
      <c r="M414" s="39">
        <v>1</v>
      </c>
      <c r="N414" s="26">
        <v>96</v>
      </c>
      <c r="O414" s="26" t="s">
        <v>90</v>
      </c>
      <c r="P414" s="49">
        <v>29000</v>
      </c>
      <c r="Q414" s="52"/>
      <c r="R414" s="39" t="s">
        <v>223</v>
      </c>
      <c r="S414" s="53"/>
      <c r="T414" s="53"/>
      <c r="U414" s="54"/>
      <c r="V414" s="37"/>
      <c r="W414" s="54">
        <f>IF(NOTA[[#This Row],[HARGA/ CTN]]="",NOTA[[#This Row],[JUMLAH_H]],NOTA[[#This Row],[HARGA/ CTN]]*IF(NOTA[[#This Row],[C]]="",0,NOTA[[#This Row],[C]]))</f>
        <v>2784000</v>
      </c>
      <c r="X414" s="54">
        <f>IF(NOTA[[#This Row],[JUMLAH]]="","",NOTA[[#This Row],[JUMLAH]]*NOTA[[#This Row],[DISC 1]])</f>
        <v>0</v>
      </c>
      <c r="Y414" s="54">
        <f>IF(NOTA[[#This Row],[JUMLAH]]="","",(NOTA[[#This Row],[JUMLAH]]-NOTA[[#This Row],[DISC 1-]])*NOTA[[#This Row],[DISC 2]])</f>
        <v>0</v>
      </c>
      <c r="Z414" s="54">
        <f>IF(NOTA[[#This Row],[JUMLAH]]="","",NOTA[[#This Row],[DISC 1-]]+NOTA[[#This Row],[DISC 2-]])</f>
        <v>0</v>
      </c>
      <c r="AA414" s="54">
        <f>IF(NOTA[[#This Row],[JUMLAH]]="","",NOTA[[#This Row],[JUMLAH]]-NOTA[[#This Row],[DISC]])</f>
        <v>2784000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4" s="54">
        <f>IF(OR(NOTA[[#This Row],[QTY]]="",NOTA[[#This Row],[HARGA SATUAN]]="",),"",NOTA[[#This Row],[QTY]]*NOTA[[#This Row],[HARGA SATUAN]])</f>
        <v>2784000</v>
      </c>
      <c r="AF414" s="51">
        <f ca="1">IF(NOTA[ID_H]="","",INDEX(NOTA[TANGGAL],MATCH(,INDIRECT(ADDRESS(ROW(NOTA[TANGGAL]),COLUMN(NOTA[TANGGAL]))&amp;":"&amp;ADDRESS(ROW(),COLUMN(NOTA[TANGGAL]))),-1)))</f>
        <v>44940</v>
      </c>
      <c r="AG414" s="49" t="str">
        <f ca="1">IF(NOTA[[#This Row],[NAMA BARANG]]="","",INDEX(NOTA[SUPPLIER],MATCH(,INDIRECT(ADDRESS(ROW(NOTA[ID]),COLUMN(NOTA[ID]))&amp;":"&amp;ADDRESS(ROW(),COLUMN(NOTA[ID]))),-1)))</f>
        <v>DB STATIONERY</v>
      </c>
      <c r="AH414" s="49" t="str">
        <f ca="1">IF(NOTA[[#This Row],[ID_H]]="","",IF(NOTA[[#This Row],[FAKTUR]]="",INDIRECT(ADDRESS(ROW()-1,COLUMN())),NOTA[[#This Row],[FAKTUR]]))</f>
        <v>UNTANA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1</v>
      </c>
      <c r="AK414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>mekpensil20tizotm030h2784000</v>
      </c>
      <c r="AM414" s="193">
        <f>IF(NOTA[[#This Row],[CONCAT1]]="","",MATCH(NOTA[[#This Row],[CONCAT1]],[2]!db[NB NOTA_C],0)+1)</f>
        <v>1485</v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76</v>
      </c>
      <c r="E415" s="23"/>
      <c r="F415" s="26"/>
      <c r="G415" s="26"/>
      <c r="H415" s="31"/>
      <c r="I415" s="26"/>
      <c r="J415" s="51"/>
      <c r="K415" s="26"/>
      <c r="L415" s="26" t="s">
        <v>586</v>
      </c>
      <c r="M415" s="39">
        <v>1</v>
      </c>
      <c r="N415" s="26">
        <v>144</v>
      </c>
      <c r="O415" s="26" t="s">
        <v>90</v>
      </c>
      <c r="P415" s="49">
        <v>19000</v>
      </c>
      <c r="Q415" s="52"/>
      <c r="R415" s="39" t="s">
        <v>587</v>
      </c>
      <c r="S415" s="53"/>
      <c r="T415" s="53"/>
      <c r="U415" s="54"/>
      <c r="V415" s="37"/>
      <c r="W415" s="54">
        <f>IF(NOTA[[#This Row],[HARGA/ CTN]]="",NOTA[[#This Row],[JUMLAH_H]],NOTA[[#This Row],[HARGA/ CTN]]*IF(NOTA[[#This Row],[C]]="",0,NOTA[[#This Row],[C]]))</f>
        <v>2736000</v>
      </c>
      <c r="X415" s="54">
        <f>IF(NOTA[[#This Row],[JUMLAH]]="","",NOTA[[#This Row],[JUMLAH]]*NOTA[[#This Row],[DISC 1]])</f>
        <v>0</v>
      </c>
      <c r="Y415" s="54">
        <f>IF(NOTA[[#This Row],[JUMLAH]]="","",(NOTA[[#This Row],[JUMLAH]]-NOTA[[#This Row],[DISC 1-]])*NOTA[[#This Row],[DISC 2]])</f>
        <v>0</v>
      </c>
      <c r="Z415" s="54">
        <f>IF(NOTA[[#This Row],[JUMLAH]]="","",NOTA[[#This Row],[DISC 1-]]+NOTA[[#This Row],[DISC 2-]])</f>
        <v>0</v>
      </c>
      <c r="AA415" s="54">
        <f>IF(NOTA[[#This Row],[JUMLAH]]="","",NOTA[[#This Row],[JUMLAH]]-NOTA[[#This Row],[DISC]])</f>
        <v>2736000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5" s="54">
        <f>IF(OR(NOTA[[#This Row],[QTY]]="",NOTA[[#This Row],[HARGA SATUAN]]="",),"",NOTA[[#This Row],[QTY]]*NOTA[[#This Row],[HARGA SATUAN]])</f>
        <v>2736000</v>
      </c>
      <c r="AF415" s="51">
        <f ca="1">IF(NOTA[ID_H]="","",INDEX(NOTA[TANGGAL],MATCH(,INDIRECT(ADDRESS(ROW(NOTA[TANGGAL]),COLUMN(NOTA[TANGGAL]))&amp;":"&amp;ADDRESS(ROW(),COLUMN(NOTA[TANGGAL]))),-1)))</f>
        <v>44940</v>
      </c>
      <c r="AG415" s="49" t="str">
        <f ca="1">IF(NOTA[[#This Row],[NAMA BARANG]]="","",INDEX(NOTA[SUPPLIER],MATCH(,INDIRECT(ADDRESS(ROW(NOTA[ID]),COLUMN(NOTA[ID]))&amp;":"&amp;ADDRESS(ROW(),COLUMN(NOTA[ID]))),-1)))</f>
        <v>DB STATIONERY</v>
      </c>
      <c r="AH415" s="49" t="str">
        <f ca="1">IF(NOTA[[#This Row],[ID_H]]="","",IF(NOTA[[#This Row],[FAKTUR]]="",INDIRECT(ADDRESS(ROW()-1,COLUMN())),NOTA[[#This Row],[FAKTUR]]))</f>
        <v>UNTANA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1</v>
      </c>
      <c r="AK415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>mekpensil2b20tm016612736000</v>
      </c>
      <c r="AM415" s="193" t="e">
        <f>IF(NOTA[[#This Row],[CONCAT1]]="","",MATCH(NOTA[[#This Row],[CONCAT1]],[2]!db[NB NOTA_C],0)+1)</f>
        <v>#N/A</v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76</v>
      </c>
      <c r="E416" s="23"/>
      <c r="F416" s="26"/>
      <c r="G416" s="26"/>
      <c r="H416" s="31"/>
      <c r="I416" s="26"/>
      <c r="J416" s="51"/>
      <c r="K416" s="26"/>
      <c r="L416" s="26" t="s">
        <v>588</v>
      </c>
      <c r="M416" s="39">
        <v>1</v>
      </c>
      <c r="N416" s="26">
        <v>144</v>
      </c>
      <c r="O416" s="26" t="s">
        <v>90</v>
      </c>
      <c r="P416" s="49">
        <v>19000</v>
      </c>
      <c r="Q416" s="52"/>
      <c r="R416" s="39" t="s">
        <v>587</v>
      </c>
      <c r="S416" s="53"/>
      <c r="T416" s="53"/>
      <c r="U416" s="54"/>
      <c r="V416" s="37"/>
      <c r="W416" s="54">
        <f>IF(NOTA[[#This Row],[HARGA/ CTN]]="",NOTA[[#This Row],[JUMLAH_H]],NOTA[[#This Row],[HARGA/ CTN]]*IF(NOTA[[#This Row],[C]]="",0,NOTA[[#This Row],[C]]))</f>
        <v>2736000</v>
      </c>
      <c r="X416" s="54">
        <f>IF(NOTA[[#This Row],[JUMLAH]]="","",NOTA[[#This Row],[JUMLAH]]*NOTA[[#This Row],[DISC 1]])</f>
        <v>0</v>
      </c>
      <c r="Y416" s="54">
        <f>IF(NOTA[[#This Row],[JUMLAH]]="","",(NOTA[[#This Row],[JUMLAH]]-NOTA[[#This Row],[DISC 1-]])*NOTA[[#This Row],[DISC 2]])</f>
        <v>0</v>
      </c>
      <c r="Z416" s="54">
        <f>IF(NOTA[[#This Row],[JUMLAH]]="","",NOTA[[#This Row],[DISC 1-]]+NOTA[[#This Row],[DISC 2-]])</f>
        <v>0</v>
      </c>
      <c r="AA416" s="54">
        <f>IF(NOTA[[#This Row],[JUMLAH]]="","",NOTA[[#This Row],[JUMLAH]]-NOTA[[#This Row],[DISC]])</f>
        <v>2736000</v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6" s="54">
        <f>IF(OR(NOTA[[#This Row],[QTY]]="",NOTA[[#This Row],[HARGA SATUAN]]="",),"",NOTA[[#This Row],[QTY]]*NOTA[[#This Row],[HARGA SATUAN]])</f>
        <v>2736000</v>
      </c>
      <c r="AF416" s="51">
        <f ca="1">IF(NOTA[ID_H]="","",INDEX(NOTA[TANGGAL],MATCH(,INDIRECT(ADDRESS(ROW(NOTA[TANGGAL]),COLUMN(NOTA[TANGGAL]))&amp;":"&amp;ADDRESS(ROW(),COLUMN(NOTA[TANGGAL]))),-1)))</f>
        <v>44940</v>
      </c>
      <c r="AG416" s="49" t="str">
        <f ca="1">IF(NOTA[[#This Row],[NAMA BARANG]]="","",INDEX(NOTA[SUPPLIER],MATCH(,INDIRECT(ADDRESS(ROW(NOTA[ID]),COLUMN(NOTA[ID]))&amp;":"&amp;ADDRESS(ROW(),COLUMN(NOTA[ID]))),-1)))</f>
        <v>DB STATIONERY</v>
      </c>
      <c r="AH416" s="49" t="str">
        <f ca="1">IF(NOTA[[#This Row],[ID_H]]="","",IF(NOTA[[#This Row],[FAKTUR]]="",INDIRECT(ADDRESS(ROW()-1,COLUMN())),NOTA[[#This Row],[FAKTUR]]))</f>
        <v>UNTANA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1</v>
      </c>
      <c r="AK416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>mekpensil2b20tm010692736000</v>
      </c>
      <c r="AM416" s="193" t="e">
        <f>IF(NOTA[[#This Row],[CONCAT1]]="","",MATCH(NOTA[[#This Row],[CONCAT1]],[2]!db[NB NOTA_C],0)+1)</f>
        <v>#N/A</v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>
        <f ca="1">IF(NOTA[[#This Row],[NAMA BARANG]]="","",INDEX(NOTA[ID],MATCH(,INDIRECT(ADDRESS(ROW(NOTA[ID]),COLUMN(NOTA[ID]))&amp;":"&amp;ADDRESS(ROW(),COLUMN(NOTA[ID]))),-1)))</f>
        <v>76</v>
      </c>
      <c r="E417" s="23"/>
      <c r="F417" s="26"/>
      <c r="G417" s="26"/>
      <c r="H417" s="31"/>
      <c r="I417" s="26"/>
      <c r="J417" s="51"/>
      <c r="K417" s="26"/>
      <c r="L417" s="26" t="s">
        <v>589</v>
      </c>
      <c r="M417" s="39">
        <v>2</v>
      </c>
      <c r="N417" s="26">
        <v>288</v>
      </c>
      <c r="O417" s="26" t="s">
        <v>90</v>
      </c>
      <c r="P417" s="49">
        <v>21000</v>
      </c>
      <c r="Q417" s="52"/>
      <c r="R417" s="39" t="s">
        <v>587</v>
      </c>
      <c r="S417" s="53"/>
      <c r="T417" s="53"/>
      <c r="U417" s="54"/>
      <c r="V417" s="37"/>
      <c r="W417" s="54">
        <f>IF(NOTA[[#This Row],[HARGA/ CTN]]="",NOTA[[#This Row],[JUMLAH_H]],NOTA[[#This Row],[HARGA/ CTN]]*IF(NOTA[[#This Row],[C]]="",0,NOTA[[#This Row],[C]]))</f>
        <v>6048000</v>
      </c>
      <c r="X417" s="54">
        <f>IF(NOTA[[#This Row],[JUMLAH]]="","",NOTA[[#This Row],[JUMLAH]]*NOTA[[#This Row],[DISC 1]])</f>
        <v>0</v>
      </c>
      <c r="Y417" s="54">
        <f>IF(NOTA[[#This Row],[JUMLAH]]="","",(NOTA[[#This Row],[JUMLAH]]-NOTA[[#This Row],[DISC 1-]])*NOTA[[#This Row],[DISC 2]])</f>
        <v>0</v>
      </c>
      <c r="Z417" s="54">
        <f>IF(NOTA[[#This Row],[JUMLAH]]="","",NOTA[[#This Row],[DISC 1-]]+NOTA[[#This Row],[DISC 2-]])</f>
        <v>0</v>
      </c>
      <c r="AA417" s="54">
        <f>IF(NOTA[[#This Row],[JUMLAH]]="","",NOTA[[#This Row],[JUMLAH]]-NOTA[[#This Row],[DISC]])</f>
        <v>6048000</v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17" s="54">
        <f>IF(OR(NOTA[[#This Row],[QTY]]="",NOTA[[#This Row],[HARGA SATUAN]]="",),"",NOTA[[#This Row],[QTY]]*NOTA[[#This Row],[HARGA SATUAN]])</f>
        <v>6048000</v>
      </c>
      <c r="AF417" s="51">
        <f ca="1">IF(NOTA[ID_H]="","",INDEX(NOTA[TANGGAL],MATCH(,INDIRECT(ADDRESS(ROW(NOTA[TANGGAL]),COLUMN(NOTA[TANGGAL]))&amp;":"&amp;ADDRESS(ROW(),COLUMN(NOTA[TANGGAL]))),-1)))</f>
        <v>44940</v>
      </c>
      <c r="AG417" s="49" t="str">
        <f ca="1">IF(NOTA[[#This Row],[NAMA BARANG]]="","",INDEX(NOTA[SUPPLIER],MATCH(,INDIRECT(ADDRESS(ROW(NOTA[ID]),COLUMN(NOTA[ID]))&amp;":"&amp;ADDRESS(ROW(),COLUMN(NOTA[ID]))),-1)))</f>
        <v>DB STATIONERY</v>
      </c>
      <c r="AH417" s="49" t="str">
        <f ca="1">IF(NOTA[[#This Row],[ID_H]]="","",IF(NOTA[[#This Row],[FAKTUR]]="",INDIRECT(ADDRESS(ROW()-1,COLUMN())),NOTA[[#This Row],[FAKTUR]]))</f>
        <v>UNTANA</v>
      </c>
      <c r="AI417" s="38" t="str">
        <f ca="1">IF(NOTA[[#This Row],[ID]]="","",COUNTIF(NOTA[ID_H],NOTA[[#This Row],[ID_H]]))</f>
        <v/>
      </c>
      <c r="AJ417" s="38">
        <f ca="1">IF(NOTA[[#This Row],[TGL.NOTA]]="",IF(NOTA[[#This Row],[SUPPLIER_H]]="","",AJ416),MONTH(NOTA[[#This Row],[TGL.NOTA]]))</f>
        <v>1</v>
      </c>
      <c r="AK417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>geltizotg312203024000</v>
      </c>
      <c r="AM417" s="193">
        <f>IF(NOTA[[#This Row],[CONCAT1]]="","",MATCH(NOTA[[#This Row],[CONCAT1]],[2]!db[NB NOTA_C],0)+1)</f>
        <v>839</v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>
        <f ca="1">IF(NOTA[[#This Row],[NAMA BARANG]]="","",INDEX(NOTA[ID],MATCH(,INDIRECT(ADDRESS(ROW(NOTA[ID]),COLUMN(NOTA[ID]))&amp;":"&amp;ADDRESS(ROW(),COLUMN(NOTA[ID]))),-1)))</f>
        <v>76</v>
      </c>
      <c r="E418" s="23"/>
      <c r="F418" s="26"/>
      <c r="G418" s="26"/>
      <c r="H418" s="31"/>
      <c r="I418" s="26"/>
      <c r="J418" s="51"/>
      <c r="K418" s="26"/>
      <c r="L418" s="26" t="s">
        <v>590</v>
      </c>
      <c r="M418" s="39">
        <v>2</v>
      </c>
      <c r="N418" s="26">
        <v>288</v>
      </c>
      <c r="O418" s="26" t="s">
        <v>90</v>
      </c>
      <c r="P418" s="49">
        <v>27000</v>
      </c>
      <c r="Q418" s="52"/>
      <c r="R418" s="39" t="s">
        <v>587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7776000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7776000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18" s="54">
        <f>IF(OR(NOTA[[#This Row],[QTY]]="",NOTA[[#This Row],[HARGA SATUAN]]="",),"",NOTA[[#This Row],[QTY]]*NOTA[[#This Row],[HARGA SATUAN]])</f>
        <v>7776000</v>
      </c>
      <c r="AF418" s="51">
        <f ca="1">IF(NOTA[ID_H]="","",INDEX(NOTA[TANGGAL],MATCH(,INDIRECT(ADDRESS(ROW(NOTA[TANGGAL]),COLUMN(NOTA[TANGGAL]))&amp;":"&amp;ADDRESS(ROW(),COLUMN(NOTA[TANGGAL]))),-1)))</f>
        <v>44940</v>
      </c>
      <c r="AG418" s="49" t="str">
        <f ca="1">IF(NOTA[[#This Row],[NAMA BARANG]]="","",INDEX(NOTA[SUPPLIER],MATCH(,INDIRECT(ADDRESS(ROW(NOTA[ID]),COLUMN(NOTA[ID]))&amp;":"&amp;ADDRESS(ROW(),COLUMN(NOTA[ID]))),-1)))</f>
        <v>DB STATIONERY</v>
      </c>
      <c r="AH418" s="49" t="str">
        <f ca="1">IF(NOTA[[#This Row],[ID_H]]="","",IF(NOTA[[#This Row],[FAKTUR]]="",INDIRECT(ADDRESS(ROW()-1,COLUMN())),NOTA[[#This Row],[FAKTUR]]))</f>
        <v>UNTANA</v>
      </c>
      <c r="AI418" s="38" t="str">
        <f ca="1">IF(NOTA[[#This Row],[ID]]="","",COUNTIF(NOTA[ID_H],NOTA[[#This Row],[ID_H]]))</f>
        <v/>
      </c>
      <c r="AJ418" s="38">
        <f ca="1">IF(NOTA[[#This Row],[TGL.NOTA]]="",IF(NOTA[[#This Row],[SUPPLIER_H]]="","",AJ417),MONTH(NOTA[[#This Row],[TGL.NOTA]]))</f>
        <v>1</v>
      </c>
      <c r="AK418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>gptizo395ftg395f3888000</v>
      </c>
      <c r="AM418" s="193" t="e">
        <f>IF(NOTA[[#This Row],[CONCAT1]]="","",MATCH(NOTA[[#This Row],[CONCAT1]],[2]!db[NB NOTA_C],0)+1)</f>
        <v>#N/A</v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76</v>
      </c>
      <c r="E419" s="23"/>
      <c r="F419" s="26"/>
      <c r="G419" s="26"/>
      <c r="H419" s="31"/>
      <c r="I419" s="26"/>
      <c r="J419" s="51"/>
      <c r="K419" s="26"/>
      <c r="L419" s="26" t="s">
        <v>591</v>
      </c>
      <c r="M419" s="39">
        <v>1</v>
      </c>
      <c r="N419" s="26">
        <v>120</v>
      </c>
      <c r="O419" s="26" t="s">
        <v>90</v>
      </c>
      <c r="P419" s="49">
        <v>18250</v>
      </c>
      <c r="Q419" s="173"/>
      <c r="R419" s="196" t="s">
        <v>188</v>
      </c>
      <c r="S419" s="17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2190000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2190000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19" s="54">
        <f>IF(OR(NOTA[[#This Row],[QTY]]="",NOTA[[#This Row],[HARGA SATUAN]]="",),"",NOTA[[#This Row],[QTY]]*NOTA[[#This Row],[HARGA SATUAN]])</f>
        <v>2190000</v>
      </c>
      <c r="AF419" s="51">
        <f ca="1">IF(NOTA[ID_H]="","",INDEX(NOTA[TANGGAL],MATCH(,INDIRECT(ADDRESS(ROW(NOTA[TANGGAL]),COLUMN(NOTA[TANGGAL]))&amp;":"&amp;ADDRESS(ROW(),COLUMN(NOTA[TANGGAL]))),-1)))</f>
        <v>44940</v>
      </c>
      <c r="AG419" s="49" t="str">
        <f ca="1">IF(NOTA[[#This Row],[NAMA BARANG]]="","",INDEX(NOTA[SUPPLIER],MATCH(,INDIRECT(ADDRESS(ROW(NOTA[ID]),COLUMN(NOTA[ID]))&amp;":"&amp;ADDRESS(ROW(),COLUMN(NOTA[ID]))),-1)))</f>
        <v>DB STATIONERY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1</v>
      </c>
      <c r="AK419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>gelzhixinrefillg50012190000</v>
      </c>
      <c r="AM419" s="193">
        <f>IF(NOTA[[#This Row],[CONCAT1]]="","",MATCH(NOTA[[#This Row],[CONCAT1]],[2]!db[NB NOTA_C],0)+1)</f>
        <v>861</v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76</v>
      </c>
      <c r="E420" s="23"/>
      <c r="F420" s="26"/>
      <c r="G420" s="26"/>
      <c r="H420" s="31"/>
      <c r="I420" s="26"/>
      <c r="J420" s="51"/>
      <c r="K420" s="26"/>
      <c r="L420" s="26" t="s">
        <v>592</v>
      </c>
      <c r="M420" s="39">
        <v>1</v>
      </c>
      <c r="N420" s="26">
        <v>120</v>
      </c>
      <c r="O420" s="26" t="s">
        <v>90</v>
      </c>
      <c r="P420" s="49">
        <v>18250</v>
      </c>
      <c r="Q420" s="52"/>
      <c r="R420" s="39" t="s">
        <v>188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2190000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2190000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0" s="54">
        <f>IF(OR(NOTA[[#This Row],[QTY]]="",NOTA[[#This Row],[HARGA SATUAN]]="",),"",NOTA[[#This Row],[QTY]]*NOTA[[#This Row],[HARGA SATUAN]])</f>
        <v>2190000</v>
      </c>
      <c r="AF420" s="51">
        <f ca="1">IF(NOTA[ID_H]="","",INDEX(NOTA[TANGGAL],MATCH(,INDIRECT(ADDRESS(ROW(NOTA[TANGGAL]),COLUMN(NOTA[TANGGAL]))&amp;":"&amp;ADDRESS(ROW(),COLUMN(NOTA[TANGGAL]))),-1)))</f>
        <v>44940</v>
      </c>
      <c r="AG420" s="49" t="str">
        <f ca="1">IF(NOTA[[#This Row],[NAMA BARANG]]="","",INDEX(NOTA[SUPPLIER],MATCH(,INDIRECT(ADDRESS(ROW(NOTA[ID]),COLUMN(NOTA[ID]))&amp;":"&amp;ADDRESS(ROW(),COLUMN(NOTA[ID]))),-1)))</f>
        <v>DB STATIONERY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1</v>
      </c>
      <c r="AK420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>gelzhixinrefillg50042190000</v>
      </c>
      <c r="AM420" s="193">
        <f>IF(NOTA[[#This Row],[CONCAT1]]="","",MATCH(NOTA[[#This Row],[CONCAT1]],[2]!db[NB NOTA_C],0)+1)</f>
        <v>862</v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76</v>
      </c>
      <c r="E421" s="23"/>
      <c r="F421" s="26"/>
      <c r="G421" s="26"/>
      <c r="H421" s="31"/>
      <c r="I421" s="26"/>
      <c r="J421" s="51"/>
      <c r="K421" s="26"/>
      <c r="L421" s="26" t="s">
        <v>593</v>
      </c>
      <c r="M421" s="39">
        <v>1</v>
      </c>
      <c r="N421" s="26">
        <v>120</v>
      </c>
      <c r="O421" s="26" t="s">
        <v>90</v>
      </c>
      <c r="P421" s="49">
        <v>18250</v>
      </c>
      <c r="Q421" s="52"/>
      <c r="R421" s="39" t="s">
        <v>188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2190000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2190000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1" s="54">
        <f>IF(OR(NOTA[[#This Row],[QTY]]="",NOTA[[#This Row],[HARGA SATUAN]]="",),"",NOTA[[#This Row],[QTY]]*NOTA[[#This Row],[HARGA SATUAN]])</f>
        <v>2190000</v>
      </c>
      <c r="AF421" s="51">
        <f ca="1">IF(NOTA[ID_H]="","",INDEX(NOTA[TANGGAL],MATCH(,INDIRECT(ADDRESS(ROW(NOTA[TANGGAL]),COLUMN(NOTA[TANGGAL]))&amp;":"&amp;ADDRESS(ROW(),COLUMN(NOTA[TANGGAL]))),-1)))</f>
        <v>44940</v>
      </c>
      <c r="AG421" s="49" t="str">
        <f ca="1">IF(NOTA[[#This Row],[NAMA BARANG]]="","",INDEX(NOTA[SUPPLIER],MATCH(,INDIRECT(ADDRESS(ROW(NOTA[ID]),COLUMN(NOTA[ID]))&amp;":"&amp;ADDRESS(ROW(),COLUMN(NOTA[ID]))),-1)))</f>
        <v>DB STATIONERY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1</v>
      </c>
      <c r="AK421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>gelzhixinrefillg50092190000</v>
      </c>
      <c r="AM421" s="193">
        <f>IF(NOTA[[#This Row],[CONCAT1]]="","",MATCH(NOTA[[#This Row],[CONCAT1]],[2]!db[NB NOTA_C],0)+1)</f>
        <v>863</v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76</v>
      </c>
      <c r="E422" s="23"/>
      <c r="F422" s="26"/>
      <c r="G422" s="26"/>
      <c r="H422" s="31"/>
      <c r="I422" s="26"/>
      <c r="J422" s="51"/>
      <c r="K422" s="26"/>
      <c r="L422" s="26" t="s">
        <v>594</v>
      </c>
      <c r="M422" s="39">
        <v>1</v>
      </c>
      <c r="N422" s="26">
        <v>120</v>
      </c>
      <c r="O422" s="26" t="s">
        <v>90</v>
      </c>
      <c r="P422" s="49">
        <v>18250</v>
      </c>
      <c r="Q422" s="52"/>
      <c r="R422" s="39" t="s">
        <v>188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2190000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2190000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2" s="54">
        <f>IF(OR(NOTA[[#This Row],[QTY]]="",NOTA[[#This Row],[HARGA SATUAN]]="",),"",NOTA[[#This Row],[QTY]]*NOTA[[#This Row],[HARGA SATUAN]])</f>
        <v>2190000</v>
      </c>
      <c r="AF422" s="51">
        <f ca="1">IF(NOTA[ID_H]="","",INDEX(NOTA[TANGGAL],MATCH(,INDIRECT(ADDRESS(ROW(NOTA[TANGGAL]),COLUMN(NOTA[TANGGAL]))&amp;":"&amp;ADDRESS(ROW(),COLUMN(NOTA[TANGGAL]))),-1)))</f>
        <v>44940</v>
      </c>
      <c r="AG422" s="49" t="str">
        <f ca="1">IF(NOTA[[#This Row],[NAMA BARANG]]="","",INDEX(NOTA[SUPPLIER],MATCH(,INDIRECT(ADDRESS(ROW(NOTA[ID]),COLUMN(NOTA[ID]))&amp;":"&amp;ADDRESS(ROW(),COLUMN(NOTA[ID]))),-1)))</f>
        <v>DB STATIONERY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1</v>
      </c>
      <c r="AK422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>gelzhixinrefillg31012190000</v>
      </c>
      <c r="AM422" s="193">
        <f>IF(NOTA[[#This Row],[CONCAT1]]="","",MATCH(NOTA[[#This Row],[CONCAT1]],[2]!db[NB NOTA_C],0)+1)</f>
        <v>845</v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76</v>
      </c>
      <c r="E423" s="23"/>
      <c r="F423" s="26"/>
      <c r="G423" s="26"/>
      <c r="H423" s="31"/>
      <c r="I423" s="26"/>
      <c r="J423" s="51"/>
      <c r="K423" s="26"/>
      <c r="L423" s="26" t="s">
        <v>595</v>
      </c>
      <c r="M423" s="39">
        <v>1</v>
      </c>
      <c r="N423" s="26">
        <v>120</v>
      </c>
      <c r="O423" s="26" t="s">
        <v>90</v>
      </c>
      <c r="P423" s="49">
        <v>18250</v>
      </c>
      <c r="Q423" s="52"/>
      <c r="R423" s="39" t="s">
        <v>188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2190000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2190000</v>
      </c>
      <c r="AB4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C4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3" s="54">
        <f>IF(OR(NOTA[[#This Row],[QTY]]="",NOTA[[#This Row],[HARGA SATUAN]]="",),"",NOTA[[#This Row],[QTY]]*NOTA[[#This Row],[HARGA SATUAN]])</f>
        <v>2190000</v>
      </c>
      <c r="AF423" s="51">
        <f ca="1">IF(NOTA[ID_H]="","",INDEX(NOTA[TANGGAL],MATCH(,INDIRECT(ADDRESS(ROW(NOTA[TANGGAL]),COLUMN(NOTA[TANGGAL]))&amp;":"&amp;ADDRESS(ROW(),COLUMN(NOTA[TANGGAL]))),-1)))</f>
        <v>44940</v>
      </c>
      <c r="AG423" s="49" t="str">
        <f ca="1">IF(NOTA[[#This Row],[NAMA BARANG]]="","",INDEX(NOTA[SUPPLIER],MATCH(,INDIRECT(ADDRESS(ROW(NOTA[ID]),COLUMN(NOTA[ID]))&amp;":"&amp;ADDRESS(ROW(),COLUMN(NOTA[ID]))),-1)))</f>
        <v>DB STATIONERY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1</v>
      </c>
      <c r="AK423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>gelzhixinrefillg31172190000</v>
      </c>
      <c r="AM423" s="193">
        <f>IF(NOTA[[#This Row],[CONCAT1]]="","",MATCH(NOTA[[#This Row],[CONCAT1]],[2]!db[NB NOTA_C],0)+1)</f>
        <v>900</v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93" t="str">
        <f>IF(NOTA[[#This Row],[CONCAT1]]="","",MATCH(NOTA[[#This Row],[CONCAT1]],[2]!db[NB NOTA_C],0)+1)</f>
        <v/>
      </c>
    </row>
    <row r="425" spans="1:39" ht="20.100000000000001" customHeight="1" x14ac:dyDescent="0.25">
      <c r="A425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5" s="50" t="e">
        <f ca="1">IF(NOTA[[#This Row],[ID_P]]="","",MATCH(NOTA[[#This Row],[ID_P]],[1]!B_MSK[N_ID],0))</f>
        <v>#REF!</v>
      </c>
      <c r="D425" s="50">
        <f ca="1">IF(NOTA[[#This Row],[NAMA BARANG]]="","",INDEX(NOTA[ID],MATCH(,INDIRECT(ADDRESS(ROW(NOTA[ID]),COLUMN(NOTA[ID]))&amp;":"&amp;ADDRESS(ROW(),COLUMN(NOTA[ID]))),-1)))</f>
        <v>77</v>
      </c>
      <c r="E425" s="23"/>
      <c r="F425" s="26" t="s">
        <v>220</v>
      </c>
      <c r="G425" s="26" t="s">
        <v>87</v>
      </c>
      <c r="H425" s="31" t="s">
        <v>596</v>
      </c>
      <c r="I425" s="26"/>
      <c r="J425" s="51">
        <v>44931</v>
      </c>
      <c r="K425" s="26"/>
      <c r="L425" s="26" t="s">
        <v>222</v>
      </c>
      <c r="M425" s="39">
        <v>5</v>
      </c>
      <c r="N425" s="26">
        <v>480</v>
      </c>
      <c r="O425" s="26" t="s">
        <v>90</v>
      </c>
      <c r="P425" s="49">
        <v>31500</v>
      </c>
      <c r="Q425" s="52"/>
      <c r="R425" s="39" t="s">
        <v>223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15120000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15120000</v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25" s="54">
        <f>IF(OR(NOTA[[#This Row],[QTY]]="",NOTA[[#This Row],[HARGA SATUAN]]="",),"",NOTA[[#This Row],[QTY]]*NOTA[[#This Row],[HARGA SATUAN]])</f>
        <v>15120000</v>
      </c>
      <c r="AF425" s="51">
        <f ca="1">IF(NOTA[ID_H]="","",INDEX(NOTA[TANGGAL],MATCH(,INDIRECT(ADDRESS(ROW(NOTA[TANGGAL]),COLUMN(NOTA[TANGGAL]))&amp;":"&amp;ADDRESS(ROW(),COLUMN(NOTA[TANGGAL]))),-1)))</f>
        <v>44940</v>
      </c>
      <c r="AG425" s="49" t="str">
        <f ca="1">IF(NOTA[[#This Row],[NAMA BARANG]]="","",INDEX(NOTA[SUPPLIER],MATCH(,INDIRECT(ADDRESS(ROW(NOTA[ID]),COLUMN(NOTA[ID]))&amp;":"&amp;ADDRESS(ROW(),COLUMN(NOTA[ID]))),-1)))</f>
        <v>DB STATIONERY</v>
      </c>
      <c r="AH425" s="49" t="str">
        <f ca="1">IF(NOTA[[#This Row],[ID_H]]="","",IF(NOTA[[#This Row],[FAKTUR]]="",INDIRECT(ADDRESS(ROW()-1,COLUMN())),NOTA[[#This Row],[FAKTUR]]))</f>
        <v>UNTANA</v>
      </c>
      <c r="AI425" s="38">
        <f ca="1">IF(NOTA[[#This Row],[ID]]="","",COUNTIF(NOTA[ID_H],NOTA[[#This Row],[ID_H]]))</f>
        <v>2</v>
      </c>
      <c r="AJ425" s="38">
        <f>IF(NOTA[[#This Row],[TGL.NOTA]]="",IF(NOTA[[#This Row],[SUPPLIER_H]]="","",AJ424),MONTH(NOTA[[#This Row],[TGL.NOTA]]))</f>
        <v>1</v>
      </c>
      <c r="AK42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425" s="193">
        <f>IF(NOTA[[#This Row],[CONCAT1]]="","",MATCH(NOTA[[#This Row],[CONCAT1]],[2]!db[NB NOTA_C],0)+1)</f>
        <v>751</v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>
        <f ca="1">IF(NOTA[[#This Row],[NAMA BARANG]]="","",INDEX(NOTA[ID],MATCH(,INDIRECT(ADDRESS(ROW(NOTA[ID]),COLUMN(NOTA[ID]))&amp;":"&amp;ADDRESS(ROW(),COLUMN(NOTA[ID]))),-1)))</f>
        <v>77</v>
      </c>
      <c r="E426" s="23"/>
      <c r="F426" s="26"/>
      <c r="G426" s="26"/>
      <c r="H426" s="31"/>
      <c r="I426" s="26"/>
      <c r="J426" s="51"/>
      <c r="K426" s="26"/>
      <c r="L426" s="26" t="s">
        <v>597</v>
      </c>
      <c r="M426" s="39">
        <v>2</v>
      </c>
      <c r="N426" s="26">
        <v>192</v>
      </c>
      <c r="O426" s="26" t="s">
        <v>90</v>
      </c>
      <c r="P426" s="49">
        <v>31500</v>
      </c>
      <c r="Q426" s="52"/>
      <c r="R426" s="39" t="s">
        <v>223</v>
      </c>
      <c r="S426" s="53"/>
      <c r="T426" s="53"/>
      <c r="U426" s="54"/>
      <c r="V426" s="37"/>
      <c r="W426" s="54">
        <f>IF(NOTA[[#This Row],[HARGA/ CTN]]="",NOTA[[#This Row],[JUMLAH_H]],NOTA[[#This Row],[HARGA/ CTN]]*IF(NOTA[[#This Row],[C]]="",0,NOTA[[#This Row],[C]]))</f>
        <v>6048000</v>
      </c>
      <c r="X426" s="54">
        <f>IF(NOTA[[#This Row],[JUMLAH]]="","",NOTA[[#This Row],[JUMLAH]]*NOTA[[#This Row],[DISC 1]])</f>
        <v>0</v>
      </c>
      <c r="Y426" s="54">
        <f>IF(NOTA[[#This Row],[JUMLAH]]="","",(NOTA[[#This Row],[JUMLAH]]-NOTA[[#This Row],[DISC 1-]])*NOTA[[#This Row],[DISC 2]])</f>
        <v>0</v>
      </c>
      <c r="Z426" s="54">
        <f>IF(NOTA[[#This Row],[JUMLAH]]="","",NOTA[[#This Row],[DISC 1-]]+NOTA[[#This Row],[DISC 2-]])</f>
        <v>0</v>
      </c>
      <c r="AA426" s="54">
        <f>IF(NOTA[[#This Row],[JUMLAH]]="","",NOTA[[#This Row],[JUMLAH]]-NOTA[[#This Row],[DISC]])</f>
        <v>6048000</v>
      </c>
      <c r="AB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D42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26" s="54">
        <f>IF(OR(NOTA[[#This Row],[QTY]]="",NOTA[[#This Row],[HARGA SATUAN]]="",),"",NOTA[[#This Row],[QTY]]*NOTA[[#This Row],[HARGA SATUAN]])</f>
        <v>6048000</v>
      </c>
      <c r="AF426" s="51">
        <f ca="1">IF(NOTA[ID_H]="","",INDEX(NOTA[TANGGAL],MATCH(,INDIRECT(ADDRESS(ROW(NOTA[TANGGAL]),COLUMN(NOTA[TANGGAL]))&amp;":"&amp;ADDRESS(ROW(),COLUMN(NOTA[TANGGAL]))),-1)))</f>
        <v>44940</v>
      </c>
      <c r="AG426" s="49" t="str">
        <f ca="1">IF(NOTA[[#This Row],[NAMA BARANG]]="","",INDEX(NOTA[SUPPLIER],MATCH(,INDIRECT(ADDRESS(ROW(NOTA[ID]),COLUMN(NOTA[ID]))&amp;":"&amp;ADDRESS(ROW(),COLUMN(NOTA[ID]))),-1)))</f>
        <v>DB STATIONERY</v>
      </c>
      <c r="AH426" s="49" t="str">
        <f ca="1">IF(NOTA[[#This Row],[ID_H]]="","",IF(NOTA[[#This Row],[FAKTUR]]="",INDIRECT(ADDRESS(ROW()-1,COLUMN())),NOTA[[#This Row],[FAKTUR]]))</f>
        <v>UNTANA</v>
      </c>
      <c r="AI426" s="38" t="str">
        <f ca="1">IF(NOTA[[#This Row],[ID]]="","",COUNTIF(NOTA[ID_H],NOTA[[#This Row],[ID_H]]))</f>
        <v/>
      </c>
      <c r="AJ426" s="38">
        <f ca="1">IF(NOTA[[#This Row],[TGL.NOTA]]="",IF(NOTA[[#This Row],[SUPPLIER_H]]="","",AJ425),MONTH(NOTA[[#This Row],[TGL.NOTA]]))</f>
        <v>1</v>
      </c>
      <c r="AK426" s="38" t="str">
        <f>LOWER(SUBSTITUTE(SUBSTITUTE(SUBSTITUTE(SUBSTITUTE(SUBSTITUTE(SUBSTITUTE(SUBSTITUTE(SUBSTITUTE(SUBSTITUTE(NOTA[NAMA BARANG]," ",),".",""),"-",""),"(",""),")",""),",",""),"/",""),"""",""),"+",""))</f>
        <v>gel10340biru</v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>gel10340biru3024000</v>
      </c>
      <c r="AM426" s="193" t="e">
        <f>IF(NOTA[[#This Row],[CONCAT1]]="","",MATCH(NOTA[[#This Row],[CONCAT1]],[2]!db[NB NOTA_C],0)+1)</f>
        <v>#N/A</v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93" t="str">
        <f>IF(NOTA[[#This Row],[CONCAT1]]="","",MATCH(NOTA[[#This Row],[CONCAT1]],[2]!db[NB NOTA_C],0)+1)</f>
        <v/>
      </c>
    </row>
    <row r="428" spans="1:39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28" s="50" t="e">
        <f ca="1">IF(NOTA[[#This Row],[ID_P]]="","",MATCH(NOTA[[#This Row],[ID_P]],[1]!B_MSK[N_ID],0))</f>
        <v>#REF!</v>
      </c>
      <c r="D428" s="50">
        <f ca="1">IF(NOTA[[#This Row],[NAMA BARANG]]="","",INDEX(NOTA[ID],MATCH(,INDIRECT(ADDRESS(ROW(NOTA[ID]),COLUMN(NOTA[ID]))&amp;":"&amp;ADDRESS(ROW(),COLUMN(NOTA[ID]))),-1)))</f>
        <v>78</v>
      </c>
      <c r="E428" s="23"/>
      <c r="F428" s="26" t="s">
        <v>86</v>
      </c>
      <c r="G428" s="26" t="s">
        <v>87</v>
      </c>
      <c r="H428" s="31" t="s">
        <v>88</v>
      </c>
      <c r="I428" s="26"/>
      <c r="J428" s="51">
        <v>44938</v>
      </c>
      <c r="K428" s="26"/>
      <c r="L428" s="26" t="s">
        <v>598</v>
      </c>
      <c r="M428" s="39">
        <v>30</v>
      </c>
      <c r="N428" s="26"/>
      <c r="O428" s="26"/>
      <c r="P428" s="49"/>
      <c r="Q428" s="52"/>
      <c r="R428" s="39" t="s">
        <v>91</v>
      </c>
      <c r="S428" s="53"/>
      <c r="T428" s="53"/>
      <c r="U428" s="54"/>
      <c r="V428" s="37" t="s">
        <v>88</v>
      </c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8" s="54" t="str">
        <f>IF(OR(NOTA[[#This Row],[QTY]]="",NOTA[[#This Row],[HARGA SATUAN]]="",),"",NOTA[[#This Row],[QTY]]*NOTA[[#This Row],[HARGA SATUAN]])</f>
        <v/>
      </c>
      <c r="AF428" s="51">
        <f ca="1">IF(NOTA[ID_H]="","",INDEX(NOTA[TANGGAL],MATCH(,INDIRECT(ADDRESS(ROW(NOTA[TANGGAL]),COLUMN(NOTA[TANGGAL]))&amp;":"&amp;ADDRESS(ROW(),COLUMN(NOTA[TANGGAL]))),-1)))</f>
        <v>44940</v>
      </c>
      <c r="AG428" s="49" t="str">
        <f ca="1">IF(NOTA[[#This Row],[NAMA BARANG]]="","",INDEX(NOTA[SUPPLIER],MATCH(,INDIRECT(ADDRESS(ROW(NOTA[ID]),COLUMN(NOTA[ID]))&amp;":"&amp;ADDRESS(ROW(),COLUMN(NOTA[ID]))),-1)))</f>
        <v>GRAFINDO</v>
      </c>
      <c r="AH428" s="49" t="str">
        <f ca="1">IF(NOTA[[#This Row],[ID_H]]="","",IF(NOTA[[#This Row],[FAKTUR]]="",INDIRECT(ADDRESS(ROW()-1,COLUMN())),NOTA[[#This Row],[FAKTUR]]))</f>
        <v>UNTANA</v>
      </c>
      <c r="AI428" s="38">
        <f ca="1">IF(NOTA[[#This Row],[ID]]="","",COUNTIF(NOTA[ID_H],NOTA[[#This Row],[ID_H]]))</f>
        <v>2</v>
      </c>
      <c r="AJ428" s="38">
        <f>IF(NOTA[[#This Row],[TGL.NOTA]]="",IF(NOTA[[#This Row],[SUPPLIER_H]]="","",AJ427),MONTH(NOTA[[#This Row],[TGL.NOTA]]))</f>
        <v>1</v>
      </c>
      <c r="AK428" s="38" t="str">
        <f>LOWER(SUBSTITUTE(SUBSTITUTE(SUBSTITUTE(SUBSTITUTE(SUBSTITUTE(SUBSTITUTE(SUBSTITUTE(SUBSTITUTE(SUBSTITUTE(NOTA[NAMA BARANG]," ",),".",""),"-",""),"(",""),")",""),",",""),"/",""),"""",""),"+",""))</f>
        <v>ac105fputih</v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>ac105fputih0</v>
      </c>
      <c r="AM428" s="193" t="e">
        <f>IF(NOTA[[#This Row],[CONCAT1]]="","",MATCH(NOTA[[#This Row],[CONCAT1]],[2]!db[NB NOTA_C],0)+1)</f>
        <v>#N/A</v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78</v>
      </c>
      <c r="E429" s="23"/>
      <c r="F429" s="26"/>
      <c r="G429" s="26"/>
      <c r="H429" s="31"/>
      <c r="I429" s="26"/>
      <c r="J429" s="51"/>
      <c r="K429" s="26"/>
      <c r="L429" s="26" t="s">
        <v>598</v>
      </c>
      <c r="M429" s="39">
        <v>3</v>
      </c>
      <c r="N429" s="26"/>
      <c r="O429" s="26"/>
      <c r="P429" s="49"/>
      <c r="Q429" s="52"/>
      <c r="R429" s="39" t="s">
        <v>91</v>
      </c>
      <c r="S429" s="53"/>
      <c r="T429" s="53"/>
      <c r="U429" s="54"/>
      <c r="V429" s="37" t="s">
        <v>88</v>
      </c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9" s="54" t="str">
        <f>IF(OR(NOTA[[#This Row],[QTY]]="",NOTA[[#This Row],[HARGA SATUAN]]="",),"",NOTA[[#This Row],[QTY]]*NOTA[[#This Row],[HARGA SATUAN]])</f>
        <v/>
      </c>
      <c r="AF429" s="51">
        <f ca="1">IF(NOTA[ID_H]="","",INDEX(NOTA[TANGGAL],MATCH(,INDIRECT(ADDRESS(ROW(NOTA[TANGGAL]),COLUMN(NOTA[TANGGAL]))&amp;":"&amp;ADDRESS(ROW(),COLUMN(NOTA[TANGGAL]))),-1)))</f>
        <v>44940</v>
      </c>
      <c r="AG429" s="49" t="str">
        <f ca="1">IF(NOTA[[#This Row],[NAMA BARANG]]="","",INDEX(NOTA[SUPPLIER],MATCH(,INDIRECT(ADDRESS(ROW(NOTA[ID]),COLUMN(NOTA[ID]))&amp;":"&amp;ADDRESS(ROW(),COLUMN(NOTA[ID]))),-1)))</f>
        <v>GRAFINDO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1</v>
      </c>
      <c r="AK429" s="38" t="str">
        <f>LOWER(SUBSTITUTE(SUBSTITUTE(SUBSTITUTE(SUBSTITUTE(SUBSTITUTE(SUBSTITUTE(SUBSTITUTE(SUBSTITUTE(SUBSTITUTE(NOTA[NAMA BARANG]," ",),".",""),"-",""),"(",""),")",""),",",""),"/",""),"""",""),"+",""))</f>
        <v>ac105fputih</v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>ac105fputih0</v>
      </c>
      <c r="AM429" s="193" t="e">
        <f>IF(NOTA[[#This Row],[CONCAT1]]="","",MATCH(NOTA[[#This Row],[CONCAT1]],[2]!db[NB NOTA_C],0)+1)</f>
        <v>#N/A</v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93" t="str">
        <f>IF(NOTA[[#This Row],[CONCAT1]]="","",MATCH(NOTA[[#This Row],[CONCAT1]],[2]!db[NB NOTA_C],0)+1)</f>
        <v/>
      </c>
    </row>
    <row r="431" spans="1:39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1" s="50" t="e">
        <f ca="1">IF(NOTA[[#This Row],[ID_P]]="","",MATCH(NOTA[[#This Row],[ID_P]],[1]!B_MSK[N_ID],0))</f>
        <v>#REF!</v>
      </c>
      <c r="D431" s="50">
        <f ca="1">IF(NOTA[[#This Row],[NAMA BARANG]]="","",INDEX(NOTA[ID],MATCH(,INDIRECT(ADDRESS(ROW(NOTA[ID]),COLUMN(NOTA[ID]))&amp;":"&amp;ADDRESS(ROW(),COLUMN(NOTA[ID]))),-1)))</f>
        <v>79</v>
      </c>
      <c r="E431" s="23"/>
      <c r="F431" s="26" t="s">
        <v>599</v>
      </c>
      <c r="G431" s="26" t="s">
        <v>87</v>
      </c>
      <c r="H431" s="31" t="s">
        <v>600</v>
      </c>
      <c r="I431" s="26"/>
      <c r="J431" s="51">
        <v>44937</v>
      </c>
      <c r="K431" s="26"/>
      <c r="L431" s="26" t="s">
        <v>601</v>
      </c>
      <c r="M431" s="39">
        <v>3</v>
      </c>
      <c r="N431" s="26">
        <v>90</v>
      </c>
      <c r="O431" s="26" t="s">
        <v>90</v>
      </c>
      <c r="P431" s="49">
        <v>61000</v>
      </c>
      <c r="Q431" s="52"/>
      <c r="R431" s="39" t="s">
        <v>303</v>
      </c>
      <c r="S431" s="53">
        <v>0.05</v>
      </c>
      <c r="T431" s="53">
        <v>0.1</v>
      </c>
      <c r="U431" s="54"/>
      <c r="V431" s="37"/>
      <c r="W431" s="54">
        <f>IF(NOTA[[#This Row],[HARGA/ CTN]]="",NOTA[[#This Row],[JUMLAH_H]],NOTA[[#This Row],[HARGA/ CTN]]*IF(NOTA[[#This Row],[C]]="",0,NOTA[[#This Row],[C]]))</f>
        <v>5490000</v>
      </c>
      <c r="X431" s="54">
        <f>IF(NOTA[[#This Row],[JUMLAH]]="","",NOTA[[#This Row],[JUMLAH]]*NOTA[[#This Row],[DISC 1]])</f>
        <v>274500</v>
      </c>
      <c r="Y431" s="54">
        <f>IF(NOTA[[#This Row],[JUMLAH]]="","",(NOTA[[#This Row],[JUMLAH]]-NOTA[[#This Row],[DISC 1-]])*NOTA[[#This Row],[DISC 2]])</f>
        <v>521550</v>
      </c>
      <c r="Z431" s="54">
        <f>IF(NOTA[[#This Row],[JUMLAH]]="","",NOTA[[#This Row],[DISC 1-]]+NOTA[[#This Row],[DISC 2-]])</f>
        <v>796050</v>
      </c>
      <c r="AA431" s="54">
        <f>IF(NOTA[[#This Row],[JUMLAH]]="","",NOTA[[#This Row],[JUMLAH]]-NOTA[[#This Row],[DISC]])</f>
        <v>4693950</v>
      </c>
      <c r="AB4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C4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D431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31" s="54">
        <f>IF(OR(NOTA[[#This Row],[QTY]]="",NOTA[[#This Row],[HARGA SATUAN]]="",),"",NOTA[[#This Row],[QTY]]*NOTA[[#This Row],[HARGA SATUAN]])</f>
        <v>5490000</v>
      </c>
      <c r="AF431" s="51">
        <f ca="1">IF(NOTA[ID_H]="","",INDEX(NOTA[TANGGAL],MATCH(,INDIRECT(ADDRESS(ROW(NOTA[TANGGAL]),COLUMN(NOTA[TANGGAL]))&amp;":"&amp;ADDRESS(ROW(),COLUMN(NOTA[TANGGAL]))),-1)))</f>
        <v>44940</v>
      </c>
      <c r="AG431" s="49" t="str">
        <f ca="1">IF(NOTA[[#This Row],[NAMA BARANG]]="","",INDEX(NOTA[SUPPLIER],MATCH(,INDIRECT(ADDRESS(ROW(NOTA[ID]),COLUMN(NOTA[ID]))&amp;":"&amp;ADDRESS(ROW(),COLUMN(NOTA[ID]))),-1)))</f>
        <v>GUNINDO</v>
      </c>
      <c r="AH431" s="49" t="str">
        <f ca="1">IF(NOTA[[#This Row],[ID_H]]="","",IF(NOTA[[#This Row],[FAKTUR]]="",INDIRECT(ADDRESS(ROW()-1,COLUMN())),NOTA[[#This Row],[FAKTUR]]))</f>
        <v>UNTANA</v>
      </c>
      <c r="AI431" s="38">
        <f ca="1">IF(NOTA[[#This Row],[ID]]="","",COUNTIF(NOTA[ID_H],NOTA[[#This Row],[ID_H]]))</f>
        <v>1</v>
      </c>
      <c r="AJ431" s="38">
        <f>IF(NOTA[[#This Row],[TGL.NOTA]]="",IF(NOTA[[#This Row],[SUPPLIER_H]]="","",AJ430),MONTH(NOTA[[#This Row],[TGL.NOTA]]))</f>
        <v>1</v>
      </c>
      <c r="AK431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>wberaser80318300000.050.1</v>
      </c>
      <c r="AM431" s="193">
        <f>IF(NOTA[[#This Row],[CONCAT1]]="","",MATCH(NOTA[[#This Row],[CONCAT1]],[2]!db[NB NOTA_C],0)+1)</f>
        <v>2058</v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93" t="str">
        <f>IF(NOTA[[#This Row],[CONCAT1]]="","",MATCH(NOTA[[#This Row],[CONCAT1]],[2]!db[NB NOTA_C],0)+1)</f>
        <v/>
      </c>
    </row>
    <row r="433" spans="1:39" ht="20.100000000000001" customHeight="1" x14ac:dyDescent="0.25">
      <c r="A433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433" s="50" t="e">
        <f ca="1">IF(NOTA[[#This Row],[ID_P]]="","",MATCH(NOTA[[#This Row],[ID_P]],[1]!B_MSK[N_ID],0))</f>
        <v>#REF!</v>
      </c>
      <c r="D433" s="50">
        <f ca="1">IF(NOTA[[#This Row],[NAMA BARANG]]="","",INDEX(NOTA[ID],MATCH(,INDIRECT(ADDRESS(ROW(NOTA[ID]),COLUMN(NOTA[ID]))&amp;":"&amp;ADDRESS(ROW(),COLUMN(NOTA[ID]))),-1)))</f>
        <v>80</v>
      </c>
      <c r="E433" s="23">
        <v>44937</v>
      </c>
      <c r="F433" s="26" t="s">
        <v>144</v>
      </c>
      <c r="G433" s="26" t="s">
        <v>87</v>
      </c>
      <c r="H433" s="31" t="s">
        <v>604</v>
      </c>
      <c r="I433" s="26"/>
      <c r="J433" s="51"/>
      <c r="K433" s="26"/>
      <c r="L433" s="26" t="s">
        <v>606</v>
      </c>
      <c r="M433" s="39">
        <v>2</v>
      </c>
      <c r="N433" s="26">
        <v>3000</v>
      </c>
      <c r="O433" s="26" t="s">
        <v>90</v>
      </c>
      <c r="P433" s="49">
        <v>11500</v>
      </c>
      <c r="Q433" s="52"/>
      <c r="R433" s="39" t="s">
        <v>605</v>
      </c>
      <c r="S433" s="53"/>
      <c r="T433" s="53"/>
      <c r="U433" s="54"/>
      <c r="V433" s="37"/>
      <c r="W433" s="54">
        <f>IF(NOTA[[#This Row],[HARGA/ CTN]]="",NOTA[[#This Row],[JUMLAH_H]],NOTA[[#This Row],[HARGA/ CTN]]*IF(NOTA[[#This Row],[C]]="",0,NOTA[[#This Row],[C]]))</f>
        <v>34500000</v>
      </c>
      <c r="X433" s="54">
        <f>IF(NOTA[[#This Row],[JUMLAH]]="","",NOTA[[#This Row],[JUMLAH]]*NOTA[[#This Row],[DISC 1]])</f>
        <v>0</v>
      </c>
      <c r="Y433" s="54">
        <f>IF(NOTA[[#This Row],[JUMLAH]]="","",(NOTA[[#This Row],[JUMLAH]]-NOTA[[#This Row],[DISC 1-]])*NOTA[[#This Row],[DISC 2]])</f>
        <v>0</v>
      </c>
      <c r="Z433" s="54">
        <f>IF(NOTA[[#This Row],[JUMLAH]]="","",NOTA[[#This Row],[DISC 1-]]+NOTA[[#This Row],[DISC 2-]])</f>
        <v>0</v>
      </c>
      <c r="AA433" s="54">
        <f>IF(NOTA[[#This Row],[JUMLAH]]="","",NOTA[[#This Row],[JUMLAH]]-NOTA[[#This Row],[DISC]])</f>
        <v>34500000</v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E433" s="54">
        <f>IF(OR(NOTA[[#This Row],[QTY]]="",NOTA[[#This Row],[HARGA SATUAN]]="",),"",NOTA[[#This Row],[QTY]]*NOTA[[#This Row],[HARGA SATUAN]])</f>
        <v>34500000</v>
      </c>
      <c r="AF433" s="51">
        <f ca="1">IF(NOTA[ID_H]="","",INDEX(NOTA[TANGGAL],MATCH(,INDIRECT(ADDRESS(ROW(NOTA[TANGGAL]),COLUMN(NOTA[TANGGAL]))&amp;":"&amp;ADDRESS(ROW(),COLUMN(NOTA[TANGGAL]))),-1)))</f>
        <v>44937</v>
      </c>
      <c r="AG433" s="65" t="str">
        <f ca="1">IF(NOTA[[#This Row],[NAMA BARANG]]="","",INDEX(NOTA[SUPPLIER],MATCH(,INDIRECT(ADDRESS(ROW(NOTA[ID]),COLUMN(NOTA[ID]))&amp;":"&amp;ADDRESS(ROW(),COLUMN(NOTA[ID]))),-1)))</f>
        <v>ETJ</v>
      </c>
      <c r="AH433" s="65" t="str">
        <f ca="1">IF(NOTA[[#This Row],[ID_H]]="","",IF(NOTA[[#This Row],[FAKTUR]]="",INDIRECT(ADDRESS(ROW()-1,COLUMN())),NOTA[[#This Row],[FAKTUR]]))</f>
        <v>UNTANA</v>
      </c>
      <c r="AI433" s="38">
        <f ca="1">IF(NOTA[[#This Row],[ID]]="","",COUNTIF(NOTA[ID_H],NOTA[[#This Row],[ID_H]]))</f>
        <v>2</v>
      </c>
      <c r="AJ433" s="38" t="e">
        <f ca="1">IF(NOTA[[#This Row],[TGL.NOTA]]="",IF(NOTA[[#This Row],[SUPPLIER_H]]="","",#REF!),MONTH(NOTA[[#This Row],[TGL.NOTA]]))</f>
        <v>#REF!</v>
      </c>
      <c r="AK433" s="38" t="str">
        <f>LOWER(SUBSTITUTE(SUBSTITUTE(SUBSTITUTE(SUBSTITUTE(SUBSTITUTE(SUBSTITUTE(SUBSTITUTE(SUBSTITUTE(SUBSTITUTE(NOTA[NAMA BARANG]," ",),".",""),"-",""),"(",""),")",""),",",""),"/",""),"""",""),"+",""))</f>
        <v>garisangambar315plsbr</v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>garisangambar315plsbr17250000</v>
      </c>
      <c r="AM433" s="193" t="e">
        <f>IF(NOTA[[#This Row],[CONCAT1]]="","",MATCH(NOTA[[#This Row],[CONCAT1]],[2]!db[NB NOTA_C],0)+1)</f>
        <v>#N/A</v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>
        <f ca="1">IF(NOTA[[#This Row],[NAMA BARANG]]="","",INDEX(NOTA[ID],MATCH(,INDIRECT(ADDRESS(ROW(NOTA[ID]),COLUMN(NOTA[ID]))&amp;":"&amp;ADDRESS(ROW(),COLUMN(NOTA[ID]))),-1)))</f>
        <v>80</v>
      </c>
      <c r="E434" s="23"/>
      <c r="F434" s="26"/>
      <c r="G434" s="26"/>
      <c r="H434" s="31"/>
      <c r="I434" s="26"/>
      <c r="J434" s="51"/>
      <c r="K434" s="26"/>
      <c r="L434" s="26" t="s">
        <v>607</v>
      </c>
      <c r="M434" s="39">
        <v>2</v>
      </c>
      <c r="N434" s="26">
        <v>2000</v>
      </c>
      <c r="O434" s="26" t="s">
        <v>90</v>
      </c>
      <c r="P434" s="49">
        <v>11000</v>
      </c>
      <c r="Q434" s="52"/>
      <c r="R434" s="39" t="s">
        <v>608</v>
      </c>
      <c r="S434" s="53"/>
      <c r="T434" s="53"/>
      <c r="U434" s="54"/>
      <c r="V434" s="37"/>
      <c r="W434" s="54">
        <f>IF(NOTA[[#This Row],[HARGA/ CTN]]="",NOTA[[#This Row],[JUMLAH_H]],NOTA[[#This Row],[HARGA/ CTN]]*IF(NOTA[[#This Row],[C]]="",0,NOTA[[#This Row],[C]]))</f>
        <v>22000000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22000000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E434" s="54">
        <f>IF(OR(NOTA[[#This Row],[QTY]]="",NOTA[[#This Row],[HARGA SATUAN]]="",),"",NOTA[[#This Row],[QTY]]*NOTA[[#This Row],[HARGA SATUAN]])</f>
        <v>22000000</v>
      </c>
      <c r="AF434" s="51">
        <f ca="1">IF(NOTA[ID_H]="","",INDEX(NOTA[TANGGAL],MATCH(,INDIRECT(ADDRESS(ROW(NOTA[TANGGAL]),COLUMN(NOTA[TANGGAL]))&amp;":"&amp;ADDRESS(ROW(),COLUMN(NOTA[TANGGAL]))),-1)))</f>
        <v>44937</v>
      </c>
      <c r="AG434" s="65" t="str">
        <f ca="1">IF(NOTA[[#This Row],[NAMA BARANG]]="","",INDEX(NOTA[SUPPLIER],MATCH(,INDIRECT(ADDRESS(ROW(NOTA[ID]),COLUMN(NOTA[ID]))&amp;":"&amp;ADDRESS(ROW(),COLUMN(NOTA[ID]))),-1)))</f>
        <v>ETJ</v>
      </c>
      <c r="AH434" s="65" t="str">
        <f ca="1">IF(NOTA[[#This Row],[ID_H]]="","",IF(NOTA[[#This Row],[FAKTUR]]="",INDIRECT(ADDRESS(ROW()-1,COLUMN())),NOTA[[#This Row],[FAKTUR]]))</f>
        <v>UNTANA</v>
      </c>
      <c r="AI434" s="38" t="str">
        <f ca="1">IF(NOTA[[#This Row],[ID]]="","",COUNTIF(NOTA[ID_H],NOTA[[#This Row],[ID_H]]))</f>
        <v/>
      </c>
      <c r="AJ434" s="38" t="e">
        <f ca="1">IF(NOTA[[#This Row],[TGL.NOTA]]="",IF(NOTA[[#This Row],[SUPPLIER_H]]="","",AJ433),MONTH(NOTA[[#This Row],[TGL.NOTA]]))</f>
        <v>#REF!</v>
      </c>
      <c r="AK434" s="38" t="str">
        <f>LOWER(SUBSTITUTE(SUBSTITUTE(SUBSTITUTE(SUBSTITUTE(SUBSTITUTE(SUBSTITUTE(SUBSTITUTE(SUBSTITUTE(SUBSTITUTE(NOTA[NAMA BARANG]," ",),".",""),"-",""),"(",""),")",""),",",""),"/",""),"""",""),"+",""))</f>
        <v>garisangambarno4mika</v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>garisangambarno4mika11000000</v>
      </c>
      <c r="AM434" s="193" t="e">
        <f>IF(NOTA[[#This Row],[CONCAT1]]="","",MATCH(NOTA[[#This Row],[CONCAT1]],[2]!db[NB NOTA_C],0)+1)</f>
        <v>#N/A</v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93" t="str">
        <f>IF(NOTA[[#This Row],[CONCAT1]]="","",MATCH(NOTA[[#This Row],[CONCAT1]],[2]!db[NB NOTA_C],0)+1)</f>
        <v/>
      </c>
    </row>
    <row r="436" spans="1:39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KEN_1601_870-4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81</v>
      </c>
      <c r="E436" s="23">
        <v>44942</v>
      </c>
      <c r="F436" s="26" t="s">
        <v>23</v>
      </c>
      <c r="G436" s="26" t="s">
        <v>24</v>
      </c>
      <c r="H436" s="31" t="s">
        <v>609</v>
      </c>
      <c r="I436" s="26" t="s">
        <v>614</v>
      </c>
      <c r="J436" s="51">
        <v>44939</v>
      </c>
      <c r="K436" s="26"/>
      <c r="L436" s="26" t="s">
        <v>610</v>
      </c>
      <c r="M436" s="39">
        <v>1</v>
      </c>
      <c r="N436" s="26"/>
      <c r="O436" s="26"/>
      <c r="P436" s="49"/>
      <c r="Q436" s="52">
        <v>1497600</v>
      </c>
      <c r="R436" s="39" t="s">
        <v>124</v>
      </c>
      <c r="S436" s="53">
        <v>0.17</v>
      </c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1497600</v>
      </c>
      <c r="X436" s="54">
        <f>IF(NOTA[[#This Row],[JUMLAH]]="","",NOTA[[#This Row],[JUMLAH]]*NOTA[[#This Row],[DISC 1]])</f>
        <v>254592.00000000003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254592.00000000003</v>
      </c>
      <c r="AA436" s="54">
        <f>IF(NOTA[[#This Row],[JUMLAH]]="","",NOTA[[#This Row],[JUMLAH]]-NOTA[[#This Row],[DISC]])</f>
        <v>1243008</v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436" s="54" t="str">
        <f>IF(OR(NOTA[[#This Row],[QTY]]="",NOTA[[#This Row],[HARGA SATUAN]]="",),"",NOTA[[#This Row],[QTY]]*NOTA[[#This Row],[HARGA SATUAN]])</f>
        <v/>
      </c>
      <c r="AF436" s="51">
        <f ca="1">IF(NOTA[ID_H]="","",INDEX(NOTA[TANGGAL],MATCH(,INDIRECT(ADDRESS(ROW(NOTA[TANGGAL]),COLUMN(NOTA[TANGGAL]))&amp;":"&amp;ADDRESS(ROW(),COLUMN(NOTA[TANGGAL]))),-1)))</f>
        <v>44942</v>
      </c>
      <c r="AG436" s="65" t="str">
        <f ca="1">IF(NOTA[[#This Row],[NAMA BARANG]]="","",INDEX(NOTA[SUPPLIER],MATCH(,INDIRECT(ADDRESS(ROW(NOTA[ID]),COLUMN(NOTA[ID]))&amp;":"&amp;ADDRESS(ROW(),COLUMN(NOTA[ID]))),-1)))</f>
        <v>KENKO SINAR INDONESIA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4</v>
      </c>
      <c r="AJ436" s="38">
        <f>IF(NOTA[[#This Row],[TGL.NOTA]]="",IF(NOTA[[#This Row],[SUPPLIER_H]]="","",AJ435),MONTH(NOTA[[#This Row],[TGL.NOTA]]))</f>
        <v>1</v>
      </c>
      <c r="AK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436" s="193">
        <f>IF(NOTA[[#This Row],[CONCAT1]]="","",MATCH(NOTA[[#This Row],[CONCAT1]],[2]!db[NB NOTA_C],0)+1)</f>
        <v>1234</v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>
        <f ca="1">IF(NOTA[[#This Row],[NAMA BARANG]]="","",INDEX(NOTA[ID],MATCH(,INDIRECT(ADDRESS(ROW(NOTA[ID]),COLUMN(NOTA[ID]))&amp;":"&amp;ADDRESS(ROW(),COLUMN(NOTA[ID]))),-1)))</f>
        <v>81</v>
      </c>
      <c r="E437" s="23"/>
      <c r="F437" s="26"/>
      <c r="G437" s="26"/>
      <c r="H437" s="31"/>
      <c r="I437" s="26"/>
      <c r="J437" s="51"/>
      <c r="K437" s="26"/>
      <c r="L437" s="26" t="s">
        <v>611</v>
      </c>
      <c r="M437" s="39">
        <v>5</v>
      </c>
      <c r="N437" s="26"/>
      <c r="O437" s="26"/>
      <c r="P437" s="49"/>
      <c r="Q437" s="52">
        <v>3888000</v>
      </c>
      <c r="R437" s="39" t="s">
        <v>613</v>
      </c>
      <c r="S437" s="53">
        <v>0.17</v>
      </c>
      <c r="T437" s="53"/>
      <c r="U437" s="54"/>
      <c r="V437" s="37"/>
      <c r="W437" s="54">
        <f>IF(NOTA[[#This Row],[HARGA/ CTN]]="",NOTA[[#This Row],[JUMLAH_H]],NOTA[[#This Row],[HARGA/ CTN]]*IF(NOTA[[#This Row],[C]]="",0,NOTA[[#This Row],[C]]))</f>
        <v>19440000</v>
      </c>
      <c r="X437" s="54">
        <f>IF(NOTA[[#This Row],[JUMLAH]]="","",NOTA[[#This Row],[JUMLAH]]*NOTA[[#This Row],[DISC 1]])</f>
        <v>3304800.0000000005</v>
      </c>
      <c r="Y437" s="54">
        <f>IF(NOTA[[#This Row],[JUMLAH]]="","",(NOTA[[#This Row],[JUMLAH]]-NOTA[[#This Row],[DISC 1-]])*NOTA[[#This Row],[DISC 2]])</f>
        <v>0</v>
      </c>
      <c r="Z437" s="54">
        <f>IF(NOTA[[#This Row],[JUMLAH]]="","",NOTA[[#This Row],[DISC 1-]]+NOTA[[#This Row],[DISC 2-]])</f>
        <v>3304800.0000000005</v>
      </c>
      <c r="AA437" s="54">
        <f>IF(NOTA[[#This Row],[JUMLAH]]="","",NOTA[[#This Row],[JUMLAH]]-NOTA[[#This Row],[DISC]])</f>
        <v>16135200</v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37" s="54" t="str">
        <f>IF(OR(NOTA[[#This Row],[QTY]]="",NOTA[[#This Row],[HARGA SATUAN]]="",),"",NOTA[[#This Row],[QTY]]*NOTA[[#This Row],[HARGA SATUAN]])</f>
        <v/>
      </c>
      <c r="AF437" s="51">
        <f ca="1">IF(NOTA[ID_H]="","",INDEX(NOTA[TANGGAL],MATCH(,INDIRECT(ADDRESS(ROW(NOTA[TANGGAL]),COLUMN(NOTA[TANGGAL]))&amp;":"&amp;ADDRESS(ROW(),COLUMN(NOTA[TANGGAL]))),-1)))</f>
        <v>44942</v>
      </c>
      <c r="AG437" s="65" t="str">
        <f ca="1">IF(NOTA[[#This Row],[NAMA BARANG]]="","",INDEX(NOTA[SUPPLIER],MATCH(,INDIRECT(ADDRESS(ROW(NOTA[ID]),COLUMN(NOTA[ID]))&amp;":"&amp;ADDRESS(ROW(),COLUMN(NOTA[ID]))),-1)))</f>
        <v>KENKO SINAR INDONESIA</v>
      </c>
      <c r="AH437" s="65" t="str">
        <f ca="1">IF(NOTA[[#This Row],[ID_H]]="","",IF(NOTA[[#This Row],[FAKTUR]]="",INDIRECT(ADDRESS(ROW()-1,COLUMN())),NOTA[[#This Row],[FAKTUR]]))</f>
        <v>ARTO MORO</v>
      </c>
      <c r="AI437" s="38" t="str">
        <f ca="1">IF(NOTA[[#This Row],[ID]]="","",COUNTIF(NOTA[ID_H],NOTA[[#This Row],[ID_H]]))</f>
        <v/>
      </c>
      <c r="AJ437" s="38">
        <f ca="1">IF(NOTA[[#This Row],[TGL.NOTA]]="",IF(NOTA[[#This Row],[SUPPLIER_H]]="","",AJ436),MONTH(NOTA[[#This Row],[TGL.NOTA]]))</f>
        <v>1</v>
      </c>
      <c r="AK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>kenkocutterbladea1009mm38880000.17</v>
      </c>
      <c r="AM437" s="193">
        <f>IF(NOTA[[#This Row],[CONCAT1]]="","",MATCH(NOTA[[#This Row],[CONCAT1]],[2]!db[NB NOTA_C],0)+1)</f>
        <v>1119</v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>
        <f ca="1">IF(NOTA[[#This Row],[NAMA BARANG]]="","",INDEX(NOTA[ID],MATCH(,INDIRECT(ADDRESS(ROW(NOTA[ID]),COLUMN(NOTA[ID]))&amp;":"&amp;ADDRESS(ROW(),COLUMN(NOTA[ID]))),-1)))</f>
        <v>81</v>
      </c>
      <c r="E438" s="23"/>
      <c r="F438" s="26"/>
      <c r="G438" s="26"/>
      <c r="H438" s="31"/>
      <c r="I438" s="26"/>
      <c r="J438" s="51"/>
      <c r="K438" s="26"/>
      <c r="L438" s="26" t="s">
        <v>612</v>
      </c>
      <c r="M438" s="39">
        <v>5</v>
      </c>
      <c r="N438" s="26"/>
      <c r="O438" s="26"/>
      <c r="P438" s="49"/>
      <c r="Q438" s="52">
        <v>5616000</v>
      </c>
      <c r="R438" s="39" t="s">
        <v>117</v>
      </c>
      <c r="S438" s="53">
        <v>0.17</v>
      </c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28080000</v>
      </c>
      <c r="X438" s="54">
        <f>IF(NOTA[[#This Row],[JUMLAH]]="","",NOTA[[#This Row],[JUMLAH]]*NOTA[[#This Row],[DISC 1]])</f>
        <v>4773600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4773600</v>
      </c>
      <c r="AA438" s="54">
        <f>IF(NOTA[[#This Row],[JUMLAH]]="","",NOTA[[#This Row],[JUMLAH]]-NOTA[[#This Row],[DISC]])</f>
        <v>23306400</v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38" s="54" t="str">
        <f>IF(OR(NOTA[[#This Row],[QTY]]="",NOTA[[#This Row],[HARGA SATUAN]]="",),"",NOTA[[#This Row],[QTY]]*NOTA[[#This Row],[HARGA SATUAN]])</f>
        <v/>
      </c>
      <c r="AF438" s="51">
        <f ca="1">IF(NOTA[ID_H]="","",INDEX(NOTA[TANGGAL],MATCH(,INDIRECT(ADDRESS(ROW(NOTA[TANGGAL]),COLUMN(NOTA[TANGGAL]))&amp;":"&amp;ADDRESS(ROW(),COLUMN(NOTA[TANGGAL]))),-1)))</f>
        <v>44942</v>
      </c>
      <c r="AG438" s="65" t="str">
        <f ca="1">IF(NOTA[[#This Row],[NAMA BARANG]]="","",INDEX(NOTA[SUPPLIER],MATCH(,INDIRECT(ADDRESS(ROW(NOTA[ID]),COLUMN(NOTA[ID]))&amp;":"&amp;ADDRESS(ROW(),COLUMN(NOTA[ID]))),-1)))</f>
        <v>KENKO SINAR INDONESIA</v>
      </c>
      <c r="AH438" s="65" t="str">
        <f ca="1">IF(NOTA[[#This Row],[ID_H]]="","",IF(NOTA[[#This Row],[FAKTUR]]="",INDIRECT(ADDRESS(ROW()-1,COLUMN())),NOTA[[#This Row],[FAKTUR]]))</f>
        <v>ARTO MORO</v>
      </c>
      <c r="AI438" s="38" t="str">
        <f ca="1">IF(NOTA[[#This Row],[ID]]="","",COUNTIF(NOTA[ID_H],NOTA[[#This Row],[ID_H]]))</f>
        <v/>
      </c>
      <c r="AJ438" s="38">
        <f ca="1">IF(NOTA[[#This Row],[TGL.NOTA]]="",IF(NOTA[[#This Row],[SUPPLIER_H]]="","",AJ437),MONTH(NOTA[[#This Row],[TGL.NOTA]]))</f>
        <v>1</v>
      </c>
      <c r="AK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438" s="193">
        <f>IF(NOTA[[#This Row],[CONCAT1]]="","",MATCH(NOTA[[#This Row],[CONCAT1]],[2]!db[NB NOTA_C],0)+1)</f>
        <v>1141</v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>
        <f ca="1">IF(NOTA[[#This Row],[NAMA BARANG]]="","",INDEX(NOTA[ID],MATCH(,INDIRECT(ADDRESS(ROW(NOTA[ID]),COLUMN(NOTA[ID]))&amp;":"&amp;ADDRESS(ROW(),COLUMN(NOTA[ID]))),-1)))</f>
        <v>81</v>
      </c>
      <c r="E439" s="23"/>
      <c r="F439" s="26"/>
      <c r="G439" s="26"/>
      <c r="H439" s="31"/>
      <c r="I439" s="26" t="s">
        <v>615</v>
      </c>
      <c r="J439" s="51"/>
      <c r="K439" s="26"/>
      <c r="L439" s="26" t="s">
        <v>549</v>
      </c>
      <c r="M439" s="39">
        <v>5</v>
      </c>
      <c r="N439" s="26"/>
      <c r="O439" s="26"/>
      <c r="P439" s="49"/>
      <c r="Q439" s="52">
        <v>3758400</v>
      </c>
      <c r="R439" s="39" t="s">
        <v>117</v>
      </c>
      <c r="S439" s="53">
        <v>0.17</v>
      </c>
      <c r="T439" s="53"/>
      <c r="U439" s="54"/>
      <c r="V439" s="37"/>
      <c r="W439" s="54">
        <f>IF(NOTA[[#This Row],[HARGA/ CTN]]="",NOTA[[#This Row],[JUMLAH_H]],NOTA[[#This Row],[HARGA/ CTN]]*IF(NOTA[[#This Row],[C]]="",0,NOTA[[#This Row],[C]]))</f>
        <v>18792000</v>
      </c>
      <c r="X439" s="54">
        <f>IF(NOTA[[#This Row],[JUMLAH]]="","",NOTA[[#This Row],[JUMLAH]]*NOTA[[#This Row],[DISC 1]])</f>
        <v>3194640</v>
      </c>
      <c r="Y439" s="54">
        <f>IF(NOTA[[#This Row],[JUMLAH]]="","",(NOTA[[#This Row],[JUMLAH]]-NOTA[[#This Row],[DISC 1-]])*NOTA[[#This Row],[DISC 2]])</f>
        <v>0</v>
      </c>
      <c r="Z439" s="54">
        <f>IF(NOTA[[#This Row],[JUMLAH]]="","",NOTA[[#This Row],[DISC 1-]]+NOTA[[#This Row],[DISC 2-]])</f>
        <v>3194640</v>
      </c>
      <c r="AA439" s="54">
        <f>IF(NOTA[[#This Row],[JUMLAH]]="","",NOTA[[#This Row],[JUMLAH]]-NOTA[[#This Row],[DISC]])</f>
        <v>15597360</v>
      </c>
      <c r="AB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D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439" s="54" t="str">
        <f>IF(OR(NOTA[[#This Row],[QTY]]="",NOTA[[#This Row],[HARGA SATUAN]]="",),"",NOTA[[#This Row],[QTY]]*NOTA[[#This Row],[HARGA SATUAN]])</f>
        <v/>
      </c>
      <c r="AF439" s="51">
        <f ca="1">IF(NOTA[ID_H]="","",INDEX(NOTA[TANGGAL],MATCH(,INDIRECT(ADDRESS(ROW(NOTA[TANGGAL]),COLUMN(NOTA[TANGGAL]))&amp;":"&amp;ADDRESS(ROW(),COLUMN(NOTA[TANGGAL]))),-1)))</f>
        <v>44942</v>
      </c>
      <c r="AG439" s="65" t="str">
        <f ca="1">IF(NOTA[[#This Row],[NAMA BARANG]]="","",INDEX(NOTA[SUPPLIER],MATCH(,INDIRECT(ADDRESS(ROW(NOTA[ID]),COLUMN(NOTA[ID]))&amp;":"&amp;ADDRESS(ROW(),COLUMN(NOTA[ID]))),-1)))</f>
        <v>KENKO SINAR INDONESIA</v>
      </c>
      <c r="AH439" s="65" t="str">
        <f ca="1">IF(NOTA[[#This Row],[ID_H]]="","",IF(NOTA[[#This Row],[FAKTUR]]="",INDIRECT(ADDRESS(ROW()-1,COLUMN())),NOTA[[#This Row],[FAKTUR]]))</f>
        <v>ARTO MORO</v>
      </c>
      <c r="AI439" s="38" t="str">
        <f ca="1">IF(NOTA[[#This Row],[ID]]="","",COUNTIF(NOTA[ID_H],NOTA[[#This Row],[ID_H]]))</f>
        <v/>
      </c>
      <c r="AJ439" s="38">
        <f ca="1">IF(NOTA[[#This Row],[TGL.NOTA]]="",IF(NOTA[[#This Row],[SUPPLIER_H]]="","",AJ438),MONTH(NOTA[[#This Row],[TGL.NOTA]]))</f>
        <v>1</v>
      </c>
      <c r="AK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439" s="193">
        <f>IF(NOTA[[#This Row],[CONCAT1]]="","",MATCH(NOTA[[#This Row],[CONCAT1]],[2]!db[NB NOTA_C],0)+1)</f>
        <v>1136</v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93" t="str">
        <f>IF(NOTA[[#This Row],[CONCAT1]]="","",MATCH(NOTA[[#This Row],[CONCAT1]],[2]!db[NB NOTA_C],0)+1)</f>
        <v/>
      </c>
    </row>
    <row r="441" spans="1:39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e">
        <f ca="1">IF(NOTA[[#This Row],[ID_P]]="","",MATCH(NOTA[[#This Row],[ID_P]],[1]!B_MSK[N_ID],0))</f>
        <v>#REF!</v>
      </c>
      <c r="D441" s="50">
        <f ca="1">IF(NOTA[[#This Row],[NAMA BARANG]]="","",INDEX(NOTA[ID],MATCH(,INDIRECT(ADDRESS(ROW(NOTA[ID]),COLUMN(NOTA[ID]))&amp;":"&amp;ADDRESS(ROW(),COLUMN(NOTA[ID]))),-1)))</f>
        <v>82</v>
      </c>
      <c r="E441" s="23"/>
      <c r="F441" s="26" t="s">
        <v>23</v>
      </c>
      <c r="G441" s="26" t="s">
        <v>24</v>
      </c>
      <c r="H441" s="31" t="s">
        <v>616</v>
      </c>
      <c r="I441" s="26" t="s">
        <v>620</v>
      </c>
      <c r="J441" s="51">
        <v>44940</v>
      </c>
      <c r="K441" s="26"/>
      <c r="L441" s="26" t="s">
        <v>617</v>
      </c>
      <c r="M441" s="39">
        <v>5</v>
      </c>
      <c r="N441" s="26"/>
      <c r="O441" s="26"/>
      <c r="P441" s="49"/>
      <c r="Q441" s="52">
        <v>2880000</v>
      </c>
      <c r="R441" s="39" t="s">
        <v>121</v>
      </c>
      <c r="S441" s="53">
        <v>0.17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14400000</v>
      </c>
      <c r="X441" s="54">
        <f>IF(NOTA[[#This Row],[JUMLAH]]="","",NOTA[[#This Row],[JUMLAH]]*NOTA[[#This Row],[DISC 1]])</f>
        <v>2448000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2448000</v>
      </c>
      <c r="AA441" s="54">
        <f>IF(NOTA[[#This Row],[JUMLAH]]="","",NOTA[[#This Row],[JUMLAH]]-NOTA[[#This Row],[DISC]])</f>
        <v>11952000</v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41" s="54" t="str">
        <f>IF(OR(NOTA[[#This Row],[QTY]]="",NOTA[[#This Row],[HARGA SATUAN]]="",),"",NOTA[[#This Row],[QTY]]*NOTA[[#This Row],[HARGA SATUAN]])</f>
        <v/>
      </c>
      <c r="AF441" s="51">
        <f ca="1">IF(NOTA[ID_H]="","",INDEX(NOTA[TANGGAL],MATCH(,INDIRECT(ADDRESS(ROW(NOTA[TANGGAL]),COLUMN(NOTA[TANGGAL]))&amp;":"&amp;ADDRESS(ROW(),COLUMN(NOTA[TANGGAL]))),-1)))</f>
        <v>44942</v>
      </c>
      <c r="AG441" s="65" t="str">
        <f ca="1">IF(NOTA[[#This Row],[NAMA BARANG]]="","",INDEX(NOTA[SUPPLIER],MATCH(,INDIRECT(ADDRESS(ROW(NOTA[ID]),COLUMN(NOTA[ID]))&amp;":"&amp;ADDRESS(ROW(),COLUMN(NOTA[ID]))),-1)))</f>
        <v>KENKO SINAR INDONESIA</v>
      </c>
      <c r="AH441" s="65" t="str">
        <f ca="1">IF(NOTA[[#This Row],[ID_H]]="","",IF(NOTA[[#This Row],[FAKTUR]]="",INDIRECT(ADDRESS(ROW()-1,COLUMN())),NOTA[[#This Row],[FAKTUR]]))</f>
        <v>ARTO MORO</v>
      </c>
      <c r="AI441" s="38">
        <f ca="1">IF(NOTA[[#This Row],[ID]]="","",COUNTIF(NOTA[ID_H],NOTA[[#This Row],[ID_H]]))</f>
        <v>4</v>
      </c>
      <c r="AJ441" s="38">
        <f>IF(NOTA[[#This Row],[TGL.NOTA]]="",IF(NOTA[[#This Row],[SUPPLIER_H]]="","",AJ440),MONTH(NOTA[[#This Row],[TGL.NOTA]]))</f>
        <v>1</v>
      </c>
      <c r="AK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>kenkocorrectiontapect90912mx5mm28800000.17</v>
      </c>
      <c r="AM441" s="193">
        <f>IF(NOTA[[#This Row],[CONCAT1]]="","",MATCH(NOTA[[#This Row],[CONCAT1]],[2]!db[NB NOTA_C],0)+1)</f>
        <v>1117</v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>
        <f ca="1">IF(NOTA[[#This Row],[NAMA BARANG]]="","",INDEX(NOTA[ID],MATCH(,INDIRECT(ADDRESS(ROW(NOTA[ID]),COLUMN(NOTA[ID]))&amp;":"&amp;ADDRESS(ROW(),COLUMN(NOTA[ID]))),-1)))</f>
        <v>82</v>
      </c>
      <c r="E442" s="23"/>
      <c r="F442" s="26"/>
      <c r="G442" s="26"/>
      <c r="H442" s="31"/>
      <c r="I442" s="26"/>
      <c r="J442" s="51"/>
      <c r="K442" s="26"/>
      <c r="L442" s="26" t="s">
        <v>618</v>
      </c>
      <c r="M442" s="39">
        <v>3</v>
      </c>
      <c r="N442" s="26"/>
      <c r="O442" s="26"/>
      <c r="P442" s="49"/>
      <c r="Q442" s="52">
        <v>3340800</v>
      </c>
      <c r="R442" s="39" t="s">
        <v>121</v>
      </c>
      <c r="S442" s="53">
        <v>0.17</v>
      </c>
      <c r="T442" s="53"/>
      <c r="U442" s="54"/>
      <c r="V442" s="37"/>
      <c r="W442" s="54">
        <f>IF(NOTA[[#This Row],[HARGA/ CTN]]="",NOTA[[#This Row],[JUMLAH_H]],NOTA[[#This Row],[HARGA/ CTN]]*IF(NOTA[[#This Row],[C]]="",0,NOTA[[#This Row],[C]]))</f>
        <v>10022400</v>
      </c>
      <c r="X442" s="54">
        <f>IF(NOTA[[#This Row],[JUMLAH]]="","",NOTA[[#This Row],[JUMLAH]]*NOTA[[#This Row],[DISC 1]])</f>
        <v>1703808.0000000002</v>
      </c>
      <c r="Y442" s="54">
        <f>IF(NOTA[[#This Row],[JUMLAH]]="","",(NOTA[[#This Row],[JUMLAH]]-NOTA[[#This Row],[DISC 1-]])*NOTA[[#This Row],[DISC 2]])</f>
        <v>0</v>
      </c>
      <c r="Z442" s="54">
        <f>IF(NOTA[[#This Row],[JUMLAH]]="","",NOTA[[#This Row],[DISC 1-]]+NOTA[[#This Row],[DISC 2-]])</f>
        <v>1703808.0000000002</v>
      </c>
      <c r="AA442" s="54">
        <f>IF(NOTA[[#This Row],[JUMLAH]]="","",NOTA[[#This Row],[JUMLAH]]-NOTA[[#This Row],[DISC]])</f>
        <v>8318592</v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2" s="54" t="str">
        <f>IF(OR(NOTA[[#This Row],[QTY]]="",NOTA[[#This Row],[HARGA SATUAN]]="",),"",NOTA[[#This Row],[QTY]]*NOTA[[#This Row],[HARGA SATUAN]])</f>
        <v/>
      </c>
      <c r="AF442" s="51">
        <f ca="1">IF(NOTA[ID_H]="","",INDEX(NOTA[TANGGAL],MATCH(,INDIRECT(ADDRESS(ROW(NOTA[TANGGAL]),COLUMN(NOTA[TANGGAL]))&amp;":"&amp;ADDRESS(ROW(),COLUMN(NOTA[TANGGAL]))),-1)))</f>
        <v>44942</v>
      </c>
      <c r="AG442" s="65" t="str">
        <f ca="1">IF(NOTA[[#This Row],[NAMA BARANG]]="","",INDEX(NOTA[SUPPLIER],MATCH(,INDIRECT(ADDRESS(ROW(NOTA[ID]),COLUMN(NOTA[ID]))&amp;":"&amp;ADDRESS(ROW(),COLUMN(NOTA[ID]))),-1)))</f>
        <v>KENKO SINAR INDONESIA</v>
      </c>
      <c r="AH442" s="65" t="str">
        <f ca="1">IF(NOTA[[#This Row],[ID_H]]="","",IF(NOTA[[#This Row],[FAKTUR]]="",INDIRECT(ADDRESS(ROW()-1,COLUMN())),NOTA[[#This Row],[FAKTUR]]))</f>
        <v>ARTO MORO</v>
      </c>
      <c r="AI442" s="38" t="str">
        <f ca="1">IF(NOTA[[#This Row],[ID]]="","",COUNTIF(NOTA[ID_H],NOTA[[#This Row],[ID_H]]))</f>
        <v/>
      </c>
      <c r="AJ442" s="38">
        <f ca="1">IF(NOTA[[#This Row],[TGL.NOTA]]="",IF(NOTA[[#This Row],[SUPPLIER_H]]="","",AJ441),MONTH(NOTA[[#This Row],[TGL.NOTA]]))</f>
        <v>1</v>
      </c>
      <c r="AK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>kenkocorrectiontapect1505fc15mx5mm33408000.17</v>
      </c>
      <c r="AM442" s="193">
        <f>IF(NOTA[[#This Row],[CONCAT1]]="","",MATCH(NOTA[[#This Row],[CONCAT1]],[2]!db[NB NOTA_C],0)+1)</f>
        <v>1097</v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>
        <f ca="1">IF(NOTA[[#This Row],[NAMA BARANG]]="","",INDEX(NOTA[ID],MATCH(,INDIRECT(ADDRESS(ROW(NOTA[ID]),COLUMN(NOTA[ID]))&amp;":"&amp;ADDRESS(ROW(),COLUMN(NOTA[ID]))),-1)))</f>
        <v>82</v>
      </c>
      <c r="E443" s="23"/>
      <c r="F443" s="26"/>
      <c r="G443" s="26"/>
      <c r="H443" s="31"/>
      <c r="I443" s="26"/>
      <c r="J443" s="51"/>
      <c r="K443" s="26"/>
      <c r="L443" s="26" t="s">
        <v>619</v>
      </c>
      <c r="M443" s="39">
        <v>2</v>
      </c>
      <c r="N443" s="26"/>
      <c r="O443" s="26"/>
      <c r="P443" s="49"/>
      <c r="Q443" s="52">
        <v>5616000</v>
      </c>
      <c r="R443" s="39" t="s">
        <v>117</v>
      </c>
      <c r="S443" s="53">
        <v>0.17</v>
      </c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11232000</v>
      </c>
      <c r="X443" s="54">
        <f>IF(NOTA[[#This Row],[JUMLAH]]="","",NOTA[[#This Row],[JUMLAH]]*NOTA[[#This Row],[DISC 1]])</f>
        <v>1909440.0000000002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1909440.0000000002</v>
      </c>
      <c r="AA443" s="54">
        <f>IF(NOTA[[#This Row],[JUMLAH]]="","",NOTA[[#This Row],[JUMLAH]]-NOTA[[#This Row],[DISC]])</f>
        <v>9322560</v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43" s="54" t="str">
        <f>IF(OR(NOTA[[#This Row],[QTY]]="",NOTA[[#This Row],[HARGA SATUAN]]="",),"",NOTA[[#This Row],[QTY]]*NOTA[[#This Row],[HARGA SATUAN]])</f>
        <v/>
      </c>
      <c r="AF443" s="51">
        <f ca="1">IF(NOTA[ID_H]="","",INDEX(NOTA[TANGGAL],MATCH(,INDIRECT(ADDRESS(ROW(NOTA[TANGGAL]),COLUMN(NOTA[TANGGAL]))&amp;":"&amp;ADDRESS(ROW(),COLUMN(NOTA[TANGGAL]))),-1)))</f>
        <v>44942</v>
      </c>
      <c r="AG443" s="65" t="str">
        <f ca="1">IF(NOTA[[#This Row],[NAMA BARANG]]="","",INDEX(NOTA[SUPPLIER],MATCH(,INDIRECT(ADDRESS(ROW(NOTA[ID]),COLUMN(NOTA[ID]))&amp;":"&amp;ADDRESS(ROW(),COLUMN(NOTA[ID]))),-1)))</f>
        <v>KENKO SINAR INDONESIA</v>
      </c>
      <c r="AH443" s="65" t="str">
        <f ca="1">IF(NOTA[[#This Row],[ID_H]]="","",IF(NOTA[[#This Row],[FAKTUR]]="",INDIRECT(ADDRESS(ROW()-1,COLUMN())),NOTA[[#This Row],[FAKTUR]]))</f>
        <v>ARTO MORO</v>
      </c>
      <c r="AI443" s="38" t="str">
        <f ca="1">IF(NOTA[[#This Row],[ID]]="","",COUNTIF(NOTA[ID_H],NOTA[[#This Row],[ID_H]]))</f>
        <v/>
      </c>
      <c r="AJ443" s="38">
        <f ca="1">IF(NOTA[[#This Row],[TGL.NOTA]]="",IF(NOTA[[#This Row],[SUPPLIER_H]]="","",AJ442),MONTH(NOTA[[#This Row],[TGL.NOTA]]))</f>
        <v>1</v>
      </c>
      <c r="AK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>kenkogelpensaharasnackblack56160000.17</v>
      </c>
      <c r="AM443" s="193">
        <f>IF(NOTA[[#This Row],[CONCAT1]]="","",MATCH(NOTA[[#This Row],[CONCAT1]],[2]!db[NB NOTA_C],0)+1)</f>
        <v>1170</v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>
        <f ca="1">IF(NOTA[[#This Row],[NAMA BARANG]]="","",INDEX(NOTA[ID],MATCH(,INDIRECT(ADDRESS(ROW(NOTA[ID]),COLUMN(NOTA[ID]))&amp;":"&amp;ADDRESS(ROW(),COLUMN(NOTA[ID]))),-1)))</f>
        <v>82</v>
      </c>
      <c r="E444" s="23"/>
      <c r="F444" s="26"/>
      <c r="G444" s="26"/>
      <c r="H444" s="31"/>
      <c r="I444" s="26"/>
      <c r="J444" s="51"/>
      <c r="K444" s="26"/>
      <c r="L444" s="26" t="s">
        <v>356</v>
      </c>
      <c r="M444" s="39">
        <v>1</v>
      </c>
      <c r="N444" s="26"/>
      <c r="O444" s="26"/>
      <c r="P444" s="49"/>
      <c r="Q444" s="52">
        <v>1995000</v>
      </c>
      <c r="R444" s="39" t="s">
        <v>366</v>
      </c>
      <c r="S444" s="53">
        <v>0.17</v>
      </c>
      <c r="T444" s="53"/>
      <c r="U444" s="54"/>
      <c r="V444" s="37"/>
      <c r="W444" s="54">
        <f>IF(NOTA[[#This Row],[HARGA/ CTN]]="",NOTA[[#This Row],[JUMLAH_H]],NOTA[[#This Row],[HARGA/ CTN]]*IF(NOTA[[#This Row],[C]]="",0,NOTA[[#This Row],[C]]))</f>
        <v>1995000</v>
      </c>
      <c r="X444" s="54">
        <f>IF(NOTA[[#This Row],[JUMLAH]]="","",NOTA[[#This Row],[JUMLAH]]*NOTA[[#This Row],[DISC 1]])</f>
        <v>339150</v>
      </c>
      <c r="Y444" s="54">
        <f>IF(NOTA[[#This Row],[JUMLAH]]="","",(NOTA[[#This Row],[JUMLAH]]-NOTA[[#This Row],[DISC 1-]])*NOTA[[#This Row],[DISC 2]])</f>
        <v>0</v>
      </c>
      <c r="Z444" s="54">
        <f>IF(NOTA[[#This Row],[JUMLAH]]="","",NOTA[[#This Row],[DISC 1-]]+NOTA[[#This Row],[DISC 2-]])</f>
        <v>339150</v>
      </c>
      <c r="AA444" s="54">
        <f>IF(NOTA[[#This Row],[JUMLAH]]="","",NOTA[[#This Row],[JUMLAH]]-NOTA[[#This Row],[DISC]])</f>
        <v>1655850</v>
      </c>
      <c r="AB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D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44" s="54" t="str">
        <f>IF(OR(NOTA[[#This Row],[QTY]]="",NOTA[[#This Row],[HARGA SATUAN]]="",),"",NOTA[[#This Row],[QTY]]*NOTA[[#This Row],[HARGA SATUAN]])</f>
        <v/>
      </c>
      <c r="AF444" s="51">
        <f ca="1">IF(NOTA[ID_H]="","",INDEX(NOTA[TANGGAL],MATCH(,INDIRECT(ADDRESS(ROW(NOTA[TANGGAL]),COLUMN(NOTA[TANGGAL]))&amp;":"&amp;ADDRESS(ROW(),COLUMN(NOTA[TANGGAL]))),-1)))</f>
        <v>44942</v>
      </c>
      <c r="AG444" s="65" t="str">
        <f ca="1">IF(NOTA[[#This Row],[NAMA BARANG]]="","",INDEX(NOTA[SUPPLIER],MATCH(,INDIRECT(ADDRESS(ROW(NOTA[ID]),COLUMN(NOTA[ID]))&amp;":"&amp;ADDRESS(ROW(),COLUMN(NOTA[ID]))),-1)))</f>
        <v>KENKO SINAR INDONESIA</v>
      </c>
      <c r="AH444" s="65" t="str">
        <f ca="1">IF(NOTA[[#This Row],[ID_H]]="","",IF(NOTA[[#This Row],[FAKTUR]]="",INDIRECT(ADDRESS(ROW()-1,COLUMN())),NOTA[[#This Row],[FAKTUR]]))</f>
        <v>ARTO MORO</v>
      </c>
      <c r="AI444" s="38" t="str">
        <f ca="1">IF(NOTA[[#This Row],[ID]]="","",COUNTIF(NOTA[ID_H],NOTA[[#This Row],[ID_H]]))</f>
        <v/>
      </c>
      <c r="AJ444" s="38">
        <f ca="1">IF(NOTA[[#This Row],[TGL.NOTA]]="",IF(NOTA[[#This Row],[SUPPLIER_H]]="","",AJ443),MONTH(NOTA[[#This Row],[TGL.NOTA]]))</f>
        <v>1</v>
      </c>
      <c r="AK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444" s="193">
        <f>IF(NOTA[[#This Row],[CONCAT1]]="","",MATCH(NOTA[[#This Row],[CONCAT1]],[2]!db[NB NOTA_C],0)+1)</f>
        <v>1257</v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93" t="str">
        <f>IF(NOTA[[#This Row],[CONCAT1]]="","",MATCH(NOTA[[#This Row],[CONCAT1]],[2]!db[NB NOTA_C],0)+1)</f>
        <v/>
      </c>
    </row>
    <row r="446" spans="1:39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e">
        <f ca="1">IF(NOTA[[#This Row],[ID_P]]="","",MATCH(NOTA[[#This Row],[ID_P]],[1]!B_MSK[N_ID],0))</f>
        <v>#REF!</v>
      </c>
      <c r="D446" s="50">
        <f ca="1">IF(NOTA[[#This Row],[NAMA BARANG]]="","",INDEX(NOTA[ID],MATCH(,INDIRECT(ADDRESS(ROW(NOTA[ID]),COLUMN(NOTA[ID]))&amp;":"&amp;ADDRESS(ROW(),COLUMN(NOTA[ID]))),-1)))</f>
        <v>83</v>
      </c>
      <c r="E446" s="23"/>
      <c r="F446" s="26" t="s">
        <v>25</v>
      </c>
      <c r="G446" s="26" t="s">
        <v>24</v>
      </c>
      <c r="H446" s="31" t="s">
        <v>621</v>
      </c>
      <c r="I446" s="26"/>
      <c r="J446" s="51">
        <v>44938</v>
      </c>
      <c r="K446" s="26"/>
      <c r="L446" s="26" t="s">
        <v>622</v>
      </c>
      <c r="M446" s="39">
        <v>1</v>
      </c>
      <c r="N446" s="26">
        <v>216</v>
      </c>
      <c r="O446" s="26" t="s">
        <v>104</v>
      </c>
      <c r="P446" s="49">
        <v>5800</v>
      </c>
      <c r="Q446" s="52"/>
      <c r="R446" s="39" t="s">
        <v>623</v>
      </c>
      <c r="S446" s="53">
        <v>0.125</v>
      </c>
      <c r="T446" s="53">
        <v>0.05</v>
      </c>
      <c r="U446" s="54"/>
      <c r="V446" s="37"/>
      <c r="W446" s="54">
        <f>IF(NOTA[[#This Row],[HARGA/ CTN]]="",NOTA[[#This Row],[JUMLAH_H]],NOTA[[#This Row],[HARGA/ CTN]]*IF(NOTA[[#This Row],[C]]="",0,NOTA[[#This Row],[C]]))</f>
        <v>1252800</v>
      </c>
      <c r="X446" s="54">
        <f>IF(NOTA[[#This Row],[JUMLAH]]="","",NOTA[[#This Row],[JUMLAH]]*NOTA[[#This Row],[DISC 1]])</f>
        <v>156600</v>
      </c>
      <c r="Y446" s="54">
        <f>IF(NOTA[[#This Row],[JUMLAH]]="","",(NOTA[[#This Row],[JUMLAH]]-NOTA[[#This Row],[DISC 1-]])*NOTA[[#This Row],[DISC 2]])</f>
        <v>54810</v>
      </c>
      <c r="Z446" s="54">
        <f>IF(NOTA[[#This Row],[JUMLAH]]="","",NOTA[[#This Row],[DISC 1-]]+NOTA[[#This Row],[DISC 2-]])</f>
        <v>211410</v>
      </c>
      <c r="AA446" s="54">
        <f>IF(NOTA[[#This Row],[JUMLAH]]="","",NOTA[[#This Row],[JUMLAH]]-NOTA[[#This Row],[DISC]])</f>
        <v>1041390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46" s="54">
        <f>IF(OR(NOTA[[#This Row],[QTY]]="",NOTA[[#This Row],[HARGA SATUAN]]="",),"",NOTA[[#This Row],[QTY]]*NOTA[[#This Row],[HARGA SATUAN]])</f>
        <v>1252800</v>
      </c>
      <c r="AF446" s="51">
        <f ca="1">IF(NOTA[ID_H]="","",INDEX(NOTA[TANGGAL],MATCH(,INDIRECT(ADDRESS(ROW(NOTA[TANGGAL]),COLUMN(NOTA[TANGGAL]))&amp;":"&amp;ADDRESS(ROW(),COLUMN(NOTA[TANGGAL]))),-1)))</f>
        <v>44942</v>
      </c>
      <c r="AG446" s="65" t="str">
        <f ca="1">IF(NOTA[[#This Row],[NAMA BARANG]]="","",INDEX(NOTA[SUPPLIER],MATCH(,INDIRECT(ADDRESS(ROW(NOTA[ID]),COLUMN(NOTA[ID]))&amp;":"&amp;ADDRESS(ROW(),COLUMN(NOTA[ID]))),-1)))</f>
        <v>ATALI MAKMUR</v>
      </c>
      <c r="AH446" s="65" t="str">
        <f ca="1">IF(NOTA[[#This Row],[ID_H]]="","",IF(NOTA[[#This Row],[FAKTUR]]="",INDIRECT(ADDRESS(ROW()-1,COLUMN())),NOTA[[#This Row],[FAKTUR]]))</f>
        <v>ARTO MORO</v>
      </c>
      <c r="AI446" s="38">
        <f ca="1">IF(NOTA[[#This Row],[ID]]="","",COUNTIF(NOTA[ID_H],NOTA[[#This Row],[ID_H]]))</f>
        <v>2</v>
      </c>
      <c r="AJ446" s="38">
        <f>IF(NOTA[[#This Row],[TGL.NOTA]]="",IF(NOTA[[#This Row],[SUPPLIER_H]]="","",AJ445),MONTH(NOTA[[#This Row],[TGL.NOTA]]))</f>
        <v>1</v>
      </c>
      <c r="AK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>stamppadno1jk12528000.1250.05</v>
      </c>
      <c r="AM446" s="193">
        <f>IF(NOTA[[#This Row],[CONCAT1]]="","",MATCH(NOTA[[#This Row],[CONCAT1]],[2]!db[NB NOTA_C],0)+1)</f>
        <v>1937</v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83</v>
      </c>
      <c r="E447" s="23"/>
      <c r="F447" s="26"/>
      <c r="G447" s="26"/>
      <c r="H447" s="31"/>
      <c r="I447" s="26"/>
      <c r="J447" s="51"/>
      <c r="K447" s="26"/>
      <c r="L447" s="26" t="s">
        <v>624</v>
      </c>
      <c r="M447" s="39">
        <v>1</v>
      </c>
      <c r="N447" s="26">
        <v>50</v>
      </c>
      <c r="O447" s="26" t="s">
        <v>131</v>
      </c>
      <c r="P447" s="49">
        <v>32000</v>
      </c>
      <c r="Q447" s="52"/>
      <c r="R447" s="39" t="s">
        <v>625</v>
      </c>
      <c r="S447" s="53">
        <v>0.125</v>
      </c>
      <c r="T447" s="53">
        <v>0.05</v>
      </c>
      <c r="U447" s="54"/>
      <c r="V447" s="37"/>
      <c r="W447" s="54">
        <f>IF(NOTA[[#This Row],[HARGA/ CTN]]="",NOTA[[#This Row],[JUMLAH_H]],NOTA[[#This Row],[HARGA/ CTN]]*IF(NOTA[[#This Row],[C]]="",0,NOTA[[#This Row],[C]]))</f>
        <v>1600000</v>
      </c>
      <c r="X447" s="54">
        <f>IF(NOTA[[#This Row],[JUMLAH]]="","",NOTA[[#This Row],[JUMLAH]]*NOTA[[#This Row],[DISC 1]])</f>
        <v>200000</v>
      </c>
      <c r="Y447" s="54">
        <f>IF(NOTA[[#This Row],[JUMLAH]]="","",(NOTA[[#This Row],[JUMLAH]]-NOTA[[#This Row],[DISC 1-]])*NOTA[[#This Row],[DISC 2]])</f>
        <v>70000</v>
      </c>
      <c r="Z447" s="54">
        <f>IF(NOTA[[#This Row],[JUMLAH]]="","",NOTA[[#This Row],[DISC 1-]]+NOTA[[#This Row],[DISC 2-]])</f>
        <v>270000</v>
      </c>
      <c r="AA447" s="54">
        <f>IF(NOTA[[#This Row],[JUMLAH]]="","",NOTA[[#This Row],[JUMLAH]]-NOTA[[#This Row],[DISC]])</f>
        <v>1330000</v>
      </c>
      <c r="AB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447" s="54">
        <f>IF(OR(NOTA[[#This Row],[QTY]]="",NOTA[[#This Row],[HARGA SATUAN]]="",),"",NOTA[[#This Row],[QTY]]*NOTA[[#This Row],[HARGA SATUAN]])</f>
        <v>1600000</v>
      </c>
      <c r="AF447" s="51">
        <f ca="1">IF(NOTA[ID_H]="","",INDEX(NOTA[TANGGAL],MATCH(,INDIRECT(ADDRESS(ROW(NOTA[TANGGAL]),COLUMN(NOTA[TANGGAL]))&amp;":"&amp;ADDRESS(ROW(),COLUMN(NOTA[TANGGAL]))),-1)))</f>
        <v>44942</v>
      </c>
      <c r="AG447" s="65" t="str">
        <f ca="1">IF(NOTA[[#This Row],[NAMA BARANG]]="","",INDEX(NOTA[SUPPLIER],MATCH(,INDIRECT(ADDRESS(ROW(NOTA[ID]),COLUMN(NOTA[ID]))&amp;":"&amp;ADDRESS(ROW(),COLUMN(NOTA[ID]))),-1)))</f>
        <v>ATALI MAKMUR</v>
      </c>
      <c r="AH447" s="65" t="str">
        <f ca="1">IF(NOTA[[#This Row],[ID_H]]="","",IF(NOTA[[#This Row],[FAKTUR]]="",INDIRECT(ADDRESS(ROW()-1,COLUMN())),NOTA[[#This Row],[FAKTUR]]))</f>
        <v>ARTO MORO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1</v>
      </c>
      <c r="AK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447" s="193">
        <f>IF(NOTA[[#This Row],[CONCAT1]]="","",MATCH(NOTA[[#This Row],[CONCAT1]],[2]!db[NB NOTA_C],0)+1)</f>
        <v>679</v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93" t="str">
        <f>IF(NOTA[[#This Row],[CONCAT1]]="","",MATCH(NOTA[[#This Row],[CONCAT1]],[2]!db[NB NOTA_C],0)+1)</f>
        <v/>
      </c>
    </row>
    <row r="449" spans="1:39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e">
        <f ca="1">IF(NOTA[[#This Row],[ID_P]]="","",MATCH(NOTA[[#This Row],[ID_P]],[1]!B_MSK[N_ID],0))</f>
        <v>#REF!</v>
      </c>
      <c r="D449" s="50">
        <f ca="1">IF(NOTA[[#This Row],[NAMA BARANG]]="","",INDEX(NOTA[ID],MATCH(,INDIRECT(ADDRESS(ROW(NOTA[ID]),COLUMN(NOTA[ID]))&amp;":"&amp;ADDRESS(ROW(),COLUMN(NOTA[ID]))),-1)))</f>
        <v>84</v>
      </c>
      <c r="E449" s="23"/>
      <c r="F449" s="26" t="s">
        <v>25</v>
      </c>
      <c r="G449" s="26" t="s">
        <v>24</v>
      </c>
      <c r="H449" s="31" t="s">
        <v>626</v>
      </c>
      <c r="I449" s="26"/>
      <c r="J449" s="51">
        <v>44938</v>
      </c>
      <c r="K449" s="26"/>
      <c r="L449" s="26" t="s">
        <v>627</v>
      </c>
      <c r="M449" s="39">
        <v>1</v>
      </c>
      <c r="N449" s="26">
        <v>500</v>
      </c>
      <c r="O449" s="26" t="s">
        <v>131</v>
      </c>
      <c r="P449" s="49">
        <v>1625</v>
      </c>
      <c r="Q449" s="52"/>
      <c r="R449" s="39" t="s">
        <v>481</v>
      </c>
      <c r="S449" s="53">
        <v>0.125</v>
      </c>
      <c r="T449" s="53">
        <v>0.05</v>
      </c>
      <c r="U449" s="54"/>
      <c r="V449" s="37"/>
      <c r="W449" s="54">
        <f>IF(NOTA[[#This Row],[HARGA/ CTN]]="",NOTA[[#This Row],[JUMLAH_H]],NOTA[[#This Row],[HARGA/ CTN]]*IF(NOTA[[#This Row],[C]]="",0,NOTA[[#This Row],[C]]))</f>
        <v>812500</v>
      </c>
      <c r="X449" s="54">
        <f>IF(NOTA[[#This Row],[JUMLAH]]="","",NOTA[[#This Row],[JUMLAH]]*NOTA[[#This Row],[DISC 1]])</f>
        <v>101562.5</v>
      </c>
      <c r="Y449" s="54">
        <f>IF(NOTA[[#This Row],[JUMLAH]]="","",(NOTA[[#This Row],[JUMLAH]]-NOTA[[#This Row],[DISC 1-]])*NOTA[[#This Row],[DISC 2]])</f>
        <v>35546.875</v>
      </c>
      <c r="Z449" s="54">
        <f>IF(NOTA[[#This Row],[JUMLAH]]="","",NOTA[[#This Row],[DISC 1-]]+NOTA[[#This Row],[DISC 2-]])</f>
        <v>137109.375</v>
      </c>
      <c r="AA449" s="54">
        <f>IF(NOTA[[#This Row],[JUMLAH]]="","",NOTA[[#This Row],[JUMLAH]]-NOTA[[#This Row],[DISC]])</f>
        <v>675390.625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49" s="54">
        <f>IF(OR(NOTA[[#This Row],[QTY]]="",NOTA[[#This Row],[HARGA SATUAN]]="",),"",NOTA[[#This Row],[QTY]]*NOTA[[#This Row],[HARGA SATUAN]])</f>
        <v>812500</v>
      </c>
      <c r="AF449" s="51">
        <f ca="1">IF(NOTA[ID_H]="","",INDEX(NOTA[TANGGAL],MATCH(,INDIRECT(ADDRESS(ROW(NOTA[TANGGAL]),COLUMN(NOTA[TANGGAL]))&amp;":"&amp;ADDRESS(ROW(),COLUMN(NOTA[TANGGAL]))),-1)))</f>
        <v>44942</v>
      </c>
      <c r="AG449" s="65" t="str">
        <f ca="1">IF(NOTA[[#This Row],[NAMA BARANG]]="","",INDEX(NOTA[SUPPLIER],MATCH(,INDIRECT(ADDRESS(ROW(NOTA[ID]),COLUMN(NOTA[ID]))&amp;":"&amp;ADDRESS(ROW(),COLUMN(NOTA[ID]))),-1)))</f>
        <v>ATALI MAKMUR</v>
      </c>
      <c r="AH449" s="65" t="str">
        <f ca="1">IF(NOTA[[#This Row],[ID_H]]="","",IF(NOTA[[#This Row],[FAKTUR]]="",INDIRECT(ADDRESS(ROW()-1,COLUMN())),NOTA[[#This Row],[FAKTUR]]))</f>
        <v>ARTO MORO</v>
      </c>
      <c r="AI449" s="38">
        <f ca="1">IF(NOTA[[#This Row],[ID]]="","",COUNTIF(NOTA[ID_H],NOTA[[#This Row],[ID_H]]))</f>
        <v>10</v>
      </c>
      <c r="AJ449" s="38">
        <f>IF(NOTA[[#This Row],[TGL.NOTA]]="",IF(NOTA[[#This Row],[SUPPLIER_H]]="","",AJ448),MONTH(NOTA[[#This Row],[TGL.NOTA]]))</f>
        <v>1</v>
      </c>
      <c r="AK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449" s="193">
        <f>IF(NOTA[[#This Row],[CONCAT1]]="","",MATCH(NOTA[[#This Row],[CONCAT1]],[2]!db[NB NOTA_C],0)+1)</f>
        <v>2040</v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84</v>
      </c>
      <c r="E450" s="23"/>
      <c r="F450" s="26"/>
      <c r="G450" s="26"/>
      <c r="H450" s="31"/>
      <c r="I450" s="26"/>
      <c r="J450" s="51"/>
      <c r="K450" s="26"/>
      <c r="L450" s="26" t="s">
        <v>269</v>
      </c>
      <c r="M450" s="39">
        <v>2</v>
      </c>
      <c r="N450" s="26">
        <v>48</v>
      </c>
      <c r="O450" s="26" t="s">
        <v>104</v>
      </c>
      <c r="P450" s="49">
        <v>19000</v>
      </c>
      <c r="Q450" s="52"/>
      <c r="R450" s="39" t="s">
        <v>130</v>
      </c>
      <c r="S450" s="53">
        <v>0.125</v>
      </c>
      <c r="T450" s="53">
        <v>0.05</v>
      </c>
      <c r="U450" s="54"/>
      <c r="V450" s="37"/>
      <c r="W450" s="54">
        <f>IF(NOTA[[#This Row],[HARGA/ CTN]]="",NOTA[[#This Row],[JUMLAH_H]],NOTA[[#This Row],[HARGA/ CTN]]*IF(NOTA[[#This Row],[C]]="",0,NOTA[[#This Row],[C]]))</f>
        <v>912000</v>
      </c>
      <c r="X450" s="54">
        <f>IF(NOTA[[#This Row],[JUMLAH]]="","",NOTA[[#This Row],[JUMLAH]]*NOTA[[#This Row],[DISC 1]])</f>
        <v>114000</v>
      </c>
      <c r="Y450" s="54">
        <f>IF(NOTA[[#This Row],[JUMLAH]]="","",(NOTA[[#This Row],[JUMLAH]]-NOTA[[#This Row],[DISC 1-]])*NOTA[[#This Row],[DISC 2]])</f>
        <v>39900</v>
      </c>
      <c r="Z450" s="54">
        <f>IF(NOTA[[#This Row],[JUMLAH]]="","",NOTA[[#This Row],[DISC 1-]]+NOTA[[#This Row],[DISC 2-]])</f>
        <v>153900</v>
      </c>
      <c r="AA450" s="54">
        <f>IF(NOTA[[#This Row],[JUMLAH]]="","",NOTA[[#This Row],[JUMLAH]]-NOTA[[#This Row],[DISC]])</f>
        <v>758100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450" s="54">
        <f>IF(OR(NOTA[[#This Row],[QTY]]="",NOTA[[#This Row],[HARGA SATUAN]]="",),"",NOTA[[#This Row],[QTY]]*NOTA[[#This Row],[HARGA SATUAN]])</f>
        <v>912000</v>
      </c>
      <c r="AF450" s="51">
        <f ca="1">IF(NOTA[ID_H]="","",INDEX(NOTA[TANGGAL],MATCH(,INDIRECT(ADDRESS(ROW(NOTA[TANGGAL]),COLUMN(NOTA[TANGGAL]))&amp;":"&amp;ADDRESS(ROW(),COLUMN(NOTA[TANGGAL]))),-1)))</f>
        <v>44942</v>
      </c>
      <c r="AG450" s="65" t="str">
        <f ca="1">IF(NOTA[[#This Row],[NAMA BARANG]]="","",INDEX(NOTA[SUPPLIER],MATCH(,INDIRECT(ADDRESS(ROW(NOTA[ID]),COLUMN(NOTA[ID]))&amp;":"&amp;ADDRESS(ROW(),COLUMN(NOTA[ID]))),-1)))</f>
        <v>ATALI MAKMUR</v>
      </c>
      <c r="AH450" s="65" t="str">
        <f ca="1">IF(NOTA[[#This Row],[ID_H]]="","",IF(NOTA[[#This Row],[FAKTUR]]="",INDIRECT(ADDRESS(ROW()-1,COLUMN())),NOTA[[#This Row],[FAKTUR]]))</f>
        <v>ARTO MORO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1</v>
      </c>
      <c r="AK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450" s="193">
        <f>IF(NOTA[[#This Row],[CONCAT1]]="","",MATCH(NOTA[[#This Row],[CONCAT1]],[2]!db[NB NOTA_C],0)+1)</f>
        <v>1981</v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84</v>
      </c>
      <c r="E451" s="148"/>
      <c r="F451" s="26"/>
      <c r="G451" s="26"/>
      <c r="H451" s="23"/>
      <c r="I451" s="26"/>
      <c r="J451" s="51"/>
      <c r="K451" s="26"/>
      <c r="L451" s="26" t="s">
        <v>280</v>
      </c>
      <c r="M451" s="39">
        <v>3</v>
      </c>
      <c r="N451" s="26">
        <v>150</v>
      </c>
      <c r="O451" s="26" t="s">
        <v>131</v>
      </c>
      <c r="P451" s="49">
        <v>34100</v>
      </c>
      <c r="Q451" s="52"/>
      <c r="R451" s="39" t="s">
        <v>281</v>
      </c>
      <c r="S451" s="53">
        <v>0.125</v>
      </c>
      <c r="T451" s="53">
        <v>0.05</v>
      </c>
      <c r="U451" s="54"/>
      <c r="V451" s="37"/>
      <c r="W451" s="54">
        <f>IF(NOTA[[#This Row],[HARGA/ CTN]]="",NOTA[[#This Row],[JUMLAH_H]],NOTA[[#This Row],[HARGA/ CTN]]*IF(NOTA[[#This Row],[C]]="",0,NOTA[[#This Row],[C]]))</f>
        <v>5115000</v>
      </c>
      <c r="X451" s="54">
        <f>IF(NOTA[[#This Row],[JUMLAH]]="","",NOTA[[#This Row],[JUMLAH]]*NOTA[[#This Row],[DISC 1]])</f>
        <v>639375</v>
      </c>
      <c r="Y451" s="54">
        <f>IF(NOTA[[#This Row],[JUMLAH]]="","",(NOTA[[#This Row],[JUMLAH]]-NOTA[[#This Row],[DISC 1-]])*NOTA[[#This Row],[DISC 2]])</f>
        <v>223781.25</v>
      </c>
      <c r="Z451" s="54">
        <f>IF(NOTA[[#This Row],[JUMLAH]]="","",NOTA[[#This Row],[DISC 1-]]+NOTA[[#This Row],[DISC 2-]])</f>
        <v>863156.25</v>
      </c>
      <c r="AA451" s="54">
        <f>IF(NOTA[[#This Row],[JUMLAH]]="","",NOTA[[#This Row],[JUMLAH]]-NOTA[[#This Row],[DISC]])</f>
        <v>4251843.75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51" s="54">
        <f>IF(OR(NOTA[[#This Row],[QTY]]="",NOTA[[#This Row],[HARGA SATUAN]]="",),"",NOTA[[#This Row],[QTY]]*NOTA[[#This Row],[HARGA SATUAN]])</f>
        <v>5115000</v>
      </c>
      <c r="AF451" s="51">
        <f ca="1">IF(NOTA[ID_H]="","",INDEX(NOTA[TANGGAL],MATCH(,INDIRECT(ADDRESS(ROW(NOTA[TANGGAL]),COLUMN(NOTA[TANGGAL]))&amp;":"&amp;ADDRESS(ROW(),COLUMN(NOTA[TANGGAL]))),-1)))</f>
        <v>44942</v>
      </c>
      <c r="AG451" s="65" t="str">
        <f ca="1">IF(NOTA[[#This Row],[NAMA BARANG]]="","",INDEX(NOTA[SUPPLIER],MATCH(,INDIRECT(ADDRESS(ROW(NOTA[ID]),COLUMN(NOTA[ID]))&amp;":"&amp;ADDRESS(ROW(),COLUMN(NOTA[ID]))),-1)))</f>
        <v>ATALI MAKMUR</v>
      </c>
      <c r="AH451" s="65" t="str">
        <f ca="1">IF(NOTA[[#This Row],[ID_H]]="","",IF(NOTA[[#This Row],[FAKTUR]]="",INDIRECT(ADDRESS(ROW()-1,COLUMN())),NOTA[[#This Row],[FAKTUR]]))</f>
        <v>ARTO MORO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1</v>
      </c>
      <c r="AK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451" s="193">
        <f>IF(NOTA[[#This Row],[CONCAT1]]="","",MATCH(NOTA[[#This Row],[CONCAT1]],[2]!db[NB NOTA_C],0)+1)</f>
        <v>671</v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84</v>
      </c>
      <c r="E452" s="23"/>
      <c r="F452" s="26"/>
      <c r="G452" s="26"/>
      <c r="H452" s="31"/>
      <c r="I452" s="26"/>
      <c r="J452" s="51"/>
      <c r="K452" s="26"/>
      <c r="L452" s="26" t="s">
        <v>284</v>
      </c>
      <c r="M452" s="39">
        <v>2</v>
      </c>
      <c r="N452" s="26">
        <v>100</v>
      </c>
      <c r="O452" s="26" t="s">
        <v>131</v>
      </c>
      <c r="P452" s="49">
        <v>34100</v>
      </c>
      <c r="Q452" s="52"/>
      <c r="R452" s="39" t="s">
        <v>281</v>
      </c>
      <c r="S452" s="53">
        <v>0.125</v>
      </c>
      <c r="T452" s="53">
        <v>0.05</v>
      </c>
      <c r="U452" s="54"/>
      <c r="V452" s="37"/>
      <c r="W452" s="54">
        <f>IF(NOTA[[#This Row],[HARGA/ CTN]]="",NOTA[[#This Row],[JUMLAH_H]],NOTA[[#This Row],[HARGA/ CTN]]*IF(NOTA[[#This Row],[C]]="",0,NOTA[[#This Row],[C]]))</f>
        <v>3410000</v>
      </c>
      <c r="X452" s="54">
        <f>IF(NOTA[[#This Row],[JUMLAH]]="","",NOTA[[#This Row],[JUMLAH]]*NOTA[[#This Row],[DISC 1]])</f>
        <v>426250</v>
      </c>
      <c r="Y452" s="54">
        <f>IF(NOTA[[#This Row],[JUMLAH]]="","",(NOTA[[#This Row],[JUMLAH]]-NOTA[[#This Row],[DISC 1-]])*NOTA[[#This Row],[DISC 2]])</f>
        <v>149187.5</v>
      </c>
      <c r="Z452" s="54">
        <f>IF(NOTA[[#This Row],[JUMLAH]]="","",NOTA[[#This Row],[DISC 1-]]+NOTA[[#This Row],[DISC 2-]])</f>
        <v>575437.5</v>
      </c>
      <c r="AA452" s="54">
        <f>IF(NOTA[[#This Row],[JUMLAH]]="","",NOTA[[#This Row],[JUMLAH]]-NOTA[[#This Row],[DISC]])</f>
        <v>2834562.5</v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52" s="54">
        <f>IF(OR(NOTA[[#This Row],[QTY]]="",NOTA[[#This Row],[HARGA SATUAN]]="",),"",NOTA[[#This Row],[QTY]]*NOTA[[#This Row],[HARGA SATUAN]])</f>
        <v>3410000</v>
      </c>
      <c r="AF452" s="51">
        <f ca="1">IF(NOTA[ID_H]="","",INDEX(NOTA[TANGGAL],MATCH(,INDIRECT(ADDRESS(ROW(NOTA[TANGGAL]),COLUMN(NOTA[TANGGAL]))&amp;":"&amp;ADDRESS(ROW(),COLUMN(NOTA[TANGGAL]))),-1)))</f>
        <v>44942</v>
      </c>
      <c r="AG452" s="65" t="str">
        <f ca="1">IF(NOTA[[#This Row],[NAMA BARANG]]="","",INDEX(NOTA[SUPPLIER],MATCH(,INDIRECT(ADDRESS(ROW(NOTA[ID]),COLUMN(NOTA[ID]))&amp;":"&amp;ADDRESS(ROW(),COLUMN(NOTA[ID]))),-1)))</f>
        <v>ATALI MAKMUR</v>
      </c>
      <c r="AH452" s="65" t="str">
        <f ca="1">IF(NOTA[[#This Row],[ID_H]]="","",IF(NOTA[[#This Row],[FAKTUR]]="",INDIRECT(ADDRESS(ROW()-1,COLUMN())),NOTA[[#This Row],[FAKTUR]]))</f>
        <v>ARTO MORO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Row],[SUPPLIER_H]]="","",AJ451),MONTH(NOTA[[#This Row],[TGL.NOTA]]))</f>
        <v>1</v>
      </c>
      <c r="AK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452" s="193">
        <f>IF(NOTA[[#This Row],[CONCAT1]]="","",MATCH(NOTA[[#This Row],[CONCAT1]],[2]!db[NB NOTA_C],0)+1)</f>
        <v>680</v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>
        <f ca="1">IF(NOTA[[#This Row],[NAMA BARANG]]="","",INDEX(NOTA[ID],MATCH(,INDIRECT(ADDRESS(ROW(NOTA[ID]),COLUMN(NOTA[ID]))&amp;":"&amp;ADDRESS(ROW(),COLUMN(NOTA[ID]))),-1)))</f>
        <v>84</v>
      </c>
      <c r="E453" s="80"/>
      <c r="F453" s="26"/>
      <c r="G453" s="26"/>
      <c r="H453" s="31"/>
      <c r="I453" s="26"/>
      <c r="J453" s="81"/>
      <c r="K453" s="26"/>
      <c r="L453" s="26" t="s">
        <v>283</v>
      </c>
      <c r="M453" s="39">
        <v>2</v>
      </c>
      <c r="N453" s="26">
        <v>100</v>
      </c>
      <c r="O453" s="26" t="s">
        <v>131</v>
      </c>
      <c r="P453" s="49">
        <v>28300</v>
      </c>
      <c r="Q453" s="85"/>
      <c r="R453" s="39" t="s">
        <v>279</v>
      </c>
      <c r="S453" s="86">
        <v>0.125</v>
      </c>
      <c r="T453" s="86">
        <v>0.05</v>
      </c>
      <c r="U453" s="87"/>
      <c r="V453" s="37"/>
      <c r="W453" s="54">
        <f>IF(NOTA[[#This Row],[HARGA/ CTN]]="",NOTA[[#This Row],[JUMLAH_H]],NOTA[[#This Row],[HARGA/ CTN]]*IF(NOTA[[#This Row],[C]]="",0,NOTA[[#This Row],[C]]))</f>
        <v>2830000</v>
      </c>
      <c r="X453" s="54">
        <f>IF(NOTA[[#This Row],[JUMLAH]]="","",NOTA[[#This Row],[JUMLAH]]*NOTA[[#This Row],[DISC 1]])</f>
        <v>353750</v>
      </c>
      <c r="Y453" s="54">
        <f>IF(NOTA[[#This Row],[JUMLAH]]="","",(NOTA[[#This Row],[JUMLAH]]-NOTA[[#This Row],[DISC 1-]])*NOTA[[#This Row],[DISC 2]])</f>
        <v>123812.5</v>
      </c>
      <c r="Z453" s="54">
        <f>IF(NOTA[[#This Row],[JUMLAH]]="","",NOTA[[#This Row],[DISC 1-]]+NOTA[[#This Row],[DISC 2-]])</f>
        <v>477562.5</v>
      </c>
      <c r="AA453" s="54">
        <f>IF(NOTA[[#This Row],[JUMLAH]]="","",NOTA[[#This Row],[JUMLAH]]-NOTA[[#This Row],[DISC]])</f>
        <v>2352437.5</v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53" s="54">
        <f>IF(OR(NOTA[[#This Row],[QTY]]="",NOTA[[#This Row],[HARGA SATUAN]]="",),"",NOTA[[#This Row],[QTY]]*NOTA[[#This Row],[HARGA SATUAN]])</f>
        <v>2830000</v>
      </c>
      <c r="AF453" s="51">
        <f ca="1">IF(NOTA[ID_H]="","",INDEX(NOTA[TANGGAL],MATCH(,INDIRECT(ADDRESS(ROW(NOTA[TANGGAL]),COLUMN(NOTA[TANGGAL]))&amp;":"&amp;ADDRESS(ROW(),COLUMN(NOTA[TANGGAL]))),-1)))</f>
        <v>44942</v>
      </c>
      <c r="AG453" s="65" t="str">
        <f ca="1">IF(NOTA[[#This Row],[NAMA BARANG]]="","",INDEX(NOTA[SUPPLIER],MATCH(,INDIRECT(ADDRESS(ROW(NOTA[ID]),COLUMN(NOTA[ID]))&amp;":"&amp;ADDRESS(ROW(),COLUMN(NOTA[ID]))),-1)))</f>
        <v>ATALI MAKMUR</v>
      </c>
      <c r="AH453" s="65" t="str">
        <f ca="1">IF(NOTA[[#This Row],[ID_H]]="","",IF(NOTA[[#This Row],[FAKTUR]]="",INDIRECT(ADDRESS(ROW()-1,COLUMN())),NOTA[[#This Row],[FAKTUR]]))</f>
        <v>ARTO MORO</v>
      </c>
      <c r="AI453" s="38" t="str">
        <f ca="1">IF(NOTA[[#This Row],[ID]]="","",COUNTIF(NOTA[ID_H],NOTA[[#This Row],[ID_H]]))</f>
        <v/>
      </c>
      <c r="AJ453" s="38">
        <f ca="1">IF(NOTA[[#This Row],[TGL.NOTA]]="",IF(NOTA[[#This Row],[SUPPLIER_H]]="","",AJ452),MONTH(NOTA[[#This Row],[TGL.NOTA]]))</f>
        <v>1</v>
      </c>
      <c r="AK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453" s="193">
        <f>IF(NOTA[[#This Row],[CONCAT1]]="","",MATCH(NOTA[[#This Row],[CONCAT1]],[2]!db[NB NOTA_C],0)+1)</f>
        <v>672</v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>
        <f ca="1">IF(NOTA[[#This Row],[NAMA BARANG]]="","",INDEX(NOTA[ID],MATCH(,INDIRECT(ADDRESS(ROW(NOTA[ID]),COLUMN(NOTA[ID]))&amp;":"&amp;ADDRESS(ROW(),COLUMN(NOTA[ID]))),-1)))</f>
        <v>84</v>
      </c>
      <c r="E454" s="80"/>
      <c r="F454" s="26"/>
      <c r="G454" s="26"/>
      <c r="H454" s="31"/>
      <c r="I454" s="82"/>
      <c r="J454" s="81"/>
      <c r="K454" s="26"/>
      <c r="L454" s="26" t="s">
        <v>628</v>
      </c>
      <c r="M454" s="39">
        <v>1</v>
      </c>
      <c r="N454" s="26">
        <v>72</v>
      </c>
      <c r="O454" s="26" t="s">
        <v>128</v>
      </c>
      <c r="P454" s="49">
        <v>21200</v>
      </c>
      <c r="Q454" s="85"/>
      <c r="R454" s="39" t="s">
        <v>629</v>
      </c>
      <c r="S454" s="86">
        <v>0.125</v>
      </c>
      <c r="T454" s="86">
        <v>0.05</v>
      </c>
      <c r="U454" s="87"/>
      <c r="V454" s="37"/>
      <c r="W454" s="54">
        <f>IF(NOTA[[#This Row],[HARGA/ CTN]]="",NOTA[[#This Row],[JUMLAH_H]],NOTA[[#This Row],[HARGA/ CTN]]*IF(NOTA[[#This Row],[C]]="",0,NOTA[[#This Row],[C]]))</f>
        <v>1526400</v>
      </c>
      <c r="X454" s="54">
        <f>IF(NOTA[[#This Row],[JUMLAH]]="","",NOTA[[#This Row],[JUMLAH]]*NOTA[[#This Row],[DISC 1]])</f>
        <v>190800</v>
      </c>
      <c r="Y454" s="54">
        <f>IF(NOTA[[#This Row],[JUMLAH]]="","",(NOTA[[#This Row],[JUMLAH]]-NOTA[[#This Row],[DISC 1-]])*NOTA[[#This Row],[DISC 2]])</f>
        <v>66780</v>
      </c>
      <c r="Z454" s="54">
        <f>IF(NOTA[[#This Row],[JUMLAH]]="","",NOTA[[#This Row],[DISC 1-]]+NOTA[[#This Row],[DISC 2-]])</f>
        <v>257580</v>
      </c>
      <c r="AA454" s="54">
        <f>IF(NOTA[[#This Row],[JUMLAH]]="","",NOTA[[#This Row],[JUMLAH]]-NOTA[[#This Row],[DISC]])</f>
        <v>1268820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54" s="54">
        <f>IF(OR(NOTA[[#This Row],[QTY]]="",NOTA[[#This Row],[HARGA SATUAN]]="",),"",NOTA[[#This Row],[QTY]]*NOTA[[#This Row],[HARGA SATUAN]])</f>
        <v>1526400</v>
      </c>
      <c r="AF454" s="51">
        <f ca="1">IF(NOTA[ID_H]="","",INDEX(NOTA[TANGGAL],MATCH(,INDIRECT(ADDRESS(ROW(NOTA[TANGGAL]),COLUMN(NOTA[TANGGAL]))&amp;":"&amp;ADDRESS(ROW(),COLUMN(NOTA[TANGGAL]))),-1)))</f>
        <v>44942</v>
      </c>
      <c r="AG454" s="65" t="str">
        <f ca="1">IF(NOTA[[#This Row],[NAMA BARANG]]="","",INDEX(NOTA[SUPPLIER],MATCH(,INDIRECT(ADDRESS(ROW(NOTA[ID]),COLUMN(NOTA[ID]))&amp;":"&amp;ADDRESS(ROW(),COLUMN(NOTA[ID]))),-1)))</f>
        <v>ATALI MAKMUR</v>
      </c>
      <c r="AH454" s="65" t="str">
        <f ca="1">IF(NOTA[[#This Row],[ID_H]]="","",IF(NOTA[[#This Row],[FAKTUR]]="",INDIRECT(ADDRESS(ROW()-1,COLUMN())),NOTA[[#This Row],[FAKTUR]]))</f>
        <v>ARTO MORO</v>
      </c>
      <c r="AI454" s="38" t="str">
        <f ca="1">IF(NOTA[[#This Row],[ID]]="","",COUNTIF(NOTA[ID_H],NOTA[[#This Row],[ID_H]]))</f>
        <v/>
      </c>
      <c r="AJ454" s="38">
        <f ca="1">IF(NOTA[[#This Row],[TGL.NOTA]]="",IF(NOTA[[#This Row],[SUPPLIER_H]]="","",AJ453),MONTH(NOTA[[#This Row],[TGL.NOTA]]))</f>
        <v>1</v>
      </c>
      <c r="AK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454" s="193">
        <f>IF(NOTA[[#This Row],[CONCAT1]]="","",MATCH(NOTA[[#This Row],[CONCAT1]],[2]!db[NB NOTA_C],0)+1)</f>
        <v>489</v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84</v>
      </c>
      <c r="E455" s="80"/>
      <c r="F455" s="26"/>
      <c r="G455" s="26"/>
      <c r="H455" s="31"/>
      <c r="I455" s="82"/>
      <c r="J455" s="81"/>
      <c r="K455" s="26"/>
      <c r="L455" s="26" t="s">
        <v>630</v>
      </c>
      <c r="M455" s="39">
        <v>1</v>
      </c>
      <c r="N455" s="26">
        <v>144</v>
      </c>
      <c r="O455" s="26" t="s">
        <v>128</v>
      </c>
      <c r="P455" s="49">
        <v>13800</v>
      </c>
      <c r="Q455" s="85"/>
      <c r="R455" s="39" t="s">
        <v>264</v>
      </c>
      <c r="S455" s="86">
        <v>0.125</v>
      </c>
      <c r="T455" s="86">
        <v>0.05</v>
      </c>
      <c r="U455" s="87"/>
      <c r="V455" s="37"/>
      <c r="W455" s="54">
        <f>IF(NOTA[[#This Row],[HARGA/ CTN]]="",NOTA[[#This Row],[JUMLAH_H]],NOTA[[#This Row],[HARGA/ CTN]]*IF(NOTA[[#This Row],[C]]="",0,NOTA[[#This Row],[C]]))</f>
        <v>1987200</v>
      </c>
      <c r="X455" s="54">
        <f>IF(NOTA[[#This Row],[JUMLAH]]="","",NOTA[[#This Row],[JUMLAH]]*NOTA[[#This Row],[DISC 1]])</f>
        <v>248400</v>
      </c>
      <c r="Y455" s="54">
        <f>IF(NOTA[[#This Row],[JUMLAH]]="","",(NOTA[[#This Row],[JUMLAH]]-NOTA[[#This Row],[DISC 1-]])*NOTA[[#This Row],[DISC 2]])</f>
        <v>86940</v>
      </c>
      <c r="Z455" s="54">
        <f>IF(NOTA[[#This Row],[JUMLAH]]="","",NOTA[[#This Row],[DISC 1-]]+NOTA[[#This Row],[DISC 2-]])</f>
        <v>335340</v>
      </c>
      <c r="AA455" s="54">
        <f>IF(NOTA[[#This Row],[JUMLAH]]="","",NOTA[[#This Row],[JUMLAH]]-NOTA[[#This Row],[DISC]])</f>
        <v>1651860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55" s="54">
        <f>IF(OR(NOTA[[#This Row],[QTY]]="",NOTA[[#This Row],[HARGA SATUAN]]="",),"",NOTA[[#This Row],[QTY]]*NOTA[[#This Row],[HARGA SATUAN]])</f>
        <v>1987200</v>
      </c>
      <c r="AF455" s="51">
        <f ca="1">IF(NOTA[ID_H]="","",INDEX(NOTA[TANGGAL],MATCH(,INDIRECT(ADDRESS(ROW(NOTA[TANGGAL]),COLUMN(NOTA[TANGGAL]))&amp;":"&amp;ADDRESS(ROW(),COLUMN(NOTA[TANGGAL]))),-1)))</f>
        <v>44942</v>
      </c>
      <c r="AG455" s="65" t="str">
        <f ca="1">IF(NOTA[[#This Row],[NAMA BARANG]]="","",INDEX(NOTA[SUPPLIER],MATCH(,INDIRECT(ADDRESS(ROW(NOTA[ID]),COLUMN(NOTA[ID]))&amp;":"&amp;ADDRESS(ROW(),COLUMN(NOTA[ID]))),-1)))</f>
        <v>ATALI MAKMUR</v>
      </c>
      <c r="AH455" s="65" t="str">
        <f ca="1">IF(NOTA[[#This Row],[ID_H]]="","",IF(NOTA[[#This Row],[FAKTUR]]="",INDIRECT(ADDRESS(ROW()-1,COLUMN())),NOTA[[#This Row],[FAKTUR]]))</f>
        <v>ARTO MORO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1</v>
      </c>
      <c r="AK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>colorpencilcps24jk19872000.1250.05</v>
      </c>
      <c r="AM455" s="193">
        <f>IF(NOTA[[#This Row],[CONCAT1]]="","",MATCH(NOTA[[#This Row],[CONCAT1]],[2]!db[NB NOTA_C],0)+1)</f>
        <v>493</v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84</v>
      </c>
      <c r="E456" s="80"/>
      <c r="F456" s="26"/>
      <c r="G456" s="26"/>
      <c r="H456" s="31"/>
      <c r="I456" s="26"/>
      <c r="J456" s="81"/>
      <c r="K456" s="26"/>
      <c r="L456" s="26" t="s">
        <v>631</v>
      </c>
      <c r="M456" s="39">
        <v>1</v>
      </c>
      <c r="N456" s="26">
        <v>120</v>
      </c>
      <c r="O456" s="26" t="s">
        <v>104</v>
      </c>
      <c r="P456" s="49">
        <v>12950</v>
      </c>
      <c r="Q456" s="85"/>
      <c r="R456" s="39" t="s">
        <v>632</v>
      </c>
      <c r="S456" s="86">
        <v>0.125</v>
      </c>
      <c r="T456" s="86">
        <v>0.05</v>
      </c>
      <c r="U456" s="87"/>
      <c r="V456" s="37"/>
      <c r="W456" s="54">
        <f>IF(NOTA[[#This Row],[HARGA/ CTN]]="",NOTA[[#This Row],[JUMLAH_H]],NOTA[[#This Row],[HARGA/ CTN]]*IF(NOTA[[#This Row],[C]]="",0,NOTA[[#This Row],[C]]))</f>
        <v>1554000</v>
      </c>
      <c r="X456" s="54">
        <f>IF(NOTA[[#This Row],[JUMLAH]]="","",NOTA[[#This Row],[JUMLAH]]*NOTA[[#This Row],[DISC 1]])</f>
        <v>194250</v>
      </c>
      <c r="Y456" s="54">
        <f>IF(NOTA[[#This Row],[JUMLAH]]="","",(NOTA[[#This Row],[JUMLAH]]-NOTA[[#This Row],[DISC 1-]])*NOTA[[#This Row],[DISC 2]])</f>
        <v>67987.5</v>
      </c>
      <c r="Z456" s="54">
        <f>IF(NOTA[[#This Row],[JUMLAH]]="","",NOTA[[#This Row],[DISC 1-]]+NOTA[[#This Row],[DISC 2-]])</f>
        <v>262237.5</v>
      </c>
      <c r="AA456" s="54">
        <f>IF(NOTA[[#This Row],[JUMLAH]]="","",NOTA[[#This Row],[JUMLAH]]-NOTA[[#This Row],[DISC]])</f>
        <v>1291762.5</v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456" s="54">
        <f>IF(OR(NOTA[[#This Row],[QTY]]="",NOTA[[#This Row],[HARGA SATUAN]]="",),"",NOTA[[#This Row],[QTY]]*NOTA[[#This Row],[HARGA SATUAN]])</f>
        <v>1554000</v>
      </c>
      <c r="AF456" s="51">
        <f ca="1">IF(NOTA[ID_H]="","",INDEX(NOTA[TANGGAL],MATCH(,INDIRECT(ADDRESS(ROW(NOTA[TANGGAL]),COLUMN(NOTA[TANGGAL]))&amp;":"&amp;ADDRESS(ROW(),COLUMN(NOTA[TANGGAL]))),-1)))</f>
        <v>44942</v>
      </c>
      <c r="AG456" s="65" t="str">
        <f ca="1">IF(NOTA[[#This Row],[NAMA BARANG]]="","",INDEX(NOTA[SUPPLIER],MATCH(,INDIRECT(ADDRESS(ROW(NOTA[ID]),COLUMN(NOTA[ID]))&amp;":"&amp;ADDRESS(ROW(),COLUMN(NOTA[ID]))),-1)))</f>
        <v>ATALI MAKMUR</v>
      </c>
      <c r="AH456" s="65" t="str">
        <f ca="1">IF(NOTA[[#This Row],[ID_H]]="","",IF(NOTA[[#This Row],[FAKTUR]]="",INDIRECT(ADDRESS(ROW()-1,COLUMN())),NOTA[[#This Row],[FAKTUR]]))</f>
        <v>ARTO MORO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1</v>
      </c>
      <c r="AK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>punch30xljk15540000.1250.05</v>
      </c>
      <c r="AM456" s="193">
        <f>IF(NOTA[[#This Row],[CONCAT1]]="","",MATCH(NOTA[[#This Row],[CONCAT1]],[2]!db[NB NOTA_C],0)+1)</f>
        <v>1844</v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>
        <f ca="1">IF(NOTA[[#This Row],[NAMA BARANG]]="","",INDEX(NOTA[ID],MATCH(,INDIRECT(ADDRESS(ROW(NOTA[ID]),COLUMN(NOTA[ID]))&amp;":"&amp;ADDRESS(ROW(),COLUMN(NOTA[ID]))),-1)))</f>
        <v>84</v>
      </c>
      <c r="E457" s="80"/>
      <c r="F457" s="26"/>
      <c r="G457" s="26"/>
      <c r="H457" s="31"/>
      <c r="I457" s="26"/>
      <c r="J457" s="81"/>
      <c r="K457" s="26"/>
      <c r="L457" s="26" t="s">
        <v>633</v>
      </c>
      <c r="M457" s="39">
        <v>1</v>
      </c>
      <c r="N457" s="26">
        <v>144</v>
      </c>
      <c r="O457" s="26" t="s">
        <v>116</v>
      </c>
      <c r="P457" s="49">
        <v>28200</v>
      </c>
      <c r="Q457" s="85"/>
      <c r="R457" s="39" t="s">
        <v>129</v>
      </c>
      <c r="S457" s="86">
        <v>0.125</v>
      </c>
      <c r="T457" s="86">
        <v>0.05</v>
      </c>
      <c r="U457" s="87"/>
      <c r="V457" s="37"/>
      <c r="W457" s="54">
        <f>IF(NOTA[[#This Row],[HARGA/ CTN]]="",NOTA[[#This Row],[JUMLAH_H]],NOTA[[#This Row],[HARGA/ CTN]]*IF(NOTA[[#This Row],[C]]="",0,NOTA[[#This Row],[C]]))</f>
        <v>4060800</v>
      </c>
      <c r="X457" s="54">
        <f>IF(NOTA[[#This Row],[JUMLAH]]="","",NOTA[[#This Row],[JUMLAH]]*NOTA[[#This Row],[DISC 1]])</f>
        <v>507600</v>
      </c>
      <c r="Y457" s="54">
        <f>IF(NOTA[[#This Row],[JUMLAH]]="","",(NOTA[[#This Row],[JUMLAH]]-NOTA[[#This Row],[DISC 1-]])*NOTA[[#This Row],[DISC 2]])</f>
        <v>177660</v>
      </c>
      <c r="Z457" s="54">
        <f>IF(NOTA[[#This Row],[JUMLAH]]="","",NOTA[[#This Row],[DISC 1-]]+NOTA[[#This Row],[DISC 2-]])</f>
        <v>685260</v>
      </c>
      <c r="AA457" s="54">
        <f>IF(NOTA[[#This Row],[JUMLAH]]="","",NOTA[[#This Row],[JUMLAH]]-NOTA[[#This Row],[DISC]])</f>
        <v>3375540</v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457" s="54">
        <f>IF(OR(NOTA[[#This Row],[QTY]]="",NOTA[[#This Row],[HARGA SATUAN]]="",),"",NOTA[[#This Row],[QTY]]*NOTA[[#This Row],[HARGA SATUAN]])</f>
        <v>4060800</v>
      </c>
      <c r="AF457" s="51">
        <f ca="1">IF(NOTA[ID_H]="","",INDEX(NOTA[TANGGAL],MATCH(,INDIRECT(ADDRESS(ROW(NOTA[TANGGAL]),COLUMN(NOTA[TANGGAL]))&amp;":"&amp;ADDRESS(ROW(),COLUMN(NOTA[TANGGAL]))),-1)))</f>
        <v>44942</v>
      </c>
      <c r="AG457" s="65" t="str">
        <f ca="1">IF(NOTA[[#This Row],[NAMA BARANG]]="","",INDEX(NOTA[SUPPLIER],MATCH(,INDIRECT(ADDRESS(ROW(NOTA[ID]),COLUMN(NOTA[ID]))&amp;":"&amp;ADDRESS(ROW(),COLUMN(NOTA[ID]))),-1)))</f>
        <v>ATALI MAKMUR</v>
      </c>
      <c r="AH457" s="65" t="str">
        <f ca="1">IF(NOTA[[#This Row],[ID_H]]="","",IF(NOTA[[#This Row],[FAKTUR]]="",INDIRECT(ADDRESS(ROW()-1,COLUMN())),NOTA[[#This Row],[FAKTUR]]))</f>
        <v>ARTO MORO</v>
      </c>
      <c r="AI457" s="38" t="str">
        <f ca="1">IF(NOTA[[#This Row],[ID]]="","",COUNTIF(NOTA[ID_H],NOTA[[#This Row],[ID_H]]))</f>
        <v/>
      </c>
      <c r="AJ457" s="38">
        <f ca="1">IF(NOTA[[#This Row],[TGL.NOTA]]="",IF(NOTA[[#This Row],[SUPPLIER_H]]="","",AJ456),MONTH(NOTA[[#This Row],[TGL.NOTA]]))</f>
        <v>1</v>
      </c>
      <c r="AK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>gelpengp265qgelblackjk40608000.1250.05</v>
      </c>
      <c r="AM457" s="193">
        <f>IF(NOTA[[#This Row],[CONCAT1]]="","",MATCH(NOTA[[#This Row],[CONCAT1]],[2]!db[NB NOTA_C],0)+1)</f>
        <v>724</v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>
        <f ca="1">IF(NOTA[[#This Row],[NAMA BARANG]]="","",INDEX(NOTA[ID],MATCH(,INDIRECT(ADDRESS(ROW(NOTA[ID]),COLUMN(NOTA[ID]))&amp;":"&amp;ADDRESS(ROW(),COLUMN(NOTA[ID]))),-1)))</f>
        <v>84</v>
      </c>
      <c r="E458" s="80"/>
      <c r="F458" s="26"/>
      <c r="G458" s="26"/>
      <c r="H458" s="31"/>
      <c r="I458" s="26"/>
      <c r="J458" s="81"/>
      <c r="K458" s="26"/>
      <c r="L458" s="26" t="s">
        <v>634</v>
      </c>
      <c r="M458" s="39">
        <v>1</v>
      </c>
      <c r="N458" s="26">
        <v>768</v>
      </c>
      <c r="O458" s="26" t="s">
        <v>104</v>
      </c>
      <c r="P458" s="49">
        <v>2100</v>
      </c>
      <c r="Q458" s="85"/>
      <c r="R458" s="39" t="s">
        <v>635</v>
      </c>
      <c r="S458" s="86">
        <v>0.125</v>
      </c>
      <c r="T458" s="86">
        <v>0.05</v>
      </c>
      <c r="U458" s="87"/>
      <c r="V458" s="37"/>
      <c r="W458" s="54">
        <f>IF(NOTA[[#This Row],[HARGA/ CTN]]="",NOTA[[#This Row],[JUMLAH_H]],NOTA[[#This Row],[HARGA/ CTN]]*IF(NOTA[[#This Row],[C]]="",0,NOTA[[#This Row],[C]]))</f>
        <v>1612800</v>
      </c>
      <c r="X458" s="54">
        <f>IF(NOTA[[#This Row],[JUMLAH]]="","",NOTA[[#This Row],[JUMLAH]]*NOTA[[#This Row],[DISC 1]])</f>
        <v>201600</v>
      </c>
      <c r="Y458" s="54">
        <f>IF(NOTA[[#This Row],[JUMLAH]]="","",(NOTA[[#This Row],[JUMLAH]]-NOTA[[#This Row],[DISC 1-]])*NOTA[[#This Row],[DISC 2]])</f>
        <v>70560</v>
      </c>
      <c r="Z458" s="54">
        <f>IF(NOTA[[#This Row],[JUMLAH]]="","",NOTA[[#This Row],[DISC 1-]]+NOTA[[#This Row],[DISC 2-]])</f>
        <v>272160</v>
      </c>
      <c r="AA458" s="54">
        <f>IF(NOTA[[#This Row],[JUMLAH]]="","",NOTA[[#This Row],[JUMLAH]]-NOTA[[#This Row],[DISC]])</f>
        <v>1340640</v>
      </c>
      <c r="AB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58" s="54">
        <f>IF(OR(NOTA[[#This Row],[QTY]]="",NOTA[[#This Row],[HARGA SATUAN]]="",),"",NOTA[[#This Row],[QTY]]*NOTA[[#This Row],[HARGA SATUAN]])</f>
        <v>1612800</v>
      </c>
      <c r="AF458" s="51">
        <f ca="1">IF(NOTA[ID_H]="","",INDEX(NOTA[TANGGAL],MATCH(,INDIRECT(ADDRESS(ROW(NOTA[TANGGAL]),COLUMN(NOTA[TANGGAL]))&amp;":"&amp;ADDRESS(ROW(),COLUMN(NOTA[TANGGAL]))),-1)))</f>
        <v>44942</v>
      </c>
      <c r="AG458" s="65" t="str">
        <f ca="1">IF(NOTA[[#This Row],[NAMA BARANG]]="","",INDEX(NOTA[SUPPLIER],MATCH(,INDIRECT(ADDRESS(ROW(NOTA[ID]),COLUMN(NOTA[ID]))&amp;":"&amp;ADDRESS(ROW(),COLUMN(NOTA[ID]))),-1)))</f>
        <v>ATALI MAKMUR</v>
      </c>
      <c r="AH458" s="65" t="str">
        <f ca="1">IF(NOTA[[#This Row],[ID_H]]="","",IF(NOTA[[#This Row],[FAKTUR]]="",INDIRECT(ADDRESS(ROW()-1,COLUMN())),NOTA[[#This Row],[FAKTUR]]))</f>
        <v>ARTO MORO</v>
      </c>
      <c r="AI458" s="38" t="str">
        <f ca="1">IF(NOTA[[#This Row],[ID]]="","",COUNTIF(NOTA[ID_H],NOTA[[#This Row],[ID_H]]))</f>
        <v/>
      </c>
      <c r="AJ458" s="38">
        <f ca="1">IF(NOTA[[#This Row],[TGL.NOTA]]="",IF(NOTA[[#This Row],[SUPPLIER_H]]="","",AJ457),MONTH(NOTA[[#This Row],[TGL.NOTA]]))</f>
        <v>1</v>
      </c>
      <c r="AK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458" s="193">
        <f>IF(NOTA[[#This Row],[CONCAT1]]="","",MATCH(NOTA[[#This Row],[CONCAT1]],[2]!db[NB NOTA_C],0)+1)</f>
        <v>918</v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93" t="str">
        <f>IF(NOTA[[#This Row],[CONCAT1]]="","",MATCH(NOTA[[#This Row],[CONCAT1]],[2]!db[NB NOTA_C],0)+1)</f>
        <v/>
      </c>
    </row>
    <row r="460" spans="1:39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e">
        <f ca="1">IF(NOTA[[#This Row],[ID_P]]="","",MATCH(NOTA[[#This Row],[ID_P]],[1]!B_MSK[N_ID],0))</f>
        <v>#REF!</v>
      </c>
      <c r="D460" s="50">
        <f ca="1">IF(NOTA[[#This Row],[NAMA BARANG]]="","",INDEX(NOTA[ID],MATCH(,INDIRECT(ADDRESS(ROW(NOTA[ID]),COLUMN(NOTA[ID]))&amp;":"&amp;ADDRESS(ROW(),COLUMN(NOTA[ID]))),-1)))</f>
        <v>85</v>
      </c>
      <c r="E460" s="80"/>
      <c r="F460" s="26" t="s">
        <v>25</v>
      </c>
      <c r="G460" s="26" t="s">
        <v>24</v>
      </c>
      <c r="H460" s="31" t="s">
        <v>636</v>
      </c>
      <c r="I460" s="26"/>
      <c r="J460" s="81">
        <v>44938</v>
      </c>
      <c r="K460" s="38"/>
      <c r="L460" s="26" t="s">
        <v>430</v>
      </c>
      <c r="M460" s="39">
        <v>1</v>
      </c>
      <c r="N460" s="26">
        <v>144</v>
      </c>
      <c r="O460" s="26" t="s">
        <v>128</v>
      </c>
      <c r="P460" s="49">
        <v>23900</v>
      </c>
      <c r="Q460" s="85"/>
      <c r="R460" s="39" t="s">
        <v>264</v>
      </c>
      <c r="S460" s="86">
        <v>0.125</v>
      </c>
      <c r="T460" s="86">
        <v>0.05</v>
      </c>
      <c r="U460" s="87"/>
      <c r="V460" s="37"/>
      <c r="W460" s="54">
        <f>IF(NOTA[[#This Row],[HARGA/ CTN]]="",NOTA[[#This Row],[JUMLAH_H]],NOTA[[#This Row],[HARGA/ CTN]]*IF(NOTA[[#This Row],[C]]="",0,NOTA[[#This Row],[C]]))</f>
        <v>3441600</v>
      </c>
      <c r="X460" s="54">
        <f>IF(NOTA[[#This Row],[JUMLAH]]="","",NOTA[[#This Row],[JUMLAH]]*NOTA[[#This Row],[DISC 1]])</f>
        <v>430200</v>
      </c>
      <c r="Y460" s="54">
        <f>IF(NOTA[[#This Row],[JUMLAH]]="","",(NOTA[[#This Row],[JUMLAH]]-NOTA[[#This Row],[DISC 1-]])*NOTA[[#This Row],[DISC 2]])</f>
        <v>150570</v>
      </c>
      <c r="Z460" s="54">
        <f>IF(NOTA[[#This Row],[JUMLAH]]="","",NOTA[[#This Row],[DISC 1-]]+NOTA[[#This Row],[DISC 2-]])</f>
        <v>580770</v>
      </c>
      <c r="AA460" s="54">
        <f>IF(NOTA[[#This Row],[JUMLAH]]="","",NOTA[[#This Row],[JUMLAH]]-NOTA[[#This Row],[DISC]])</f>
        <v>2860830</v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460" s="54">
        <f>IF(OR(NOTA[[#This Row],[QTY]]="",NOTA[[#This Row],[HARGA SATUAN]]="",),"",NOTA[[#This Row],[QTY]]*NOTA[[#This Row],[HARGA SATUAN]])</f>
        <v>3441600</v>
      </c>
      <c r="AF460" s="51">
        <f ca="1">IF(NOTA[ID_H]="","",INDEX(NOTA[TANGGAL],MATCH(,INDIRECT(ADDRESS(ROW(NOTA[TANGGAL]),COLUMN(NOTA[TANGGAL]))&amp;":"&amp;ADDRESS(ROW(),COLUMN(NOTA[TANGGAL]))),-1)))</f>
        <v>44942</v>
      </c>
      <c r="AG460" s="65" t="str">
        <f ca="1">IF(NOTA[[#This Row],[NAMA BARANG]]="","",INDEX(NOTA[SUPPLIER],MATCH(,INDIRECT(ADDRESS(ROW(NOTA[ID]),COLUMN(NOTA[ID]))&amp;":"&amp;ADDRESS(ROW(),COLUMN(NOTA[ID]))),-1)))</f>
        <v>ATALI MAKMUR</v>
      </c>
      <c r="AH460" s="65" t="str">
        <f ca="1">IF(NOTA[[#This Row],[ID_H]]="","",IF(NOTA[[#This Row],[FAKTUR]]="",INDIRECT(ADDRESS(ROW()-1,COLUMN())),NOTA[[#This Row],[FAKTUR]]))</f>
        <v>ARTO MORO</v>
      </c>
      <c r="AI460" s="38">
        <f ca="1">IF(NOTA[[#This Row],[ID]]="","",COUNTIF(NOTA[ID_H],NOTA[[#This Row],[ID_H]]))</f>
        <v>3</v>
      </c>
      <c r="AJ460" s="38">
        <f>IF(NOTA[[#This Row],[TGL.NOTA]]="",IF(NOTA[[#This Row],[SUPPLIER_H]]="","",AJ459),MONTH(NOTA[[#This Row],[TGL.NOTA]]))</f>
        <v>1</v>
      </c>
      <c r="AK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460" s="193">
        <f>IF(NOTA[[#This Row],[CONCAT1]]="","",MATCH(NOTA[[#This Row],[CONCAT1]],[2]!db[NB NOTA_C],0)+1)</f>
        <v>551</v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>
        <f ca="1">IF(NOTA[[#This Row],[NAMA BARANG]]="","",INDEX(NOTA[ID],MATCH(,INDIRECT(ADDRESS(ROW(NOTA[ID]),COLUMN(NOTA[ID]))&amp;":"&amp;ADDRESS(ROW(),COLUMN(NOTA[ID]))),-1)))</f>
        <v>85</v>
      </c>
      <c r="E461" s="80"/>
      <c r="F461" s="26"/>
      <c r="G461" s="26"/>
      <c r="H461" s="31"/>
      <c r="I461" s="26"/>
      <c r="J461" s="81"/>
      <c r="K461" s="26"/>
      <c r="L461" s="26" t="s">
        <v>637</v>
      </c>
      <c r="M461" s="39">
        <v>1</v>
      </c>
      <c r="N461" s="26">
        <v>24</v>
      </c>
      <c r="O461" s="26" t="s">
        <v>116</v>
      </c>
      <c r="P461" s="49">
        <v>162000</v>
      </c>
      <c r="Q461" s="85"/>
      <c r="R461" s="39" t="s">
        <v>638</v>
      </c>
      <c r="S461" s="86">
        <v>0.125</v>
      </c>
      <c r="T461" s="86">
        <v>0.05</v>
      </c>
      <c r="U461" s="87"/>
      <c r="V461" s="37"/>
      <c r="W461" s="54">
        <f>IF(NOTA[[#This Row],[HARGA/ CTN]]="",NOTA[[#This Row],[JUMLAH_H]],NOTA[[#This Row],[HARGA/ CTN]]*IF(NOTA[[#This Row],[C]]="",0,NOTA[[#This Row],[C]]))</f>
        <v>3888000</v>
      </c>
      <c r="X461" s="54">
        <f>IF(NOTA[[#This Row],[JUMLAH]]="","",NOTA[[#This Row],[JUMLAH]]*NOTA[[#This Row],[DISC 1]])</f>
        <v>486000</v>
      </c>
      <c r="Y461" s="54">
        <f>IF(NOTA[[#This Row],[JUMLAH]]="","",(NOTA[[#This Row],[JUMLAH]]-NOTA[[#This Row],[DISC 1-]])*NOTA[[#This Row],[DISC 2]])</f>
        <v>170100</v>
      </c>
      <c r="Z461" s="54">
        <f>IF(NOTA[[#This Row],[JUMLAH]]="","",NOTA[[#This Row],[DISC 1-]]+NOTA[[#This Row],[DISC 2-]])</f>
        <v>656100</v>
      </c>
      <c r="AA461" s="54">
        <f>IF(NOTA[[#This Row],[JUMLAH]]="","",NOTA[[#This Row],[JUMLAH]]-NOTA[[#This Row],[DISC]])</f>
        <v>3231900</v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61" s="54">
        <f>IF(OR(NOTA[[#This Row],[QTY]]="",NOTA[[#This Row],[HARGA SATUAN]]="",),"",NOTA[[#This Row],[QTY]]*NOTA[[#This Row],[HARGA SATUAN]])</f>
        <v>3888000</v>
      </c>
      <c r="AF461" s="51">
        <f ca="1">IF(NOTA[ID_H]="","",INDEX(NOTA[TANGGAL],MATCH(,INDIRECT(ADDRESS(ROW(NOTA[TANGGAL]),COLUMN(NOTA[TANGGAL]))&amp;":"&amp;ADDRESS(ROW(),COLUMN(NOTA[TANGGAL]))),-1)))</f>
        <v>44942</v>
      </c>
      <c r="AG461" s="65" t="str">
        <f ca="1">IF(NOTA[[#This Row],[NAMA BARANG]]="","",INDEX(NOTA[SUPPLIER],MATCH(,INDIRECT(ADDRESS(ROW(NOTA[ID]),COLUMN(NOTA[ID]))&amp;":"&amp;ADDRESS(ROW(),COLUMN(NOTA[ID]))),-1)))</f>
        <v>ATALI MAKMUR</v>
      </c>
      <c r="AH461" s="65" t="str">
        <f ca="1">IF(NOTA[[#This Row],[ID_H]]="","",IF(NOTA[[#This Row],[FAKTUR]]="",INDIRECT(ADDRESS(ROW()-1,COLUMN())),NOTA[[#This Row],[FAKTUR]]))</f>
        <v>ARTO MORO</v>
      </c>
      <c r="AI461" s="38" t="str">
        <f ca="1">IF(NOTA[[#This Row],[ID]]="","",COUNTIF(NOTA[ID_H],NOTA[[#This Row],[ID_H]]))</f>
        <v/>
      </c>
      <c r="AJ461" s="38">
        <f ca="1">IF(NOTA[[#This Row],[TGL.NOTA]]="",IF(NOTA[[#This Row],[SUPPLIER_H]]="","",AJ460),MONTH(NOTA[[#This Row],[TGL.NOTA]]))</f>
        <v>1</v>
      </c>
      <c r="AK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461" s="193">
        <f>IF(NOTA[[#This Row],[CONCAT1]]="","",MATCH(NOTA[[#This Row],[CONCAT1]],[2]!db[NB NOTA_C],0)+1)</f>
        <v>568</v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>
        <f ca="1">IF(NOTA[[#This Row],[NAMA BARANG]]="","",INDEX(NOTA[ID],MATCH(,INDIRECT(ADDRESS(ROW(NOTA[ID]),COLUMN(NOTA[ID]))&amp;":"&amp;ADDRESS(ROW(),COLUMN(NOTA[ID]))),-1)))</f>
        <v>85</v>
      </c>
      <c r="E462" s="80"/>
      <c r="F462" s="26"/>
      <c r="G462" s="26"/>
      <c r="H462" s="31"/>
      <c r="I462" s="26"/>
      <c r="J462" s="81"/>
      <c r="K462" s="82"/>
      <c r="L462" s="26" t="s">
        <v>639</v>
      </c>
      <c r="M462" s="83"/>
      <c r="N462" s="82">
        <v>24</v>
      </c>
      <c r="O462" s="26" t="s">
        <v>116</v>
      </c>
      <c r="P462" s="84"/>
      <c r="Q462" s="85"/>
      <c r="R462" s="39" t="s">
        <v>640</v>
      </c>
      <c r="S462" s="86"/>
      <c r="T462" s="86"/>
      <c r="U462" s="87"/>
      <c r="V462" s="37" t="s">
        <v>641</v>
      </c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D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62" s="54" t="str">
        <f>IF(OR(NOTA[[#This Row],[QTY]]="",NOTA[[#This Row],[HARGA SATUAN]]="",),"",NOTA[[#This Row],[QTY]]*NOTA[[#This Row],[HARGA SATUAN]])</f>
        <v/>
      </c>
      <c r="AF462" s="51">
        <f ca="1">IF(NOTA[ID_H]="","",INDEX(NOTA[TANGGAL],MATCH(,INDIRECT(ADDRESS(ROW(NOTA[TANGGAL]),COLUMN(NOTA[TANGGAL]))&amp;":"&amp;ADDRESS(ROW(),COLUMN(NOTA[TANGGAL]))),-1)))</f>
        <v>44942</v>
      </c>
      <c r="AG462" s="65" t="str">
        <f ca="1">IF(NOTA[[#This Row],[NAMA BARANG]]="","",INDEX(NOTA[SUPPLIER],MATCH(,INDIRECT(ADDRESS(ROW(NOTA[ID]),COLUMN(NOTA[ID]))&amp;":"&amp;ADDRESS(ROW(),COLUMN(NOTA[ID]))),-1)))</f>
        <v>ATALI MAKMUR</v>
      </c>
      <c r="AH462" s="65" t="str">
        <f ca="1">IF(NOTA[[#This Row],[ID_H]]="","",IF(NOTA[[#This Row],[FAKTUR]]="",INDIRECT(ADDRESS(ROW()-1,COLUMN())),NOTA[[#This Row],[FAKTUR]]))</f>
        <v>ARTO MORO</v>
      </c>
      <c r="AI462" s="38" t="str">
        <f ca="1">IF(NOTA[[#This Row],[ID]]="","",COUNTIF(NOTA[ID_H],NOTA[[#This Row],[ID_H]]))</f>
        <v/>
      </c>
      <c r="AJ462" s="38">
        <f ca="1">IF(NOTA[[#This Row],[TGL.NOTA]]="",IF(NOTA[[#This Row],[SUPPLIER_H]]="","",AJ461),MONTH(NOTA[[#This Row],[TGL.NOTA]]))</f>
        <v>1</v>
      </c>
      <c r="AK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462" s="193">
        <f>IF(NOTA[[#This Row],[CONCAT1]]="","",MATCH(NOTA[[#This Row],[CONCAT1]],[2]!db[NB NOTA_C],0)+1)</f>
        <v>560</v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93" t="str">
        <f>IF(NOTA[[#This Row],[CONCAT1]]="","",MATCH(NOTA[[#This Row],[CONCAT1]],[2]!db[NB NOTA_C],0)+1)</f>
        <v/>
      </c>
    </row>
    <row r="464" spans="1:39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e">
        <f ca="1">IF(NOTA[[#This Row],[ID_P]]="","",MATCH(NOTA[[#This Row],[ID_P]],[1]!B_MSK[N_ID],0))</f>
        <v>#REF!</v>
      </c>
      <c r="D464" s="50">
        <f ca="1">IF(NOTA[[#This Row],[NAMA BARANG]]="","",INDEX(NOTA[ID],MATCH(,INDIRECT(ADDRESS(ROW(NOTA[ID]),COLUMN(NOTA[ID]))&amp;":"&amp;ADDRESS(ROW(),COLUMN(NOTA[ID]))),-1)))</f>
        <v>86</v>
      </c>
      <c r="E464" s="80"/>
      <c r="F464" s="26" t="s">
        <v>285</v>
      </c>
      <c r="G464" s="26" t="s">
        <v>87</v>
      </c>
      <c r="H464" s="31" t="s">
        <v>642</v>
      </c>
      <c r="I464" s="82"/>
      <c r="J464" s="81">
        <v>44942</v>
      </c>
      <c r="K464" s="26"/>
      <c r="L464" s="26" t="s">
        <v>287</v>
      </c>
      <c r="M464" s="83"/>
      <c r="N464" s="82">
        <v>14</v>
      </c>
      <c r="O464" s="26" t="s">
        <v>90</v>
      </c>
      <c r="P464" s="84">
        <v>13000</v>
      </c>
      <c r="Q464" s="85"/>
      <c r="R464" s="39"/>
      <c r="S464" s="86"/>
      <c r="T464" s="86"/>
      <c r="U464" s="87"/>
      <c r="V464" s="37" t="s">
        <v>643</v>
      </c>
      <c r="W464" s="54">
        <f>IF(NOTA[[#This Row],[HARGA/ CTN]]="",NOTA[[#This Row],[JUMLAH_H]],NOTA[[#This Row],[HARGA/ CTN]]*IF(NOTA[[#This Row],[C]]="",0,NOTA[[#This Row],[C]]))</f>
        <v>182000</v>
      </c>
      <c r="X464" s="54">
        <f>IF(NOTA[[#This Row],[JUMLAH]]="","",NOTA[[#This Row],[JUMLAH]]*NOTA[[#This Row],[DISC 1]])</f>
        <v>0</v>
      </c>
      <c r="Y464" s="54">
        <f>IF(NOTA[[#This Row],[JUMLAH]]="","",(NOTA[[#This Row],[JUMLAH]]-NOTA[[#This Row],[DISC 1-]])*NOTA[[#This Row],[DISC 2]])</f>
        <v>0</v>
      </c>
      <c r="Z464" s="54">
        <f>IF(NOTA[[#This Row],[JUMLAH]]="","",NOTA[[#This Row],[DISC 1-]]+NOTA[[#This Row],[DISC 2-]])</f>
        <v>0</v>
      </c>
      <c r="AA464" s="54">
        <f>IF(NOTA[[#This Row],[JUMLAH]]="","",NOTA[[#This Row],[JUMLAH]]-NOTA[[#This Row],[DISC]])</f>
        <v>182000</v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E464" s="54">
        <f>IF(OR(NOTA[[#This Row],[QTY]]="",NOTA[[#This Row],[HARGA SATUAN]]="",),"",NOTA[[#This Row],[QTY]]*NOTA[[#This Row],[HARGA SATUAN]])</f>
        <v>182000</v>
      </c>
      <c r="AF464" s="51">
        <f ca="1">IF(NOTA[ID_H]="","",INDEX(NOTA[TANGGAL],MATCH(,INDIRECT(ADDRESS(ROW(NOTA[TANGGAL]),COLUMN(NOTA[TANGGAL]))&amp;":"&amp;ADDRESS(ROW(),COLUMN(NOTA[TANGGAL]))),-1)))</f>
        <v>44942</v>
      </c>
      <c r="AG464" s="65" t="str">
        <f ca="1">IF(NOTA[[#This Row],[NAMA BARANG]]="","",INDEX(NOTA[SUPPLIER],MATCH(,INDIRECT(ADDRESS(ROW(NOTA[ID]),COLUMN(NOTA[ID]))&amp;":"&amp;ADDRESS(ROW(),COLUMN(NOTA[ID]))),-1)))</f>
        <v>HANSA</v>
      </c>
      <c r="AH464" s="65" t="str">
        <f ca="1">IF(NOTA[[#This Row],[ID_H]]="","",IF(NOTA[[#This Row],[FAKTUR]]="",INDIRECT(ADDRESS(ROW()-1,COLUMN())),NOTA[[#This Row],[FAKTUR]]))</f>
        <v>UNTANA</v>
      </c>
      <c r="AI464" s="38">
        <f ca="1">IF(NOTA[[#This Row],[ID]]="","",COUNTIF(NOTA[ID_H],NOTA[[#This Row],[ID_H]]))</f>
        <v>2</v>
      </c>
      <c r="AJ464" s="38">
        <f>IF(NOTA[[#This Row],[TGL.NOTA]]="",IF(NOTA[[#This Row],[SUPPLIER_H]]="","",AJ463),MONTH(NOTA[[#This Row],[TGL.NOTA]]))</f>
        <v>1</v>
      </c>
      <c r="AK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464" s="193">
        <f>IF(NOTA[[#This Row],[CONCAT1]]="","",MATCH(NOTA[[#This Row],[CONCAT1]],[2]!db[NB NOTA_C],0)+1)</f>
        <v>1364</v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>
        <f ca="1">IF(NOTA[[#This Row],[NAMA BARANG]]="","",INDEX(NOTA[ID],MATCH(,INDIRECT(ADDRESS(ROW(NOTA[ID]),COLUMN(NOTA[ID]))&amp;":"&amp;ADDRESS(ROW(),COLUMN(NOTA[ID]))),-1)))</f>
        <v>86</v>
      </c>
      <c r="E465" s="80"/>
      <c r="F465" s="26"/>
      <c r="G465" s="26"/>
      <c r="H465" s="31"/>
      <c r="I465" s="82"/>
      <c r="J465" s="81"/>
      <c r="K465" s="26"/>
      <c r="L465" s="26" t="s">
        <v>644</v>
      </c>
      <c r="M465" s="83"/>
      <c r="N465" s="82">
        <v>3</v>
      </c>
      <c r="O465" s="26" t="s">
        <v>90</v>
      </c>
      <c r="P465" s="84">
        <v>41000</v>
      </c>
      <c r="Q465" s="85"/>
      <c r="R465" s="39"/>
      <c r="S465" s="86"/>
      <c r="T465" s="86"/>
      <c r="U465" s="87"/>
      <c r="V465" s="37"/>
      <c r="W465" s="54">
        <f>IF(NOTA[[#This Row],[HARGA/ CTN]]="",NOTA[[#This Row],[JUMLAH_H]],NOTA[[#This Row],[HARGA/ CTN]]*IF(NOTA[[#This Row],[C]]="",0,NOTA[[#This Row],[C]]))</f>
        <v>123000</v>
      </c>
      <c r="X465" s="54">
        <f>IF(NOTA[[#This Row],[JUMLAH]]="","",NOTA[[#This Row],[JUMLAH]]*NOTA[[#This Row],[DISC 1]])</f>
        <v>0</v>
      </c>
      <c r="Y465" s="54">
        <f>IF(NOTA[[#This Row],[JUMLAH]]="","",(NOTA[[#This Row],[JUMLAH]]-NOTA[[#This Row],[DISC 1-]])*NOTA[[#This Row],[DISC 2]])</f>
        <v>0</v>
      </c>
      <c r="Z465" s="54">
        <f>IF(NOTA[[#This Row],[JUMLAH]]="","",NOTA[[#This Row],[DISC 1-]]+NOTA[[#This Row],[DISC 2-]])</f>
        <v>0</v>
      </c>
      <c r="AA465" s="54">
        <f>IF(NOTA[[#This Row],[JUMLAH]]="","",NOTA[[#This Row],[JUMLAH]]-NOTA[[#This Row],[DISC]])</f>
        <v>123000</v>
      </c>
      <c r="AB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E465" s="54">
        <f>IF(OR(NOTA[[#This Row],[QTY]]="",NOTA[[#This Row],[HARGA SATUAN]]="",),"",NOTA[[#This Row],[QTY]]*NOTA[[#This Row],[HARGA SATUAN]])</f>
        <v>123000</v>
      </c>
      <c r="AF465" s="51">
        <f ca="1">IF(NOTA[ID_H]="","",INDEX(NOTA[TANGGAL],MATCH(,INDIRECT(ADDRESS(ROW(NOTA[TANGGAL]),COLUMN(NOTA[TANGGAL]))&amp;":"&amp;ADDRESS(ROW(),COLUMN(NOTA[TANGGAL]))),-1)))</f>
        <v>44942</v>
      </c>
      <c r="AG465" s="65" t="str">
        <f ca="1">IF(NOTA[[#This Row],[NAMA BARANG]]="","",INDEX(NOTA[SUPPLIER],MATCH(,INDIRECT(ADDRESS(ROW(NOTA[ID]),COLUMN(NOTA[ID]))&amp;":"&amp;ADDRESS(ROW(),COLUMN(NOTA[ID]))),-1)))</f>
        <v>HANSA</v>
      </c>
      <c r="AH465" s="65" t="str">
        <f ca="1">IF(NOTA[[#This Row],[ID_H]]="","",IF(NOTA[[#This Row],[FAKTUR]]="",INDIRECT(ADDRESS(ROW()-1,COLUMN())),NOTA[[#This Row],[FAKTUR]]))</f>
        <v>UNTANA</v>
      </c>
      <c r="AI465" s="38" t="str">
        <f ca="1">IF(NOTA[[#This Row],[ID]]="","",COUNTIF(NOTA[ID_H],NOTA[[#This Row],[ID_H]]))</f>
        <v/>
      </c>
      <c r="AJ465" s="38">
        <f ca="1">IF(NOTA[[#This Row],[TGL.NOTA]]="",IF(NOTA[[#This Row],[SUPPLIER_H]]="","",AJ464),MONTH(NOTA[[#This Row],[TGL.NOTA]]))</f>
        <v>1</v>
      </c>
      <c r="AK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465" s="193">
        <f>IF(NOTA[[#This Row],[CONCAT1]]="","",MATCH(NOTA[[#This Row],[CONCAT1]],[2]!db[NB NOTA_C],0)+1)</f>
        <v>1384</v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93" t="str">
        <f>IF(NOTA[[#This Row],[CONCAT1]]="","",MATCH(NOTA[[#This Row],[CONCAT1]],[2]!db[NB NOTA_C],0)+1)</f>
        <v/>
      </c>
    </row>
    <row r="467" spans="1:39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e">
        <f ca="1">IF(NOTA[[#This Row],[ID_P]]="","",MATCH(NOTA[[#This Row],[ID_P]],[1]!B_MSK[N_ID],0))</f>
        <v>#REF!</v>
      </c>
      <c r="D467" s="50">
        <f ca="1">IF(NOTA[[#This Row],[NAMA BARANG]]="","",INDEX(NOTA[ID],MATCH(,INDIRECT(ADDRESS(ROW(NOTA[ID]),COLUMN(NOTA[ID]))&amp;":"&amp;ADDRESS(ROW(),COLUMN(NOTA[ID]))),-1)))</f>
        <v>87</v>
      </c>
      <c r="E467" s="80"/>
      <c r="F467" s="26" t="s">
        <v>599</v>
      </c>
      <c r="G467" s="26" t="s">
        <v>87</v>
      </c>
      <c r="H467" s="31" t="s">
        <v>645</v>
      </c>
      <c r="I467" s="82"/>
      <c r="J467" s="81">
        <v>44938</v>
      </c>
      <c r="K467" s="26"/>
      <c r="L467" s="26" t="s">
        <v>646</v>
      </c>
      <c r="M467" s="83">
        <v>6</v>
      </c>
      <c r="N467" s="82">
        <v>360</v>
      </c>
      <c r="O467" s="26" t="s">
        <v>90</v>
      </c>
      <c r="P467" s="84">
        <v>49200</v>
      </c>
      <c r="Q467" s="85"/>
      <c r="R467" s="39" t="s">
        <v>91</v>
      </c>
      <c r="S467" s="86">
        <v>0.05</v>
      </c>
      <c r="T467" s="86">
        <v>0.1</v>
      </c>
      <c r="U467" s="87"/>
      <c r="V467" s="37"/>
      <c r="W467" s="54">
        <f>IF(NOTA[[#This Row],[HARGA/ CTN]]="",NOTA[[#This Row],[JUMLAH_H]],NOTA[[#This Row],[HARGA/ CTN]]*IF(NOTA[[#This Row],[C]]="",0,NOTA[[#This Row],[C]]))</f>
        <v>17712000</v>
      </c>
      <c r="X467" s="54">
        <f>IF(NOTA[[#This Row],[JUMLAH]]="","",NOTA[[#This Row],[JUMLAH]]*NOTA[[#This Row],[DISC 1]])</f>
        <v>885600</v>
      </c>
      <c r="Y467" s="54">
        <f>IF(NOTA[[#This Row],[JUMLAH]]="","",(NOTA[[#This Row],[JUMLAH]]-NOTA[[#This Row],[DISC 1-]])*NOTA[[#This Row],[DISC 2]])</f>
        <v>1682640</v>
      </c>
      <c r="Z467" s="54">
        <f>IF(NOTA[[#This Row],[JUMLAH]]="","",NOTA[[#This Row],[DISC 1-]]+NOTA[[#This Row],[DISC 2-]])</f>
        <v>2568240</v>
      </c>
      <c r="AA467" s="54">
        <f>IF(NOTA[[#This Row],[JUMLAH]]="","",NOTA[[#This Row],[JUMLAH]]-NOTA[[#This Row],[DISC]])</f>
        <v>15143760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467" s="54">
        <f>IF(OR(NOTA[[#This Row],[QTY]]="",NOTA[[#This Row],[HARGA SATUAN]]="",),"",NOTA[[#This Row],[QTY]]*NOTA[[#This Row],[HARGA SATUAN]])</f>
        <v>17712000</v>
      </c>
      <c r="AF467" s="51">
        <f ca="1">IF(NOTA[ID_H]="","",INDEX(NOTA[TANGGAL],MATCH(,INDIRECT(ADDRESS(ROW(NOTA[TANGGAL]),COLUMN(NOTA[TANGGAL]))&amp;":"&amp;ADDRESS(ROW(),COLUMN(NOTA[TANGGAL]))),-1)))</f>
        <v>44942</v>
      </c>
      <c r="AG467" s="65" t="str">
        <f ca="1">IF(NOTA[[#This Row],[NAMA BARANG]]="","",INDEX(NOTA[SUPPLIER],MATCH(,INDIRECT(ADDRESS(ROW(NOTA[ID]),COLUMN(NOTA[ID]))&amp;":"&amp;ADDRESS(ROW(),COLUMN(NOTA[ID]))),-1)))</f>
        <v>GUNINDO</v>
      </c>
      <c r="AH467" s="65" t="str">
        <f ca="1">IF(NOTA[[#This Row],[ID_H]]="","",IF(NOTA[[#This Row],[FAKTUR]]="",INDIRECT(ADDRESS(ROW()-1,COLUMN())),NOTA[[#This Row],[FAKTUR]]))</f>
        <v>UNTANA</v>
      </c>
      <c r="AI467" s="38">
        <f ca="1">IF(NOTA[[#This Row],[ID]]="","",COUNTIF(NOTA[ID_H],NOTA[[#This Row],[ID_H]]))</f>
        <v>2</v>
      </c>
      <c r="AJ467" s="38">
        <f>IF(NOTA[[#This Row],[TGL.NOTA]]="",IF(NOTA[[#This Row],[SUPPLIER_H]]="","",AJ466),MONTH(NOTA[[#This Row],[TGL.NOTA]]))</f>
        <v>1</v>
      </c>
      <c r="AK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>ossgunindo29520000.050.1</v>
      </c>
      <c r="AM467" s="193">
        <f>IF(NOTA[[#This Row],[CONCAT1]]="","",MATCH(NOTA[[#This Row],[CONCAT1]],[2]!db[NB NOTA_C],0)+1)</f>
        <v>1562</v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87</v>
      </c>
      <c r="E468" s="80"/>
      <c r="F468" s="26"/>
      <c r="G468" s="26"/>
      <c r="H468" s="31"/>
      <c r="I468" s="82"/>
      <c r="J468" s="81"/>
      <c r="K468" s="26"/>
      <c r="L468" s="26" t="s">
        <v>647</v>
      </c>
      <c r="M468" s="83">
        <v>2</v>
      </c>
      <c r="N468" s="82">
        <v>40</v>
      </c>
      <c r="O468" s="26" t="s">
        <v>90</v>
      </c>
      <c r="P468" s="84">
        <v>120000</v>
      </c>
      <c r="Q468" s="85"/>
      <c r="R468" s="39" t="s">
        <v>648</v>
      </c>
      <c r="S468" s="86">
        <v>0.05</v>
      </c>
      <c r="T468" s="86">
        <v>0.1</v>
      </c>
      <c r="U468" s="87"/>
      <c r="V468" s="37"/>
      <c r="W468" s="54">
        <f>IF(NOTA[[#This Row],[HARGA/ CTN]]="",NOTA[[#This Row],[JUMLAH_H]],NOTA[[#This Row],[HARGA/ CTN]]*IF(NOTA[[#This Row],[C]]="",0,NOTA[[#This Row],[C]]))</f>
        <v>4800000</v>
      </c>
      <c r="X468" s="54">
        <f>IF(NOTA[[#This Row],[JUMLAH]]="","",NOTA[[#This Row],[JUMLAH]]*NOTA[[#This Row],[DISC 1]])</f>
        <v>240000</v>
      </c>
      <c r="Y468" s="54">
        <f>IF(NOTA[[#This Row],[JUMLAH]]="","",(NOTA[[#This Row],[JUMLAH]]-NOTA[[#This Row],[DISC 1-]])*NOTA[[#This Row],[DISC 2]])</f>
        <v>456000</v>
      </c>
      <c r="Z468" s="54">
        <f>IF(NOTA[[#This Row],[JUMLAH]]="","",NOTA[[#This Row],[DISC 1-]]+NOTA[[#This Row],[DISC 2-]])</f>
        <v>696000</v>
      </c>
      <c r="AA468" s="54">
        <f>IF(NOTA[[#This Row],[JUMLAH]]="","",NOTA[[#This Row],[JUMLAH]]-NOTA[[#This Row],[DISC]])</f>
        <v>4104000</v>
      </c>
      <c r="AB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468" s="54">
        <f>IF(OR(NOTA[[#This Row],[QTY]]="",NOTA[[#This Row],[HARGA SATUAN]]="",),"",NOTA[[#This Row],[QTY]]*NOTA[[#This Row],[HARGA SATUAN]])</f>
        <v>4800000</v>
      </c>
      <c r="AF468" s="51">
        <f ca="1">IF(NOTA[ID_H]="","",INDEX(NOTA[TANGGAL],MATCH(,INDIRECT(ADDRESS(ROW(NOTA[TANGGAL]),COLUMN(NOTA[TANGGAL]))&amp;":"&amp;ADDRESS(ROW(),COLUMN(NOTA[TANGGAL]))),-1)))</f>
        <v>44942</v>
      </c>
      <c r="AG468" s="65" t="str">
        <f ca="1">IF(NOTA[[#This Row],[NAMA BARANG]]="","",INDEX(NOTA[SUPPLIER],MATCH(,INDIRECT(ADDRESS(ROW(NOTA[ID]),COLUMN(NOTA[ID]))&amp;":"&amp;ADDRESS(ROW(),COLUMN(NOTA[ID]))),-1)))</f>
        <v>GUNINDO</v>
      </c>
      <c r="AH468" s="65" t="str">
        <f ca="1">IF(NOTA[[#This Row],[ID_H]]="","",IF(NOTA[[#This Row],[FAKTUR]]="",INDIRECT(ADDRESS(ROW()-1,COLUMN())),NOTA[[#This Row],[FAKTUR]]))</f>
        <v>UNTANA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1</v>
      </c>
      <c r="AK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>gunindoflcoklat24000000.050.1</v>
      </c>
      <c r="AM468" s="193">
        <f>IF(NOTA[[#This Row],[CONCAT1]]="","",MATCH(NOTA[[#This Row],[CONCAT1]],[2]!db[NB NOTA_C],0)+1)</f>
        <v>931</v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93" t="str">
        <f>IF(NOTA[[#This Row],[CONCAT1]]="","",MATCH(NOTA[[#This Row],[CONCAT1]],[2]!db[NB NOTA_C],0)+1)</f>
        <v/>
      </c>
    </row>
    <row r="470" spans="1:39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e">
        <f ca="1">IF(NOTA[[#This Row],[ID_P]]="","",MATCH(NOTA[[#This Row],[ID_P]],[1]!B_MSK[N_ID],0))</f>
        <v>#REF!</v>
      </c>
      <c r="D470" s="50">
        <f ca="1">IF(NOTA[[#This Row],[NAMA BARANG]]="","",INDEX(NOTA[ID],MATCH(,INDIRECT(ADDRESS(ROW(NOTA[ID]),COLUMN(NOTA[ID]))&amp;":"&amp;ADDRESS(ROW(),COLUMN(NOTA[ID]))),-1)))</f>
        <v>88</v>
      </c>
      <c r="E470" s="80"/>
      <c r="F470" s="38" t="s">
        <v>237</v>
      </c>
      <c r="G470" s="38" t="s">
        <v>87</v>
      </c>
      <c r="H470" s="79" t="s">
        <v>649</v>
      </c>
      <c r="I470" s="82"/>
      <c r="J470" s="81">
        <v>44939</v>
      </c>
      <c r="K470" s="26"/>
      <c r="L470" s="26" t="s">
        <v>650</v>
      </c>
      <c r="M470" s="83">
        <v>3</v>
      </c>
      <c r="N470" s="82">
        <v>216</v>
      </c>
      <c r="O470" s="26" t="s">
        <v>128</v>
      </c>
      <c r="P470" s="84">
        <v>23500</v>
      </c>
      <c r="Q470" s="85"/>
      <c r="R470" s="39" t="s">
        <v>651</v>
      </c>
      <c r="S470" s="53"/>
      <c r="T470" s="86"/>
      <c r="U470" s="87"/>
      <c r="V470" s="37"/>
      <c r="W470" s="54">
        <f>IF(NOTA[[#This Row],[HARGA/ CTN]]="",NOTA[[#This Row],[JUMLAH_H]],NOTA[[#This Row],[HARGA/ CTN]]*IF(NOTA[[#This Row],[C]]="",0,NOTA[[#This Row],[C]]))</f>
        <v>5076000</v>
      </c>
      <c r="X470" s="54">
        <f>IF(NOTA[[#This Row],[JUMLAH]]="","",NOTA[[#This Row],[JUMLAH]]*NOTA[[#This Row],[DISC 1]])</f>
        <v>0</v>
      </c>
      <c r="Y470" s="54">
        <f>IF(NOTA[[#This Row],[JUMLAH]]="","",(NOTA[[#This Row],[JUMLAH]]-NOTA[[#This Row],[DISC 1-]])*NOTA[[#This Row],[DISC 2]])</f>
        <v>0</v>
      </c>
      <c r="Z470" s="54">
        <f>IF(NOTA[[#This Row],[JUMLAH]]="","",NOTA[[#This Row],[DISC 1-]]+NOTA[[#This Row],[DISC 2-]])</f>
        <v>0</v>
      </c>
      <c r="AA470" s="54">
        <f>IF(NOTA[[#This Row],[JUMLAH]]="","",NOTA[[#This Row],[JUMLAH]]-NOTA[[#This Row],[DISC]])</f>
        <v>5076000</v>
      </c>
      <c r="AB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470" s="54">
        <f>IF(OR(NOTA[[#This Row],[QTY]]="",NOTA[[#This Row],[HARGA SATUAN]]="",),"",NOTA[[#This Row],[QTY]]*NOTA[[#This Row],[HARGA SATUAN]])</f>
        <v>5076000</v>
      </c>
      <c r="AF470" s="51">
        <f ca="1">IF(NOTA[ID_H]="","",INDEX(NOTA[TANGGAL],MATCH(,INDIRECT(ADDRESS(ROW(NOTA[TANGGAL]),COLUMN(NOTA[TANGGAL]))&amp;":"&amp;ADDRESS(ROW(),COLUMN(NOTA[TANGGAL]))),-1)))</f>
        <v>44942</v>
      </c>
      <c r="AG470" s="65" t="str">
        <f ca="1">IF(NOTA[[#This Row],[NAMA BARANG]]="","",INDEX(NOTA[SUPPLIER],MATCH(,INDIRECT(ADDRESS(ROW(NOTA[ID]),COLUMN(NOTA[ID]))&amp;":"&amp;ADDRESS(ROW(),COLUMN(NOTA[ID]))),-1)))</f>
        <v>DUTA BUANA</v>
      </c>
      <c r="AH470" s="65" t="str">
        <f ca="1">IF(NOTA[[#This Row],[ID_H]]="","",IF(NOTA[[#This Row],[FAKTUR]]="",INDIRECT(ADDRESS(ROW()-1,COLUMN())),NOTA[[#This Row],[FAKTUR]]))</f>
        <v>UNTANA</v>
      </c>
      <c r="AI470" s="38">
        <f ca="1">IF(NOTA[[#This Row],[ID]]="","",COUNTIF(NOTA[ID_H],NOTA[[#This Row],[ID_H]]))</f>
        <v>1</v>
      </c>
      <c r="AJ470" s="38">
        <f>IF(NOTA[[#This Row],[TGL.NOTA]]="",IF(NOTA[[#This Row],[SUPPLIER_H]]="","",AJ469),MONTH(NOTA[[#This Row],[TGL.NOTA]]))</f>
        <v>1</v>
      </c>
      <c r="AK470" s="38" t="str">
        <f>LOWER(SUBSTITUTE(SUBSTITUTE(SUBSTITUTE(SUBSTITUTE(SUBSTITUTE(SUBSTITUTE(SUBSTITUTE(SUBSTITUTE(SUBSTITUTE(NOTA[NAMA BARANG]," ",),".",""),"-",""),"(",""),")",""),",",""),"/",""),"""",""),"+",""))</f>
        <v>acryliccolourtf1c00318x6ml</v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>acryliccolourtf1c00318x6ml1692000</v>
      </c>
      <c r="AM470" s="193" t="e">
        <f>IF(NOTA[[#This Row],[CONCAT1]]="","",MATCH(NOTA[[#This Row],[CONCAT1]],[2]!db[NB NOTA_C],0)+1)</f>
        <v>#N/A</v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93" t="str">
        <f>IF(NOTA[[#This Row],[CONCAT1]]="","",MATCH(NOTA[[#This Row],[CONCAT1]],[2]!db[NB NOTA_C],0)+1)</f>
        <v/>
      </c>
    </row>
    <row r="472" spans="1:39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e">
        <f ca="1">IF(NOTA[[#This Row],[ID_P]]="","",MATCH(NOTA[[#This Row],[ID_P]],[1]!B_MSK[N_ID],0))</f>
        <v>#REF!</v>
      </c>
      <c r="D472" s="50">
        <f ca="1">IF(NOTA[[#This Row],[NAMA BARANG]]="","",INDEX(NOTA[ID],MATCH(,INDIRECT(ADDRESS(ROW(NOTA[ID]),COLUMN(NOTA[ID]))&amp;":"&amp;ADDRESS(ROW(),COLUMN(NOTA[ID]))),-1)))</f>
        <v>89</v>
      </c>
      <c r="E472" s="80">
        <v>44944</v>
      </c>
      <c r="F472" s="26" t="s">
        <v>25</v>
      </c>
      <c r="G472" s="26" t="s">
        <v>24</v>
      </c>
      <c r="H472" s="31" t="s">
        <v>652</v>
      </c>
      <c r="I472" s="26"/>
      <c r="J472" s="81">
        <v>44939</v>
      </c>
      <c r="K472" s="26"/>
      <c r="L472" s="26" t="s">
        <v>270</v>
      </c>
      <c r="M472" s="83">
        <v>2</v>
      </c>
      <c r="N472" s="82">
        <v>288</v>
      </c>
      <c r="O472" s="26" t="s">
        <v>104</v>
      </c>
      <c r="P472" s="84">
        <v>4350</v>
      </c>
      <c r="Q472" s="85"/>
      <c r="R472" s="39" t="s">
        <v>271</v>
      </c>
      <c r="S472" s="86">
        <v>0.125</v>
      </c>
      <c r="T472" s="86">
        <v>0.05</v>
      </c>
      <c r="U472" s="87"/>
      <c r="V472" s="37"/>
      <c r="W472" s="54">
        <f>IF(NOTA[[#This Row],[HARGA/ CTN]]="",NOTA[[#This Row],[JUMLAH_H]],NOTA[[#This Row],[HARGA/ CTN]]*IF(NOTA[[#This Row],[C]]="",0,NOTA[[#This Row],[C]]))</f>
        <v>1252800</v>
      </c>
      <c r="X472" s="54">
        <f>IF(NOTA[[#This Row],[JUMLAH]]="","",NOTA[[#This Row],[JUMLAH]]*NOTA[[#This Row],[DISC 1]])</f>
        <v>156600</v>
      </c>
      <c r="Y472" s="54">
        <f>IF(NOTA[[#This Row],[JUMLAH]]="","",(NOTA[[#This Row],[JUMLAH]]-NOTA[[#This Row],[DISC 1-]])*NOTA[[#This Row],[DISC 2]])</f>
        <v>54810</v>
      </c>
      <c r="Z472" s="54">
        <f>IF(NOTA[[#This Row],[JUMLAH]]="","",NOTA[[#This Row],[DISC 1-]]+NOTA[[#This Row],[DISC 2-]])</f>
        <v>211410</v>
      </c>
      <c r="AA472" s="54">
        <f>IF(NOTA[[#This Row],[JUMLAH]]="","",NOTA[[#This Row],[JUMLAH]]-NOTA[[#This Row],[DISC]])</f>
        <v>1041390</v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472" s="54">
        <f>IF(OR(NOTA[[#This Row],[QTY]]="",NOTA[[#This Row],[HARGA SATUAN]]="",),"",NOTA[[#This Row],[QTY]]*NOTA[[#This Row],[HARGA SATUAN]])</f>
        <v>1252800</v>
      </c>
      <c r="AF472" s="51">
        <f ca="1">IF(NOTA[ID_H]="","",INDEX(NOTA[TANGGAL],MATCH(,INDIRECT(ADDRESS(ROW(NOTA[TANGGAL]),COLUMN(NOTA[TANGGAL]))&amp;":"&amp;ADDRESS(ROW(),COLUMN(NOTA[TANGGAL]))),-1)))</f>
        <v>44944</v>
      </c>
      <c r="AG472" s="65" t="str">
        <f ca="1">IF(NOTA[[#This Row],[NAMA BARANG]]="","",INDEX(NOTA[SUPPLIER],MATCH(,INDIRECT(ADDRESS(ROW(NOTA[ID]),COLUMN(NOTA[ID]))&amp;":"&amp;ADDRESS(ROW(),COLUMN(NOTA[ID]))),-1)))</f>
        <v>ATALI MAKMUR</v>
      </c>
      <c r="AH472" s="65" t="str">
        <f ca="1">IF(NOTA[[#This Row],[ID_H]]="","",IF(NOTA[[#This Row],[FAKTUR]]="",INDIRECT(ADDRESS(ROW()-1,COLUMN())),NOTA[[#This Row],[FAKTUR]]))</f>
        <v>ARTO MORO</v>
      </c>
      <c r="AI472" s="38">
        <f ca="1">IF(NOTA[[#This Row],[ID]]="","",COUNTIF(NOTA[ID_H],NOTA[[#This Row],[ID_H]]))</f>
        <v>11</v>
      </c>
      <c r="AJ472" s="38">
        <f>IF(NOTA[[#This Row],[TGL.NOTA]]="",IF(NOTA[[#This Row],[SUPPLIER_H]]="","",AJ471),MONTH(NOTA[[#This Row],[TGL.NOTA]]))</f>
        <v>1</v>
      </c>
      <c r="AK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472" s="193">
        <f>IF(NOTA[[#This Row],[CONCAT1]]="","",MATCH(NOTA[[#This Row],[CONCAT1]],[2]!db[NB NOTA_C],0)+1)</f>
        <v>1881</v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>
        <f ca="1">IF(NOTA[[#This Row],[NAMA BARANG]]="","",INDEX(NOTA[ID],MATCH(,INDIRECT(ADDRESS(ROW(NOTA[ID]),COLUMN(NOTA[ID]))&amp;":"&amp;ADDRESS(ROW(),COLUMN(NOTA[ID]))),-1)))</f>
        <v>89</v>
      </c>
      <c r="E473" s="80"/>
      <c r="F473" s="26"/>
      <c r="G473" s="26"/>
      <c r="H473" s="31"/>
      <c r="I473" s="82"/>
      <c r="J473" s="81"/>
      <c r="K473" s="26"/>
      <c r="L473" s="26" t="s">
        <v>291</v>
      </c>
      <c r="M473" s="83">
        <v>2</v>
      </c>
      <c r="N473" s="82">
        <v>288</v>
      </c>
      <c r="O473" s="26" t="s">
        <v>104</v>
      </c>
      <c r="P473" s="84">
        <v>6500</v>
      </c>
      <c r="Q473" s="85"/>
      <c r="R473" s="39" t="s">
        <v>271</v>
      </c>
      <c r="S473" s="86">
        <v>0.125</v>
      </c>
      <c r="T473" s="86">
        <v>0.05</v>
      </c>
      <c r="U473" s="87"/>
      <c r="V473" s="37"/>
      <c r="W473" s="54">
        <f>IF(NOTA[[#This Row],[HARGA/ CTN]]="",NOTA[[#This Row],[JUMLAH_H]],NOTA[[#This Row],[HARGA/ CTN]]*IF(NOTA[[#This Row],[C]]="",0,NOTA[[#This Row],[C]]))</f>
        <v>1872000</v>
      </c>
      <c r="X473" s="54">
        <f>IF(NOTA[[#This Row],[JUMLAH]]="","",NOTA[[#This Row],[JUMLAH]]*NOTA[[#This Row],[DISC 1]])</f>
        <v>234000</v>
      </c>
      <c r="Y473" s="54">
        <f>IF(NOTA[[#This Row],[JUMLAH]]="","",(NOTA[[#This Row],[JUMLAH]]-NOTA[[#This Row],[DISC 1-]])*NOTA[[#This Row],[DISC 2]])</f>
        <v>81900</v>
      </c>
      <c r="Z473" s="54">
        <f>IF(NOTA[[#This Row],[JUMLAH]]="","",NOTA[[#This Row],[DISC 1-]]+NOTA[[#This Row],[DISC 2-]])</f>
        <v>315900</v>
      </c>
      <c r="AA473" s="54">
        <f>IF(NOTA[[#This Row],[JUMLAH]]="","",NOTA[[#This Row],[JUMLAH]]-NOTA[[#This Row],[DISC]])</f>
        <v>1556100</v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473" s="54">
        <f>IF(OR(NOTA[[#This Row],[QTY]]="",NOTA[[#This Row],[HARGA SATUAN]]="",),"",NOTA[[#This Row],[QTY]]*NOTA[[#This Row],[HARGA SATUAN]])</f>
        <v>1872000</v>
      </c>
      <c r="AF473" s="51">
        <f ca="1">IF(NOTA[ID_H]="","",INDEX(NOTA[TANGGAL],MATCH(,INDIRECT(ADDRESS(ROW(NOTA[TANGGAL]),COLUMN(NOTA[TANGGAL]))&amp;":"&amp;ADDRESS(ROW(),COLUMN(NOTA[TANGGAL]))),-1)))</f>
        <v>44944</v>
      </c>
      <c r="AG473" s="65" t="str">
        <f ca="1">IF(NOTA[[#This Row],[NAMA BARANG]]="","",INDEX(NOTA[SUPPLIER],MATCH(,INDIRECT(ADDRESS(ROW(NOTA[ID]),COLUMN(NOTA[ID]))&amp;":"&amp;ADDRESS(ROW(),COLUMN(NOTA[ID]))),-1)))</f>
        <v>ATALI MAKMUR</v>
      </c>
      <c r="AH473" s="65" t="str">
        <f ca="1">IF(NOTA[[#This Row],[ID_H]]="","",IF(NOTA[[#This Row],[FAKTUR]]="",INDIRECT(ADDRESS(ROW()-1,COLUMN())),NOTA[[#This Row],[FAKTUR]]))</f>
        <v>ARTO MORO</v>
      </c>
      <c r="AI473" s="38" t="str">
        <f ca="1">IF(NOTA[[#This Row],[ID]]="","",COUNTIF(NOTA[ID_H],NOTA[[#This Row],[ID_H]]))</f>
        <v/>
      </c>
      <c r="AJ473" s="38">
        <f ca="1">IF(NOTA[[#This Row],[TGL.NOTA]]="",IF(NOTA[[#This Row],[SUPPLIER_H]]="","",AJ472),MONTH(NOTA[[#This Row],[TGL.NOTA]]))</f>
        <v>1</v>
      </c>
      <c r="AK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473" s="193">
        <f>IF(NOTA[[#This Row],[CONCAT1]]="","",MATCH(NOTA[[#This Row],[CONCAT1]],[2]!db[NB NOTA_C],0)+1)</f>
        <v>1882</v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>
        <f ca="1">IF(NOTA[[#This Row],[NAMA BARANG]]="","",INDEX(NOTA[ID],MATCH(,INDIRECT(ADDRESS(ROW(NOTA[ID]),COLUMN(NOTA[ID]))&amp;":"&amp;ADDRESS(ROW(),COLUMN(NOTA[ID]))),-1)))</f>
        <v>89</v>
      </c>
      <c r="E474" s="23"/>
      <c r="F474" s="26"/>
      <c r="G474" s="26"/>
      <c r="H474" s="31"/>
      <c r="I474" s="26"/>
      <c r="J474" s="51"/>
      <c r="K474" s="26"/>
      <c r="L474" s="26" t="s">
        <v>272</v>
      </c>
      <c r="M474" s="83">
        <v>2</v>
      </c>
      <c r="N474" s="82">
        <v>288</v>
      </c>
      <c r="O474" s="26" t="s">
        <v>104</v>
      </c>
      <c r="P474" s="84">
        <v>9750</v>
      </c>
      <c r="Q474" s="52"/>
      <c r="R474" s="39" t="s">
        <v>271</v>
      </c>
      <c r="S474" s="53">
        <v>0.125</v>
      </c>
      <c r="T474" s="53">
        <v>0.05</v>
      </c>
      <c r="U474" s="54"/>
      <c r="V474" s="37"/>
      <c r="W474" s="54">
        <f>IF(NOTA[[#This Row],[HARGA/ CTN]]="",NOTA[[#This Row],[JUMLAH_H]],NOTA[[#This Row],[HARGA/ CTN]]*IF(NOTA[[#This Row],[C]]="",0,NOTA[[#This Row],[C]]))</f>
        <v>2808000</v>
      </c>
      <c r="X474" s="54">
        <f>IF(NOTA[[#This Row],[JUMLAH]]="","",NOTA[[#This Row],[JUMLAH]]*NOTA[[#This Row],[DISC 1]])</f>
        <v>351000</v>
      </c>
      <c r="Y474" s="54">
        <f>IF(NOTA[[#This Row],[JUMLAH]]="","",(NOTA[[#This Row],[JUMLAH]]-NOTA[[#This Row],[DISC 1-]])*NOTA[[#This Row],[DISC 2]])</f>
        <v>122850</v>
      </c>
      <c r="Z474" s="54">
        <f>IF(NOTA[[#This Row],[JUMLAH]]="","",NOTA[[#This Row],[DISC 1-]]+NOTA[[#This Row],[DISC 2-]])</f>
        <v>473850</v>
      </c>
      <c r="AA474" s="54">
        <f>IF(NOTA[[#This Row],[JUMLAH]]="","",NOTA[[#This Row],[JUMLAH]]-NOTA[[#This Row],[DISC]])</f>
        <v>2334150</v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474" s="54">
        <f>IF(OR(NOTA[[#This Row],[QTY]]="",NOTA[[#This Row],[HARGA SATUAN]]="",),"",NOTA[[#This Row],[QTY]]*NOTA[[#This Row],[HARGA SATUAN]])</f>
        <v>2808000</v>
      </c>
      <c r="AF474" s="51">
        <f ca="1">IF(NOTA[ID_H]="","",INDEX(NOTA[TANGGAL],MATCH(,INDIRECT(ADDRESS(ROW(NOTA[TANGGAL]),COLUMN(NOTA[TANGGAL]))&amp;":"&amp;ADDRESS(ROW(),COLUMN(NOTA[TANGGAL]))),-1)))</f>
        <v>44944</v>
      </c>
      <c r="AG474" s="65" t="str">
        <f ca="1">IF(NOTA[[#This Row],[NAMA BARANG]]="","",INDEX(NOTA[SUPPLIER],MATCH(,INDIRECT(ADDRESS(ROW(NOTA[ID]),COLUMN(NOTA[ID]))&amp;":"&amp;ADDRESS(ROW(),COLUMN(NOTA[ID]))),-1)))</f>
        <v>ATALI MAKMUR</v>
      </c>
      <c r="AH474" s="65" t="str">
        <f ca="1">IF(NOTA[[#This Row],[ID_H]]="","",IF(NOTA[[#This Row],[FAKTUR]]="",INDIRECT(ADDRESS(ROW()-1,COLUMN())),NOTA[[#This Row],[FAKTUR]]))</f>
        <v>ARTO MORO</v>
      </c>
      <c r="AI474" s="38" t="str">
        <f ca="1">IF(NOTA[[#This Row],[ID]]="","",COUNTIF(NOTA[ID_H],NOTA[[#This Row],[ID_H]]))</f>
        <v/>
      </c>
      <c r="AJ474" s="38">
        <f ca="1">IF(NOTA[[#This Row],[TGL.NOTA]]="",IF(NOTA[[#This Row],[SUPPLIER_H]]="","",AJ473),MONTH(NOTA[[#This Row],[TGL.NOTA]]))</f>
        <v>1</v>
      </c>
      <c r="AK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474" s="193">
        <f>IF(NOTA[[#This Row],[CONCAT1]]="","",MATCH(NOTA[[#This Row],[CONCAT1]],[2]!db[NB NOTA_C],0)+1)</f>
        <v>1884</v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>
        <f ca="1">IF(NOTA[[#This Row],[NAMA BARANG]]="","",INDEX(NOTA[ID],MATCH(,INDIRECT(ADDRESS(ROW(NOTA[ID]),COLUMN(NOTA[ID]))&amp;":"&amp;ADDRESS(ROW(),COLUMN(NOTA[ID]))),-1)))</f>
        <v>89</v>
      </c>
      <c r="E475" s="23"/>
      <c r="F475" s="26"/>
      <c r="G475" s="26"/>
      <c r="H475" s="31"/>
      <c r="I475" s="26"/>
      <c r="J475" s="51"/>
      <c r="K475" s="26"/>
      <c r="L475" s="26" t="s">
        <v>653</v>
      </c>
      <c r="M475" s="83">
        <v>2</v>
      </c>
      <c r="N475" s="82">
        <v>432</v>
      </c>
      <c r="O475" s="26" t="s">
        <v>128</v>
      </c>
      <c r="P475" s="84">
        <v>8400</v>
      </c>
      <c r="Q475" s="52"/>
      <c r="R475" s="39" t="s">
        <v>264</v>
      </c>
      <c r="S475" s="53">
        <v>0.125</v>
      </c>
      <c r="T475" s="53">
        <v>0.05</v>
      </c>
      <c r="U475" s="54"/>
      <c r="V475" s="37"/>
      <c r="W475" s="54">
        <f>IF(NOTA[[#This Row],[HARGA/ CTN]]="",NOTA[[#This Row],[JUMLAH_H]],NOTA[[#This Row],[HARGA/ CTN]]*IF(NOTA[[#This Row],[C]]="",0,NOTA[[#This Row],[C]]))</f>
        <v>3628800</v>
      </c>
      <c r="X475" s="54">
        <f>IF(NOTA[[#This Row],[JUMLAH]]="","",NOTA[[#This Row],[JUMLAH]]*NOTA[[#This Row],[DISC 1]])</f>
        <v>453600</v>
      </c>
      <c r="Y475" s="54">
        <f>IF(NOTA[[#This Row],[JUMLAH]]="","",(NOTA[[#This Row],[JUMLAH]]-NOTA[[#This Row],[DISC 1-]])*NOTA[[#This Row],[DISC 2]])</f>
        <v>158760</v>
      </c>
      <c r="Z475" s="54">
        <f>IF(NOTA[[#This Row],[JUMLAH]]="","",NOTA[[#This Row],[DISC 1-]]+NOTA[[#This Row],[DISC 2-]])</f>
        <v>612360</v>
      </c>
      <c r="AA475" s="54">
        <f>IF(NOTA[[#This Row],[JUMLAH]]="","",NOTA[[#This Row],[JUMLAH]]-NOTA[[#This Row],[DISC]])</f>
        <v>3016440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475" s="54">
        <f>IF(OR(NOTA[[#This Row],[QTY]]="",NOTA[[#This Row],[HARGA SATUAN]]="",),"",NOTA[[#This Row],[QTY]]*NOTA[[#This Row],[HARGA SATUAN]])</f>
        <v>3628800</v>
      </c>
      <c r="AF475" s="51">
        <f ca="1">IF(NOTA[ID_H]="","",INDEX(NOTA[TANGGAL],MATCH(,INDIRECT(ADDRESS(ROW(NOTA[TANGGAL]),COLUMN(NOTA[TANGGAL]))&amp;":"&amp;ADDRESS(ROW(),COLUMN(NOTA[TANGGAL]))),-1)))</f>
        <v>44944</v>
      </c>
      <c r="AG475" s="49" t="str">
        <f ca="1">IF(NOTA[[#This Row],[NAMA BARANG]]="","",INDEX(NOTA[SUPPLIER],MATCH(,INDIRECT(ADDRESS(ROW(NOTA[ID]),COLUMN(NOTA[ID]))&amp;":"&amp;ADDRESS(ROW(),COLUMN(NOTA[ID]))),-1)))</f>
        <v>ATALI MAKMUR</v>
      </c>
      <c r="AH475" s="49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>
        <f ca="1">IF(NOTA[[#This Row],[TGL.NOTA]]="",IF(NOTA[[#This Row],[SUPPLIER_H]]="","",AJ474),MONTH(NOTA[[#This Row],[TGL.NOTA]]))</f>
        <v>1</v>
      </c>
      <c r="AK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>colorpencilcp103jk18144000.1250.05</v>
      </c>
      <c r="AM475" s="193">
        <f>IF(NOTA[[#This Row],[CONCAT1]]="","",MATCH(NOTA[[#This Row],[CONCAT1]],[2]!db[NB NOTA_C],0)+1)</f>
        <v>484</v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89</v>
      </c>
      <c r="E476" s="23"/>
      <c r="F476" s="26"/>
      <c r="G476" s="26"/>
      <c r="H476" s="31"/>
      <c r="I476" s="26"/>
      <c r="J476" s="51"/>
      <c r="K476" s="26"/>
      <c r="L476" s="26" t="s">
        <v>654</v>
      </c>
      <c r="M476" s="83">
        <v>1</v>
      </c>
      <c r="N476" s="82">
        <v>288</v>
      </c>
      <c r="O476" s="26" t="s">
        <v>128</v>
      </c>
      <c r="P476" s="84">
        <v>5400</v>
      </c>
      <c r="Q476" s="52"/>
      <c r="R476" s="39" t="s">
        <v>655</v>
      </c>
      <c r="S476" s="53">
        <v>0.125</v>
      </c>
      <c r="T476" s="53">
        <v>0.05</v>
      </c>
      <c r="U476" s="54"/>
      <c r="V476" s="37"/>
      <c r="W476" s="54">
        <f>IF(NOTA[[#This Row],[HARGA/ CTN]]="",NOTA[[#This Row],[JUMLAH_H]],NOTA[[#This Row],[HARGA/ CTN]]*IF(NOTA[[#This Row],[C]]="",0,NOTA[[#This Row],[C]]))</f>
        <v>1555200</v>
      </c>
      <c r="X476" s="54">
        <f>IF(NOTA[[#This Row],[JUMLAH]]="","",NOTA[[#This Row],[JUMLAH]]*NOTA[[#This Row],[DISC 1]])</f>
        <v>194400</v>
      </c>
      <c r="Y476" s="54">
        <f>IF(NOTA[[#This Row],[JUMLAH]]="","",(NOTA[[#This Row],[JUMLAH]]-NOTA[[#This Row],[DISC 1-]])*NOTA[[#This Row],[DISC 2]])</f>
        <v>68040</v>
      </c>
      <c r="Z476" s="54">
        <f>IF(NOTA[[#This Row],[JUMLAH]]="","",NOTA[[#This Row],[DISC 1-]]+NOTA[[#This Row],[DISC 2-]])</f>
        <v>262440</v>
      </c>
      <c r="AA476" s="54">
        <f>IF(NOTA[[#This Row],[JUMLAH]]="","",NOTA[[#This Row],[JUMLAH]]-NOTA[[#This Row],[DISC]])</f>
        <v>1292760</v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E476" s="54">
        <f>IF(OR(NOTA[[#This Row],[QTY]]="",NOTA[[#This Row],[HARGA SATUAN]]="",),"",NOTA[[#This Row],[QTY]]*NOTA[[#This Row],[HARGA SATUAN]])</f>
        <v>1555200</v>
      </c>
      <c r="AF476" s="51">
        <f ca="1">IF(NOTA[ID_H]="","",INDEX(NOTA[TANGGAL],MATCH(,INDIRECT(ADDRESS(ROW(NOTA[TANGGAL]),COLUMN(NOTA[TANGGAL]))&amp;":"&amp;ADDRESS(ROW(),COLUMN(NOTA[TANGGAL]))),-1)))</f>
        <v>44944</v>
      </c>
      <c r="AG476" s="49" t="str">
        <f ca="1">IF(NOTA[[#This Row],[NAMA BARANG]]="","",INDEX(NOTA[SUPPLIER],MATCH(,INDIRECT(ADDRESS(ROW(NOTA[ID]),COLUMN(NOTA[ID]))&amp;":"&amp;ADDRESS(ROW(),COLUMN(NOTA[ID]))),-1)))</f>
        <v>ATALI MAKMUR</v>
      </c>
      <c r="AH476" s="49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1</v>
      </c>
      <c r="AK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>colorpencilcp107jk15552000.1250.05</v>
      </c>
      <c r="AM476" s="193">
        <f>IF(NOTA[[#This Row],[CONCAT1]]="","",MATCH(NOTA[[#This Row],[CONCAT1]],[2]!db[NB NOTA_C],0)+1)</f>
        <v>486</v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>
        <f ca="1">IF(NOTA[[#This Row],[NAMA BARANG]]="","",INDEX(NOTA[ID],MATCH(,INDIRECT(ADDRESS(ROW(NOTA[ID]),COLUMN(NOTA[ID]))&amp;":"&amp;ADDRESS(ROW(),COLUMN(NOTA[ID]))),-1)))</f>
        <v>89</v>
      </c>
      <c r="E477" s="23"/>
      <c r="F477" s="26"/>
      <c r="G477" s="26"/>
      <c r="H477" s="31"/>
      <c r="I477" s="26"/>
      <c r="J477" s="51"/>
      <c r="K477" s="51"/>
      <c r="L477" s="26" t="s">
        <v>628</v>
      </c>
      <c r="M477" s="83">
        <v>2</v>
      </c>
      <c r="N477" s="82">
        <v>144</v>
      </c>
      <c r="O477" s="26" t="s">
        <v>128</v>
      </c>
      <c r="P477" s="84">
        <v>21200</v>
      </c>
      <c r="Q477" s="52"/>
      <c r="R477" s="39" t="s">
        <v>629</v>
      </c>
      <c r="S477" s="53">
        <v>0.125</v>
      </c>
      <c r="T477" s="53">
        <v>0.05</v>
      </c>
      <c r="U477" s="54"/>
      <c r="V477" s="37"/>
      <c r="W477" s="54">
        <f>IF(NOTA[[#This Row],[HARGA/ CTN]]="",NOTA[[#This Row],[JUMLAH_H]],NOTA[[#This Row],[HARGA/ CTN]]*IF(NOTA[[#This Row],[C]]="",0,NOTA[[#This Row],[C]]))</f>
        <v>3052800</v>
      </c>
      <c r="X477" s="54">
        <f>IF(NOTA[[#This Row],[JUMLAH]]="","",NOTA[[#This Row],[JUMLAH]]*NOTA[[#This Row],[DISC 1]])</f>
        <v>381600</v>
      </c>
      <c r="Y477" s="54">
        <f>IF(NOTA[[#This Row],[JUMLAH]]="","",(NOTA[[#This Row],[JUMLAH]]-NOTA[[#This Row],[DISC 1-]])*NOTA[[#This Row],[DISC 2]])</f>
        <v>133560</v>
      </c>
      <c r="Z477" s="54">
        <f>IF(NOTA[[#This Row],[JUMLAH]]="","",NOTA[[#This Row],[DISC 1-]]+NOTA[[#This Row],[DISC 2-]])</f>
        <v>515160</v>
      </c>
      <c r="AA477" s="54">
        <f>IF(NOTA[[#This Row],[JUMLAH]]="","",NOTA[[#This Row],[JUMLAH]]-NOTA[[#This Row],[DISC]])</f>
        <v>2537640</v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77" s="54">
        <f>IF(OR(NOTA[[#This Row],[QTY]]="",NOTA[[#This Row],[HARGA SATUAN]]="",),"",NOTA[[#This Row],[QTY]]*NOTA[[#This Row],[HARGA SATUAN]])</f>
        <v>3052800</v>
      </c>
      <c r="AF477" s="51">
        <f ca="1">IF(NOTA[ID_H]="","",INDEX(NOTA[TANGGAL],MATCH(,INDIRECT(ADDRESS(ROW(NOTA[TANGGAL]),COLUMN(NOTA[TANGGAL]))&amp;":"&amp;ADDRESS(ROW(),COLUMN(NOTA[TANGGAL]))),-1)))</f>
        <v>44944</v>
      </c>
      <c r="AG477" s="49" t="str">
        <f ca="1">IF(NOTA[[#This Row],[NAMA BARANG]]="","",INDEX(NOTA[SUPPLIER],MATCH(,INDIRECT(ADDRESS(ROW(NOTA[ID]),COLUMN(NOTA[ID]))&amp;":"&amp;ADDRESS(ROW(),COLUMN(NOTA[ID]))),-1)))</f>
        <v>ATALI MAKMUR</v>
      </c>
      <c r="AH477" s="49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>
        <f ca="1">IF(NOTA[[#This Row],[TGL.NOTA]]="",IF(NOTA[[#This Row],[SUPPLIER_H]]="","",AJ476),MONTH(NOTA[[#This Row],[TGL.NOTA]]))</f>
        <v>1</v>
      </c>
      <c r="AK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477" s="193">
        <f>IF(NOTA[[#This Row],[CONCAT1]]="","",MATCH(NOTA[[#This Row],[CONCAT1]],[2]!db[NB NOTA_C],0)+1)</f>
        <v>489</v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>
        <f ca="1">IF(NOTA[[#This Row],[NAMA BARANG]]="","",INDEX(NOTA[ID],MATCH(,INDIRECT(ADDRESS(ROW(NOTA[ID]),COLUMN(NOTA[ID]))&amp;":"&amp;ADDRESS(ROW(),COLUMN(NOTA[ID]))),-1)))</f>
        <v>89</v>
      </c>
      <c r="E478" s="23"/>
      <c r="F478" s="26"/>
      <c r="G478" s="26"/>
      <c r="H478" s="31"/>
      <c r="I478" s="26"/>
      <c r="J478" s="51"/>
      <c r="K478" s="26"/>
      <c r="L478" s="26" t="s">
        <v>656</v>
      </c>
      <c r="M478" s="39">
        <v>2</v>
      </c>
      <c r="N478" s="26">
        <v>288</v>
      </c>
      <c r="O478" s="26" t="s">
        <v>128</v>
      </c>
      <c r="P478" s="49">
        <v>10600</v>
      </c>
      <c r="Q478" s="52"/>
      <c r="R478" s="39" t="s">
        <v>264</v>
      </c>
      <c r="S478" s="53">
        <v>0.125</v>
      </c>
      <c r="T478" s="53">
        <v>0.05</v>
      </c>
      <c r="U478" s="54"/>
      <c r="V478" s="37"/>
      <c r="W478" s="54">
        <f>IF(NOTA[[#This Row],[HARGA/ CTN]]="",NOTA[[#This Row],[JUMLAH_H]],NOTA[[#This Row],[HARGA/ CTN]]*IF(NOTA[[#This Row],[C]]="",0,NOTA[[#This Row],[C]]))</f>
        <v>3052800</v>
      </c>
      <c r="X478" s="54">
        <f>IF(NOTA[[#This Row],[JUMLAH]]="","",NOTA[[#This Row],[JUMLAH]]*NOTA[[#This Row],[DISC 1]])</f>
        <v>381600</v>
      </c>
      <c r="Y478" s="54">
        <f>IF(NOTA[[#This Row],[JUMLAH]]="","",(NOTA[[#This Row],[JUMLAH]]-NOTA[[#This Row],[DISC 1-]])*NOTA[[#This Row],[DISC 2]])</f>
        <v>133560</v>
      </c>
      <c r="Z478" s="54">
        <f>IF(NOTA[[#This Row],[JUMLAH]]="","",NOTA[[#This Row],[DISC 1-]]+NOTA[[#This Row],[DISC 2-]])</f>
        <v>515160</v>
      </c>
      <c r="AA478" s="54">
        <f>IF(NOTA[[#This Row],[JUMLAH]]="","",NOTA[[#This Row],[JUMLAH]]-NOTA[[#This Row],[DISC]])</f>
        <v>2537640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78" s="54">
        <f>IF(OR(NOTA[[#This Row],[QTY]]="",NOTA[[#This Row],[HARGA SATUAN]]="",),"",NOTA[[#This Row],[QTY]]*NOTA[[#This Row],[HARGA SATUAN]])</f>
        <v>3052800</v>
      </c>
      <c r="AF478" s="51">
        <f ca="1">IF(NOTA[ID_H]="","",INDEX(NOTA[TANGGAL],MATCH(,INDIRECT(ADDRESS(ROW(NOTA[TANGGAL]),COLUMN(NOTA[TANGGAL]))&amp;":"&amp;ADDRESS(ROW(),COLUMN(NOTA[TANGGAL]))),-1)))</f>
        <v>44944</v>
      </c>
      <c r="AG478" s="49" t="str">
        <f ca="1">IF(NOTA[[#This Row],[NAMA BARANG]]="","",INDEX(NOTA[SUPPLIER],MATCH(,INDIRECT(ADDRESS(ROW(NOTA[ID]),COLUMN(NOTA[ID]))&amp;":"&amp;ADDRESS(ROW(),COLUMN(NOTA[ID]))),-1)))</f>
        <v>ATALI MAKMUR</v>
      </c>
      <c r="AH478" s="49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>
        <f ca="1">IF(NOTA[[#This Row],[TGL.NOTA]]="",IF(NOTA[[#This Row],[SUPPLIER_H]]="","",AJ477),MONTH(NOTA[[#This Row],[TGL.NOTA]]))</f>
        <v>1</v>
      </c>
      <c r="AK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478" s="193">
        <f>IF(NOTA[[#This Row],[CONCAT1]]="","",MATCH(NOTA[[#This Row],[CONCAT1]],[2]!db[NB NOTA_C],0)+1)</f>
        <v>487</v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89</v>
      </c>
      <c r="E479" s="23"/>
      <c r="F479" s="26"/>
      <c r="G479" s="26"/>
      <c r="H479" s="31"/>
      <c r="I479" s="26"/>
      <c r="J479" s="51"/>
      <c r="K479" s="26"/>
      <c r="L479" s="26" t="s">
        <v>624</v>
      </c>
      <c r="M479" s="39">
        <v>2</v>
      </c>
      <c r="N479" s="26">
        <v>100</v>
      </c>
      <c r="O479" s="26" t="s">
        <v>131</v>
      </c>
      <c r="P479" s="49">
        <v>32000</v>
      </c>
      <c r="Q479" s="52"/>
      <c r="R479" s="39" t="s">
        <v>657</v>
      </c>
      <c r="S479" s="53">
        <v>0.125</v>
      </c>
      <c r="T479" s="53">
        <v>0.05</v>
      </c>
      <c r="U479" s="54"/>
      <c r="V479" s="37"/>
      <c r="W479" s="54">
        <f>IF(NOTA[[#This Row],[HARGA/ CTN]]="",NOTA[[#This Row],[JUMLAH_H]],NOTA[[#This Row],[HARGA/ CTN]]*IF(NOTA[[#This Row],[C]]="",0,NOTA[[#This Row],[C]]))</f>
        <v>3200000</v>
      </c>
      <c r="X479" s="54">
        <f>IF(NOTA[[#This Row],[JUMLAH]]="","",NOTA[[#This Row],[JUMLAH]]*NOTA[[#This Row],[DISC 1]])</f>
        <v>400000</v>
      </c>
      <c r="Y479" s="54">
        <f>IF(NOTA[[#This Row],[JUMLAH]]="","",(NOTA[[#This Row],[JUMLAH]]-NOTA[[#This Row],[DISC 1-]])*NOTA[[#This Row],[DISC 2]])</f>
        <v>140000</v>
      </c>
      <c r="Z479" s="54">
        <f>IF(NOTA[[#This Row],[JUMLAH]]="","",NOTA[[#This Row],[DISC 1-]]+NOTA[[#This Row],[DISC 2-]])</f>
        <v>540000</v>
      </c>
      <c r="AA479" s="54">
        <f>IF(NOTA[[#This Row],[JUMLAH]]="","",NOTA[[#This Row],[JUMLAH]]-NOTA[[#This Row],[DISC]])</f>
        <v>2660000</v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479" s="54">
        <f>IF(OR(NOTA[[#This Row],[QTY]]="",NOTA[[#This Row],[HARGA SATUAN]]="",),"",NOTA[[#This Row],[QTY]]*NOTA[[#This Row],[HARGA SATUAN]])</f>
        <v>3200000</v>
      </c>
      <c r="AF479" s="51">
        <f ca="1">IF(NOTA[ID_H]="","",INDEX(NOTA[TANGGAL],MATCH(,INDIRECT(ADDRESS(ROW(NOTA[TANGGAL]),COLUMN(NOTA[TANGGAL]))&amp;":"&amp;ADDRESS(ROW(),COLUMN(NOTA[TANGGAL]))),-1)))</f>
        <v>44944</v>
      </c>
      <c r="AG479" s="49" t="str">
        <f ca="1">IF(NOTA[[#This Row],[NAMA BARANG]]="","",INDEX(NOTA[SUPPLIER],MATCH(,INDIRECT(ADDRESS(ROW(NOTA[ID]),COLUMN(NOTA[ID]))&amp;":"&amp;ADDRESS(ROW(),COLUMN(NOTA[ID]))),-1)))</f>
        <v>ATALI MAKMUR</v>
      </c>
      <c r="AH479" s="49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1</v>
      </c>
      <c r="AK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479" s="193">
        <f>IF(NOTA[[#This Row],[CONCAT1]]="","",MATCH(NOTA[[#This Row],[CONCAT1]],[2]!db[NB NOTA_C],0)+1)</f>
        <v>679</v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>
        <f ca="1">IF(NOTA[[#This Row],[NAMA BARANG]]="","",INDEX(NOTA[ID],MATCH(,INDIRECT(ADDRESS(ROW(NOTA[ID]),COLUMN(NOTA[ID]))&amp;":"&amp;ADDRESS(ROW(),COLUMN(NOTA[ID]))),-1)))</f>
        <v>89</v>
      </c>
      <c r="E480" s="23"/>
      <c r="F480" s="26"/>
      <c r="G480" s="26"/>
      <c r="H480" s="31"/>
      <c r="I480" s="26"/>
      <c r="J480" s="51"/>
      <c r="K480" s="26"/>
      <c r="L480" s="26" t="s">
        <v>278</v>
      </c>
      <c r="M480" s="39">
        <v>3</v>
      </c>
      <c r="N480" s="26">
        <v>150</v>
      </c>
      <c r="O480" s="26" t="s">
        <v>131</v>
      </c>
      <c r="P480" s="49">
        <v>28300</v>
      </c>
      <c r="Q480" s="52"/>
      <c r="R480" s="39" t="s">
        <v>279</v>
      </c>
      <c r="S480" s="53">
        <v>0.125</v>
      </c>
      <c r="T480" s="53">
        <v>0.05</v>
      </c>
      <c r="U480" s="54"/>
      <c r="V480" s="37"/>
      <c r="W480" s="54">
        <f>IF(NOTA[[#This Row],[HARGA/ CTN]]="",NOTA[[#This Row],[JUMLAH_H]],NOTA[[#This Row],[HARGA/ CTN]]*IF(NOTA[[#This Row],[C]]="",0,NOTA[[#This Row],[C]]))</f>
        <v>4245000</v>
      </c>
      <c r="X480" s="54">
        <f>IF(NOTA[[#This Row],[JUMLAH]]="","",NOTA[[#This Row],[JUMLAH]]*NOTA[[#This Row],[DISC 1]])</f>
        <v>530625</v>
      </c>
      <c r="Y480" s="54">
        <f>IF(NOTA[[#This Row],[JUMLAH]]="","",(NOTA[[#This Row],[JUMLAH]]-NOTA[[#This Row],[DISC 1-]])*NOTA[[#This Row],[DISC 2]])</f>
        <v>185718.75</v>
      </c>
      <c r="Z480" s="54">
        <f>IF(NOTA[[#This Row],[JUMLAH]]="","",NOTA[[#This Row],[DISC 1-]]+NOTA[[#This Row],[DISC 2-]])</f>
        <v>716343.75</v>
      </c>
      <c r="AA480" s="54">
        <f>IF(NOTA[[#This Row],[JUMLAH]]="","",NOTA[[#This Row],[JUMLAH]]-NOTA[[#This Row],[DISC]])</f>
        <v>3528656.25</v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80" s="54">
        <f>IF(OR(NOTA[[#This Row],[QTY]]="",NOTA[[#This Row],[HARGA SATUAN]]="",),"",NOTA[[#This Row],[QTY]]*NOTA[[#This Row],[HARGA SATUAN]])</f>
        <v>4245000</v>
      </c>
      <c r="AF480" s="51">
        <f ca="1">IF(NOTA[ID_H]="","",INDEX(NOTA[TANGGAL],MATCH(,INDIRECT(ADDRESS(ROW(NOTA[TANGGAL]),COLUMN(NOTA[TANGGAL]))&amp;":"&amp;ADDRESS(ROW(),COLUMN(NOTA[TANGGAL]))),-1)))</f>
        <v>44944</v>
      </c>
      <c r="AG480" s="49" t="str">
        <f ca="1">IF(NOTA[[#This Row],[NAMA BARANG]]="","",INDEX(NOTA[SUPPLIER],MATCH(,INDIRECT(ADDRESS(ROW(NOTA[ID]),COLUMN(NOTA[ID]))&amp;":"&amp;ADDRESS(ROW(),COLUMN(NOTA[ID]))),-1)))</f>
        <v>ATALI MAKMUR</v>
      </c>
      <c r="AH480" s="49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>
        <f ca="1">IF(NOTA[[#This Row],[TGL.NOTA]]="",IF(NOTA[[#This Row],[SUPPLIER_H]]="","",AJ479),MONTH(NOTA[[#This Row],[TGL.NOTA]]))</f>
        <v>1</v>
      </c>
      <c r="AK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480" s="193">
        <f>IF(NOTA[[#This Row],[CONCAT1]]="","",MATCH(NOTA[[#This Row],[CONCAT1]],[2]!db[NB NOTA_C],0)+1)</f>
        <v>673</v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>
        <f ca="1">IF(NOTA[[#This Row],[NAMA BARANG]]="","",INDEX(NOTA[ID],MATCH(,INDIRECT(ADDRESS(ROW(NOTA[ID]),COLUMN(NOTA[ID]))&amp;":"&amp;ADDRESS(ROW(),COLUMN(NOTA[ID]))),-1)))</f>
        <v>89</v>
      </c>
      <c r="E481" s="23"/>
      <c r="F481" s="26"/>
      <c r="G481" s="26"/>
      <c r="H481" s="31"/>
      <c r="I481" s="26"/>
      <c r="J481" s="51"/>
      <c r="K481" s="26"/>
      <c r="L481" s="26" t="s">
        <v>283</v>
      </c>
      <c r="M481" s="39">
        <v>2</v>
      </c>
      <c r="N481" s="26">
        <v>100</v>
      </c>
      <c r="O481" s="26" t="s">
        <v>131</v>
      </c>
      <c r="P481" s="49">
        <v>28300</v>
      </c>
      <c r="Q481" s="52"/>
      <c r="R481" s="39" t="s">
        <v>279</v>
      </c>
      <c r="S481" s="53">
        <v>0.125</v>
      </c>
      <c r="T481" s="53">
        <v>0.05</v>
      </c>
      <c r="U481" s="54"/>
      <c r="V481" s="37"/>
      <c r="W481" s="54">
        <f>IF(NOTA[[#This Row],[HARGA/ CTN]]="",NOTA[[#This Row],[JUMLAH_H]],NOTA[[#This Row],[HARGA/ CTN]]*IF(NOTA[[#This Row],[C]]="",0,NOTA[[#This Row],[C]]))</f>
        <v>2830000</v>
      </c>
      <c r="X481" s="54">
        <f>IF(NOTA[[#This Row],[JUMLAH]]="","",NOTA[[#This Row],[JUMLAH]]*NOTA[[#This Row],[DISC 1]])</f>
        <v>353750</v>
      </c>
      <c r="Y481" s="54">
        <f>IF(NOTA[[#This Row],[JUMLAH]]="","",(NOTA[[#This Row],[JUMLAH]]-NOTA[[#This Row],[DISC 1-]])*NOTA[[#This Row],[DISC 2]])</f>
        <v>123812.5</v>
      </c>
      <c r="Z481" s="54">
        <f>IF(NOTA[[#This Row],[JUMLAH]]="","",NOTA[[#This Row],[DISC 1-]]+NOTA[[#This Row],[DISC 2-]])</f>
        <v>477562.5</v>
      </c>
      <c r="AA481" s="54">
        <f>IF(NOTA[[#This Row],[JUMLAH]]="","",NOTA[[#This Row],[JUMLAH]]-NOTA[[#This Row],[DISC]])</f>
        <v>2352437.5</v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81" s="54">
        <f>IF(OR(NOTA[[#This Row],[QTY]]="",NOTA[[#This Row],[HARGA SATUAN]]="",),"",NOTA[[#This Row],[QTY]]*NOTA[[#This Row],[HARGA SATUAN]])</f>
        <v>2830000</v>
      </c>
      <c r="AF481" s="51">
        <f ca="1">IF(NOTA[ID_H]="","",INDEX(NOTA[TANGGAL],MATCH(,INDIRECT(ADDRESS(ROW(NOTA[TANGGAL]),COLUMN(NOTA[TANGGAL]))&amp;":"&amp;ADDRESS(ROW(),COLUMN(NOTA[TANGGAL]))),-1)))</f>
        <v>44944</v>
      </c>
      <c r="AG481" s="49" t="str">
        <f ca="1">IF(NOTA[[#This Row],[NAMA BARANG]]="","",INDEX(NOTA[SUPPLIER],MATCH(,INDIRECT(ADDRESS(ROW(NOTA[ID]),COLUMN(NOTA[ID]))&amp;":"&amp;ADDRESS(ROW(),COLUMN(NOTA[ID]))),-1)))</f>
        <v>ATALI MAKMUR</v>
      </c>
      <c r="AH481" s="49" t="str">
        <f ca="1">IF(NOTA[[#This Row],[ID_H]]="","",IF(NOTA[[#This Row],[FAKTUR]]="",INDIRECT(ADDRESS(ROW()-1,COLUMN())),NOTA[[#This Row],[FAKTUR]]))</f>
        <v>ARTO MORO</v>
      </c>
      <c r="AI481" s="38" t="str">
        <f ca="1">IF(NOTA[[#This Row],[ID]]="","",COUNTIF(NOTA[ID_H],NOTA[[#This Row],[ID_H]]))</f>
        <v/>
      </c>
      <c r="AJ481" s="38">
        <f ca="1">IF(NOTA[[#This Row],[TGL.NOTA]]="",IF(NOTA[[#This Row],[SUPPLIER_H]]="","",AJ480),MONTH(NOTA[[#This Row],[TGL.NOTA]]))</f>
        <v>1</v>
      </c>
      <c r="AK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481" s="193">
        <f>IF(NOTA[[#This Row],[CONCAT1]]="","",MATCH(NOTA[[#This Row],[CONCAT1]],[2]!db[NB NOTA_C],0)+1)</f>
        <v>672</v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>
        <f ca="1">IF(NOTA[[#This Row],[NAMA BARANG]]="","",INDEX(NOTA[ID],MATCH(,INDIRECT(ADDRESS(ROW(NOTA[ID]),COLUMN(NOTA[ID]))&amp;":"&amp;ADDRESS(ROW(),COLUMN(NOTA[ID]))),-1)))</f>
        <v>89</v>
      </c>
      <c r="E482" s="23"/>
      <c r="F482" s="26"/>
      <c r="G482" s="26"/>
      <c r="H482" s="31"/>
      <c r="I482" s="26"/>
      <c r="J482" s="51"/>
      <c r="K482" s="26"/>
      <c r="L482" s="26" t="s">
        <v>280</v>
      </c>
      <c r="M482" s="39">
        <v>2</v>
      </c>
      <c r="N482" s="26">
        <v>100</v>
      </c>
      <c r="O482" s="26" t="s">
        <v>131</v>
      </c>
      <c r="P482" s="49">
        <v>34100</v>
      </c>
      <c r="Q482" s="52"/>
      <c r="R482" s="39" t="s">
        <v>281</v>
      </c>
      <c r="S482" s="53">
        <v>0.125</v>
      </c>
      <c r="T482" s="53">
        <v>0.05</v>
      </c>
      <c r="U482" s="54"/>
      <c r="V482" s="37"/>
      <c r="W482" s="54">
        <f>IF(NOTA[[#This Row],[HARGA/ CTN]]="",NOTA[[#This Row],[JUMLAH_H]],NOTA[[#This Row],[HARGA/ CTN]]*IF(NOTA[[#This Row],[C]]="",0,NOTA[[#This Row],[C]]))</f>
        <v>3410000</v>
      </c>
      <c r="X482" s="54">
        <f>IF(NOTA[[#This Row],[JUMLAH]]="","",NOTA[[#This Row],[JUMLAH]]*NOTA[[#This Row],[DISC 1]])</f>
        <v>426250</v>
      </c>
      <c r="Y482" s="54">
        <f>IF(NOTA[[#This Row],[JUMLAH]]="","",(NOTA[[#This Row],[JUMLAH]]-NOTA[[#This Row],[DISC 1-]])*NOTA[[#This Row],[DISC 2]])</f>
        <v>149187.5</v>
      </c>
      <c r="Z482" s="54">
        <f>IF(NOTA[[#This Row],[JUMLAH]]="","",NOTA[[#This Row],[DISC 1-]]+NOTA[[#This Row],[DISC 2-]])</f>
        <v>575437.5</v>
      </c>
      <c r="AA482" s="54">
        <f>IF(NOTA[[#This Row],[JUMLAH]]="","",NOTA[[#This Row],[JUMLAH]]-NOTA[[#This Row],[DISC]])</f>
        <v>2834562.5</v>
      </c>
      <c r="AB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82" s="54">
        <f>IF(OR(NOTA[[#This Row],[QTY]]="",NOTA[[#This Row],[HARGA SATUAN]]="",),"",NOTA[[#This Row],[QTY]]*NOTA[[#This Row],[HARGA SATUAN]])</f>
        <v>3410000</v>
      </c>
      <c r="AF482" s="51">
        <f ca="1">IF(NOTA[ID_H]="","",INDEX(NOTA[TANGGAL],MATCH(,INDIRECT(ADDRESS(ROW(NOTA[TANGGAL]),COLUMN(NOTA[TANGGAL]))&amp;":"&amp;ADDRESS(ROW(),COLUMN(NOTA[TANGGAL]))),-1)))</f>
        <v>44944</v>
      </c>
      <c r="AG482" s="49" t="str">
        <f ca="1">IF(NOTA[[#This Row],[NAMA BARANG]]="","",INDEX(NOTA[SUPPLIER],MATCH(,INDIRECT(ADDRESS(ROW(NOTA[ID]),COLUMN(NOTA[ID]))&amp;":"&amp;ADDRESS(ROW(),COLUMN(NOTA[ID]))),-1)))</f>
        <v>ATALI MAKMUR</v>
      </c>
      <c r="AH482" s="49" t="str">
        <f ca="1">IF(NOTA[[#This Row],[ID_H]]="","",IF(NOTA[[#This Row],[FAKTUR]]="",INDIRECT(ADDRESS(ROW()-1,COLUMN())),NOTA[[#This Row],[FAKTUR]]))</f>
        <v>ARTO MORO</v>
      </c>
      <c r="AI482" s="38" t="str">
        <f ca="1">IF(NOTA[[#This Row],[ID]]="","",COUNTIF(NOTA[ID_H],NOTA[[#This Row],[ID_H]]))</f>
        <v/>
      </c>
      <c r="AJ482" s="38">
        <f ca="1">IF(NOTA[[#This Row],[TGL.NOTA]]="",IF(NOTA[[#This Row],[SUPPLIER_H]]="","",AJ481),MONTH(NOTA[[#This Row],[TGL.NOTA]]))</f>
        <v>1</v>
      </c>
      <c r="AK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482" s="193">
        <f>IF(NOTA[[#This Row],[CONCAT1]]="","",MATCH(NOTA[[#This Row],[CONCAT1]],[2]!db[NB NOTA_C],0)+1)</f>
        <v>671</v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93" t="str">
        <f>IF(NOTA[[#This Row],[CONCAT1]]="","",MATCH(NOTA[[#This Row],[CONCAT1]],[2]!db[NB NOTA_C],0)+1)</f>
        <v/>
      </c>
    </row>
    <row r="484" spans="1:39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e">
        <f ca="1">IF(NOTA[[#This Row],[ID_P]]="","",MATCH(NOTA[[#This Row],[ID_P]],[1]!B_MSK[N_ID],0))</f>
        <v>#REF!</v>
      </c>
      <c r="D484" s="50">
        <f ca="1">IF(NOTA[[#This Row],[NAMA BARANG]]="","",INDEX(NOTA[ID],MATCH(,INDIRECT(ADDRESS(ROW(NOTA[ID]),COLUMN(NOTA[ID]))&amp;":"&amp;ADDRESS(ROW(),COLUMN(NOTA[ID]))),-1)))</f>
        <v>90</v>
      </c>
      <c r="E484" s="23"/>
      <c r="F484" s="26" t="s">
        <v>25</v>
      </c>
      <c r="G484" s="26" t="s">
        <v>24</v>
      </c>
      <c r="H484" s="31" t="s">
        <v>658</v>
      </c>
      <c r="I484" s="26"/>
      <c r="J484" s="51">
        <v>44939</v>
      </c>
      <c r="K484" s="26"/>
      <c r="L484" s="26" t="s">
        <v>659</v>
      </c>
      <c r="M484" s="39">
        <v>1</v>
      </c>
      <c r="N484" s="26">
        <v>48</v>
      </c>
      <c r="O484" s="26" t="s">
        <v>660</v>
      </c>
      <c r="P484" s="49">
        <v>23000</v>
      </c>
      <c r="Q484" s="52"/>
      <c r="R484" s="39" t="s">
        <v>661</v>
      </c>
      <c r="S484" s="53">
        <v>0.125</v>
      </c>
      <c r="T484" s="53">
        <v>0.05</v>
      </c>
      <c r="U484" s="54"/>
      <c r="V484" s="37"/>
      <c r="W484" s="54">
        <f>IF(NOTA[[#This Row],[HARGA/ CTN]]="",NOTA[[#This Row],[JUMLAH_H]],NOTA[[#This Row],[HARGA/ CTN]]*IF(NOTA[[#This Row],[C]]="",0,NOTA[[#This Row],[C]]))</f>
        <v>1104000</v>
      </c>
      <c r="X484" s="54">
        <f>IF(NOTA[[#This Row],[JUMLAH]]="","",NOTA[[#This Row],[JUMLAH]]*NOTA[[#This Row],[DISC 1]])</f>
        <v>138000</v>
      </c>
      <c r="Y484" s="54">
        <f>IF(NOTA[[#This Row],[JUMLAH]]="","",(NOTA[[#This Row],[JUMLAH]]-NOTA[[#This Row],[DISC 1-]])*NOTA[[#This Row],[DISC 2]])</f>
        <v>48300</v>
      </c>
      <c r="Z484" s="54">
        <f>IF(NOTA[[#This Row],[JUMLAH]]="","",NOTA[[#This Row],[DISC 1-]]+NOTA[[#This Row],[DISC 2-]])</f>
        <v>186300</v>
      </c>
      <c r="AA484" s="54">
        <f>IF(NOTA[[#This Row],[JUMLAH]]="","",NOTA[[#This Row],[JUMLAH]]-NOTA[[#This Row],[DISC]])</f>
        <v>917700</v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484" s="54">
        <f>IF(OR(NOTA[[#This Row],[QTY]]="",NOTA[[#This Row],[HARGA SATUAN]]="",),"",NOTA[[#This Row],[QTY]]*NOTA[[#This Row],[HARGA SATUAN]])</f>
        <v>1104000</v>
      </c>
      <c r="AF484" s="51">
        <f ca="1">IF(NOTA[ID_H]="","",INDEX(NOTA[TANGGAL],MATCH(,INDIRECT(ADDRESS(ROW(NOTA[TANGGAL]),COLUMN(NOTA[TANGGAL]))&amp;":"&amp;ADDRESS(ROW(),COLUMN(NOTA[TANGGAL]))),-1)))</f>
        <v>44944</v>
      </c>
      <c r="AG484" s="49" t="str">
        <f ca="1">IF(NOTA[[#This Row],[NAMA BARANG]]="","",INDEX(NOTA[SUPPLIER],MATCH(,INDIRECT(ADDRESS(ROW(NOTA[ID]),COLUMN(NOTA[ID]))&amp;":"&amp;ADDRESS(ROW(),COLUMN(NOTA[ID]))),-1)))</f>
        <v>ATALI MAKMUR</v>
      </c>
      <c r="AH484" s="49" t="str">
        <f ca="1">IF(NOTA[[#This Row],[ID_H]]="","",IF(NOTA[[#This Row],[FAKTUR]]="",INDIRECT(ADDRESS(ROW()-1,COLUMN())),NOTA[[#This Row],[FAKTUR]]))</f>
        <v>ARTO MORO</v>
      </c>
      <c r="AI484" s="38">
        <f ca="1">IF(NOTA[[#This Row],[ID]]="","",COUNTIF(NOTA[ID_H],NOTA[[#This Row],[ID_H]]))</f>
        <v>10</v>
      </c>
      <c r="AJ484" s="38">
        <f>IF(NOTA[[#This Row],[TGL.NOTA]]="",IF(NOTA[[#This Row],[SUPPLIER_H]]="","",AJ483),MONTH(NOTA[[#This Row],[TGL.NOTA]]))</f>
        <v>1</v>
      </c>
      <c r="AK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>keyringkr9jk11040000.1250.05</v>
      </c>
      <c r="AM484" s="193">
        <f>IF(NOTA[[#This Row],[CONCAT1]]="","",MATCH(NOTA[[#This Row],[CONCAT1]],[2]!db[NB NOTA_C],0)+1)</f>
        <v>1315</v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>
        <f ca="1">IF(NOTA[[#This Row],[NAMA BARANG]]="","",INDEX(NOTA[ID],MATCH(,INDIRECT(ADDRESS(ROW(NOTA[ID]),COLUMN(NOTA[ID]))&amp;":"&amp;ADDRESS(ROW(),COLUMN(NOTA[ID]))),-1)))</f>
        <v>90</v>
      </c>
      <c r="E485" s="23"/>
      <c r="F485" s="26"/>
      <c r="G485" s="26"/>
      <c r="H485" s="31"/>
      <c r="I485" s="26"/>
      <c r="J485" s="51"/>
      <c r="K485" s="26"/>
      <c r="L485" s="26" t="s">
        <v>662</v>
      </c>
      <c r="M485" s="39">
        <v>1</v>
      </c>
      <c r="N485" s="26">
        <v>288</v>
      </c>
      <c r="O485" s="26" t="s">
        <v>104</v>
      </c>
      <c r="P485" s="49">
        <v>4000</v>
      </c>
      <c r="Q485" s="52"/>
      <c r="R485" s="39" t="s">
        <v>496</v>
      </c>
      <c r="S485" s="53">
        <v>0.125</v>
      </c>
      <c r="T485" s="53">
        <v>0.05</v>
      </c>
      <c r="U485" s="54"/>
      <c r="V485" s="37"/>
      <c r="W485" s="54">
        <f>IF(NOTA[[#This Row],[HARGA/ CTN]]="",NOTA[[#This Row],[JUMLAH_H]],NOTA[[#This Row],[HARGA/ CTN]]*IF(NOTA[[#This Row],[C]]="",0,NOTA[[#This Row],[C]]))</f>
        <v>1152000</v>
      </c>
      <c r="X485" s="54">
        <f>IF(NOTA[[#This Row],[JUMLAH]]="","",NOTA[[#This Row],[JUMLAH]]*NOTA[[#This Row],[DISC 1]])</f>
        <v>144000</v>
      </c>
      <c r="Y485" s="54">
        <f>IF(NOTA[[#This Row],[JUMLAH]]="","",(NOTA[[#This Row],[JUMLAH]]-NOTA[[#This Row],[DISC 1-]])*NOTA[[#This Row],[DISC 2]])</f>
        <v>50400</v>
      </c>
      <c r="Z485" s="54">
        <f>IF(NOTA[[#This Row],[JUMLAH]]="","",NOTA[[#This Row],[DISC 1-]]+NOTA[[#This Row],[DISC 2-]])</f>
        <v>194400</v>
      </c>
      <c r="AA485" s="54">
        <f>IF(NOTA[[#This Row],[JUMLAH]]="","",NOTA[[#This Row],[JUMLAH]]-NOTA[[#This Row],[DISC]])</f>
        <v>957600</v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E485" s="54">
        <f>IF(OR(NOTA[[#This Row],[QTY]]="",NOTA[[#This Row],[HARGA SATUAN]]="",),"",NOTA[[#This Row],[QTY]]*NOTA[[#This Row],[HARGA SATUAN]])</f>
        <v>1152000</v>
      </c>
      <c r="AF485" s="51">
        <f ca="1">IF(NOTA[ID_H]="","",INDEX(NOTA[TANGGAL],MATCH(,INDIRECT(ADDRESS(ROW(NOTA[TANGGAL]),COLUMN(NOTA[TANGGAL]))&amp;":"&amp;ADDRESS(ROW(),COLUMN(NOTA[TANGGAL]))),-1)))</f>
        <v>44944</v>
      </c>
      <c r="AG485" s="49" t="str">
        <f ca="1">IF(NOTA[[#This Row],[NAMA BARANG]]="","",INDEX(NOTA[SUPPLIER],MATCH(,INDIRECT(ADDRESS(ROW(NOTA[ID]),COLUMN(NOTA[ID]))&amp;":"&amp;ADDRESS(ROW(),COLUMN(NOTA[ID]))),-1)))</f>
        <v>ATALI MAKMUR</v>
      </c>
      <c r="AH485" s="49" t="str">
        <f ca="1">IF(NOTA[[#This Row],[ID_H]]="","",IF(NOTA[[#This Row],[FAKTUR]]="",INDIRECT(ADDRESS(ROW()-1,COLUMN())),NOTA[[#This Row],[FAKTUR]]))</f>
        <v>ARTO MORO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1</v>
      </c>
      <c r="AK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>pencilcasepc0618fz1adfruitzy11520000.1250.05</v>
      </c>
      <c r="AM485" s="193">
        <f>IF(NOTA[[#This Row],[CONCAT1]]="","",MATCH(NOTA[[#This Row],[CONCAT1]],[2]!db[NB NOTA_C],0)+1)</f>
        <v>1707</v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>
        <f ca="1">IF(NOTA[[#This Row],[NAMA BARANG]]="","",INDEX(NOTA[ID],MATCH(,INDIRECT(ADDRESS(ROW(NOTA[ID]),COLUMN(NOTA[ID]))&amp;":"&amp;ADDRESS(ROW(),COLUMN(NOTA[ID]))),-1)))</f>
        <v>90</v>
      </c>
      <c r="E486" s="23"/>
      <c r="F486" s="26"/>
      <c r="G486" s="26"/>
      <c r="H486" s="31"/>
      <c r="I486" s="26"/>
      <c r="J486" s="51"/>
      <c r="K486" s="26"/>
      <c r="L486" s="26" t="s">
        <v>427</v>
      </c>
      <c r="M486" s="39">
        <v>1</v>
      </c>
      <c r="N486" s="26">
        <v>72</v>
      </c>
      <c r="O486" s="26" t="s">
        <v>116</v>
      </c>
      <c r="P486" s="49">
        <v>37200</v>
      </c>
      <c r="Q486" s="52"/>
      <c r="R486" s="39" t="s">
        <v>663</v>
      </c>
      <c r="S486" s="53">
        <v>0.125</v>
      </c>
      <c r="T486" s="53">
        <v>0.05</v>
      </c>
      <c r="U486" s="54"/>
      <c r="V486" s="37"/>
      <c r="W486" s="54">
        <f>IF(NOTA[[#This Row],[HARGA/ CTN]]="",NOTA[[#This Row],[JUMLAH_H]],NOTA[[#This Row],[HARGA/ CTN]]*IF(NOTA[[#This Row],[C]]="",0,NOTA[[#This Row],[C]]))</f>
        <v>2678400</v>
      </c>
      <c r="X486" s="54">
        <f>IF(NOTA[[#This Row],[JUMLAH]]="","",NOTA[[#This Row],[JUMLAH]]*NOTA[[#This Row],[DISC 1]])</f>
        <v>334800</v>
      </c>
      <c r="Y486" s="54">
        <f>IF(NOTA[[#This Row],[JUMLAH]]="","",(NOTA[[#This Row],[JUMLAH]]-NOTA[[#This Row],[DISC 1-]])*NOTA[[#This Row],[DISC 2]])</f>
        <v>117180</v>
      </c>
      <c r="Z486" s="54">
        <f>IF(NOTA[[#This Row],[JUMLAH]]="","",NOTA[[#This Row],[DISC 1-]]+NOTA[[#This Row],[DISC 2-]])</f>
        <v>451980</v>
      </c>
      <c r="AA486" s="54">
        <f>IF(NOTA[[#This Row],[JUMLAH]]="","",NOTA[[#This Row],[JUMLAH]]-NOTA[[#This Row],[DISC]])</f>
        <v>2226420</v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86" s="54">
        <f>IF(OR(NOTA[[#This Row],[QTY]]="",NOTA[[#This Row],[HARGA SATUAN]]="",),"",NOTA[[#This Row],[QTY]]*NOTA[[#This Row],[HARGA SATUAN]])</f>
        <v>2678400</v>
      </c>
      <c r="AF486" s="51">
        <f ca="1">IF(NOTA[ID_H]="","",INDEX(NOTA[TANGGAL],MATCH(,INDIRECT(ADDRESS(ROW(NOTA[TANGGAL]),COLUMN(NOTA[TANGGAL]))&amp;":"&amp;ADDRESS(ROW(),COLUMN(NOTA[TANGGAL]))),-1)))</f>
        <v>44944</v>
      </c>
      <c r="AG486" s="49" t="str">
        <f ca="1">IF(NOTA[[#This Row],[NAMA BARANG]]="","",INDEX(NOTA[SUPPLIER],MATCH(,INDIRECT(ADDRESS(ROW(NOTA[ID]),COLUMN(NOTA[ID]))&amp;":"&amp;ADDRESS(ROW(),COLUMN(NOTA[ID]))),-1)))</f>
        <v>ATALI MAKMUR</v>
      </c>
      <c r="AH486" s="49" t="str">
        <f ca="1">IF(NOTA[[#This Row],[ID_H]]="","",IF(NOTA[[#This Row],[FAKTUR]]="",INDIRECT(ADDRESS(ROW()-1,COLUMN())),NOTA[[#This Row],[FAKTUR]]))</f>
        <v>ARTO MORO</v>
      </c>
      <c r="AI486" s="38" t="str">
        <f ca="1">IF(NOTA[[#This Row],[ID]]="","",COUNTIF(NOTA[ID_H],NOTA[[#This Row],[ID_H]]))</f>
        <v/>
      </c>
      <c r="AJ486" s="38">
        <f ca="1">IF(NOTA[[#This Row],[TGL.NOTA]]="",IF(NOTA[[#This Row],[SUPPLIER_H]]="","",AJ485),MONTH(NOTA[[#This Row],[TGL.NOTA]]))</f>
        <v>1</v>
      </c>
      <c r="AK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486" s="193">
        <f>IF(NOTA[[#This Row],[CONCAT1]]="","",MATCH(NOTA[[#This Row],[CONCAT1]],[2]!db[NB NOTA_C],0)+1)</f>
        <v>1729</v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>
        <f ca="1">IF(NOTA[[#This Row],[NAMA BARANG]]="","",INDEX(NOTA[ID],MATCH(,INDIRECT(ADDRESS(ROW(NOTA[ID]),COLUMN(NOTA[ID]))&amp;":"&amp;ADDRESS(ROW(),COLUMN(NOTA[ID]))),-1)))</f>
        <v>90</v>
      </c>
      <c r="E487" s="23"/>
      <c r="F487" s="26"/>
      <c r="G487" s="26"/>
      <c r="H487" s="31"/>
      <c r="I487" s="26"/>
      <c r="J487" s="51"/>
      <c r="K487" s="26"/>
      <c r="L487" s="26" t="s">
        <v>664</v>
      </c>
      <c r="M487" s="39">
        <v>1</v>
      </c>
      <c r="N487" s="26">
        <v>144</v>
      </c>
      <c r="O487" s="26" t="s">
        <v>104</v>
      </c>
      <c r="P487" s="49">
        <v>7200</v>
      </c>
      <c r="Q487" s="52"/>
      <c r="R487" s="39" t="s">
        <v>271</v>
      </c>
      <c r="S487" s="53">
        <v>0.125</v>
      </c>
      <c r="T487" s="53">
        <v>0.05</v>
      </c>
      <c r="U487" s="54"/>
      <c r="V487" s="37"/>
      <c r="W487" s="54">
        <f>IF(NOTA[[#This Row],[HARGA/ CTN]]="",NOTA[[#This Row],[JUMLAH_H]],NOTA[[#This Row],[HARGA/ CTN]]*IF(NOTA[[#This Row],[C]]="",0,NOTA[[#This Row],[C]]))</f>
        <v>1036800</v>
      </c>
      <c r="X487" s="54">
        <f>IF(NOTA[[#This Row],[JUMLAH]]="","",NOTA[[#This Row],[JUMLAH]]*NOTA[[#This Row],[DISC 1]])</f>
        <v>129600</v>
      </c>
      <c r="Y487" s="54">
        <f>IF(NOTA[[#This Row],[JUMLAH]]="","",(NOTA[[#This Row],[JUMLAH]]-NOTA[[#This Row],[DISC 1-]])*NOTA[[#This Row],[DISC 2]])</f>
        <v>45360</v>
      </c>
      <c r="Z487" s="54">
        <f>IF(NOTA[[#This Row],[JUMLAH]]="","",NOTA[[#This Row],[DISC 1-]]+NOTA[[#This Row],[DISC 2-]])</f>
        <v>174960</v>
      </c>
      <c r="AA487" s="54">
        <f>IF(NOTA[[#This Row],[JUMLAH]]="","",NOTA[[#This Row],[JUMLAH]]-NOTA[[#This Row],[DISC]])</f>
        <v>861840</v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E487" s="54">
        <f>IF(OR(NOTA[[#This Row],[QTY]]="",NOTA[[#This Row],[HARGA SATUAN]]="",),"",NOTA[[#This Row],[QTY]]*NOTA[[#This Row],[HARGA SATUAN]])</f>
        <v>1036800</v>
      </c>
      <c r="AF487" s="51">
        <f ca="1">IF(NOTA[ID_H]="","",INDEX(NOTA[TANGGAL],MATCH(,INDIRECT(ADDRESS(ROW(NOTA[TANGGAL]),COLUMN(NOTA[TANGGAL]))&amp;":"&amp;ADDRESS(ROW(),COLUMN(NOTA[TANGGAL]))),-1)))</f>
        <v>44944</v>
      </c>
      <c r="AG487" s="49" t="str">
        <f ca="1">IF(NOTA[[#This Row],[NAMA BARANG]]="","",INDEX(NOTA[SUPPLIER],MATCH(,INDIRECT(ADDRESS(ROW(NOTA[ID]),COLUMN(NOTA[ID]))&amp;":"&amp;ADDRESS(ROW(),COLUMN(NOTA[ID]))),-1)))</f>
        <v>ATALI MAKMUR</v>
      </c>
      <c r="AH487" s="49" t="str">
        <f ca="1">IF(NOTA[[#This Row],[ID_H]]="","",IF(NOTA[[#This Row],[FAKTUR]]="",INDIRECT(ADDRESS(ROW()-1,COLUMN())),NOTA[[#This Row],[FAKTUR]]))</f>
        <v>ARTO MORO</v>
      </c>
      <c r="AI487" s="38" t="str">
        <f ca="1">IF(NOTA[[#This Row],[ID]]="","",COUNTIF(NOTA[ID_H],NOTA[[#This Row],[ID_H]]))</f>
        <v/>
      </c>
      <c r="AJ487" s="38">
        <f ca="1">IF(NOTA[[#This Row],[TGL.NOTA]]="",IF(NOTA[[#This Row],[SUPPLIER_H]]="","",AJ486),MONTH(NOTA[[#This Row],[TGL.NOTA]]))</f>
        <v>1</v>
      </c>
      <c r="AK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>scissorsc12jk10368000.1250.05</v>
      </c>
      <c r="AM487" s="193">
        <f>IF(NOTA[[#This Row],[CONCAT1]]="","",MATCH(NOTA[[#This Row],[CONCAT1]],[2]!db[NB NOTA_C],0)+1)</f>
        <v>1878</v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>
        <f ca="1">IF(NOTA[[#This Row],[NAMA BARANG]]="","",INDEX(NOTA[ID],MATCH(,INDIRECT(ADDRESS(ROW(NOTA[ID]),COLUMN(NOTA[ID]))&amp;":"&amp;ADDRESS(ROW(),COLUMN(NOTA[ID]))),-1)))</f>
        <v>90</v>
      </c>
      <c r="E488" s="23"/>
      <c r="F488" s="26"/>
      <c r="G488" s="26"/>
      <c r="H488" s="31"/>
      <c r="I488" s="26"/>
      <c r="J488" s="51"/>
      <c r="K488" s="26"/>
      <c r="L488" s="26" t="s">
        <v>665</v>
      </c>
      <c r="M488" s="39">
        <v>1</v>
      </c>
      <c r="N488" s="26">
        <v>60</v>
      </c>
      <c r="O488" s="26" t="s">
        <v>131</v>
      </c>
      <c r="P488" s="49">
        <v>31500</v>
      </c>
      <c r="Q488" s="52"/>
      <c r="R488" s="39" t="s">
        <v>492</v>
      </c>
      <c r="S488" s="53">
        <v>0.125</v>
      </c>
      <c r="T488" s="53">
        <v>0.05</v>
      </c>
      <c r="U488" s="54"/>
      <c r="V488" s="37"/>
      <c r="W488" s="54">
        <f>IF(NOTA[[#This Row],[HARGA/ CTN]]="",NOTA[[#This Row],[JUMLAH_H]],NOTA[[#This Row],[HARGA/ CTN]]*IF(NOTA[[#This Row],[C]]="",0,NOTA[[#This Row],[C]]))</f>
        <v>1890000</v>
      </c>
      <c r="X488" s="54">
        <f>IF(NOTA[[#This Row],[JUMLAH]]="","",NOTA[[#This Row],[JUMLAH]]*NOTA[[#This Row],[DISC 1]])</f>
        <v>236250</v>
      </c>
      <c r="Y488" s="54">
        <f>IF(NOTA[[#This Row],[JUMLAH]]="","",(NOTA[[#This Row],[JUMLAH]]-NOTA[[#This Row],[DISC 1-]])*NOTA[[#This Row],[DISC 2]])</f>
        <v>82687.5</v>
      </c>
      <c r="Z488" s="54">
        <f>IF(NOTA[[#This Row],[JUMLAH]]="","",NOTA[[#This Row],[DISC 1-]]+NOTA[[#This Row],[DISC 2-]])</f>
        <v>318937.5</v>
      </c>
      <c r="AA488" s="54">
        <f>IF(NOTA[[#This Row],[JUMLAH]]="","",NOTA[[#This Row],[JUMLAH]]-NOTA[[#This Row],[DISC]])</f>
        <v>1571062.5</v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488" s="54">
        <f>IF(OR(NOTA[[#This Row],[QTY]]="",NOTA[[#This Row],[HARGA SATUAN]]="",),"",NOTA[[#This Row],[QTY]]*NOTA[[#This Row],[HARGA SATUAN]])</f>
        <v>1890000</v>
      </c>
      <c r="AF488" s="51">
        <f ca="1">IF(NOTA[ID_H]="","",INDEX(NOTA[TANGGAL],MATCH(,INDIRECT(ADDRESS(ROW(NOTA[TANGGAL]),COLUMN(NOTA[TANGGAL]))&amp;":"&amp;ADDRESS(ROW(),COLUMN(NOTA[TANGGAL]))),-1)))</f>
        <v>44944</v>
      </c>
      <c r="AG488" s="49" t="str">
        <f ca="1">IF(NOTA[[#This Row],[NAMA BARANG]]="","",INDEX(NOTA[SUPPLIER],MATCH(,INDIRECT(ADDRESS(ROW(NOTA[ID]),COLUMN(NOTA[ID]))&amp;":"&amp;ADDRESS(ROW(),COLUMN(NOTA[ID]))),-1)))</f>
        <v>ATALI MAKMUR</v>
      </c>
      <c r="AH488" s="49" t="str">
        <f ca="1">IF(NOTA[[#This Row],[ID_H]]="","",IF(NOTA[[#This Row],[FAKTUR]]="",INDIRECT(ADDRESS(ROW()-1,COLUMN())),NOTA[[#This Row],[FAKTUR]]))</f>
        <v>ARTO MORO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1</v>
      </c>
      <c r="AK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>sharpenerb24ptljk18900000.1250.05</v>
      </c>
      <c r="AM488" s="193">
        <f>IF(NOTA[[#This Row],[CONCAT1]]="","",MATCH(NOTA[[#This Row],[CONCAT1]],[2]!db[NB NOTA_C],0)+1)</f>
        <v>1920</v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>
        <f ca="1">IF(NOTA[[#This Row],[NAMA BARANG]]="","",INDEX(NOTA[ID],MATCH(,INDIRECT(ADDRESS(ROW(NOTA[ID]),COLUMN(NOTA[ID]))&amp;":"&amp;ADDRESS(ROW(),COLUMN(NOTA[ID]))),-1)))</f>
        <v>90</v>
      </c>
      <c r="E489" s="23"/>
      <c r="F489" s="26"/>
      <c r="G489" s="26"/>
      <c r="H489" s="31"/>
      <c r="I489" s="26"/>
      <c r="J489" s="51"/>
      <c r="K489" s="26"/>
      <c r="L489" s="26" t="s">
        <v>439</v>
      </c>
      <c r="M489" s="39">
        <v>2</v>
      </c>
      <c r="N489" s="26">
        <v>1000</v>
      </c>
      <c r="O489" s="26" t="s">
        <v>131</v>
      </c>
      <c r="P489" s="49">
        <v>1625</v>
      </c>
      <c r="Q489" s="52"/>
      <c r="R489" s="39" t="s">
        <v>481</v>
      </c>
      <c r="S489" s="53">
        <v>0.125</v>
      </c>
      <c r="T489" s="53">
        <v>0.05</v>
      </c>
      <c r="U489" s="54"/>
      <c r="V489" s="37"/>
      <c r="W489" s="54">
        <f>IF(NOTA[[#This Row],[HARGA/ CTN]]="",NOTA[[#This Row],[JUMLAH_H]],NOTA[[#This Row],[HARGA/ CTN]]*IF(NOTA[[#This Row],[C]]="",0,NOTA[[#This Row],[C]]))</f>
        <v>1625000</v>
      </c>
      <c r="X489" s="54">
        <f>IF(NOTA[[#This Row],[JUMLAH]]="","",NOTA[[#This Row],[JUMLAH]]*NOTA[[#This Row],[DISC 1]])</f>
        <v>203125</v>
      </c>
      <c r="Y489" s="54">
        <f>IF(NOTA[[#This Row],[JUMLAH]]="","",(NOTA[[#This Row],[JUMLAH]]-NOTA[[#This Row],[DISC 1-]])*NOTA[[#This Row],[DISC 2]])</f>
        <v>71093.75</v>
      </c>
      <c r="Z489" s="54">
        <f>IF(NOTA[[#This Row],[JUMLAH]]="","",NOTA[[#This Row],[DISC 1-]]+NOTA[[#This Row],[DISC 2-]])</f>
        <v>274218.75</v>
      </c>
      <c r="AA489" s="54">
        <f>IF(NOTA[[#This Row],[JUMLAH]]="","",NOTA[[#This Row],[JUMLAH]]-NOTA[[#This Row],[DISC]])</f>
        <v>1350781.25</v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89" s="54">
        <f>IF(OR(NOTA[[#This Row],[QTY]]="",NOTA[[#This Row],[HARGA SATUAN]]="",),"",NOTA[[#This Row],[QTY]]*NOTA[[#This Row],[HARGA SATUAN]])</f>
        <v>1625000</v>
      </c>
      <c r="AF489" s="51">
        <f ca="1">IF(NOTA[ID_H]="","",INDEX(NOTA[TANGGAL],MATCH(,INDIRECT(ADDRESS(ROW(NOTA[TANGGAL]),COLUMN(NOTA[TANGGAL]))&amp;":"&amp;ADDRESS(ROW(),COLUMN(NOTA[TANGGAL]))),-1)))</f>
        <v>44944</v>
      </c>
      <c r="AG489" s="49" t="str">
        <f ca="1">IF(NOTA[[#This Row],[NAMA BARANG]]="","",INDEX(NOTA[SUPPLIER],MATCH(,INDIRECT(ADDRESS(ROW(NOTA[ID]),COLUMN(NOTA[ID]))&amp;":"&amp;ADDRESS(ROW(),COLUMN(NOTA[ID]))),-1)))</f>
        <v>ATALI MAKMUR</v>
      </c>
      <c r="AH489" s="49" t="str">
        <f ca="1">IF(NOTA[[#This Row],[ID_H]]="","",IF(NOTA[[#This Row],[FAKTUR]]="",INDIRECT(ADDRESS(ROW()-1,COLUMN())),NOTA[[#This Row],[FAKTUR]]))</f>
        <v>ARTO MORO</v>
      </c>
      <c r="AI489" s="38" t="str">
        <f ca="1">IF(NOTA[[#This Row],[ID]]="","",COUNTIF(NOTA[ID_H],NOTA[[#This Row],[ID_H]]))</f>
        <v/>
      </c>
      <c r="AJ489" s="38">
        <f ca="1">IF(NOTA[[#This Row],[TGL.NOTA]]="",IF(NOTA[[#This Row],[SUPPLIER_H]]="","",AJ488),MONTH(NOTA[[#This Row],[TGL.NOTA]]))</f>
        <v>1</v>
      </c>
      <c r="AK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489" s="193">
        <f>IF(NOTA[[#This Row],[CONCAT1]]="","",MATCH(NOTA[[#This Row],[CONCAT1]],[2]!db[NB NOTA_C],0)+1)</f>
        <v>2040</v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>
        <f ca="1">IF(NOTA[[#This Row],[NAMA BARANG]]="","",INDEX(NOTA[ID],MATCH(,INDIRECT(ADDRESS(ROW(NOTA[ID]),COLUMN(NOTA[ID]))&amp;":"&amp;ADDRESS(ROW(),COLUMN(NOTA[ID]))),-1)))</f>
        <v>90</v>
      </c>
      <c r="E490" s="23"/>
      <c r="F490" s="26"/>
      <c r="G490" s="26"/>
      <c r="H490" s="31"/>
      <c r="I490" s="26"/>
      <c r="J490" s="51"/>
      <c r="K490" s="26"/>
      <c r="L490" s="26" t="s">
        <v>666</v>
      </c>
      <c r="M490" s="39">
        <v>1</v>
      </c>
      <c r="N490" s="26">
        <v>480</v>
      </c>
      <c r="O490" s="26" t="s">
        <v>104</v>
      </c>
      <c r="P490" s="49">
        <v>8500</v>
      </c>
      <c r="Q490" s="52"/>
      <c r="R490" s="39" t="s">
        <v>667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4080000</v>
      </c>
      <c r="X490" s="54">
        <f>IF(NOTA[[#This Row],[JUMLAH]]="","",NOTA[[#This Row],[JUMLAH]]*NOTA[[#This Row],[DISC 1]])</f>
        <v>510000</v>
      </c>
      <c r="Y490" s="54">
        <f>IF(NOTA[[#This Row],[JUMLAH]]="","",(NOTA[[#This Row],[JUMLAH]]-NOTA[[#This Row],[DISC 1-]])*NOTA[[#This Row],[DISC 2]])</f>
        <v>178500</v>
      </c>
      <c r="Z490" s="54">
        <f>IF(NOTA[[#This Row],[JUMLAH]]="","",NOTA[[#This Row],[DISC 1-]]+NOTA[[#This Row],[DISC 2-]])</f>
        <v>688500</v>
      </c>
      <c r="AA490" s="54">
        <f>IF(NOTA[[#This Row],[JUMLAH]]="","",NOTA[[#This Row],[JUMLAH]]-NOTA[[#This Row],[DISC]])</f>
        <v>3391500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490" s="54">
        <f>IF(OR(NOTA[[#This Row],[QTY]]="",NOTA[[#This Row],[HARGA SATUAN]]="",),"",NOTA[[#This Row],[QTY]]*NOTA[[#This Row],[HARGA SATUAN]])</f>
        <v>4080000</v>
      </c>
      <c r="AF490" s="51">
        <f ca="1">IF(NOTA[ID_H]="","",INDEX(NOTA[TANGGAL],MATCH(,INDIRECT(ADDRESS(ROW(NOTA[TANGGAL]),COLUMN(NOTA[TANGGAL]))&amp;":"&amp;ADDRESS(ROW(),COLUMN(NOTA[TANGGAL]))),-1)))</f>
        <v>44944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 t="str">
        <f ca="1">IF(NOTA[[#This Row],[ID]]="","",COUNTIF(NOTA[ID_H],NOTA[[#This Row],[ID_H]]))</f>
        <v/>
      </c>
      <c r="AJ490" s="38">
        <f ca="1">IF(NOTA[[#This Row],[TGL.NOTA]]="",IF(NOTA[[#This Row],[SUPPLIER_H]]="","",AJ489),MONTH(NOTA[[#This Row],[TGL.NOTA]]))</f>
        <v>1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>correctiontapect533jk40800000.1250.05</v>
      </c>
      <c r="AM490" s="193">
        <f>IF(NOTA[[#This Row],[CONCAT1]]="","",MATCH(NOTA[[#This Row],[CONCAT1]],[2]!db[NB NOTA_C],0)+1)</f>
        <v>523</v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668</v>
      </c>
      <c r="M491" s="39">
        <v>1</v>
      </c>
      <c r="N491" s="26">
        <v>20</v>
      </c>
      <c r="O491" s="26" t="s">
        <v>116</v>
      </c>
      <c r="P491" s="49">
        <v>108900</v>
      </c>
      <c r="Q491" s="52"/>
      <c r="R491" s="39" t="s">
        <v>453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2178000</v>
      </c>
      <c r="X491" s="54">
        <f>IF(NOTA[[#This Row],[JUMLAH]]="","",NOTA[[#This Row],[JUMLAH]]*NOTA[[#This Row],[DISC 1]])</f>
        <v>272250</v>
      </c>
      <c r="Y491" s="54">
        <f>IF(NOTA[[#This Row],[JUMLAH]]="","",(NOTA[[#This Row],[JUMLAH]]-NOTA[[#This Row],[DISC 1-]])*NOTA[[#This Row],[DISC 2]])</f>
        <v>95287.5</v>
      </c>
      <c r="Z491" s="54">
        <f>IF(NOTA[[#This Row],[JUMLAH]]="","",NOTA[[#This Row],[DISC 1-]]+NOTA[[#This Row],[DISC 2-]])</f>
        <v>367537.5</v>
      </c>
      <c r="AA491" s="54">
        <f>IF(NOTA[[#This Row],[JUMLAH]]="","",NOTA[[#This Row],[JUMLAH]]-NOTA[[#This Row],[DISC]])</f>
        <v>1810462.5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E491" s="54">
        <f>IF(OR(NOTA[[#This Row],[QTY]]="",NOTA[[#This Row],[HARGA SATUAN]]="",),"",NOTA[[#This Row],[QTY]]*NOTA[[#This Row],[HARGA SATUAN]])</f>
        <v>2178000</v>
      </c>
      <c r="AF491" s="51">
        <f ca="1">IF(NOTA[ID_H]="","",INDEX(NOTA[TANGGAL],MATCH(,INDIRECT(ADDRESS(ROW(NOTA[TANGGAL]),COLUMN(NOTA[TANGGAL]))&amp;":"&amp;ADDRESS(ROW(),COLUMN(NOTA[TANGGAL]))),-1)))</f>
        <v>44944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1</v>
      </c>
      <c r="AK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>bulldogclip6145jk21780000.1250.05</v>
      </c>
      <c r="AM491" s="193">
        <f>IF(NOTA[[#This Row],[CONCAT1]]="","",MATCH(NOTA[[#This Row],[CONCAT1]],[2]!db[NB NOTA_C],0)+1)</f>
        <v>377</v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>
        <f ca="1">IF(NOTA[[#This Row],[NAMA BARANG]]="","",INDEX(NOTA[ID],MATCH(,INDIRECT(ADDRESS(ROW(NOTA[ID]),COLUMN(NOTA[ID]))&amp;":"&amp;ADDRESS(ROW(),COLUMN(NOTA[ID]))),-1)))</f>
        <v>90</v>
      </c>
      <c r="E492" s="80"/>
      <c r="F492" s="26"/>
      <c r="G492" s="26"/>
      <c r="H492" s="31"/>
      <c r="I492" s="26"/>
      <c r="J492" s="81"/>
      <c r="K492" s="82"/>
      <c r="L492" s="26" t="s">
        <v>669</v>
      </c>
      <c r="M492" s="83">
        <v>1</v>
      </c>
      <c r="N492" s="82">
        <v>24</v>
      </c>
      <c r="O492" s="26" t="s">
        <v>104</v>
      </c>
      <c r="P492" s="84">
        <v>16500</v>
      </c>
      <c r="Q492" s="85"/>
      <c r="R492" s="39" t="s">
        <v>130</v>
      </c>
      <c r="S492" s="86">
        <v>0.125</v>
      </c>
      <c r="T492" s="86">
        <v>0.05</v>
      </c>
      <c r="U492" s="87"/>
      <c r="V492" s="37"/>
      <c r="W492" s="87">
        <f>IF(NOTA[[#This Row],[HARGA/ CTN]]="",NOTA[[#This Row],[JUMLAH_H]],NOTA[[#This Row],[HARGA/ CTN]]*IF(NOTA[[#This Row],[C]]="",0,NOTA[[#This Row],[C]]))</f>
        <v>396000</v>
      </c>
      <c r="X492" s="87">
        <f>IF(NOTA[[#This Row],[JUMLAH]]="","",NOTA[[#This Row],[JUMLAH]]*NOTA[[#This Row],[DISC 1]])</f>
        <v>49500</v>
      </c>
      <c r="Y492" s="87">
        <f>IF(NOTA[[#This Row],[JUMLAH]]="","",(NOTA[[#This Row],[JUMLAH]]-NOTA[[#This Row],[DISC 1-]])*NOTA[[#This Row],[DISC 2]])</f>
        <v>17325</v>
      </c>
      <c r="Z492" s="87">
        <f>IF(NOTA[[#This Row],[JUMLAH]]="","",NOTA[[#This Row],[DISC 1-]]+NOTA[[#This Row],[DISC 2-]])</f>
        <v>66825</v>
      </c>
      <c r="AA492" s="87">
        <f>IF(NOTA[[#This Row],[JUMLAH]]="","",NOTA[[#This Row],[JUMLAH]]-NOTA[[#This Row],[DISC]])</f>
        <v>329175</v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492" s="87">
        <f>IF(OR(NOTA[[#This Row],[QTY]]="",NOTA[[#This Row],[HARGA SATUAN]]="",),"",NOTA[[#This Row],[QTY]]*NOTA[[#This Row],[HARGA SATUAN]])</f>
        <v>396000</v>
      </c>
      <c r="AF492" s="81">
        <f ca="1">IF(NOTA[ID_H]="","",INDEX(NOTA[TANGGAL],MATCH(,INDIRECT(ADDRESS(ROW(NOTA[TANGGAL]),COLUMN(NOTA[TANGGAL]))&amp;":"&amp;ADDRESS(ROW(),COLUMN(NOTA[TANGGAL]))),-1)))</f>
        <v>44944</v>
      </c>
      <c r="AG492" s="84" t="str">
        <f ca="1">IF(NOTA[[#This Row],[NAMA BARANG]]="","",INDEX(NOTA[SUPPLIER],MATCH(,INDIRECT(ADDRESS(ROW(NOTA[ID]),COLUMN(NOTA[ID]))&amp;":"&amp;ADDRESS(ROW(),COLUMN(NOTA[ID]))),-1)))</f>
        <v>ATALI MAKMUR</v>
      </c>
      <c r="AH492" s="84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1</v>
      </c>
      <c r="AK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>tapecuttertc113jk3960000.1250.05</v>
      </c>
      <c r="AM492" s="193">
        <f>IF(NOTA[[#This Row],[CONCAT1]]="","",MATCH(NOTA[[#This Row],[CONCAT1]],[2]!db[NB NOTA_C],0)+1)</f>
        <v>1975</v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23"/>
      <c r="F493" s="26"/>
      <c r="G493" s="26"/>
      <c r="H493" s="31"/>
      <c r="I493" s="82"/>
      <c r="J493" s="81"/>
      <c r="K493" s="82"/>
      <c r="L493" s="26" t="s">
        <v>634</v>
      </c>
      <c r="M493" s="83">
        <v>1</v>
      </c>
      <c r="N493" s="82">
        <v>768</v>
      </c>
      <c r="O493" s="26" t="s">
        <v>104</v>
      </c>
      <c r="P493" s="84">
        <v>2100</v>
      </c>
      <c r="Q493" s="85"/>
      <c r="R493" s="39" t="s">
        <v>635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1612800</v>
      </c>
      <c r="X493" s="87">
        <f>IF(NOTA[[#This Row],[JUMLAH]]="","",NOTA[[#This Row],[JUMLAH]]*NOTA[[#This Row],[DISC 1]])</f>
        <v>201600</v>
      </c>
      <c r="Y493" s="87">
        <f>IF(NOTA[[#This Row],[JUMLAH]]="","",(NOTA[[#This Row],[JUMLAH]]-NOTA[[#This Row],[DISC 1-]])*NOTA[[#This Row],[DISC 2]])</f>
        <v>70560</v>
      </c>
      <c r="Z493" s="87">
        <f>IF(NOTA[[#This Row],[JUMLAH]]="","",NOTA[[#This Row],[DISC 1-]]+NOTA[[#This Row],[DISC 2-]])</f>
        <v>272160</v>
      </c>
      <c r="AA493" s="87">
        <f>IF(NOTA[[#This Row],[JUMLAH]]="","",NOTA[[#This Row],[JUMLAH]]-NOTA[[#This Row],[DISC]])</f>
        <v>1340640</v>
      </c>
      <c r="AB49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C49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93" s="87">
        <f>IF(OR(NOTA[[#This Row],[QTY]]="",NOTA[[#This Row],[HARGA SATUAN]]="",),"",NOTA[[#This Row],[QTY]]*NOTA[[#This Row],[HARGA SATUAN]])</f>
        <v>1612800</v>
      </c>
      <c r="AF493" s="81">
        <f ca="1">IF(NOTA[ID_H]="","",INDEX(NOTA[TANGGAL],MATCH(,INDIRECT(ADDRESS(ROW(NOTA[TANGGAL]),COLUMN(NOTA[TANGGAL]))&amp;":"&amp;ADDRESS(ROW(),COLUMN(NOTA[TANGGAL]))),-1)))</f>
        <v>44944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1</v>
      </c>
      <c r="AK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493" s="193">
        <f>IF(NOTA[[#This Row],[CONCAT1]]="","",MATCH(NOTA[[#This Row],[CONCAT1]],[2]!db[NB NOTA_C],0)+1)</f>
        <v>918</v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93" t="str">
        <f>IF(NOTA[[#This Row],[CONCAT1]]="","",MATCH(NOTA[[#This Row],[CONCAT1]],[2]!db[NB NOTA_C],0)+1)</f>
        <v/>
      </c>
    </row>
    <row r="495" spans="1:39" ht="20.100000000000001" customHeight="1" x14ac:dyDescent="0.25">
      <c r="A495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3" t="e">
        <f ca="1">IF(NOTA[[#This Row],[ID_P]]="","",MATCH(NOTA[[#This Row],[ID_P]],[1]!B_MSK[N_ID],0))</f>
        <v>#REF!</v>
      </c>
      <c r="D495" s="93">
        <f ca="1">IF(NOTA[[#This Row],[NAMA BARANG]]="","",INDEX(NOTA[ID],MATCH(,INDIRECT(ADDRESS(ROW(NOTA[ID]),COLUMN(NOTA[ID]))&amp;":"&amp;ADDRESS(ROW(),COLUMN(NOTA[ID]))),-1)))</f>
        <v>91</v>
      </c>
      <c r="E495" s="80"/>
      <c r="F495" s="26" t="s">
        <v>25</v>
      </c>
      <c r="G495" s="26" t="s">
        <v>24</v>
      </c>
      <c r="H495" s="31" t="s">
        <v>670</v>
      </c>
      <c r="I495" s="82"/>
      <c r="J495" s="81">
        <v>44939</v>
      </c>
      <c r="K495" s="82"/>
      <c r="L495" s="26" t="s">
        <v>671</v>
      </c>
      <c r="M495" s="83">
        <v>1</v>
      </c>
      <c r="N495" s="82">
        <v>72</v>
      </c>
      <c r="O495" s="26" t="s">
        <v>104</v>
      </c>
      <c r="P495" s="84">
        <v>34500</v>
      </c>
      <c r="Q495" s="85"/>
      <c r="R495" s="39" t="s">
        <v>483</v>
      </c>
      <c r="S495" s="86">
        <v>0.125</v>
      </c>
      <c r="T495" s="86">
        <v>0.05</v>
      </c>
      <c r="U495" s="87"/>
      <c r="V495" s="37"/>
      <c r="W495" s="87">
        <f>IF(NOTA[[#This Row],[HARGA/ CTN]]="",NOTA[[#This Row],[JUMLAH_H]],NOTA[[#This Row],[HARGA/ CTN]]*IF(NOTA[[#This Row],[C]]="",0,NOTA[[#This Row],[C]]))</f>
        <v>2484000</v>
      </c>
      <c r="X495" s="87">
        <f>IF(NOTA[[#This Row],[JUMLAH]]="","",NOTA[[#This Row],[JUMLAH]]*NOTA[[#This Row],[DISC 1]])</f>
        <v>310500</v>
      </c>
      <c r="Y495" s="87">
        <f>IF(NOTA[[#This Row],[JUMLAH]]="","",(NOTA[[#This Row],[JUMLAH]]-NOTA[[#This Row],[DISC 1-]])*NOTA[[#This Row],[DISC 2]])</f>
        <v>108675</v>
      </c>
      <c r="Z495" s="87">
        <f>IF(NOTA[[#This Row],[JUMLAH]]="","",NOTA[[#This Row],[DISC 1-]]+NOTA[[#This Row],[DISC 2-]])</f>
        <v>419175</v>
      </c>
      <c r="AA495" s="87">
        <f>IF(NOTA[[#This Row],[JUMLAH]]="","",NOTA[[#This Row],[JUMLAH]]-NOTA[[#This Row],[DISC]])</f>
        <v>2064825</v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95" s="87">
        <f>IF(OR(NOTA[[#This Row],[QTY]]="",NOTA[[#This Row],[HARGA SATUAN]]="",),"",NOTA[[#This Row],[QTY]]*NOTA[[#This Row],[HARGA SATUAN]])</f>
        <v>2484000</v>
      </c>
      <c r="AF495" s="81">
        <f ca="1">IF(NOTA[ID_H]="","",INDEX(NOTA[TANGGAL],MATCH(,INDIRECT(ADDRESS(ROW(NOTA[TANGGAL]),COLUMN(NOTA[TANGGAL]))&amp;":"&amp;ADDRESS(ROW(),COLUMN(NOTA[TANGGAL]))),-1)))</f>
        <v>44944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>
        <f ca="1">IF(NOTA[[#This Row],[ID]]="","",COUNTIF(NOTA[ID_H],NOTA[[#This Row],[ID_H]]))</f>
        <v>5</v>
      </c>
      <c r="AJ495" s="38">
        <f>IF(NOTA[[#This Row],[TGL.NOTA]]="",IF(NOTA[[#This Row],[SUPPLIER_H]]="","",AJ494),MONTH(NOTA[[#This Row],[TGL.NOTA]]))</f>
        <v>1</v>
      </c>
      <c r="AK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495" s="193">
        <f>IF(NOTA[[#This Row],[CONCAT1]]="","",MATCH(NOTA[[#This Row],[CONCAT1]],[2]!db[NB NOTA_C],0)+1)</f>
        <v>939</v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>
        <f ca="1">IF(NOTA[[#This Row],[NAMA BARANG]]="","",INDEX(NOTA[ID],MATCH(,INDIRECT(ADDRESS(ROW(NOTA[ID]),COLUMN(NOTA[ID]))&amp;":"&amp;ADDRESS(ROW(),COLUMN(NOTA[ID]))),-1)))</f>
        <v>91</v>
      </c>
      <c r="E496" s="80"/>
      <c r="F496" s="82"/>
      <c r="G496" s="82"/>
      <c r="H496" s="88"/>
      <c r="I496" s="82"/>
      <c r="J496" s="81"/>
      <c r="K496" s="82"/>
      <c r="L496" s="26" t="s">
        <v>691</v>
      </c>
      <c r="M496" s="83">
        <v>1</v>
      </c>
      <c r="N496" s="82">
        <v>288</v>
      </c>
      <c r="O496" s="26" t="s">
        <v>104</v>
      </c>
      <c r="P496" s="84">
        <v>2600</v>
      </c>
      <c r="Q496" s="85"/>
      <c r="R496" s="39" t="s">
        <v>672</v>
      </c>
      <c r="S496" s="86">
        <v>0.125</v>
      </c>
      <c r="T496" s="86">
        <v>0.05</v>
      </c>
      <c r="U496" s="87"/>
      <c r="V496" s="37"/>
      <c r="W496" s="87">
        <f>IF(NOTA[[#This Row],[HARGA/ CTN]]="",NOTA[[#This Row],[JUMLAH_H]],NOTA[[#This Row],[HARGA/ CTN]]*IF(NOTA[[#This Row],[C]]="",0,NOTA[[#This Row],[C]]))</f>
        <v>748800</v>
      </c>
      <c r="X496" s="87">
        <f>IF(NOTA[[#This Row],[JUMLAH]]="","",NOTA[[#This Row],[JUMLAH]]*NOTA[[#This Row],[DISC 1]])</f>
        <v>93600</v>
      </c>
      <c r="Y496" s="87">
        <f>IF(NOTA[[#This Row],[JUMLAH]]="","",(NOTA[[#This Row],[JUMLAH]]-NOTA[[#This Row],[DISC 1-]])*NOTA[[#This Row],[DISC 2]])</f>
        <v>32760</v>
      </c>
      <c r="Z496" s="87">
        <f>IF(NOTA[[#This Row],[JUMLAH]]="","",NOTA[[#This Row],[DISC 1-]]+NOTA[[#This Row],[DISC 2-]])</f>
        <v>126360</v>
      </c>
      <c r="AA496" s="87">
        <f>IF(NOTA[[#This Row],[JUMLAH]]="","",NOTA[[#This Row],[JUMLAH]]-NOTA[[#This Row],[DISC]])</f>
        <v>622440</v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E496" s="87">
        <f>IF(OR(NOTA[[#This Row],[QTY]]="",NOTA[[#This Row],[HARGA SATUAN]]="",),"",NOTA[[#This Row],[QTY]]*NOTA[[#This Row],[HARGA SATUAN]])</f>
        <v>748800</v>
      </c>
      <c r="AF496" s="81">
        <f ca="1">IF(NOTA[ID_H]="","",INDEX(NOTA[TANGGAL],MATCH(,INDIRECT(ADDRESS(ROW(NOTA[TANGGAL]),COLUMN(NOTA[TANGGAL]))&amp;":"&amp;ADDRESS(ROW(),COLUMN(NOTA[TANGGAL]))),-1)))</f>
        <v>44944</v>
      </c>
      <c r="AG496" s="84" t="str">
        <f ca="1">IF(NOTA[[#This Row],[NAMA BARANG]]="","",INDEX(NOTA[SUPPLIER],MATCH(,INDIRECT(ADDRESS(ROW(NOTA[ID]),COLUMN(NOTA[ID]))&amp;":"&amp;ADDRESS(ROW(),COLUMN(NOTA[ID]))),-1)))</f>
        <v>ATALI MAKMUR</v>
      </c>
      <c r="AH496" s="84" t="str">
        <f ca="1">IF(NOTA[[#This Row],[ID_H]]="","",IF(NOTA[[#This Row],[FAKTUR]]="",INDIRECT(ADDRESS(ROW()-1,COLUMN())),NOTA[[#This Row],[FAKTUR]]))</f>
        <v>ARTO MORO</v>
      </c>
      <c r="AI496" s="38" t="str">
        <f ca="1">IF(NOTA[[#This Row],[ID]]="","",COUNTIF(NOTA[ID_H],NOTA[[#This Row],[ID_H]]))</f>
        <v/>
      </c>
      <c r="AJ496" s="38">
        <f ca="1">IF(NOTA[[#This Row],[TGL.NOTA]]="",IF(NOTA[[#This Row],[SUPPLIER_H]]="","",AJ495),MONTH(NOTA[[#This Row],[TGL.NOTA]]))</f>
        <v>1</v>
      </c>
      <c r="AK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>glueglw01jk7488000.1250.05</v>
      </c>
      <c r="AM496" s="193">
        <f>IF(NOTA[[#This Row],[CONCAT1]]="","",MATCH(NOTA[[#This Row],[CONCAT1]],[2]!db[NB NOTA_C],0)+1)</f>
        <v>915</v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/>
      <c r="G497" s="26"/>
      <c r="H497" s="31"/>
      <c r="I497" s="82"/>
      <c r="J497" s="81"/>
      <c r="K497" s="82"/>
      <c r="L497" s="26" t="s">
        <v>673</v>
      </c>
      <c r="M497" s="83">
        <v>1</v>
      </c>
      <c r="N497" s="82">
        <v>72</v>
      </c>
      <c r="O497" s="26" t="s">
        <v>128</v>
      </c>
      <c r="P497" s="84">
        <v>47800</v>
      </c>
      <c r="Q497" s="85"/>
      <c r="R497" s="39" t="s">
        <v>629</v>
      </c>
      <c r="S497" s="86">
        <v>0.125</v>
      </c>
      <c r="T497" s="86">
        <v>0.05</v>
      </c>
      <c r="U497" s="87"/>
      <c r="V497" s="37"/>
      <c r="W497" s="87">
        <f>IF(NOTA[[#This Row],[HARGA/ CTN]]="",NOTA[[#This Row],[JUMLAH_H]],NOTA[[#This Row],[HARGA/ CTN]]*IF(NOTA[[#This Row],[C]]="",0,NOTA[[#This Row],[C]]))</f>
        <v>3441600</v>
      </c>
      <c r="X497" s="87">
        <f>IF(NOTA[[#This Row],[JUMLAH]]="","",NOTA[[#This Row],[JUMLAH]]*NOTA[[#This Row],[DISC 1]])</f>
        <v>430200</v>
      </c>
      <c r="Y497" s="87">
        <f>IF(NOTA[[#This Row],[JUMLAH]]="","",(NOTA[[#This Row],[JUMLAH]]-NOTA[[#This Row],[DISC 1-]])*NOTA[[#This Row],[DISC 2]])</f>
        <v>150570</v>
      </c>
      <c r="Z497" s="87">
        <f>IF(NOTA[[#This Row],[JUMLAH]]="","",NOTA[[#This Row],[DISC 1-]]+NOTA[[#This Row],[DISC 2-]])</f>
        <v>580770</v>
      </c>
      <c r="AA497" s="87">
        <f>IF(NOTA[[#This Row],[JUMLAH]]="","",NOTA[[#This Row],[JUMLAH]]-NOTA[[#This Row],[DISC]])</f>
        <v>2860830</v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497" s="87">
        <f>IF(OR(NOTA[[#This Row],[QTY]]="",NOTA[[#This Row],[HARGA SATUAN]]="",),"",NOTA[[#This Row],[QTY]]*NOTA[[#This Row],[HARGA SATUAN]])</f>
        <v>3441600</v>
      </c>
      <c r="AF497" s="81">
        <f ca="1">IF(NOTA[ID_H]="","",INDEX(NOTA[TANGGAL],MATCH(,INDIRECT(ADDRESS(ROW(NOTA[TANGGAL]),COLUMN(NOTA[TANGGAL]))&amp;":"&amp;ADDRESS(ROW(),COLUMN(NOTA[TANGGAL]))),-1)))</f>
        <v>44944</v>
      </c>
      <c r="AG497" s="84" t="str">
        <f ca="1">IF(NOTA[[#This Row],[NAMA BARANG]]="","",INDEX(NOTA[SUPPLIER],MATCH(,INDIRECT(ADDRESS(ROW(NOTA[ID]),COLUMN(NOTA[ID]))&amp;":"&amp;ADDRESS(ROW(),COLUMN(NOTA[ID]))),-1)))</f>
        <v>ATALI MAKMUR</v>
      </c>
      <c r="AH497" s="84" t="str">
        <f ca="1">IF(NOTA[[#This Row],[ID_H]]="","",IF(NOTA[[#This Row],[FAKTUR]]="",INDIRECT(ADDRESS(ROW()-1,COLUMN())),NOTA[[#This Row],[FAKTUR]]))</f>
        <v>ARTO MORO</v>
      </c>
      <c r="AI497" s="38" t="str">
        <f ca="1">IF(NOTA[[#This Row],[ID]]="","",COUNTIF(NOTA[ID_H],NOTA[[#This Row],[ID_H]]))</f>
        <v/>
      </c>
      <c r="AJ497" s="38">
        <f ca="1">IF(NOTA[[#This Row],[TGL.NOTA]]="",IF(NOTA[[#This Row],[SUPPLIER_H]]="","",AJ496),MONTH(NOTA[[#This Row],[TGL.NOTA]]))</f>
        <v>1</v>
      </c>
      <c r="AK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>crayonputartwcr24sjk34416000.1250.05</v>
      </c>
      <c r="AM497" s="193">
        <f>IF(NOTA[[#This Row],[CONCAT1]]="","",MATCH(NOTA[[#This Row],[CONCAT1]],[2]!db[NB NOTA_C],0)+1)</f>
        <v>552</v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>
        <f ca="1">IF(NOTA[[#This Row],[NAMA BARANG]]="","",INDEX(NOTA[ID],MATCH(,INDIRECT(ADDRESS(ROW(NOTA[ID]),COLUMN(NOTA[ID]))&amp;":"&amp;ADDRESS(ROW(),COLUMN(NOTA[ID]))),-1)))</f>
        <v>91</v>
      </c>
      <c r="E498" s="80"/>
      <c r="F498" s="26"/>
      <c r="G498" s="26"/>
      <c r="H498" s="31"/>
      <c r="I498" s="38"/>
      <c r="J498" s="81"/>
      <c r="K498" s="82"/>
      <c r="L498" s="26" t="s">
        <v>637</v>
      </c>
      <c r="M498" s="83">
        <v>1</v>
      </c>
      <c r="N498" s="82">
        <v>24</v>
      </c>
      <c r="O498" s="26" t="s">
        <v>116</v>
      </c>
      <c r="P498" s="84">
        <v>162000</v>
      </c>
      <c r="Q498" s="85"/>
      <c r="R498" s="39" t="s">
        <v>638</v>
      </c>
      <c r="S498" s="86">
        <v>0.125</v>
      </c>
      <c r="T498" s="86">
        <v>0.05</v>
      </c>
      <c r="U498" s="87"/>
      <c r="V498" s="37"/>
      <c r="W498" s="87">
        <f>IF(NOTA[[#This Row],[HARGA/ CTN]]="",NOTA[[#This Row],[JUMLAH_H]],NOTA[[#This Row],[HARGA/ CTN]]*IF(NOTA[[#This Row],[C]]="",0,NOTA[[#This Row],[C]]))</f>
        <v>3888000</v>
      </c>
      <c r="X498" s="87">
        <f>IF(NOTA[[#This Row],[JUMLAH]]="","",NOTA[[#This Row],[JUMLAH]]*NOTA[[#This Row],[DISC 1]])</f>
        <v>486000</v>
      </c>
      <c r="Y498" s="87">
        <f>IF(NOTA[[#This Row],[JUMLAH]]="","",(NOTA[[#This Row],[JUMLAH]]-NOTA[[#This Row],[DISC 1-]])*NOTA[[#This Row],[DISC 2]])</f>
        <v>170100</v>
      </c>
      <c r="Z498" s="87">
        <f>IF(NOTA[[#This Row],[JUMLAH]]="","",NOTA[[#This Row],[DISC 1-]]+NOTA[[#This Row],[DISC 2-]])</f>
        <v>656100</v>
      </c>
      <c r="AA498" s="87">
        <f>IF(NOTA[[#This Row],[JUMLAH]]="","",NOTA[[#This Row],[JUMLAH]]-NOTA[[#This Row],[DISC]])</f>
        <v>3231900</v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98" s="87">
        <f>IF(OR(NOTA[[#This Row],[QTY]]="",NOTA[[#This Row],[HARGA SATUAN]]="",),"",NOTA[[#This Row],[QTY]]*NOTA[[#This Row],[HARGA SATUAN]])</f>
        <v>3888000</v>
      </c>
      <c r="AF498" s="81">
        <f ca="1">IF(NOTA[ID_H]="","",INDEX(NOTA[TANGGAL],MATCH(,INDIRECT(ADDRESS(ROW(NOTA[TANGGAL]),COLUMN(NOTA[TANGGAL]))&amp;":"&amp;ADDRESS(ROW(),COLUMN(NOTA[TANGGAL]))),-1)))</f>
        <v>44944</v>
      </c>
      <c r="AG498" s="84" t="str">
        <f ca="1">IF(NOTA[[#This Row],[NAMA BARANG]]="","",INDEX(NOTA[SUPPLIER],MATCH(,INDIRECT(ADDRESS(ROW(NOTA[ID]),COLUMN(NOTA[ID]))&amp;":"&amp;ADDRESS(ROW(),COLUMN(NOTA[ID]))),-1)))</f>
        <v>ATALI MAKMUR</v>
      </c>
      <c r="AH498" s="84" t="str">
        <f ca="1">IF(NOTA[[#This Row],[ID_H]]="","",IF(NOTA[[#This Row],[FAKTUR]]="",INDIRECT(ADDRESS(ROW()-1,COLUMN())),NOTA[[#This Row],[FAKTUR]]))</f>
        <v>ARTO MORO</v>
      </c>
      <c r="AI498" s="38" t="str">
        <f ca="1">IF(NOTA[[#This Row],[ID]]="","",COUNTIF(NOTA[ID_H],NOTA[[#This Row],[ID_H]]))</f>
        <v/>
      </c>
      <c r="AJ498" s="38">
        <f ca="1">IF(NOTA[[#This Row],[TGL.NOTA]]="",IF(NOTA[[#This Row],[SUPPLIER_H]]="","",AJ497),MONTH(NOTA[[#This Row],[TGL.NOTA]]))</f>
        <v>1</v>
      </c>
      <c r="AK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498" s="193">
        <f>IF(NOTA[[#This Row],[CONCAT1]]="","",MATCH(NOTA[[#This Row],[CONCAT1]],[2]!db[NB NOTA_C],0)+1)</f>
        <v>568</v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>
        <f ca="1">IF(NOTA[[#This Row],[NAMA BARANG]]="","",INDEX(NOTA[ID],MATCH(,INDIRECT(ADDRESS(ROW(NOTA[ID]),COLUMN(NOTA[ID]))&amp;":"&amp;ADDRESS(ROW(),COLUMN(NOTA[ID]))),-1)))</f>
        <v>91</v>
      </c>
      <c r="E499" s="94"/>
      <c r="F499" s="38"/>
      <c r="G499" s="38"/>
      <c r="H499" s="79"/>
      <c r="I499" s="38"/>
      <c r="J499" s="95"/>
      <c r="K499" s="96"/>
      <c r="L499" s="38" t="s">
        <v>639</v>
      </c>
      <c r="M499" s="97"/>
      <c r="N499" s="96">
        <v>24</v>
      </c>
      <c r="O499" s="38" t="s">
        <v>116</v>
      </c>
      <c r="P499" s="98"/>
      <c r="Q499" s="99"/>
      <c r="R499" s="56" t="s">
        <v>640</v>
      </c>
      <c r="S499" s="100"/>
      <c r="T499" s="101"/>
      <c r="U499" s="102"/>
      <c r="V499" s="103" t="s">
        <v>674</v>
      </c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C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99" s="87" t="str">
        <f>IF(OR(NOTA[[#This Row],[QTY]]="",NOTA[[#This Row],[HARGA SATUAN]]="",),"",NOTA[[#This Row],[QTY]]*NOTA[[#This Row],[HARGA SATUAN]])</f>
        <v/>
      </c>
      <c r="AF499" s="81">
        <f ca="1">IF(NOTA[ID_H]="","",INDEX(NOTA[TANGGAL],MATCH(,INDIRECT(ADDRESS(ROW(NOTA[TANGGAL]),COLUMN(NOTA[TANGGAL]))&amp;":"&amp;ADDRESS(ROW(),COLUMN(NOTA[TANGGAL]))),-1)))</f>
        <v>44944</v>
      </c>
      <c r="AG499" s="84" t="str">
        <f ca="1">IF(NOTA[[#This Row],[NAMA BARANG]]="","",INDEX(NOTA[SUPPLIER],MATCH(,INDIRECT(ADDRESS(ROW(NOTA[ID]),COLUMN(NOTA[ID]))&amp;":"&amp;ADDRESS(ROW(),COLUMN(NOTA[ID]))),-1)))</f>
        <v>ATALI MAKMUR</v>
      </c>
      <c r="AH499" s="84" t="str">
        <f ca="1">IF(NOTA[[#This Row],[ID_H]]="","",IF(NOTA[[#This Row],[FAKTUR]]="",INDIRECT(ADDRESS(ROW()-1,COLUMN())),NOTA[[#This Row],[FAKTUR]]))</f>
        <v>ARTO MORO</v>
      </c>
      <c r="AI499" s="38" t="str">
        <f ca="1">IF(NOTA[[#This Row],[ID]]="","",COUNTIF(NOTA[ID_H],NOTA[[#This Row],[ID_H]]))</f>
        <v/>
      </c>
      <c r="AJ499" s="38">
        <f ca="1">IF(NOTA[[#This Row],[TGL.NOTA]]="",IF(NOTA[[#This Row],[SUPPLIER_H]]="","",AJ498),MONTH(NOTA[[#This Row],[TGL.NOTA]]))</f>
        <v>1</v>
      </c>
      <c r="AK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499" s="193">
        <f>IF(NOTA[[#This Row],[CONCAT1]]="","",MATCH(NOTA[[#This Row],[CONCAT1]],[2]!db[NB NOTA_C],0)+1)</f>
        <v>560</v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93" t="str">
        <f>IF(NOTA[[#This Row],[CONCAT1]]="","",MATCH(NOTA[[#This Row],[CONCAT1]],[2]!db[NB NOTA_C],0)+1)</f>
        <v/>
      </c>
    </row>
    <row r="501" spans="1:39" ht="20.100000000000001" customHeight="1" x14ac:dyDescent="0.25">
      <c r="A501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3" t="e">
        <f ca="1">IF(NOTA[[#This Row],[ID_P]]="","",MATCH(NOTA[[#This Row],[ID_P]],[1]!B_MSK[N_ID],0))</f>
        <v>#REF!</v>
      </c>
      <c r="D501" s="93">
        <f ca="1">IF(NOTA[[#This Row],[NAMA BARANG]]="","",INDEX(NOTA[ID],MATCH(,INDIRECT(ADDRESS(ROW(NOTA[ID]),COLUMN(NOTA[ID]))&amp;":"&amp;ADDRESS(ROW(),COLUMN(NOTA[ID]))),-1)))</f>
        <v>92</v>
      </c>
      <c r="E501" s="94"/>
      <c r="F501" s="38" t="s">
        <v>52</v>
      </c>
      <c r="G501" s="38" t="s">
        <v>24</v>
      </c>
      <c r="H501" s="79" t="s">
        <v>675</v>
      </c>
      <c r="I501" s="38"/>
      <c r="J501" s="95">
        <v>44939</v>
      </c>
      <c r="K501" s="96"/>
      <c r="L501" s="38" t="s">
        <v>676</v>
      </c>
      <c r="M501" s="97">
        <v>1</v>
      </c>
      <c r="N501" s="96">
        <v>80</v>
      </c>
      <c r="O501" s="38" t="s">
        <v>104</v>
      </c>
      <c r="P501" s="98">
        <v>55000</v>
      </c>
      <c r="Q501" s="99"/>
      <c r="R501" s="56" t="s">
        <v>443</v>
      </c>
      <c r="S501" s="100">
        <v>0.125</v>
      </c>
      <c r="T501" s="101">
        <v>0.05</v>
      </c>
      <c r="U501" s="102"/>
      <c r="V501" s="103"/>
      <c r="W501" s="87">
        <f>IF(NOTA[[#This Row],[HARGA/ CTN]]="",NOTA[[#This Row],[JUMLAH_H]],NOTA[[#This Row],[HARGA/ CTN]]*IF(NOTA[[#This Row],[C]]="",0,NOTA[[#This Row],[C]]))</f>
        <v>4400000</v>
      </c>
      <c r="X501" s="87">
        <f>IF(NOTA[[#This Row],[JUMLAH]]="","",NOTA[[#This Row],[JUMLAH]]*NOTA[[#This Row],[DISC 1]])</f>
        <v>550000</v>
      </c>
      <c r="Y501" s="87">
        <f>IF(NOTA[[#This Row],[JUMLAH]]="","",(NOTA[[#This Row],[JUMLAH]]-NOTA[[#This Row],[DISC 1-]])*NOTA[[#This Row],[DISC 2]])</f>
        <v>192500</v>
      </c>
      <c r="Z501" s="87">
        <f>IF(NOTA[[#This Row],[JUMLAH]]="","",NOTA[[#This Row],[DISC 1-]]+NOTA[[#This Row],[DISC 2-]])</f>
        <v>742500</v>
      </c>
      <c r="AA501" s="87">
        <f>IF(NOTA[[#This Row],[JUMLAH]]="","",NOTA[[#This Row],[JUMLAH]]-NOTA[[#This Row],[DISC]])</f>
        <v>3657500</v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501" s="87">
        <f>IF(OR(NOTA[[#This Row],[QTY]]="",NOTA[[#This Row],[HARGA SATUAN]]="",),"",NOTA[[#This Row],[QTY]]*NOTA[[#This Row],[HARGA SATUAN]])</f>
        <v>4400000</v>
      </c>
      <c r="AF501" s="81">
        <f ca="1">IF(NOTA[ID_H]="","",INDEX(NOTA[TANGGAL],MATCH(,INDIRECT(ADDRESS(ROW(NOTA[TANGGAL]),COLUMN(NOTA[TANGGAL]))&amp;":"&amp;ADDRESS(ROW(),COLUMN(NOTA[TANGGAL]))),-1)))</f>
        <v>44944</v>
      </c>
      <c r="AG501" s="84" t="str">
        <f ca="1">IF(NOTA[[#This Row],[NAMA BARANG]]="","",INDEX(NOTA[SUPPLIER],MATCH(,INDIRECT(ADDRESS(ROW(NOTA[ID]),COLUMN(NOTA[ID]))&amp;":"&amp;ADDRESS(ROW(),COLUMN(NOTA[ID]))),-1)))</f>
        <v>KALINDO SUKSES</v>
      </c>
      <c r="AH501" s="84" t="str">
        <f ca="1">IF(NOTA[[#This Row],[ID_H]]="","",IF(NOTA[[#This Row],[FAKTUR]]="",INDIRECT(ADDRESS(ROW()-1,COLUMN())),NOTA[[#This Row],[FAKTUR]]))</f>
        <v>ARTO MORO</v>
      </c>
      <c r="AI501" s="38">
        <f ca="1">IF(NOTA[[#This Row],[ID]]="","",COUNTIF(NOTA[ID_H],NOTA[[#This Row],[ID_H]]))</f>
        <v>7</v>
      </c>
      <c r="AJ501" s="38">
        <f>IF(NOTA[[#This Row],[TGL.NOTA]]="",IF(NOTA[[#This Row],[SUPPLIER_H]]="","",AJ500),MONTH(NOTA[[#This Row],[TGL.NOTA]]))</f>
        <v>1</v>
      </c>
      <c r="AK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>calculatorjoykocc4044000000.1250.05</v>
      </c>
      <c r="AM501" s="193">
        <f>IF(NOTA[[#This Row],[CONCAT1]]="","",MATCH(NOTA[[#This Row],[CONCAT1]],[2]!db[NB NOTA_C],0)+1)</f>
        <v>409</v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>
        <f ca="1">IF(NOTA[[#This Row],[NAMA BARANG]]="","",INDEX(NOTA[ID],MATCH(,INDIRECT(ADDRESS(ROW(NOTA[ID]),COLUMN(NOTA[ID]))&amp;":"&amp;ADDRESS(ROW(),COLUMN(NOTA[ID]))),-1)))</f>
        <v>92</v>
      </c>
      <c r="E502" s="94"/>
      <c r="F502" s="96"/>
      <c r="G502" s="96"/>
      <c r="H502" s="104"/>
      <c r="I502" s="96"/>
      <c r="J502" s="95"/>
      <c r="K502" s="96"/>
      <c r="L502" s="38" t="s">
        <v>509</v>
      </c>
      <c r="M502" s="97">
        <v>1</v>
      </c>
      <c r="N502" s="96">
        <v>60</v>
      </c>
      <c r="O502" s="38" t="s">
        <v>104</v>
      </c>
      <c r="P502" s="98">
        <v>74000</v>
      </c>
      <c r="Q502" s="99"/>
      <c r="R502" s="56" t="s">
        <v>518</v>
      </c>
      <c r="S502" s="100">
        <v>0.125</v>
      </c>
      <c r="T502" s="101">
        <v>0.05</v>
      </c>
      <c r="U502" s="102"/>
      <c r="V502" s="103"/>
      <c r="W502" s="87">
        <f>IF(NOTA[[#This Row],[HARGA/ CTN]]="",NOTA[[#This Row],[JUMLAH_H]],NOTA[[#This Row],[HARGA/ CTN]]*IF(NOTA[[#This Row],[C]]="",0,NOTA[[#This Row],[C]]))</f>
        <v>4440000</v>
      </c>
      <c r="X502" s="87">
        <f>IF(NOTA[[#This Row],[JUMLAH]]="","",NOTA[[#This Row],[JUMLAH]]*NOTA[[#This Row],[DISC 1]])</f>
        <v>555000</v>
      </c>
      <c r="Y502" s="87">
        <f>IF(NOTA[[#This Row],[JUMLAH]]="","",(NOTA[[#This Row],[JUMLAH]]-NOTA[[#This Row],[DISC 1-]])*NOTA[[#This Row],[DISC 2]])</f>
        <v>194250</v>
      </c>
      <c r="Z502" s="87">
        <f>IF(NOTA[[#This Row],[JUMLAH]]="","",NOTA[[#This Row],[DISC 1-]]+NOTA[[#This Row],[DISC 2-]])</f>
        <v>749250</v>
      </c>
      <c r="AA502" s="87">
        <f>IF(NOTA[[#This Row],[JUMLAH]]="","",NOTA[[#This Row],[JUMLAH]]-NOTA[[#This Row],[DISC]])</f>
        <v>3690750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502" s="87">
        <f>IF(OR(NOTA[[#This Row],[QTY]]="",NOTA[[#This Row],[HARGA SATUAN]]="",),"",NOTA[[#This Row],[QTY]]*NOTA[[#This Row],[HARGA SATUAN]])</f>
        <v>4440000</v>
      </c>
      <c r="AF502" s="81">
        <f ca="1">IF(NOTA[ID_H]="","",INDEX(NOTA[TANGGAL],MATCH(,INDIRECT(ADDRESS(ROW(NOTA[TANGGAL]),COLUMN(NOTA[TANGGAL]))&amp;":"&amp;ADDRESS(ROW(),COLUMN(NOTA[TANGGAL]))),-1)))</f>
        <v>44944</v>
      </c>
      <c r="AG502" s="84" t="str">
        <f ca="1">IF(NOTA[[#This Row],[NAMA BARANG]]="","",INDEX(NOTA[SUPPLIER],MATCH(,INDIRECT(ADDRESS(ROW(NOTA[ID]),COLUMN(NOTA[ID]))&amp;":"&amp;ADDRESS(ROW(),COLUMN(NOTA[ID]))),-1)))</f>
        <v>KALINDO SUKSES</v>
      </c>
      <c r="AH502" s="84" t="str">
        <f ca="1">IF(NOTA[[#This Row],[ID_H]]="","",IF(NOTA[[#This Row],[FAKTUR]]="",INDIRECT(ADDRESS(ROW()-1,COLUMN())),NOTA[[#This Row],[FAKTUR]]))</f>
        <v>ARTO MORO</v>
      </c>
      <c r="AI502" s="38" t="str">
        <f ca="1">IF(NOTA[[#This Row],[ID]]="","",COUNTIF(NOTA[ID_H],NOTA[[#This Row],[ID_H]]))</f>
        <v/>
      </c>
      <c r="AJ502" s="38">
        <f ca="1">IF(NOTA[[#This Row],[TGL.NOTA]]="",IF(NOTA[[#This Row],[SUPPLIER_H]]="","",AJ501),MONTH(NOTA[[#This Row],[TGL.NOTA]]))</f>
        <v>1</v>
      </c>
      <c r="AK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>calculatorjoykocc4144400000.1250.05</v>
      </c>
      <c r="AM502" s="193">
        <f>IF(NOTA[[#This Row],[CONCAT1]]="","",MATCH(NOTA[[#This Row],[CONCAT1]],[2]!db[NB NOTA_C],0)+1)</f>
        <v>410</v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92</v>
      </c>
      <c r="E503" s="94"/>
      <c r="F503" s="38"/>
      <c r="G503" s="38"/>
      <c r="H503" s="79"/>
      <c r="I503" s="96"/>
      <c r="J503" s="95"/>
      <c r="K503" s="96"/>
      <c r="L503" s="38" t="s">
        <v>677</v>
      </c>
      <c r="M503" s="97"/>
      <c r="N503" s="96">
        <v>40</v>
      </c>
      <c r="O503" s="38" t="s">
        <v>104</v>
      </c>
      <c r="P503" s="90">
        <v>32500</v>
      </c>
      <c r="Q503" s="105"/>
      <c r="R503" s="175" t="s">
        <v>519</v>
      </c>
      <c r="S503" s="100">
        <v>0.125</v>
      </c>
      <c r="T503" s="101">
        <v>0.05</v>
      </c>
      <c r="U503" s="102"/>
      <c r="V503" s="103"/>
      <c r="W503" s="87">
        <f>IF(NOTA[[#This Row],[HARGA/ CTN]]="",NOTA[[#This Row],[JUMLAH_H]],NOTA[[#This Row],[HARGA/ CTN]]*IF(NOTA[[#This Row],[C]]="",0,NOTA[[#This Row],[C]]))</f>
        <v>1300000</v>
      </c>
      <c r="X503" s="87">
        <f>IF(NOTA[[#This Row],[JUMLAH]]="","",NOTA[[#This Row],[JUMLAH]]*NOTA[[#This Row],[DISC 1]])</f>
        <v>162500</v>
      </c>
      <c r="Y503" s="87">
        <f>IF(NOTA[[#This Row],[JUMLAH]]="","",(NOTA[[#This Row],[JUMLAH]]-NOTA[[#This Row],[DISC 1-]])*NOTA[[#This Row],[DISC 2]])</f>
        <v>56875</v>
      </c>
      <c r="Z503" s="87">
        <f>IF(NOTA[[#This Row],[JUMLAH]]="","",NOTA[[#This Row],[DISC 1-]]+NOTA[[#This Row],[DISC 2-]])</f>
        <v>219375</v>
      </c>
      <c r="AA503" s="87">
        <f>IF(NOTA[[#This Row],[JUMLAH]]="","",NOTA[[#This Row],[JUMLAH]]-NOTA[[#This Row],[DISC]])</f>
        <v>1080625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3" s="87">
        <f>IF(OR(NOTA[[#This Row],[QTY]]="",NOTA[[#This Row],[HARGA SATUAN]]="",),"",NOTA[[#This Row],[QTY]]*NOTA[[#This Row],[HARGA SATUAN]])</f>
        <v>1300000</v>
      </c>
      <c r="AF503" s="81">
        <f ca="1">IF(NOTA[ID_H]="","",INDEX(NOTA[TANGGAL],MATCH(,INDIRECT(ADDRESS(ROW(NOTA[TANGGAL]),COLUMN(NOTA[TANGGAL]))&amp;":"&amp;ADDRESS(ROW(),COLUMN(NOTA[TANGGAL]))),-1)))</f>
        <v>44944</v>
      </c>
      <c r="AG503" s="84" t="str">
        <f ca="1">IF(NOTA[[#This Row],[NAMA BARANG]]="","",INDEX(NOTA[SUPPLIER],MATCH(,INDIRECT(ADDRESS(ROW(NOTA[ID]),COLUMN(NOTA[ID]))&amp;":"&amp;ADDRESS(ROW(),COLUMN(NOTA[ID]))),-1)))</f>
        <v>KALINDO SUKSES</v>
      </c>
      <c r="AH503" s="84" t="str">
        <f ca="1">IF(NOTA[[#This Row],[ID_H]]="","",IF(NOTA[[#This Row],[FAKTUR]]="",INDIRECT(ADDRESS(ROW()-1,COLUMN())),NOTA[[#This Row],[FAKTUR]]))</f>
        <v>ARTO MORO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1</v>
      </c>
      <c r="AK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>calculatorjoykocc47coblue32500</v>
      </c>
      <c r="AM503" s="193">
        <f>IF(NOTA[[#This Row],[CONCAT1]]="","",MATCH(NOTA[[#This Row],[CONCAT1]],[2]!db[NB NOTA_C],0)+1)</f>
        <v>413</v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92</v>
      </c>
      <c r="E504" s="94"/>
      <c r="F504" s="38"/>
      <c r="G504" s="38"/>
      <c r="H504" s="79"/>
      <c r="I504" s="96"/>
      <c r="J504" s="95"/>
      <c r="K504" s="96"/>
      <c r="L504" s="38" t="s">
        <v>678</v>
      </c>
      <c r="M504" s="97"/>
      <c r="N504" s="96">
        <v>40</v>
      </c>
      <c r="O504" s="38" t="s">
        <v>104</v>
      </c>
      <c r="P504" s="98">
        <v>32500</v>
      </c>
      <c r="Q504" s="99"/>
      <c r="R504" s="56" t="s">
        <v>519</v>
      </c>
      <c r="S504" s="100">
        <v>0.125</v>
      </c>
      <c r="T504" s="101">
        <v>0.05</v>
      </c>
      <c r="U504" s="102"/>
      <c r="V504" s="103"/>
      <c r="W504" s="87">
        <f>IF(NOTA[[#This Row],[HARGA/ CTN]]="",NOTA[[#This Row],[JUMLAH_H]],NOTA[[#This Row],[HARGA/ CTN]]*IF(NOTA[[#This Row],[C]]="",0,NOTA[[#This Row],[C]]))</f>
        <v>1300000</v>
      </c>
      <c r="X504" s="87">
        <f>IF(NOTA[[#This Row],[JUMLAH]]="","",NOTA[[#This Row],[JUMLAH]]*NOTA[[#This Row],[DISC 1]])</f>
        <v>162500</v>
      </c>
      <c r="Y504" s="87">
        <f>IF(NOTA[[#This Row],[JUMLAH]]="","",(NOTA[[#This Row],[JUMLAH]]-NOTA[[#This Row],[DISC 1-]])*NOTA[[#This Row],[DISC 2]])</f>
        <v>56875</v>
      </c>
      <c r="Z504" s="87">
        <f>IF(NOTA[[#This Row],[JUMLAH]]="","",NOTA[[#This Row],[DISC 1-]]+NOTA[[#This Row],[DISC 2-]])</f>
        <v>219375</v>
      </c>
      <c r="AA504" s="87">
        <f>IF(NOTA[[#This Row],[JUMLAH]]="","",NOTA[[#This Row],[JUMLAH]]-NOTA[[#This Row],[DISC]])</f>
        <v>1080625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4" s="87">
        <f>IF(OR(NOTA[[#This Row],[QTY]]="",NOTA[[#This Row],[HARGA SATUAN]]="",),"",NOTA[[#This Row],[QTY]]*NOTA[[#This Row],[HARGA SATUAN]])</f>
        <v>1300000</v>
      </c>
      <c r="AF504" s="81">
        <f ca="1">IF(NOTA[ID_H]="","",INDEX(NOTA[TANGGAL],MATCH(,INDIRECT(ADDRESS(ROW(NOTA[TANGGAL]),COLUMN(NOTA[TANGGAL]))&amp;":"&amp;ADDRESS(ROW(),COLUMN(NOTA[TANGGAL]))),-1)))</f>
        <v>44944</v>
      </c>
      <c r="AG504" s="84" t="str">
        <f ca="1">IF(NOTA[[#This Row],[NAMA BARANG]]="","",INDEX(NOTA[SUPPLIER],MATCH(,INDIRECT(ADDRESS(ROW(NOTA[ID]),COLUMN(NOTA[ID]))&amp;":"&amp;ADDRESS(ROW(),COLUMN(NOTA[ID]))),-1)))</f>
        <v>KALINDO SUKSES</v>
      </c>
      <c r="AH504" s="84" t="str">
        <f ca="1">IF(NOTA[[#This Row],[ID_H]]="","",IF(NOTA[[#This Row],[FAKTUR]]="",INDIRECT(ADDRESS(ROW()-1,COLUMN())),NOTA[[#This Row],[FAKTUR]]))</f>
        <v>ARTO MORO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1</v>
      </c>
      <c r="AK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>calculatorjoykocc47cogreen32500</v>
      </c>
      <c r="AM504" s="193">
        <f>IF(NOTA[[#This Row],[CONCAT1]]="","",MATCH(NOTA[[#This Row],[CONCAT1]],[2]!db[NB NOTA_C],0)+1)</f>
        <v>414</v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92</v>
      </c>
      <c r="E505" s="94"/>
      <c r="F505" s="96"/>
      <c r="G505" s="96"/>
      <c r="H505" s="104"/>
      <c r="I505" s="96"/>
      <c r="J505" s="95"/>
      <c r="K505" s="96"/>
      <c r="L505" s="38" t="s">
        <v>679</v>
      </c>
      <c r="M505" s="97"/>
      <c r="N505" s="96">
        <v>40</v>
      </c>
      <c r="O505" s="38" t="s">
        <v>104</v>
      </c>
      <c r="P505" s="98">
        <v>32500</v>
      </c>
      <c r="Q505" s="99"/>
      <c r="R505" s="56" t="s">
        <v>519</v>
      </c>
      <c r="S505" s="100">
        <v>0.125</v>
      </c>
      <c r="T505" s="101">
        <v>0.05</v>
      </c>
      <c r="U505" s="102"/>
      <c r="V505" s="103"/>
      <c r="W505" s="87">
        <f>IF(NOTA[[#This Row],[HARGA/ CTN]]="",NOTA[[#This Row],[JUMLAH_H]],NOTA[[#This Row],[HARGA/ CTN]]*IF(NOTA[[#This Row],[C]]="",0,NOTA[[#This Row],[C]]))</f>
        <v>1300000</v>
      </c>
      <c r="X505" s="87">
        <f>IF(NOTA[[#This Row],[JUMLAH]]="","",NOTA[[#This Row],[JUMLAH]]*NOTA[[#This Row],[DISC 1]])</f>
        <v>162500</v>
      </c>
      <c r="Y505" s="87">
        <f>IF(NOTA[[#This Row],[JUMLAH]]="","",(NOTA[[#This Row],[JUMLAH]]-NOTA[[#This Row],[DISC 1-]])*NOTA[[#This Row],[DISC 2]])</f>
        <v>56875</v>
      </c>
      <c r="Z505" s="87">
        <f>IF(NOTA[[#This Row],[JUMLAH]]="","",NOTA[[#This Row],[DISC 1-]]+NOTA[[#This Row],[DISC 2-]])</f>
        <v>219375</v>
      </c>
      <c r="AA505" s="87">
        <f>IF(NOTA[[#This Row],[JUMLAH]]="","",NOTA[[#This Row],[JUMLAH]]-NOTA[[#This Row],[DISC]])</f>
        <v>1080625</v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5" s="87">
        <f>IF(OR(NOTA[[#This Row],[QTY]]="",NOTA[[#This Row],[HARGA SATUAN]]="",),"",NOTA[[#This Row],[QTY]]*NOTA[[#This Row],[HARGA SATUAN]])</f>
        <v>1300000</v>
      </c>
      <c r="AF505" s="81">
        <f ca="1">IF(NOTA[ID_H]="","",INDEX(NOTA[TANGGAL],MATCH(,INDIRECT(ADDRESS(ROW(NOTA[TANGGAL]),COLUMN(NOTA[TANGGAL]))&amp;":"&amp;ADDRESS(ROW(),COLUMN(NOTA[TANGGAL]))),-1)))</f>
        <v>44944</v>
      </c>
      <c r="AG505" s="84" t="str">
        <f ca="1">IF(NOTA[[#This Row],[NAMA BARANG]]="","",INDEX(NOTA[SUPPLIER],MATCH(,INDIRECT(ADDRESS(ROW(NOTA[ID]),COLUMN(NOTA[ID]))&amp;":"&amp;ADDRESS(ROW(),COLUMN(NOTA[ID]))),-1)))</f>
        <v>KALINDO SUKSES</v>
      </c>
      <c r="AH505" s="84" t="str">
        <f ca="1">IF(NOTA[[#This Row],[ID_H]]="","",IF(NOTA[[#This Row],[FAKTUR]]="",INDIRECT(ADDRESS(ROW()-1,COLUMN())),NOTA[[#This Row],[FAKTUR]]))</f>
        <v>ARTO MORO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1</v>
      </c>
      <c r="AK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>calculatorjoykocc47cored32500</v>
      </c>
      <c r="AM505" s="193">
        <f>IF(NOTA[[#This Row],[CONCAT1]]="","",MATCH(NOTA[[#This Row],[CONCAT1]],[2]!db[NB NOTA_C],0)+1)</f>
        <v>415</v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>
        <f ca="1">IF(NOTA[[#This Row],[NAMA BARANG]]="","",INDEX(NOTA[ID],MATCH(,INDIRECT(ADDRESS(ROW(NOTA[ID]),COLUMN(NOTA[ID]))&amp;":"&amp;ADDRESS(ROW(),COLUMN(NOTA[ID]))),-1)))</f>
        <v>92</v>
      </c>
      <c r="E506" s="94"/>
      <c r="F506" s="38"/>
      <c r="G506" s="38"/>
      <c r="H506" s="79"/>
      <c r="I506" s="96"/>
      <c r="J506" s="95"/>
      <c r="K506" s="38"/>
      <c r="L506" s="38" t="s">
        <v>680</v>
      </c>
      <c r="M506" s="97">
        <v>1</v>
      </c>
      <c r="N506" s="96">
        <v>120</v>
      </c>
      <c r="O506" s="38" t="s">
        <v>104</v>
      </c>
      <c r="P506" s="98">
        <v>52000</v>
      </c>
      <c r="Q506" s="99"/>
      <c r="R506" s="56" t="s">
        <v>519</v>
      </c>
      <c r="S506" s="100">
        <v>0.125</v>
      </c>
      <c r="T506" s="101">
        <v>0.05</v>
      </c>
      <c r="U506" s="102"/>
      <c r="V506" s="103"/>
      <c r="W506" s="87">
        <f>IF(NOTA[[#This Row],[HARGA/ CTN]]="",NOTA[[#This Row],[JUMLAH_H]],NOTA[[#This Row],[HARGA/ CTN]]*IF(NOTA[[#This Row],[C]]="",0,NOTA[[#This Row],[C]]))</f>
        <v>6240000</v>
      </c>
      <c r="X506" s="87">
        <f>IF(NOTA[[#This Row],[JUMLAH]]="","",NOTA[[#This Row],[JUMLAH]]*NOTA[[#This Row],[DISC 1]])</f>
        <v>780000</v>
      </c>
      <c r="Y506" s="87">
        <f>IF(NOTA[[#This Row],[JUMLAH]]="","",(NOTA[[#This Row],[JUMLAH]]-NOTA[[#This Row],[DISC 1-]])*NOTA[[#This Row],[DISC 2]])</f>
        <v>273000</v>
      </c>
      <c r="Z506" s="87">
        <f>IF(NOTA[[#This Row],[JUMLAH]]="","",NOTA[[#This Row],[DISC 1-]]+NOTA[[#This Row],[DISC 2-]])</f>
        <v>1053000</v>
      </c>
      <c r="AA506" s="87">
        <f>IF(NOTA[[#This Row],[JUMLAH]]="","",NOTA[[#This Row],[JUMLAH]]-NOTA[[#This Row],[DISC]])</f>
        <v>5187000</v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E506" s="87">
        <f>IF(OR(NOTA[[#This Row],[QTY]]="",NOTA[[#This Row],[HARGA SATUAN]]="",),"",NOTA[[#This Row],[QTY]]*NOTA[[#This Row],[HARGA SATUAN]])</f>
        <v>6240000</v>
      </c>
      <c r="AF506" s="81">
        <f ca="1">IF(NOTA[ID_H]="","",INDEX(NOTA[TANGGAL],MATCH(,INDIRECT(ADDRESS(ROW(NOTA[TANGGAL]),COLUMN(NOTA[TANGGAL]))&amp;":"&amp;ADDRESS(ROW(),COLUMN(NOTA[TANGGAL]))),-1)))</f>
        <v>44944</v>
      </c>
      <c r="AG506" s="84" t="str">
        <f ca="1">IF(NOTA[[#This Row],[NAMA BARANG]]="","",INDEX(NOTA[SUPPLIER],MATCH(,INDIRECT(ADDRESS(ROW(NOTA[ID]),COLUMN(NOTA[ID]))&amp;":"&amp;ADDRESS(ROW(),COLUMN(NOTA[ID]))),-1)))</f>
        <v>KALINDO SUKSES</v>
      </c>
      <c r="AH506" s="84" t="str">
        <f ca="1">IF(NOTA[[#This Row],[ID_H]]="","",IF(NOTA[[#This Row],[FAKTUR]]="",INDIRECT(ADDRESS(ROW()-1,COLUMN())),NOTA[[#This Row],[FAKTUR]]))</f>
        <v>ARTO MORO</v>
      </c>
      <c r="AI506" s="38" t="str">
        <f ca="1">IF(NOTA[[#This Row],[ID]]="","",COUNTIF(NOTA[ID_H],NOTA[[#This Row],[ID_H]]))</f>
        <v/>
      </c>
      <c r="AJ506" s="38">
        <f ca="1">IF(NOTA[[#This Row],[TGL.NOTA]]="",IF(NOTA[[#This Row],[SUPPLIER_H]]="","",AJ505),MONTH(NOTA[[#This Row],[TGL.NOTA]]))</f>
        <v>1</v>
      </c>
      <c r="AK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>calculatorjoykocc4662400000.1250.05</v>
      </c>
      <c r="AM506" s="193">
        <f>IF(NOTA[[#This Row],[CONCAT1]]="","",MATCH(NOTA[[#This Row],[CONCAT1]],[2]!db[NB NOTA_C],0)+1)</f>
        <v>411</v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>
        <f ca="1">IF(NOTA[[#This Row],[NAMA BARANG]]="","",INDEX(NOTA[ID],MATCH(,INDIRECT(ADDRESS(ROW(NOTA[ID]),COLUMN(NOTA[ID]))&amp;":"&amp;ADDRESS(ROW(),COLUMN(NOTA[ID]))),-1)))</f>
        <v>92</v>
      </c>
      <c r="E507" s="94"/>
      <c r="F507" s="38"/>
      <c r="G507" s="38"/>
      <c r="H507" s="79"/>
      <c r="I507" s="96"/>
      <c r="J507" s="95"/>
      <c r="K507" s="96"/>
      <c r="L507" s="38" t="s">
        <v>681</v>
      </c>
      <c r="M507" s="97">
        <v>1</v>
      </c>
      <c r="N507" s="96">
        <v>60</v>
      </c>
      <c r="O507" s="38" t="s">
        <v>104</v>
      </c>
      <c r="P507" s="98">
        <v>82000</v>
      </c>
      <c r="Q507" s="99"/>
      <c r="R507" s="56" t="s">
        <v>518</v>
      </c>
      <c r="S507" s="100">
        <v>0.125</v>
      </c>
      <c r="T507" s="101">
        <v>0.05</v>
      </c>
      <c r="U507" s="102"/>
      <c r="V507" s="103"/>
      <c r="W507" s="87">
        <f>IF(NOTA[[#This Row],[HARGA/ CTN]]="",NOTA[[#This Row],[JUMLAH_H]],NOTA[[#This Row],[HARGA/ CTN]]*IF(NOTA[[#This Row],[C]]="",0,NOTA[[#This Row],[C]]))</f>
        <v>4920000</v>
      </c>
      <c r="X507" s="87">
        <f>IF(NOTA[[#This Row],[JUMLAH]]="","",NOTA[[#This Row],[JUMLAH]]*NOTA[[#This Row],[DISC 1]])</f>
        <v>615000</v>
      </c>
      <c r="Y507" s="87">
        <f>IF(NOTA[[#This Row],[JUMLAH]]="","",(NOTA[[#This Row],[JUMLAH]]-NOTA[[#This Row],[DISC 1-]])*NOTA[[#This Row],[DISC 2]])</f>
        <v>215250</v>
      </c>
      <c r="Z507" s="87">
        <f>IF(NOTA[[#This Row],[JUMLAH]]="","",NOTA[[#This Row],[DISC 1-]]+NOTA[[#This Row],[DISC 2-]])</f>
        <v>830250</v>
      </c>
      <c r="AA507" s="87">
        <f>IF(NOTA[[#This Row],[JUMLAH]]="","",NOTA[[#This Row],[JUMLAH]]-NOTA[[#This Row],[DISC]])</f>
        <v>4089750</v>
      </c>
      <c r="AB50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C50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D507" s="84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E507" s="87">
        <f>IF(OR(NOTA[[#This Row],[QTY]]="",NOTA[[#This Row],[HARGA SATUAN]]="",),"",NOTA[[#This Row],[QTY]]*NOTA[[#This Row],[HARGA SATUAN]])</f>
        <v>4920000</v>
      </c>
      <c r="AF507" s="81">
        <f ca="1">IF(NOTA[ID_H]="","",INDEX(NOTA[TANGGAL],MATCH(,INDIRECT(ADDRESS(ROW(NOTA[TANGGAL]),COLUMN(NOTA[TANGGAL]))&amp;":"&amp;ADDRESS(ROW(),COLUMN(NOTA[TANGGAL]))),-1)))</f>
        <v>44944</v>
      </c>
      <c r="AG507" s="84" t="str">
        <f ca="1">IF(NOTA[[#This Row],[NAMA BARANG]]="","",INDEX(NOTA[SUPPLIER],MATCH(,INDIRECT(ADDRESS(ROW(NOTA[ID]),COLUMN(NOTA[ID]))&amp;":"&amp;ADDRESS(ROW(),COLUMN(NOTA[ID]))),-1)))</f>
        <v>KALINDO SUKSES</v>
      </c>
      <c r="AH507" s="84" t="str">
        <f ca="1">IF(NOTA[[#This Row],[ID_H]]="","",IF(NOTA[[#This Row],[FAKTUR]]="",INDIRECT(ADDRESS(ROW()-1,COLUMN())),NOTA[[#This Row],[FAKTUR]]))</f>
        <v>ARTO MORO</v>
      </c>
      <c r="AI507" s="38" t="str">
        <f ca="1">IF(NOTA[[#This Row],[ID]]="","",COUNTIF(NOTA[ID_H],NOTA[[#This Row],[ID_H]]))</f>
        <v/>
      </c>
      <c r="AJ507" s="38">
        <f ca="1">IF(NOTA[[#This Row],[TGL.NOTA]]="",IF(NOTA[[#This Row],[SUPPLIER_H]]="","",AJ506),MONTH(NOTA[[#This Row],[TGL.NOTA]]))</f>
        <v>1</v>
      </c>
      <c r="AK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>calculatorjoykocc810ch49200000.1250.05</v>
      </c>
      <c r="AM507" s="193">
        <f>IF(NOTA[[#This Row],[CONCAT1]]="","",MATCH(NOTA[[#This Row],[CONCAT1]],[2]!db[NB NOTA_C],0)+1)</f>
        <v>421</v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93" t="str">
        <f>IF(NOTA[[#This Row],[CONCAT1]]="","",MATCH(NOTA[[#This Row],[CONCAT1]],[2]!db[NB NOTA_C],0)+1)</f>
        <v/>
      </c>
    </row>
    <row r="509" spans="1:39" ht="20.100000000000001" customHeight="1" x14ac:dyDescent="0.25">
      <c r="A509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3" t="e">
        <f ca="1">IF(NOTA[[#This Row],[ID_P]]="","",MATCH(NOTA[[#This Row],[ID_P]],[1]!B_MSK[N_ID],0))</f>
        <v>#REF!</v>
      </c>
      <c r="D509" s="93">
        <f ca="1">IF(NOTA[[#This Row],[NAMA BARANG]]="","",INDEX(NOTA[ID],MATCH(,INDIRECT(ADDRESS(ROW(NOTA[ID]),COLUMN(NOTA[ID]))&amp;":"&amp;ADDRESS(ROW(),COLUMN(NOTA[ID]))),-1)))</f>
        <v>93</v>
      </c>
      <c r="E509" s="94"/>
      <c r="F509" s="38" t="s">
        <v>25</v>
      </c>
      <c r="G509" s="38" t="s">
        <v>24</v>
      </c>
      <c r="H509" s="79" t="s">
        <v>682</v>
      </c>
      <c r="I509" s="96"/>
      <c r="J509" s="95">
        <v>44940</v>
      </c>
      <c r="K509" s="96"/>
      <c r="L509" s="38" t="s">
        <v>430</v>
      </c>
      <c r="M509" s="97">
        <v>2</v>
      </c>
      <c r="N509" s="96">
        <v>288</v>
      </c>
      <c r="O509" s="38" t="s">
        <v>128</v>
      </c>
      <c r="P509" s="98">
        <v>23900</v>
      </c>
      <c r="Q509" s="99"/>
      <c r="R509" s="56" t="s">
        <v>271</v>
      </c>
      <c r="S509" s="100">
        <v>0.125</v>
      </c>
      <c r="T509" s="101">
        <v>0.05</v>
      </c>
      <c r="U509" s="102"/>
      <c r="V509" s="103"/>
      <c r="W509" s="87">
        <f>IF(NOTA[[#This Row],[HARGA/ CTN]]="",NOTA[[#This Row],[JUMLAH_H]],NOTA[[#This Row],[HARGA/ CTN]]*IF(NOTA[[#This Row],[C]]="",0,NOTA[[#This Row],[C]]))</f>
        <v>6883200</v>
      </c>
      <c r="X509" s="87">
        <f>IF(NOTA[[#This Row],[JUMLAH]]="","",NOTA[[#This Row],[JUMLAH]]*NOTA[[#This Row],[DISC 1]])</f>
        <v>860400</v>
      </c>
      <c r="Y509" s="87">
        <f>IF(NOTA[[#This Row],[JUMLAH]]="","",(NOTA[[#This Row],[JUMLAH]]-NOTA[[#This Row],[DISC 1-]])*NOTA[[#This Row],[DISC 2]])</f>
        <v>301140</v>
      </c>
      <c r="Z509" s="87">
        <f>IF(NOTA[[#This Row],[JUMLAH]]="","",NOTA[[#This Row],[DISC 1-]]+NOTA[[#This Row],[DISC 2-]])</f>
        <v>1161540</v>
      </c>
      <c r="AA509" s="87">
        <f>IF(NOTA[[#This Row],[JUMLAH]]="","",NOTA[[#This Row],[JUMLAH]]-NOTA[[#This Row],[DISC]])</f>
        <v>5721660</v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509" s="87">
        <f>IF(OR(NOTA[[#This Row],[QTY]]="",NOTA[[#This Row],[HARGA SATUAN]]="",),"",NOTA[[#This Row],[QTY]]*NOTA[[#This Row],[HARGA SATUAN]])</f>
        <v>6883200</v>
      </c>
      <c r="AF509" s="81">
        <f ca="1">IF(NOTA[ID_H]="","",INDEX(NOTA[TANGGAL],MATCH(,INDIRECT(ADDRESS(ROW(NOTA[TANGGAL]),COLUMN(NOTA[TANGGAL]))&amp;":"&amp;ADDRESS(ROW(),COLUMN(NOTA[TANGGAL]))),-1)))</f>
        <v>44944</v>
      </c>
      <c r="AG509" s="84" t="str">
        <f ca="1">IF(NOTA[[#This Row],[NAMA BARANG]]="","",INDEX(NOTA[SUPPLIER],MATCH(,INDIRECT(ADDRESS(ROW(NOTA[ID]),COLUMN(NOTA[ID]))&amp;":"&amp;ADDRESS(ROW(),COLUMN(NOTA[ID]))),-1)))</f>
        <v>ATALI MAKMUR</v>
      </c>
      <c r="AH509" s="84" t="str">
        <f ca="1">IF(NOTA[[#This Row],[ID_H]]="","",IF(NOTA[[#This Row],[FAKTUR]]="",INDIRECT(ADDRESS(ROW()-1,COLUMN())),NOTA[[#This Row],[FAKTUR]]))</f>
        <v>ARTO MORO</v>
      </c>
      <c r="AI509" s="38">
        <f ca="1">IF(NOTA[[#This Row],[ID]]="","",COUNTIF(NOTA[ID_H],NOTA[[#This Row],[ID_H]]))</f>
        <v>4</v>
      </c>
      <c r="AJ509" s="38">
        <f>IF(NOTA[[#This Row],[TGL.NOTA]]="",IF(NOTA[[#This Row],[SUPPLIER_H]]="","",AJ508),MONTH(NOTA[[#This Row],[TGL.NOTA]]))</f>
        <v>1</v>
      </c>
      <c r="AK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509" s="193">
        <f>IF(NOTA[[#This Row],[CONCAT1]]="","",MATCH(NOTA[[#This Row],[CONCAT1]],[2]!db[NB NOTA_C],0)+1)</f>
        <v>551</v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>
        <f ca="1">IF(NOTA[[#This Row],[NAMA BARANG]]="","",INDEX(NOTA[ID],MATCH(,INDIRECT(ADDRESS(ROW(NOTA[ID]),COLUMN(NOTA[ID]))&amp;":"&amp;ADDRESS(ROW(),COLUMN(NOTA[ID]))),-1)))</f>
        <v>93</v>
      </c>
      <c r="E510" s="94"/>
      <c r="F510" s="38"/>
      <c r="G510" s="38"/>
      <c r="H510" s="79"/>
      <c r="I510" s="96"/>
      <c r="J510" s="95"/>
      <c r="K510" s="96"/>
      <c r="L510" s="38" t="s">
        <v>683</v>
      </c>
      <c r="M510" s="97">
        <v>2</v>
      </c>
      <c r="N510" s="96">
        <v>288</v>
      </c>
      <c r="O510" s="38" t="s">
        <v>128</v>
      </c>
      <c r="P510" s="98">
        <v>18600</v>
      </c>
      <c r="Q510" s="99"/>
      <c r="R510" s="56" t="s">
        <v>264</v>
      </c>
      <c r="S510" s="100">
        <v>0.125</v>
      </c>
      <c r="T510" s="101">
        <v>0.05</v>
      </c>
      <c r="U510" s="102"/>
      <c r="V510" s="103"/>
      <c r="W510" s="87">
        <f>IF(NOTA[[#This Row],[HARGA/ CTN]]="",NOTA[[#This Row],[JUMLAH_H]],NOTA[[#This Row],[HARGA/ CTN]]*IF(NOTA[[#This Row],[C]]="",0,NOTA[[#This Row],[C]]))</f>
        <v>5356800</v>
      </c>
      <c r="X510" s="87">
        <f>IF(NOTA[[#This Row],[JUMLAH]]="","",NOTA[[#This Row],[JUMLAH]]*NOTA[[#This Row],[DISC 1]])</f>
        <v>669600</v>
      </c>
      <c r="Y510" s="87">
        <f>IF(NOTA[[#This Row],[JUMLAH]]="","",(NOTA[[#This Row],[JUMLAH]]-NOTA[[#This Row],[DISC 1-]])*NOTA[[#This Row],[DISC 2]])</f>
        <v>234360</v>
      </c>
      <c r="Z510" s="87">
        <f>IF(NOTA[[#This Row],[JUMLAH]]="","",NOTA[[#This Row],[DISC 1-]]+NOTA[[#This Row],[DISC 2-]])</f>
        <v>903960</v>
      </c>
      <c r="AA510" s="87">
        <f>IF(NOTA[[#This Row],[JUMLAH]]="","",NOTA[[#This Row],[JUMLAH]]-NOTA[[#This Row],[DISC]])</f>
        <v>4452840</v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10" s="87">
        <f>IF(OR(NOTA[[#This Row],[QTY]]="",NOTA[[#This Row],[HARGA SATUAN]]="",),"",NOTA[[#This Row],[QTY]]*NOTA[[#This Row],[HARGA SATUAN]])</f>
        <v>5356800</v>
      </c>
      <c r="AF510" s="81">
        <f ca="1">IF(NOTA[ID_H]="","",INDEX(NOTA[TANGGAL],MATCH(,INDIRECT(ADDRESS(ROW(NOTA[TANGGAL]),COLUMN(NOTA[TANGGAL]))&amp;":"&amp;ADDRESS(ROW(),COLUMN(NOTA[TANGGAL]))),-1)))</f>
        <v>44944</v>
      </c>
      <c r="AG510" s="84" t="str">
        <f ca="1">IF(NOTA[[#This Row],[NAMA BARANG]]="","",INDEX(NOTA[SUPPLIER],MATCH(,INDIRECT(ADDRESS(ROW(NOTA[ID]),COLUMN(NOTA[ID]))&amp;":"&amp;ADDRESS(ROW(),COLUMN(NOTA[ID]))),-1)))</f>
        <v>ATALI MAKMUR</v>
      </c>
      <c r="AH510" s="84" t="str">
        <f ca="1">IF(NOTA[[#This Row],[ID_H]]="","",IF(NOTA[[#This Row],[FAKTUR]]="",INDIRECT(ADDRESS(ROW()-1,COLUMN())),NOTA[[#This Row],[FAKTUR]]))</f>
        <v>ARTO MORO</v>
      </c>
      <c r="AI510" s="38" t="str">
        <f ca="1">IF(NOTA[[#This Row],[ID]]="","",COUNTIF(NOTA[ID_H],NOTA[[#This Row],[ID_H]]))</f>
        <v/>
      </c>
      <c r="AJ510" s="38">
        <f ca="1">IF(NOTA[[#This Row],[TGL.NOTA]]="",IF(NOTA[[#This Row],[SUPPLIER_H]]="","",AJ509),MONTH(NOTA[[#This Row],[TGL.NOTA]]))</f>
        <v>1</v>
      </c>
      <c r="AK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510" s="193">
        <f>IF(NOTA[[#This Row],[CONCAT1]]="","",MATCH(NOTA[[#This Row],[CONCAT1]],[2]!db[NB NOTA_C],0)+1)</f>
        <v>550</v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>
        <f ca="1">IF(NOTA[[#This Row],[NAMA BARANG]]="","",INDEX(NOTA[ID],MATCH(,INDIRECT(ADDRESS(ROW(NOTA[ID]),COLUMN(NOTA[ID]))&amp;":"&amp;ADDRESS(ROW(),COLUMN(NOTA[ID]))),-1)))</f>
        <v>93</v>
      </c>
      <c r="E511" s="94"/>
      <c r="F511" s="96"/>
      <c r="G511" s="96"/>
      <c r="H511" s="104"/>
      <c r="I511" s="96"/>
      <c r="J511" s="95"/>
      <c r="K511" s="96"/>
      <c r="L511" s="38" t="s">
        <v>684</v>
      </c>
      <c r="M511" s="97">
        <v>5</v>
      </c>
      <c r="N511" s="96">
        <v>720</v>
      </c>
      <c r="O511" s="38" t="s">
        <v>128</v>
      </c>
      <c r="P511" s="98">
        <v>11900</v>
      </c>
      <c r="Q511" s="99"/>
      <c r="R511" s="56" t="s">
        <v>264</v>
      </c>
      <c r="S511" s="100">
        <v>0.125</v>
      </c>
      <c r="T511" s="101">
        <v>0.05</v>
      </c>
      <c r="U511" s="102"/>
      <c r="V511" s="103"/>
      <c r="W511" s="87">
        <f>IF(NOTA[[#This Row],[HARGA/ CTN]]="",NOTA[[#This Row],[JUMLAH_H]],NOTA[[#This Row],[HARGA/ CTN]]*IF(NOTA[[#This Row],[C]]="",0,NOTA[[#This Row],[C]]))</f>
        <v>8568000</v>
      </c>
      <c r="X511" s="87">
        <f>IF(NOTA[[#This Row],[JUMLAH]]="","",NOTA[[#This Row],[JUMLAH]]*NOTA[[#This Row],[DISC 1]])</f>
        <v>1071000</v>
      </c>
      <c r="Y511" s="87">
        <f>IF(NOTA[[#This Row],[JUMLAH]]="","",(NOTA[[#This Row],[JUMLAH]]-NOTA[[#This Row],[DISC 1-]])*NOTA[[#This Row],[DISC 2]])</f>
        <v>374850</v>
      </c>
      <c r="Z511" s="87">
        <f>IF(NOTA[[#This Row],[JUMLAH]]="","",NOTA[[#This Row],[DISC 1-]]+NOTA[[#This Row],[DISC 2-]])</f>
        <v>1445850</v>
      </c>
      <c r="AA511" s="87">
        <f>IF(NOTA[[#This Row],[JUMLAH]]="","",NOTA[[#This Row],[JUMLAH]]-NOTA[[#This Row],[DISC]])</f>
        <v>7122150</v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511" s="87">
        <f>IF(OR(NOTA[[#This Row],[QTY]]="",NOTA[[#This Row],[HARGA SATUAN]]="",),"",NOTA[[#This Row],[QTY]]*NOTA[[#This Row],[HARGA SATUAN]])</f>
        <v>8568000</v>
      </c>
      <c r="AF511" s="81">
        <f ca="1">IF(NOTA[ID_H]="","",INDEX(NOTA[TANGGAL],MATCH(,INDIRECT(ADDRESS(ROW(NOTA[TANGGAL]),COLUMN(NOTA[TANGGAL]))&amp;":"&amp;ADDRESS(ROW(),COLUMN(NOTA[TANGGAL]))),-1)))</f>
        <v>44944</v>
      </c>
      <c r="AG511" s="84" t="str">
        <f ca="1">IF(NOTA[[#This Row],[NAMA BARANG]]="","",INDEX(NOTA[SUPPLIER],MATCH(,INDIRECT(ADDRESS(ROW(NOTA[ID]),COLUMN(NOTA[ID]))&amp;":"&amp;ADDRESS(ROW(),COLUMN(NOTA[ID]))),-1)))</f>
        <v>ATALI MAKMUR</v>
      </c>
      <c r="AH511" s="84" t="str">
        <f ca="1">IF(NOTA[[#This Row],[ID_H]]="","",IF(NOTA[[#This Row],[FAKTUR]]="",INDIRECT(ADDRESS(ROW()-1,COLUMN())),NOTA[[#This Row],[FAKTUR]]))</f>
        <v>ARTO MORO</v>
      </c>
      <c r="AI511" s="38" t="str">
        <f ca="1">IF(NOTA[[#This Row],[ID]]="","",COUNTIF(NOTA[ID_H],NOTA[[#This Row],[ID_H]]))</f>
        <v/>
      </c>
      <c r="AJ511" s="38">
        <f ca="1">IF(NOTA[[#This Row],[TGL.NOTA]]="",IF(NOTA[[#This Row],[SUPPLIER_H]]="","",AJ510),MONTH(NOTA[[#This Row],[TGL.NOTA]]))</f>
        <v>1</v>
      </c>
      <c r="AK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511" s="193">
        <f>IF(NOTA[[#This Row],[CONCAT1]]="","",MATCH(NOTA[[#This Row],[CONCAT1]],[2]!db[NB NOTA_C],0)+1)</f>
        <v>1542</v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>
        <f ca="1">IF(NOTA[[#This Row],[NAMA BARANG]]="","",INDEX(NOTA[ID],MATCH(,INDIRECT(ADDRESS(ROW(NOTA[ID]),COLUMN(NOTA[ID]))&amp;":"&amp;ADDRESS(ROW(),COLUMN(NOTA[ID]))),-1)))</f>
        <v>93</v>
      </c>
      <c r="E512" s="94"/>
      <c r="F512" s="38"/>
      <c r="G512" s="38"/>
      <c r="H512" s="79"/>
      <c r="I512" s="38"/>
      <c r="J512" s="95"/>
      <c r="K512" s="96"/>
      <c r="L512" s="38" t="s">
        <v>275</v>
      </c>
      <c r="M512" s="97"/>
      <c r="N512" s="96">
        <v>60</v>
      </c>
      <c r="O512" s="38" t="s">
        <v>104</v>
      </c>
      <c r="P512" s="98">
        <v>2350</v>
      </c>
      <c r="Q512" s="99"/>
      <c r="R512" s="56" t="s">
        <v>276</v>
      </c>
      <c r="S512" s="100">
        <v>0.1</v>
      </c>
      <c r="T512" s="101">
        <v>0.05</v>
      </c>
      <c r="U512" s="102">
        <v>120555</v>
      </c>
      <c r="V512" s="103" t="s">
        <v>685</v>
      </c>
      <c r="W512" s="87">
        <f>IF(NOTA[[#This Row],[HARGA/ CTN]]="",NOTA[[#This Row],[JUMLAH_H]],NOTA[[#This Row],[HARGA/ CTN]]*IF(NOTA[[#This Row],[C]]="",0,NOTA[[#This Row],[C]]))</f>
        <v>141000</v>
      </c>
      <c r="X512" s="87">
        <f>IF(NOTA[[#This Row],[JUMLAH]]="","",NOTA[[#This Row],[JUMLAH]]*NOTA[[#This Row],[DISC 1]])</f>
        <v>14100</v>
      </c>
      <c r="Y512" s="87">
        <f>IF(NOTA[[#This Row],[JUMLAH]]="","",(NOTA[[#This Row],[JUMLAH]]-NOTA[[#This Row],[DISC 1-]])*NOTA[[#This Row],[DISC 2]])</f>
        <v>6345</v>
      </c>
      <c r="Z512" s="87">
        <f>IF(NOTA[[#This Row],[JUMLAH]]="","",NOTA[[#This Row],[DISC 1-]]+NOTA[[#This Row],[DISC 2-]])</f>
        <v>20445</v>
      </c>
      <c r="AA512" s="87">
        <f>IF(NOTA[[#This Row],[JUMLAH]]="","",NOTA[[#This Row],[JUMLAH]]-NOTA[[#This Row],[DISC]])</f>
        <v>120555</v>
      </c>
      <c r="AB51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C51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D512" s="84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512" s="87">
        <f>IF(OR(NOTA[[#This Row],[QTY]]="",NOTA[[#This Row],[HARGA SATUAN]]="",),"",NOTA[[#This Row],[QTY]]*NOTA[[#This Row],[HARGA SATUAN]])</f>
        <v>141000</v>
      </c>
      <c r="AF512" s="81">
        <f ca="1">IF(NOTA[ID_H]="","",INDEX(NOTA[TANGGAL],MATCH(,INDIRECT(ADDRESS(ROW(NOTA[TANGGAL]),COLUMN(NOTA[TANGGAL]))&amp;":"&amp;ADDRESS(ROW(),COLUMN(NOTA[TANGGAL]))),-1)))</f>
        <v>44944</v>
      </c>
      <c r="AG512" s="84" t="str">
        <f ca="1">IF(NOTA[[#This Row],[NAMA BARANG]]="","",INDEX(NOTA[SUPPLIER],MATCH(,INDIRECT(ADDRESS(ROW(NOTA[ID]),COLUMN(NOTA[ID]))&amp;":"&amp;ADDRESS(ROW(),COLUMN(NOTA[ID]))),-1)))</f>
        <v>ATALI MAKMUR</v>
      </c>
      <c r="AH512" s="84" t="str">
        <f ca="1">IF(NOTA[[#This Row],[ID_H]]="","",IF(NOTA[[#This Row],[FAKTUR]]="",INDIRECT(ADDRESS(ROW()-1,COLUMN())),NOTA[[#This Row],[FAKTUR]]))</f>
        <v>ARTO MORO</v>
      </c>
      <c r="AI512" s="38" t="str">
        <f ca="1">IF(NOTA[[#This Row],[ID]]="","",COUNTIF(NOTA[ID_H],NOTA[[#This Row],[ID_H]]))</f>
        <v/>
      </c>
      <c r="AJ512" s="38">
        <f ca="1">IF(NOTA[[#This Row],[TGL.NOTA]]="",IF(NOTA[[#This Row],[SUPPLIER_H]]="","",AJ511),MONTH(NOTA[[#This Row],[TGL.NOTA]]))</f>
        <v>1</v>
      </c>
      <c r="AK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512" s="193">
        <f>IF(NOTA[[#This Row],[CONCAT1]]="","",MATCH(NOTA[[#This Row],[CONCAT1]],[2]!db[NB NOTA_C],0)+1)</f>
        <v>1798</v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93" t="str">
        <f>IF(NOTA[[#This Row],[CONCAT1]]="","",MATCH(NOTA[[#This Row],[CONCAT1]],[2]!db[NB NOTA_C],0)+1)</f>
        <v/>
      </c>
    </row>
    <row r="514" spans="1:39" ht="20.100000000000001" customHeight="1" x14ac:dyDescent="0.25">
      <c r="A514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3" t="e">
        <f ca="1">IF(NOTA[[#This Row],[ID_P]]="","",MATCH(NOTA[[#This Row],[ID_P]],[1]!B_MSK[N_ID],0))</f>
        <v>#REF!</v>
      </c>
      <c r="D514" s="93">
        <f ca="1">IF(NOTA[[#This Row],[NAMA BARANG]]="","",INDEX(NOTA[ID],MATCH(,INDIRECT(ADDRESS(ROW(NOTA[ID]),COLUMN(NOTA[ID]))&amp;":"&amp;ADDRESS(ROW(),COLUMN(NOTA[ID]))),-1)))</f>
        <v>94</v>
      </c>
      <c r="E514" s="94"/>
      <c r="F514" s="38" t="s">
        <v>25</v>
      </c>
      <c r="G514" s="38" t="s">
        <v>24</v>
      </c>
      <c r="H514" s="79" t="s">
        <v>686</v>
      </c>
      <c r="I514" s="96"/>
      <c r="J514" s="95">
        <v>44940</v>
      </c>
      <c r="K514" s="96"/>
      <c r="L514" s="38" t="s">
        <v>270</v>
      </c>
      <c r="M514" s="97">
        <v>2</v>
      </c>
      <c r="N514" s="96">
        <v>288</v>
      </c>
      <c r="O514" s="38" t="s">
        <v>104</v>
      </c>
      <c r="P514" s="98">
        <v>4350</v>
      </c>
      <c r="Q514" s="99"/>
      <c r="R514" s="56" t="s">
        <v>271</v>
      </c>
      <c r="S514" s="100">
        <v>0.125</v>
      </c>
      <c r="T514" s="101">
        <v>0.05</v>
      </c>
      <c r="U514" s="102"/>
      <c r="V514" s="103"/>
      <c r="W514" s="87">
        <f>IF(NOTA[[#This Row],[HARGA/ CTN]]="",NOTA[[#This Row],[JUMLAH_H]],NOTA[[#This Row],[HARGA/ CTN]]*IF(NOTA[[#This Row],[C]]="",0,NOTA[[#This Row],[C]]))</f>
        <v>1252800</v>
      </c>
      <c r="X514" s="87">
        <f>IF(NOTA[[#This Row],[JUMLAH]]="","",NOTA[[#This Row],[JUMLAH]]*NOTA[[#This Row],[DISC 1]])</f>
        <v>156600</v>
      </c>
      <c r="Y514" s="87">
        <f>IF(NOTA[[#This Row],[JUMLAH]]="","",(NOTA[[#This Row],[JUMLAH]]-NOTA[[#This Row],[DISC 1-]])*NOTA[[#This Row],[DISC 2]])</f>
        <v>54810</v>
      </c>
      <c r="Z514" s="87">
        <f>IF(NOTA[[#This Row],[JUMLAH]]="","",NOTA[[#This Row],[DISC 1-]]+NOTA[[#This Row],[DISC 2-]])</f>
        <v>211410</v>
      </c>
      <c r="AA514" s="87">
        <f>IF(NOTA[[#This Row],[JUMLAH]]="","",NOTA[[#This Row],[JUMLAH]]-NOTA[[#This Row],[DISC]])</f>
        <v>1041390</v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514" s="87">
        <f>IF(OR(NOTA[[#This Row],[QTY]]="",NOTA[[#This Row],[HARGA SATUAN]]="",),"",NOTA[[#This Row],[QTY]]*NOTA[[#This Row],[HARGA SATUAN]])</f>
        <v>1252800</v>
      </c>
      <c r="AF514" s="81">
        <f ca="1">IF(NOTA[ID_H]="","",INDEX(NOTA[TANGGAL],MATCH(,INDIRECT(ADDRESS(ROW(NOTA[TANGGAL]),COLUMN(NOTA[TANGGAL]))&amp;":"&amp;ADDRESS(ROW(),COLUMN(NOTA[TANGGAL]))),-1)))</f>
        <v>44944</v>
      </c>
      <c r="AG514" s="84" t="str">
        <f ca="1">IF(NOTA[[#This Row],[NAMA BARANG]]="","",INDEX(NOTA[SUPPLIER],MATCH(,INDIRECT(ADDRESS(ROW(NOTA[ID]),COLUMN(NOTA[ID]))&amp;":"&amp;ADDRESS(ROW(),COLUMN(NOTA[ID]))),-1)))</f>
        <v>ATALI MAKMUR</v>
      </c>
      <c r="AH514" s="84" t="str">
        <f ca="1">IF(NOTA[[#This Row],[ID_H]]="","",IF(NOTA[[#This Row],[FAKTUR]]="",INDIRECT(ADDRESS(ROW()-1,COLUMN())),NOTA[[#This Row],[FAKTUR]]))</f>
        <v>ARTO MORO</v>
      </c>
      <c r="AI514" s="38">
        <f ca="1">IF(NOTA[[#This Row],[ID]]="","",COUNTIF(NOTA[ID_H],NOTA[[#This Row],[ID_H]]))</f>
        <v>8</v>
      </c>
      <c r="AJ514" s="38">
        <f>IF(NOTA[[#This Row],[TGL.NOTA]]="",IF(NOTA[[#This Row],[SUPPLIER_H]]="","",AJ513),MONTH(NOTA[[#This Row],[TGL.NOTA]]))</f>
        <v>1</v>
      </c>
      <c r="AK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514" s="193">
        <f>IF(NOTA[[#This Row],[CONCAT1]]="","",MATCH(NOTA[[#This Row],[CONCAT1]],[2]!db[NB NOTA_C],0)+1)</f>
        <v>1881</v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>
        <f ca="1">IF(NOTA[[#This Row],[NAMA BARANG]]="","",INDEX(NOTA[ID],MATCH(,INDIRECT(ADDRESS(ROW(NOTA[ID]),COLUMN(NOTA[ID]))&amp;":"&amp;ADDRESS(ROW(),COLUMN(NOTA[ID]))),-1)))</f>
        <v>94</v>
      </c>
      <c r="E515" s="94"/>
      <c r="F515" s="38"/>
      <c r="G515" s="38"/>
      <c r="H515" s="79"/>
      <c r="I515" s="96"/>
      <c r="J515" s="95"/>
      <c r="K515" s="96"/>
      <c r="L515" s="38" t="s">
        <v>291</v>
      </c>
      <c r="M515" s="97">
        <v>2</v>
      </c>
      <c r="N515" s="96">
        <v>288</v>
      </c>
      <c r="O515" s="38" t="s">
        <v>104</v>
      </c>
      <c r="P515" s="98">
        <v>6500</v>
      </c>
      <c r="Q515" s="99"/>
      <c r="R515" s="56" t="s">
        <v>271</v>
      </c>
      <c r="S515" s="100">
        <v>0.125</v>
      </c>
      <c r="T515" s="101">
        <v>0.05</v>
      </c>
      <c r="U515" s="102"/>
      <c r="V515" s="103"/>
      <c r="W515" s="87">
        <f>IF(NOTA[[#This Row],[HARGA/ CTN]]="",NOTA[[#This Row],[JUMLAH_H]],NOTA[[#This Row],[HARGA/ CTN]]*IF(NOTA[[#This Row],[C]]="",0,NOTA[[#This Row],[C]]))</f>
        <v>1872000</v>
      </c>
      <c r="X515" s="87">
        <f>IF(NOTA[[#This Row],[JUMLAH]]="","",NOTA[[#This Row],[JUMLAH]]*NOTA[[#This Row],[DISC 1]])</f>
        <v>234000</v>
      </c>
      <c r="Y515" s="87">
        <f>IF(NOTA[[#This Row],[JUMLAH]]="","",(NOTA[[#This Row],[JUMLAH]]-NOTA[[#This Row],[DISC 1-]])*NOTA[[#This Row],[DISC 2]])</f>
        <v>81900</v>
      </c>
      <c r="Z515" s="87">
        <f>IF(NOTA[[#This Row],[JUMLAH]]="","",NOTA[[#This Row],[DISC 1-]]+NOTA[[#This Row],[DISC 2-]])</f>
        <v>315900</v>
      </c>
      <c r="AA515" s="87">
        <f>IF(NOTA[[#This Row],[JUMLAH]]="","",NOTA[[#This Row],[JUMLAH]]-NOTA[[#This Row],[DISC]])</f>
        <v>1556100</v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15" s="87">
        <f>IF(OR(NOTA[[#This Row],[QTY]]="",NOTA[[#This Row],[HARGA SATUAN]]="",),"",NOTA[[#This Row],[QTY]]*NOTA[[#This Row],[HARGA SATUAN]])</f>
        <v>1872000</v>
      </c>
      <c r="AF515" s="81">
        <f ca="1">IF(NOTA[ID_H]="","",INDEX(NOTA[TANGGAL],MATCH(,INDIRECT(ADDRESS(ROW(NOTA[TANGGAL]),COLUMN(NOTA[TANGGAL]))&amp;":"&amp;ADDRESS(ROW(),COLUMN(NOTA[TANGGAL]))),-1)))</f>
        <v>44944</v>
      </c>
      <c r="AG515" s="84" t="str">
        <f ca="1">IF(NOTA[[#This Row],[NAMA BARANG]]="","",INDEX(NOTA[SUPPLIER],MATCH(,INDIRECT(ADDRESS(ROW(NOTA[ID]),COLUMN(NOTA[ID]))&amp;":"&amp;ADDRESS(ROW(),COLUMN(NOTA[ID]))),-1)))</f>
        <v>ATALI MAKMUR</v>
      </c>
      <c r="AH515" s="84" t="str">
        <f ca="1">IF(NOTA[[#This Row],[ID_H]]="","",IF(NOTA[[#This Row],[FAKTUR]]="",INDIRECT(ADDRESS(ROW()-1,COLUMN())),NOTA[[#This Row],[FAKTUR]]))</f>
        <v>ARTO MORO</v>
      </c>
      <c r="AI515" s="38" t="str">
        <f ca="1">IF(NOTA[[#This Row],[ID]]="","",COUNTIF(NOTA[ID_H],NOTA[[#This Row],[ID_H]]))</f>
        <v/>
      </c>
      <c r="AJ515" s="38">
        <f ca="1">IF(NOTA[[#This Row],[TGL.NOTA]]="",IF(NOTA[[#This Row],[SUPPLIER_H]]="","",AJ514),MONTH(NOTA[[#This Row],[TGL.NOTA]]))</f>
        <v>1</v>
      </c>
      <c r="AK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515" s="193">
        <f>IF(NOTA[[#This Row],[CONCAT1]]="","",MATCH(NOTA[[#This Row],[CONCAT1]],[2]!db[NB NOTA_C],0)+1)</f>
        <v>1882</v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>
        <f ca="1">IF(NOTA[[#This Row],[NAMA BARANG]]="","",INDEX(NOTA[ID],MATCH(,INDIRECT(ADDRESS(ROW(NOTA[ID]),COLUMN(NOTA[ID]))&amp;":"&amp;ADDRESS(ROW(),COLUMN(NOTA[ID]))),-1)))</f>
        <v>94</v>
      </c>
      <c r="E516" s="94"/>
      <c r="F516" s="38"/>
      <c r="G516" s="38"/>
      <c r="H516" s="79"/>
      <c r="I516" s="96"/>
      <c r="J516" s="95"/>
      <c r="K516" s="96"/>
      <c r="L516" s="38" t="s">
        <v>272</v>
      </c>
      <c r="M516" s="97">
        <v>2</v>
      </c>
      <c r="N516" s="96">
        <v>288</v>
      </c>
      <c r="O516" s="38" t="s">
        <v>104</v>
      </c>
      <c r="P516" s="98">
        <v>9750</v>
      </c>
      <c r="Q516" s="99"/>
      <c r="R516" s="56" t="s">
        <v>271</v>
      </c>
      <c r="S516" s="100">
        <v>0.125</v>
      </c>
      <c r="T516" s="101">
        <v>0.05</v>
      </c>
      <c r="U516" s="102"/>
      <c r="V516" s="103"/>
      <c r="W516" s="87">
        <f>IF(NOTA[[#This Row],[HARGA/ CTN]]="",NOTA[[#This Row],[JUMLAH_H]],NOTA[[#This Row],[HARGA/ CTN]]*IF(NOTA[[#This Row],[C]]="",0,NOTA[[#This Row],[C]]))</f>
        <v>2808000</v>
      </c>
      <c r="X516" s="87">
        <f>IF(NOTA[[#This Row],[JUMLAH]]="","",NOTA[[#This Row],[JUMLAH]]*NOTA[[#This Row],[DISC 1]])</f>
        <v>351000</v>
      </c>
      <c r="Y516" s="87">
        <f>IF(NOTA[[#This Row],[JUMLAH]]="","",(NOTA[[#This Row],[JUMLAH]]-NOTA[[#This Row],[DISC 1-]])*NOTA[[#This Row],[DISC 2]])</f>
        <v>122850</v>
      </c>
      <c r="Z516" s="87">
        <f>IF(NOTA[[#This Row],[JUMLAH]]="","",NOTA[[#This Row],[DISC 1-]]+NOTA[[#This Row],[DISC 2-]])</f>
        <v>473850</v>
      </c>
      <c r="AA516" s="87">
        <f>IF(NOTA[[#This Row],[JUMLAH]]="","",NOTA[[#This Row],[JUMLAH]]-NOTA[[#This Row],[DISC]])</f>
        <v>2334150</v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16" s="87">
        <f>IF(OR(NOTA[[#This Row],[QTY]]="",NOTA[[#This Row],[HARGA SATUAN]]="",),"",NOTA[[#This Row],[QTY]]*NOTA[[#This Row],[HARGA SATUAN]])</f>
        <v>2808000</v>
      </c>
      <c r="AF516" s="81">
        <f ca="1">IF(NOTA[ID_H]="","",INDEX(NOTA[TANGGAL],MATCH(,INDIRECT(ADDRESS(ROW(NOTA[TANGGAL]),COLUMN(NOTA[TANGGAL]))&amp;":"&amp;ADDRESS(ROW(),COLUMN(NOTA[TANGGAL]))),-1)))</f>
        <v>44944</v>
      </c>
      <c r="AG516" s="84" t="str">
        <f ca="1">IF(NOTA[[#This Row],[NAMA BARANG]]="","",INDEX(NOTA[SUPPLIER],MATCH(,INDIRECT(ADDRESS(ROW(NOTA[ID]),COLUMN(NOTA[ID]))&amp;":"&amp;ADDRESS(ROW(),COLUMN(NOTA[ID]))),-1)))</f>
        <v>ATALI MAKMUR</v>
      </c>
      <c r="AH516" s="84" t="str">
        <f ca="1">IF(NOTA[[#This Row],[ID_H]]="","",IF(NOTA[[#This Row],[FAKTUR]]="",INDIRECT(ADDRESS(ROW()-1,COLUMN())),NOTA[[#This Row],[FAKTUR]]))</f>
        <v>ARTO MORO</v>
      </c>
      <c r="AI516" s="38" t="str">
        <f ca="1">IF(NOTA[[#This Row],[ID]]="","",COUNTIF(NOTA[ID_H],NOTA[[#This Row],[ID_H]]))</f>
        <v/>
      </c>
      <c r="AJ516" s="38">
        <f ca="1">IF(NOTA[[#This Row],[TGL.NOTA]]="",IF(NOTA[[#This Row],[SUPPLIER_H]]="","",AJ515),MONTH(NOTA[[#This Row],[TGL.NOTA]]))</f>
        <v>1</v>
      </c>
      <c r="AK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516" s="193">
        <f>IF(NOTA[[#This Row],[CONCAT1]]="","",MATCH(NOTA[[#This Row],[CONCAT1]],[2]!db[NB NOTA_C],0)+1)</f>
        <v>1884</v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>
        <f ca="1">IF(NOTA[[#This Row],[NAMA BARANG]]="","",INDEX(NOTA[ID],MATCH(,INDIRECT(ADDRESS(ROW(NOTA[ID]),COLUMN(NOTA[ID]))&amp;":"&amp;ADDRESS(ROW(),COLUMN(NOTA[ID]))),-1)))</f>
        <v>94</v>
      </c>
      <c r="E517" s="94"/>
      <c r="F517" s="38"/>
      <c r="G517" s="38"/>
      <c r="H517" s="79"/>
      <c r="I517" s="38"/>
      <c r="J517" s="78"/>
      <c r="K517" s="78"/>
      <c r="L517" s="38" t="s">
        <v>278</v>
      </c>
      <c r="M517" s="97">
        <v>2</v>
      </c>
      <c r="N517" s="96">
        <v>100</v>
      </c>
      <c r="O517" s="38" t="s">
        <v>131</v>
      </c>
      <c r="P517" s="98">
        <v>28300</v>
      </c>
      <c r="Q517" s="99"/>
      <c r="R517" s="56" t="s">
        <v>279</v>
      </c>
      <c r="S517" s="106">
        <v>0.125</v>
      </c>
      <c r="T517" s="101">
        <v>0.05</v>
      </c>
      <c r="U517" s="102"/>
      <c r="V517" s="103"/>
      <c r="W517" s="87">
        <f>IF(NOTA[[#This Row],[HARGA/ CTN]]="",NOTA[[#This Row],[JUMLAH_H]],NOTA[[#This Row],[HARGA/ CTN]]*IF(NOTA[[#This Row],[C]]="",0,NOTA[[#This Row],[C]]))</f>
        <v>2830000</v>
      </c>
      <c r="X517" s="87">
        <f>IF(NOTA[[#This Row],[JUMLAH]]="","",NOTA[[#This Row],[JUMLAH]]*NOTA[[#This Row],[DISC 1]])</f>
        <v>353750</v>
      </c>
      <c r="Y517" s="87">
        <f>IF(NOTA[[#This Row],[JUMLAH]]="","",(NOTA[[#This Row],[JUMLAH]]-NOTA[[#This Row],[DISC 1-]])*NOTA[[#This Row],[DISC 2]])</f>
        <v>123812.5</v>
      </c>
      <c r="Z517" s="87">
        <f>IF(NOTA[[#This Row],[JUMLAH]]="","",NOTA[[#This Row],[DISC 1-]]+NOTA[[#This Row],[DISC 2-]])</f>
        <v>477562.5</v>
      </c>
      <c r="AA517" s="87">
        <f>IF(NOTA[[#This Row],[JUMLAH]]="","",NOTA[[#This Row],[JUMLAH]]-NOTA[[#This Row],[DISC]])</f>
        <v>2352437.5</v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17" s="87">
        <f>IF(OR(NOTA[[#This Row],[QTY]]="",NOTA[[#This Row],[HARGA SATUAN]]="",),"",NOTA[[#This Row],[QTY]]*NOTA[[#This Row],[HARGA SATUAN]])</f>
        <v>2830000</v>
      </c>
      <c r="AF517" s="81">
        <f ca="1">IF(NOTA[ID_H]="","",INDEX(NOTA[TANGGAL],MATCH(,INDIRECT(ADDRESS(ROW(NOTA[TANGGAL]),COLUMN(NOTA[TANGGAL]))&amp;":"&amp;ADDRESS(ROW(),COLUMN(NOTA[TANGGAL]))),-1)))</f>
        <v>44944</v>
      </c>
      <c r="AG517" s="84" t="str">
        <f ca="1">IF(NOTA[[#This Row],[NAMA BARANG]]="","",INDEX(NOTA[SUPPLIER],MATCH(,INDIRECT(ADDRESS(ROW(NOTA[ID]),COLUMN(NOTA[ID]))&amp;":"&amp;ADDRESS(ROW(),COLUMN(NOTA[ID]))),-1)))</f>
        <v>ATALI MAKMUR</v>
      </c>
      <c r="AH517" s="84" t="str">
        <f ca="1">IF(NOTA[[#This Row],[ID_H]]="","",IF(NOTA[[#This Row],[FAKTUR]]="",INDIRECT(ADDRESS(ROW()-1,COLUMN())),NOTA[[#This Row],[FAKTUR]]))</f>
        <v>ARTO MORO</v>
      </c>
      <c r="AI517" s="38" t="str">
        <f ca="1">IF(NOTA[[#This Row],[ID]]="","",COUNTIF(NOTA[ID_H],NOTA[[#This Row],[ID_H]]))</f>
        <v/>
      </c>
      <c r="AJ517" s="38">
        <f ca="1">IF(NOTA[[#This Row],[TGL.NOTA]]="",IF(NOTA[[#This Row],[SUPPLIER_H]]="","",AJ516),MONTH(NOTA[[#This Row],[TGL.NOTA]]))</f>
        <v>1</v>
      </c>
      <c r="AK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517" s="193">
        <f>IF(NOTA[[#This Row],[CONCAT1]]="","",MATCH(NOTA[[#This Row],[CONCAT1]],[2]!db[NB NOTA_C],0)+1)</f>
        <v>673</v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>
        <f ca="1">IF(NOTA[[#This Row],[NAMA BARANG]]="","",INDEX(NOTA[ID],MATCH(,INDIRECT(ADDRESS(ROW(NOTA[ID]),COLUMN(NOTA[ID]))&amp;":"&amp;ADDRESS(ROW(),COLUMN(NOTA[ID]))),-1)))</f>
        <v>94</v>
      </c>
      <c r="E518" s="94"/>
      <c r="F518" s="38"/>
      <c r="G518" s="38"/>
      <c r="H518" s="79"/>
      <c r="I518" s="96"/>
      <c r="J518" s="95"/>
      <c r="K518" s="96"/>
      <c r="L518" s="38" t="s">
        <v>280</v>
      </c>
      <c r="M518" s="97">
        <v>2</v>
      </c>
      <c r="N518" s="96">
        <v>100</v>
      </c>
      <c r="O518" s="38" t="s">
        <v>131</v>
      </c>
      <c r="P518" s="98">
        <v>34100</v>
      </c>
      <c r="Q518" s="99"/>
      <c r="R518" s="56" t="s">
        <v>281</v>
      </c>
      <c r="S518" s="100">
        <v>0.125</v>
      </c>
      <c r="T518" s="101">
        <v>0.05</v>
      </c>
      <c r="U518" s="102"/>
      <c r="V518" s="103"/>
      <c r="W518" s="87">
        <f>IF(NOTA[[#This Row],[HARGA/ CTN]]="",NOTA[[#This Row],[JUMLAH_H]],NOTA[[#This Row],[HARGA/ CTN]]*IF(NOTA[[#This Row],[C]]="",0,NOTA[[#This Row],[C]]))</f>
        <v>3410000</v>
      </c>
      <c r="X518" s="87">
        <f>IF(NOTA[[#This Row],[JUMLAH]]="","",NOTA[[#This Row],[JUMLAH]]*NOTA[[#This Row],[DISC 1]])</f>
        <v>426250</v>
      </c>
      <c r="Y518" s="87">
        <f>IF(NOTA[[#This Row],[JUMLAH]]="","",(NOTA[[#This Row],[JUMLAH]]-NOTA[[#This Row],[DISC 1-]])*NOTA[[#This Row],[DISC 2]])</f>
        <v>149187.5</v>
      </c>
      <c r="Z518" s="87">
        <f>IF(NOTA[[#This Row],[JUMLAH]]="","",NOTA[[#This Row],[DISC 1-]]+NOTA[[#This Row],[DISC 2-]])</f>
        <v>575437.5</v>
      </c>
      <c r="AA518" s="87">
        <f>IF(NOTA[[#This Row],[JUMLAH]]="","",NOTA[[#This Row],[JUMLAH]]-NOTA[[#This Row],[DISC]])</f>
        <v>2834562.5</v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518" s="87">
        <f>IF(OR(NOTA[[#This Row],[QTY]]="",NOTA[[#This Row],[HARGA SATUAN]]="",),"",NOTA[[#This Row],[QTY]]*NOTA[[#This Row],[HARGA SATUAN]])</f>
        <v>3410000</v>
      </c>
      <c r="AF518" s="81">
        <f ca="1">IF(NOTA[ID_H]="","",INDEX(NOTA[TANGGAL],MATCH(,INDIRECT(ADDRESS(ROW(NOTA[TANGGAL]),COLUMN(NOTA[TANGGAL]))&amp;":"&amp;ADDRESS(ROW(),COLUMN(NOTA[TANGGAL]))),-1)))</f>
        <v>44944</v>
      </c>
      <c r="AG518" s="84" t="str">
        <f ca="1">IF(NOTA[[#This Row],[NAMA BARANG]]="","",INDEX(NOTA[SUPPLIER],MATCH(,INDIRECT(ADDRESS(ROW(NOTA[ID]),COLUMN(NOTA[ID]))&amp;":"&amp;ADDRESS(ROW(),COLUMN(NOTA[ID]))),-1)))</f>
        <v>ATALI MAKMUR</v>
      </c>
      <c r="AH518" s="84" t="str">
        <f ca="1">IF(NOTA[[#This Row],[ID_H]]="","",IF(NOTA[[#This Row],[FAKTUR]]="",INDIRECT(ADDRESS(ROW()-1,COLUMN())),NOTA[[#This Row],[FAKTUR]]))</f>
        <v>ARTO MORO</v>
      </c>
      <c r="AI518" s="38" t="str">
        <f ca="1">IF(NOTA[[#This Row],[ID]]="","",COUNTIF(NOTA[ID_H],NOTA[[#This Row],[ID_H]]))</f>
        <v/>
      </c>
      <c r="AJ518" s="38">
        <f ca="1">IF(NOTA[[#This Row],[TGL.NOTA]]="",IF(NOTA[[#This Row],[SUPPLIER_H]]="","",AJ517),MONTH(NOTA[[#This Row],[TGL.NOTA]]))</f>
        <v>1</v>
      </c>
      <c r="AK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518" s="193">
        <f>IF(NOTA[[#This Row],[CONCAT1]]="","",MATCH(NOTA[[#This Row],[CONCAT1]],[2]!db[NB NOTA_C],0)+1)</f>
        <v>671</v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>
        <f ca="1">IF(NOTA[[#This Row],[NAMA BARANG]]="","",INDEX(NOTA[ID],MATCH(,INDIRECT(ADDRESS(ROW(NOTA[ID]),COLUMN(NOTA[ID]))&amp;":"&amp;ADDRESS(ROW(),COLUMN(NOTA[ID]))),-1)))</f>
        <v>94</v>
      </c>
      <c r="E519" s="94"/>
      <c r="F519" s="38"/>
      <c r="G519" s="38"/>
      <c r="H519" s="79"/>
      <c r="I519" s="38"/>
      <c r="J519" s="95"/>
      <c r="K519" s="96"/>
      <c r="L519" s="38" t="s">
        <v>656</v>
      </c>
      <c r="M519" s="97">
        <v>2</v>
      </c>
      <c r="N519" s="96">
        <v>288</v>
      </c>
      <c r="O519" s="38" t="s">
        <v>128</v>
      </c>
      <c r="P519" s="98">
        <v>10600</v>
      </c>
      <c r="Q519" s="99"/>
      <c r="R519" s="56" t="s">
        <v>264</v>
      </c>
      <c r="S519" s="100">
        <v>0.125</v>
      </c>
      <c r="T519" s="101">
        <v>0.05</v>
      </c>
      <c r="U519" s="102"/>
      <c r="V519" s="103"/>
      <c r="W519" s="87">
        <f>IF(NOTA[[#This Row],[HARGA/ CTN]]="",NOTA[[#This Row],[JUMLAH_H]],NOTA[[#This Row],[HARGA/ CTN]]*IF(NOTA[[#This Row],[C]]="",0,NOTA[[#This Row],[C]]))</f>
        <v>3052800</v>
      </c>
      <c r="X519" s="87">
        <f>IF(NOTA[[#This Row],[JUMLAH]]="","",NOTA[[#This Row],[JUMLAH]]*NOTA[[#This Row],[DISC 1]])</f>
        <v>381600</v>
      </c>
      <c r="Y519" s="87">
        <f>IF(NOTA[[#This Row],[JUMLAH]]="","",(NOTA[[#This Row],[JUMLAH]]-NOTA[[#This Row],[DISC 1-]])*NOTA[[#This Row],[DISC 2]])</f>
        <v>133560</v>
      </c>
      <c r="Z519" s="87">
        <f>IF(NOTA[[#This Row],[JUMLAH]]="","",NOTA[[#This Row],[DISC 1-]]+NOTA[[#This Row],[DISC 2-]])</f>
        <v>515160</v>
      </c>
      <c r="AA519" s="87">
        <f>IF(NOTA[[#This Row],[JUMLAH]]="","",NOTA[[#This Row],[JUMLAH]]-NOTA[[#This Row],[DISC]])</f>
        <v>2537640</v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19" s="87">
        <f>IF(OR(NOTA[[#This Row],[QTY]]="",NOTA[[#This Row],[HARGA SATUAN]]="",),"",NOTA[[#This Row],[QTY]]*NOTA[[#This Row],[HARGA SATUAN]])</f>
        <v>3052800</v>
      </c>
      <c r="AF519" s="81">
        <f ca="1">IF(NOTA[ID_H]="","",INDEX(NOTA[TANGGAL],MATCH(,INDIRECT(ADDRESS(ROW(NOTA[TANGGAL]),COLUMN(NOTA[TANGGAL]))&amp;":"&amp;ADDRESS(ROW(),COLUMN(NOTA[TANGGAL]))),-1)))</f>
        <v>44944</v>
      </c>
      <c r="AG519" s="84" t="str">
        <f ca="1">IF(NOTA[[#This Row],[NAMA BARANG]]="","",INDEX(NOTA[SUPPLIER],MATCH(,INDIRECT(ADDRESS(ROW(NOTA[ID]),COLUMN(NOTA[ID]))&amp;":"&amp;ADDRESS(ROW(),COLUMN(NOTA[ID]))),-1)))</f>
        <v>ATALI MAKMUR</v>
      </c>
      <c r="AH519" s="84" t="str">
        <f ca="1">IF(NOTA[[#This Row],[ID_H]]="","",IF(NOTA[[#This Row],[FAKTUR]]="",INDIRECT(ADDRESS(ROW()-1,COLUMN())),NOTA[[#This Row],[FAKTUR]]))</f>
        <v>ARTO MORO</v>
      </c>
      <c r="AI519" s="38" t="str">
        <f ca="1">IF(NOTA[[#This Row],[ID]]="","",COUNTIF(NOTA[ID_H],NOTA[[#This Row],[ID_H]]))</f>
        <v/>
      </c>
      <c r="AJ519" s="38">
        <f ca="1">IF(NOTA[[#This Row],[TGL.NOTA]]="",IF(NOTA[[#This Row],[SUPPLIER_H]]="","",AJ518),MONTH(NOTA[[#This Row],[TGL.NOTA]]))</f>
        <v>1</v>
      </c>
      <c r="AK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519" s="193">
        <f>IF(NOTA[[#This Row],[CONCAT1]]="","",MATCH(NOTA[[#This Row],[CONCAT1]],[2]!db[NB NOTA_C],0)+1)</f>
        <v>487</v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>
        <f ca="1">IF(NOTA[[#This Row],[NAMA BARANG]]="","",INDEX(NOTA[ID],MATCH(,INDIRECT(ADDRESS(ROW(NOTA[ID]),COLUMN(NOTA[ID]))&amp;":"&amp;ADDRESS(ROW(),COLUMN(NOTA[ID]))),-1)))</f>
        <v>94</v>
      </c>
      <c r="E520" s="94"/>
      <c r="F520" s="38"/>
      <c r="G520" s="38"/>
      <c r="H520" s="79"/>
      <c r="I520" s="38"/>
      <c r="J520" s="78"/>
      <c r="K520" s="95"/>
      <c r="L520" s="38" t="s">
        <v>687</v>
      </c>
      <c r="M520" s="97">
        <v>2</v>
      </c>
      <c r="N520" s="96">
        <v>288</v>
      </c>
      <c r="O520" s="38" t="s">
        <v>116</v>
      </c>
      <c r="P520" s="98">
        <v>14100</v>
      </c>
      <c r="Q520" s="99"/>
      <c r="R520" s="56" t="s">
        <v>129</v>
      </c>
      <c r="S520" s="100">
        <v>0.125</v>
      </c>
      <c r="T520" s="101">
        <v>0.05</v>
      </c>
      <c r="U520" s="102"/>
      <c r="V520" s="103"/>
      <c r="W520" s="87">
        <f>IF(NOTA[[#This Row],[HARGA/ CTN]]="",NOTA[[#This Row],[JUMLAH_H]],NOTA[[#This Row],[HARGA/ CTN]]*IF(NOTA[[#This Row],[C]]="",0,NOTA[[#This Row],[C]]))</f>
        <v>4060800</v>
      </c>
      <c r="X520" s="87">
        <f>IF(NOTA[[#This Row],[JUMLAH]]="","",NOTA[[#This Row],[JUMLAH]]*NOTA[[#This Row],[DISC 1]])</f>
        <v>507600</v>
      </c>
      <c r="Y520" s="87">
        <f>IF(NOTA[[#This Row],[JUMLAH]]="","",(NOTA[[#This Row],[JUMLAH]]-NOTA[[#This Row],[DISC 1-]])*NOTA[[#This Row],[DISC 2]])</f>
        <v>177660</v>
      </c>
      <c r="Z520" s="87">
        <f>IF(NOTA[[#This Row],[JUMLAH]]="","",NOTA[[#This Row],[DISC 1-]]+NOTA[[#This Row],[DISC 2-]])</f>
        <v>685260</v>
      </c>
      <c r="AA520" s="87">
        <f>IF(NOTA[[#This Row],[JUMLAH]]="","",NOTA[[#This Row],[JUMLAH]]-NOTA[[#This Row],[DISC]])</f>
        <v>3375540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520" s="87">
        <f>IF(OR(NOTA[[#This Row],[QTY]]="",NOTA[[#This Row],[HARGA SATUAN]]="",),"",NOTA[[#This Row],[QTY]]*NOTA[[#This Row],[HARGA SATUAN]])</f>
        <v>4060800</v>
      </c>
      <c r="AF520" s="81">
        <f ca="1">IF(NOTA[ID_H]="","",INDEX(NOTA[TANGGAL],MATCH(,INDIRECT(ADDRESS(ROW(NOTA[TANGGAL]),COLUMN(NOTA[TANGGAL]))&amp;":"&amp;ADDRESS(ROW(),COLUMN(NOTA[TANGGAL]))),-1)))</f>
        <v>44944</v>
      </c>
      <c r="AG520" s="84" t="str">
        <f ca="1">IF(NOTA[[#This Row],[NAMA BARANG]]="","",INDEX(NOTA[SUPPLIER],MATCH(,INDIRECT(ADDRESS(ROW(NOTA[ID]),COLUMN(NOTA[ID]))&amp;":"&amp;ADDRESS(ROW(),COLUMN(NOTA[ID]))),-1)))</f>
        <v>ATALI MAKMUR</v>
      </c>
      <c r="AH520" s="84" t="str">
        <f ca="1">IF(NOTA[[#This Row],[ID_H]]="","",IF(NOTA[[#This Row],[FAKTUR]]="",INDIRECT(ADDRESS(ROW()-1,COLUMN())),NOTA[[#This Row],[FAKTUR]]))</f>
        <v>ARTO MORO</v>
      </c>
      <c r="AI520" s="38" t="str">
        <f ca="1">IF(NOTA[[#This Row],[ID]]="","",COUNTIF(NOTA[ID_H],NOTA[[#This Row],[ID_H]]))</f>
        <v/>
      </c>
      <c r="AJ520" s="38">
        <f ca="1">IF(NOTA[[#This Row],[TGL.NOTA]]="",IF(NOTA[[#This Row],[SUPPLIER_H]]="","",AJ519),MONTH(NOTA[[#This Row],[TGL.NOTA]]))</f>
        <v>1</v>
      </c>
      <c r="AK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>gelpengp330blackjk20304000.1250.05</v>
      </c>
      <c r="AM520" s="193">
        <f>IF(NOTA[[#This Row],[CONCAT1]]="","",MATCH(NOTA[[#This Row],[CONCAT1]],[2]!db[NB NOTA_C],0)+1)</f>
        <v>729</v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94</v>
      </c>
      <c r="E521" s="94"/>
      <c r="F521" s="38"/>
      <c r="G521" s="38"/>
      <c r="H521" s="79"/>
      <c r="I521" s="38"/>
      <c r="J521" s="95"/>
      <c r="K521" s="96"/>
      <c r="L521" s="38" t="s">
        <v>688</v>
      </c>
      <c r="M521" s="97">
        <v>2</v>
      </c>
      <c r="N521" s="96">
        <v>1728</v>
      </c>
      <c r="O521" s="38" t="s">
        <v>104</v>
      </c>
      <c r="P521" s="98">
        <v>2100</v>
      </c>
      <c r="Q521" s="99"/>
      <c r="R521" s="56" t="s">
        <v>689</v>
      </c>
      <c r="S521" s="100">
        <v>0.125</v>
      </c>
      <c r="T521" s="101">
        <v>0.05</v>
      </c>
      <c r="U521" s="102"/>
      <c r="V521" s="103"/>
      <c r="W521" s="87">
        <f>IF(NOTA[[#This Row],[HARGA/ CTN]]="",NOTA[[#This Row],[JUMLAH_H]],NOTA[[#This Row],[HARGA/ CTN]]*IF(NOTA[[#This Row],[C]]="",0,NOTA[[#This Row],[C]]))</f>
        <v>3628800</v>
      </c>
      <c r="X521" s="87">
        <f>IF(NOTA[[#This Row],[JUMLAH]]="","",NOTA[[#This Row],[JUMLAH]]*NOTA[[#This Row],[DISC 1]])</f>
        <v>453600</v>
      </c>
      <c r="Y521" s="87">
        <f>IF(NOTA[[#This Row],[JUMLAH]]="","",(NOTA[[#This Row],[JUMLAH]]-NOTA[[#This Row],[DISC 1-]])*NOTA[[#This Row],[DISC 2]])</f>
        <v>158760</v>
      </c>
      <c r="Z521" s="87">
        <f>IF(NOTA[[#This Row],[JUMLAH]]="","",NOTA[[#This Row],[DISC 1-]]+NOTA[[#This Row],[DISC 2-]])</f>
        <v>612360</v>
      </c>
      <c r="AA521" s="87">
        <f>IF(NOTA[[#This Row],[JUMLAH]]="","",NOTA[[#This Row],[JUMLAH]]-NOTA[[#This Row],[DISC]])</f>
        <v>3016440</v>
      </c>
      <c r="AB52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C52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521" s="87">
        <f>IF(OR(NOTA[[#This Row],[QTY]]="",NOTA[[#This Row],[HARGA SATUAN]]="",),"",NOTA[[#This Row],[QTY]]*NOTA[[#This Row],[HARGA SATUAN]])</f>
        <v>3628800</v>
      </c>
      <c r="AF521" s="81">
        <f ca="1">IF(NOTA[ID_H]="","",INDEX(NOTA[TANGGAL],MATCH(,INDIRECT(ADDRESS(ROW(NOTA[TANGGAL]),COLUMN(NOTA[TANGGAL]))&amp;":"&amp;ADDRESS(ROW(),COLUMN(NOTA[TANGGAL]))),-1)))</f>
        <v>44944</v>
      </c>
      <c r="AG521" s="84" t="str">
        <f ca="1">IF(NOTA[[#This Row],[NAMA BARANG]]="","",INDEX(NOTA[SUPPLIER],MATCH(,INDIRECT(ADDRESS(ROW(NOTA[ID]),COLUMN(NOTA[ID]))&amp;":"&amp;ADDRESS(ROW(),COLUMN(NOTA[ID]))),-1)))</f>
        <v>ATALI MAKMUR</v>
      </c>
      <c r="AH521" s="84" t="str">
        <f ca="1">IF(NOTA[[#This Row],[ID_H]]="","",IF(NOTA[[#This Row],[FAKTUR]]="",INDIRECT(ADDRESS(ROW()-1,COLUMN())),NOTA[[#This Row],[FAKTUR]]))</f>
        <v>ARTO MORO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1</v>
      </c>
      <c r="AK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>gluestickgs1008gramjk18144000.1250.05</v>
      </c>
      <c r="AM521" s="193">
        <f>IF(NOTA[[#This Row],[CONCAT1]]="","",MATCH(NOTA[[#This Row],[CONCAT1]],[2]!db[NB NOTA_C],0)+1)</f>
        <v>919</v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93" t="str">
        <f>IF(NOTA[[#This Row],[CONCAT1]]="","",MATCH(NOTA[[#This Row],[CONCAT1]],[2]!db[NB NOTA_C],0)+1)</f>
        <v/>
      </c>
    </row>
    <row r="523" spans="1:39" ht="20.100000000000001" customHeight="1" x14ac:dyDescent="0.25">
      <c r="A523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3" t="e">
        <f ca="1">IF(NOTA[[#This Row],[ID_P]]="","",MATCH(NOTA[[#This Row],[ID_P]],[1]!B_MSK[N_ID],0))</f>
        <v>#REF!</v>
      </c>
      <c r="D523" s="93">
        <f ca="1">IF(NOTA[[#This Row],[NAMA BARANG]]="","",INDEX(NOTA[ID],MATCH(,INDIRECT(ADDRESS(ROW(NOTA[ID]),COLUMN(NOTA[ID]))&amp;":"&amp;ADDRESS(ROW(),COLUMN(NOTA[ID]))),-1)))</f>
        <v>95</v>
      </c>
      <c r="E523" s="94"/>
      <c r="F523" s="38" t="s">
        <v>23</v>
      </c>
      <c r="G523" s="38" t="s">
        <v>24</v>
      </c>
      <c r="H523" s="79" t="s">
        <v>690</v>
      </c>
      <c r="I523" s="38" t="s">
        <v>692</v>
      </c>
      <c r="J523" s="95">
        <v>44942</v>
      </c>
      <c r="K523" s="96"/>
      <c r="L523" s="38" t="s">
        <v>551</v>
      </c>
      <c r="M523" s="97">
        <v>2</v>
      </c>
      <c r="N523" s="96"/>
      <c r="O523" s="38"/>
      <c r="P523" s="98"/>
      <c r="Q523" s="99">
        <v>3024000</v>
      </c>
      <c r="R523" s="56"/>
      <c r="S523" s="100">
        <v>0.17</v>
      </c>
      <c r="T523" s="101"/>
      <c r="U523" s="102"/>
      <c r="V523" s="103"/>
      <c r="W523" s="87">
        <f>IF(NOTA[[#This Row],[HARGA/ CTN]]="",NOTA[[#This Row],[JUMLAH_H]],NOTA[[#This Row],[HARGA/ CTN]]*IF(NOTA[[#This Row],[C]]="",0,NOTA[[#This Row],[C]]))</f>
        <v>6048000</v>
      </c>
      <c r="X523" s="87">
        <f>IF(NOTA[[#This Row],[JUMLAH]]="","",NOTA[[#This Row],[JUMLAH]]*NOTA[[#This Row],[DISC 1]])</f>
        <v>1028160.0000000001</v>
      </c>
      <c r="Y523" s="87">
        <f>IF(NOTA[[#This Row],[JUMLAH]]="","",(NOTA[[#This Row],[JUMLAH]]-NOTA[[#This Row],[DISC 1-]])*NOTA[[#This Row],[DISC 2]])</f>
        <v>0</v>
      </c>
      <c r="Z523" s="87">
        <f>IF(NOTA[[#This Row],[JUMLAH]]="","",NOTA[[#This Row],[DISC 1-]]+NOTA[[#This Row],[DISC 2-]])</f>
        <v>1028160.0000000001</v>
      </c>
      <c r="AA523" s="87">
        <f>IF(NOTA[[#This Row],[JUMLAH]]="","",NOTA[[#This Row],[JUMLAH]]-NOTA[[#This Row],[DISC]])</f>
        <v>5019840</v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23" s="87" t="str">
        <f>IF(OR(NOTA[[#This Row],[QTY]]="",NOTA[[#This Row],[HARGA SATUAN]]="",),"",NOTA[[#This Row],[QTY]]*NOTA[[#This Row],[HARGA SATUAN]])</f>
        <v/>
      </c>
      <c r="AF523" s="81">
        <f ca="1">IF(NOTA[ID_H]="","",INDEX(NOTA[TANGGAL],MATCH(,INDIRECT(ADDRESS(ROW(NOTA[TANGGAL]),COLUMN(NOTA[TANGGAL]))&amp;":"&amp;ADDRESS(ROW(),COLUMN(NOTA[TANGGAL]))),-1)))</f>
        <v>44944</v>
      </c>
      <c r="AG523" s="84" t="str">
        <f ca="1">IF(NOTA[[#This Row],[NAMA BARANG]]="","",INDEX(NOTA[SUPPLIER],MATCH(,INDIRECT(ADDRESS(ROW(NOTA[ID]),COLUMN(NOTA[ID]))&amp;":"&amp;ADDRESS(ROW(),COLUMN(NOTA[ID]))),-1)))</f>
        <v>KENKO SINAR INDONESIA</v>
      </c>
      <c r="AH523" s="84" t="str">
        <f ca="1">IF(NOTA[[#This Row],[ID_H]]="","",IF(NOTA[[#This Row],[FAKTUR]]="",INDIRECT(ADDRESS(ROW()-1,COLUMN())),NOTA[[#This Row],[FAKTUR]]))</f>
        <v>ARTO MORO</v>
      </c>
      <c r="AI523" s="38">
        <f ca="1">IF(NOTA[[#This Row],[ID]]="","",COUNTIF(NOTA[ID_H],NOTA[[#This Row],[ID_H]]))</f>
        <v>2</v>
      </c>
      <c r="AJ523" s="38">
        <f>IF(NOTA[[#This Row],[TGL.NOTA]]="",IF(NOTA[[#This Row],[SUPPLIER_H]]="","",AJ522),MONTH(NOTA[[#This Row],[TGL.NOTA]]))</f>
        <v>1</v>
      </c>
      <c r="AK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>kenkocorrectiontapect90312mx5mm30240000.17</v>
      </c>
      <c r="AM523" s="193">
        <f>IF(NOTA[[#This Row],[CONCAT1]]="","",MATCH(NOTA[[#This Row],[CONCAT1]],[2]!db[NB NOTA_C],0)+1)</f>
        <v>1114</v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>
        <f ca="1">IF(NOTA[[#This Row],[NAMA BARANG]]="","",INDEX(NOTA[ID],MATCH(,INDIRECT(ADDRESS(ROW(NOTA[ID]),COLUMN(NOTA[ID]))&amp;":"&amp;ADDRESS(ROW(),COLUMN(NOTA[ID]))),-1)))</f>
        <v>95</v>
      </c>
      <c r="E524" s="148"/>
      <c r="F524" s="38"/>
      <c r="G524" s="38"/>
      <c r="H524" s="79"/>
      <c r="I524" s="38"/>
      <c r="J524" s="95"/>
      <c r="K524" s="96"/>
      <c r="L524" s="38" t="s">
        <v>549</v>
      </c>
      <c r="M524" s="97">
        <v>2</v>
      </c>
      <c r="N524" s="96"/>
      <c r="O524" s="38"/>
      <c r="P524" s="98"/>
      <c r="Q524" s="99">
        <v>3758400</v>
      </c>
      <c r="R524" s="56"/>
      <c r="S524" s="100">
        <v>0.17</v>
      </c>
      <c r="T524" s="101"/>
      <c r="U524" s="102"/>
      <c r="V524" s="103"/>
      <c r="W524" s="87">
        <f>IF(NOTA[[#This Row],[HARGA/ CTN]]="",NOTA[[#This Row],[JUMLAH_H]],NOTA[[#This Row],[HARGA/ CTN]]*IF(NOTA[[#This Row],[C]]="",0,NOTA[[#This Row],[C]]))</f>
        <v>7516800</v>
      </c>
      <c r="X524" s="87">
        <f>IF(NOTA[[#This Row],[JUMLAH]]="","",NOTA[[#This Row],[JUMLAH]]*NOTA[[#This Row],[DISC 1]])</f>
        <v>1277856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1277856</v>
      </c>
      <c r="AA524" s="87">
        <f>IF(NOTA[[#This Row],[JUMLAH]]="","",NOTA[[#This Row],[JUMLAH]]-NOTA[[#This Row],[DISC]])</f>
        <v>6238944</v>
      </c>
      <c r="AB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C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524" s="87" t="str">
        <f>IF(OR(NOTA[[#This Row],[QTY]]="",NOTA[[#This Row],[HARGA SATUAN]]="",),"",NOTA[[#This Row],[QTY]]*NOTA[[#This Row],[HARGA SATUAN]])</f>
        <v/>
      </c>
      <c r="AF524" s="81">
        <f ca="1">IF(NOTA[ID_H]="","",INDEX(NOTA[TANGGAL],MATCH(,INDIRECT(ADDRESS(ROW(NOTA[TANGGAL]),COLUMN(NOTA[TANGGAL]))&amp;":"&amp;ADDRESS(ROW(),COLUMN(NOTA[TANGGAL]))),-1)))</f>
        <v>44944</v>
      </c>
      <c r="AG524" s="84" t="str">
        <f ca="1">IF(NOTA[[#This Row],[NAMA BARANG]]="","",INDEX(NOTA[SUPPLIER],MATCH(,INDIRECT(ADDRESS(ROW(NOTA[ID]),COLUMN(NOTA[ID]))&amp;":"&amp;ADDRESS(ROW(),COLUMN(NOTA[ID]))),-1)))</f>
        <v>KENKO SINAR INDONESIA</v>
      </c>
      <c r="AH524" s="84" t="str">
        <f ca="1">IF(NOTA[[#This Row],[ID_H]]="","",IF(NOTA[[#This Row],[FAKTUR]]="",INDIRECT(ADDRESS(ROW()-1,COLUMN())),NOTA[[#This Row],[FAKTUR]]))</f>
        <v>ARTO MORO</v>
      </c>
      <c r="AI524" s="38" t="str">
        <f ca="1">IF(NOTA[[#This Row],[ID]]="","",COUNTIF(NOTA[ID_H],NOTA[[#This Row],[ID_H]]))</f>
        <v/>
      </c>
      <c r="AJ524" s="38">
        <f ca="1">IF(NOTA[[#This Row],[TGL.NOTA]]="",IF(NOTA[[#This Row],[SUPPLIER_H]]="","",AJ523),MONTH(NOTA[[#This Row],[TGL.NOTA]]))</f>
        <v>1</v>
      </c>
      <c r="AK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524" s="193">
        <f>IF(NOTA[[#This Row],[CONCAT1]]="","",MATCH(NOTA[[#This Row],[CONCAT1]],[2]!db[NB NOTA_C],0)+1)</f>
        <v>1136</v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93" t="str">
        <f>IF(NOTA[[#This Row],[CONCAT1]]="","",MATCH(NOTA[[#This Row],[CONCAT1]],[2]!db[NB NOTA_C],0)+1)</f>
        <v/>
      </c>
    </row>
    <row r="526" spans="1:39" ht="20.100000000000001" customHeight="1" x14ac:dyDescent="0.25">
      <c r="A526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3" t="e">
        <f ca="1">IF(NOTA[[#This Row],[ID_P]]="","",MATCH(NOTA[[#This Row],[ID_P]],[1]!B_MSK[N_ID],0))</f>
        <v>#REF!</v>
      </c>
      <c r="D526" s="93">
        <f ca="1">IF(NOTA[[#This Row],[NAMA BARANG]]="","",INDEX(NOTA[ID],MATCH(,INDIRECT(ADDRESS(ROW(NOTA[ID]),COLUMN(NOTA[ID]))&amp;":"&amp;ADDRESS(ROW(),COLUMN(NOTA[ID]))),-1)))</f>
        <v>96</v>
      </c>
      <c r="E526" s="94"/>
      <c r="F526" s="38" t="s">
        <v>696</v>
      </c>
      <c r="G526" s="38" t="s">
        <v>87</v>
      </c>
      <c r="H526" s="79"/>
      <c r="I526" s="38"/>
      <c r="J526" s="95">
        <v>44944</v>
      </c>
      <c r="K526" s="96"/>
      <c r="L526" s="38" t="s">
        <v>693</v>
      </c>
      <c r="M526" s="97">
        <v>5</v>
      </c>
      <c r="N526" s="96">
        <v>3000</v>
      </c>
      <c r="O526" s="38" t="s">
        <v>131</v>
      </c>
      <c r="P526" s="98">
        <v>4900</v>
      </c>
      <c r="Q526" s="99"/>
      <c r="R526" s="56" t="s">
        <v>695</v>
      </c>
      <c r="S526" s="100">
        <v>0.05</v>
      </c>
      <c r="T526" s="101"/>
      <c r="U526" s="102"/>
      <c r="V526" s="103" t="s">
        <v>694</v>
      </c>
      <c r="W526" s="87">
        <f>IF(NOTA[[#This Row],[HARGA/ CTN]]="",NOTA[[#This Row],[JUMLAH_H]],NOTA[[#This Row],[HARGA/ CTN]]*IF(NOTA[[#This Row],[C]]="",0,NOTA[[#This Row],[C]]))</f>
        <v>14700000</v>
      </c>
      <c r="X526" s="87">
        <f>IF(NOTA[[#This Row],[JUMLAH]]="","",NOTA[[#This Row],[JUMLAH]]*NOTA[[#This Row],[DISC 1]])</f>
        <v>735000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735000</v>
      </c>
      <c r="AA526" s="87">
        <f>IF(NOTA[[#This Row],[JUMLAH]]="","",NOTA[[#This Row],[JUMLAH]]-NOTA[[#This Row],[DISC]])</f>
        <v>13965000</v>
      </c>
      <c r="AB52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C52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E526" s="87">
        <f>IF(OR(NOTA[[#This Row],[QTY]]="",NOTA[[#This Row],[HARGA SATUAN]]="",),"",NOTA[[#This Row],[QTY]]*NOTA[[#This Row],[HARGA SATUAN]])</f>
        <v>14700000</v>
      </c>
      <c r="AF526" s="81">
        <f ca="1">IF(NOTA[ID_H]="","",INDEX(NOTA[TANGGAL],MATCH(,INDIRECT(ADDRESS(ROW(NOTA[TANGGAL]),COLUMN(NOTA[TANGGAL]))&amp;":"&amp;ADDRESS(ROW(),COLUMN(NOTA[TANGGAL]))),-1)))</f>
        <v>44944</v>
      </c>
      <c r="AG526" s="84" t="str">
        <f ca="1">IF(NOTA[[#This Row],[NAMA BARANG]]="","",INDEX(NOTA[SUPPLIER],MATCH(,INDIRECT(ADDRESS(ROW(NOTA[ID]),COLUMN(NOTA[ID]))&amp;":"&amp;ADDRESS(ROW(),COLUMN(NOTA[ID]))),-1)))</f>
        <v>JEFFRY</v>
      </c>
      <c r="AH526" s="84" t="str">
        <f ca="1">IF(NOTA[[#This Row],[ID_H]]="","",IF(NOTA[[#This Row],[FAKTUR]]="",INDIRECT(ADDRESS(ROW()-1,COLUMN())),NOTA[[#This Row],[FAKTUR]]))</f>
        <v>UNTANA</v>
      </c>
      <c r="AI526" s="38">
        <f ca="1">IF(NOTA[[#This Row],[ID]]="","",COUNTIF(NOTA[ID_H],NOTA[[#This Row],[ID_H]]))</f>
        <v>1</v>
      </c>
      <c r="AJ526" s="38">
        <f>IF(NOTA[[#This Row],[TGL.NOTA]]="",IF(NOTA[[#This Row],[SUPPLIER_H]]="","",AJ525),MONTH(NOTA[[#This Row],[TGL.NOTA]]))</f>
        <v>1</v>
      </c>
      <c r="AK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>karetpentilsuperlegenda29400000.05</v>
      </c>
      <c r="AM526" s="193" t="e">
        <f>IF(NOTA[[#This Row],[CONCAT1]]="","",MATCH(NOTA[[#This Row],[CONCAT1]],[2]!db[NB NOTA_C],0)+1)</f>
        <v>#N/A</v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93" t="str">
        <f>IF(NOTA[[#This Row],[CONCAT1]]="","",MATCH(NOTA[[#This Row],[CONCAT1]],[2]!db[NB NOTA_C],0)+1)</f>
        <v/>
      </c>
    </row>
    <row r="528" spans="1:39" ht="20.100000000000001" customHeight="1" x14ac:dyDescent="0.25">
      <c r="A528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3" t="e">
        <f ca="1">IF(NOTA[[#This Row],[ID_P]]="","",MATCH(NOTA[[#This Row],[ID_P]],[1]!B_MSK[N_ID],0))</f>
        <v>#REF!</v>
      </c>
      <c r="D528" s="93">
        <f ca="1">IF(NOTA[[#This Row],[NAMA BARANG]]="","",INDEX(NOTA[ID],MATCH(,INDIRECT(ADDRESS(ROW(NOTA[ID]),COLUMN(NOTA[ID]))&amp;":"&amp;ADDRESS(ROW(),COLUMN(NOTA[ID]))),-1)))</f>
        <v>97</v>
      </c>
      <c r="E528" s="94"/>
      <c r="F528" s="38" t="s">
        <v>697</v>
      </c>
      <c r="G528" s="38" t="s">
        <v>87</v>
      </c>
      <c r="H528" s="79" t="s">
        <v>698</v>
      </c>
      <c r="I528" s="38"/>
      <c r="J528" s="95">
        <v>44942</v>
      </c>
      <c r="K528" s="96"/>
      <c r="L528" s="38" t="s">
        <v>699</v>
      </c>
      <c r="M528" s="97">
        <v>3</v>
      </c>
      <c r="N528" s="96">
        <v>216</v>
      </c>
      <c r="O528" s="38" t="s">
        <v>104</v>
      </c>
      <c r="P528" s="98">
        <v>27300</v>
      </c>
      <c r="Q528" s="99"/>
      <c r="R528" s="56" t="s">
        <v>700</v>
      </c>
      <c r="S528" s="100"/>
      <c r="T528" s="101"/>
      <c r="U528" s="102"/>
      <c r="V528" s="103"/>
      <c r="W528" s="87">
        <f>IF(NOTA[[#This Row],[HARGA/ CTN]]="",NOTA[[#This Row],[JUMLAH_H]],NOTA[[#This Row],[HARGA/ CTN]]*IF(NOTA[[#This Row],[C]]="",0,NOTA[[#This Row],[C]]))</f>
        <v>5896800</v>
      </c>
      <c r="X528" s="87">
        <f>IF(NOTA[[#This Row],[JUMLAH]]="","",NOTA[[#This Row],[JUMLAH]]*NOTA[[#This Row],[DISC 1]])</f>
        <v>0</v>
      </c>
      <c r="Y528" s="87">
        <f>IF(NOTA[[#This Row],[JUMLAH]]="","",(NOTA[[#This Row],[JUMLAH]]-NOTA[[#This Row],[DISC 1-]])*NOTA[[#This Row],[DISC 2]])</f>
        <v>0</v>
      </c>
      <c r="Z528" s="87">
        <f>IF(NOTA[[#This Row],[JUMLAH]]="","",NOTA[[#This Row],[DISC 1-]]+NOTA[[#This Row],[DISC 2-]])</f>
        <v>0</v>
      </c>
      <c r="AA528" s="87">
        <f>IF(NOTA[[#This Row],[JUMLAH]]="","",NOTA[[#This Row],[JUMLAH]]-NOTA[[#This Row],[DISC]])</f>
        <v>5896800</v>
      </c>
      <c r="AB52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D528" s="84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E528" s="87">
        <f>IF(OR(NOTA[[#This Row],[QTY]]="",NOTA[[#This Row],[HARGA SATUAN]]="",),"",NOTA[[#This Row],[QTY]]*NOTA[[#This Row],[HARGA SATUAN]])</f>
        <v>5896800</v>
      </c>
      <c r="AF528" s="81">
        <f ca="1">IF(NOTA[ID_H]="","",INDEX(NOTA[TANGGAL],MATCH(,INDIRECT(ADDRESS(ROW(NOTA[TANGGAL]),COLUMN(NOTA[TANGGAL]))&amp;":"&amp;ADDRESS(ROW(),COLUMN(NOTA[TANGGAL]))),-1)))</f>
        <v>44944</v>
      </c>
      <c r="AG528" s="84" t="str">
        <f ca="1">IF(NOTA[[#This Row],[NAMA BARANG]]="","",INDEX(NOTA[SUPPLIER],MATCH(,INDIRECT(ADDRESS(ROW(NOTA[ID]),COLUMN(NOTA[ID]))&amp;":"&amp;ADDRESS(ROW(),COLUMN(NOTA[ID]))),-1)))</f>
        <v>DUTA BAHAGIA</v>
      </c>
      <c r="AH528" s="84" t="str">
        <f ca="1">IF(NOTA[[#This Row],[ID_H]]="","",IF(NOTA[[#This Row],[FAKTUR]]="",INDIRECT(ADDRESS(ROW()-1,COLUMN())),NOTA[[#This Row],[FAKTUR]]))</f>
        <v>UNTANA</v>
      </c>
      <c r="AI528" s="38">
        <f ca="1">IF(NOTA[[#This Row],[ID]]="","",COUNTIF(NOTA[ID_H],NOTA[[#This Row],[ID_H]]))</f>
        <v>1</v>
      </c>
      <c r="AJ528" s="38">
        <f>IF(NOTA[[#This Row],[TGL.NOTA]]="",IF(NOTA[[#This Row],[SUPPLIER_H]]="","",AJ527),MONTH(NOTA[[#This Row],[TGL.NOTA]]))</f>
        <v>1</v>
      </c>
      <c r="AK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>bindernotefphy001b5601965600</v>
      </c>
      <c r="AM528" s="193">
        <f>IF(NOTA[[#This Row],[CONCAT1]]="","",MATCH(NOTA[[#This Row],[CONCAT1]],[2]!db[NB NOTA_C],0)+1)</f>
        <v>240</v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93" t="str">
        <f>IF(NOTA[[#This Row],[CONCAT1]]="","",MATCH(NOTA[[#This Row],[CONCAT1]],[2]!db[NB NOTA_C],0)+1)</f>
        <v/>
      </c>
    </row>
    <row r="530" spans="1:39" ht="20.100000000000001" customHeight="1" x14ac:dyDescent="0.25">
      <c r="A530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3" t="e">
        <f ca="1">IF(NOTA[[#This Row],[ID_P]]="","",MATCH(NOTA[[#This Row],[ID_P]],[1]!B_MSK[N_ID],0))</f>
        <v>#REF!</v>
      </c>
      <c r="D530" s="93">
        <f ca="1">IF(NOTA[[#This Row],[NAMA BARANG]]="","",INDEX(NOTA[ID],MATCH(,INDIRECT(ADDRESS(ROW(NOTA[ID]),COLUMN(NOTA[ID]))&amp;":"&amp;ADDRESS(ROW(),COLUMN(NOTA[ID]))),-1)))</f>
        <v>98</v>
      </c>
      <c r="E530" s="94"/>
      <c r="F530" s="38" t="s">
        <v>697</v>
      </c>
      <c r="G530" s="38" t="s">
        <v>87</v>
      </c>
      <c r="H530" s="79" t="s">
        <v>701</v>
      </c>
      <c r="I530" s="96"/>
      <c r="J530" s="95">
        <v>44942</v>
      </c>
      <c r="K530" s="96"/>
      <c r="L530" s="38" t="s">
        <v>702</v>
      </c>
      <c r="M530" s="97">
        <v>12</v>
      </c>
      <c r="N530" s="96">
        <v>1152</v>
      </c>
      <c r="O530" s="38" t="s">
        <v>104</v>
      </c>
      <c r="P530" s="98">
        <v>20475</v>
      </c>
      <c r="Q530" s="99"/>
      <c r="R530" s="56" t="s">
        <v>703</v>
      </c>
      <c r="S530" s="100"/>
      <c r="T530" s="101"/>
      <c r="U530" s="102"/>
      <c r="V530" s="103"/>
      <c r="W530" s="87">
        <f>IF(NOTA[[#This Row],[HARGA/ CTN]]="",NOTA[[#This Row],[JUMLAH_H]],NOTA[[#This Row],[HARGA/ CTN]]*IF(NOTA[[#This Row],[C]]="",0,NOTA[[#This Row],[C]]))</f>
        <v>23587200</v>
      </c>
      <c r="X530" s="87">
        <f>IF(NOTA[[#This Row],[JUMLAH]]="","",NOTA[[#This Row],[JUMLAH]]*NOTA[[#This Row],[DISC 1]])</f>
        <v>0</v>
      </c>
      <c r="Y530" s="87">
        <f>IF(NOTA[[#This Row],[JUMLAH]]="","",(NOTA[[#This Row],[JUMLAH]]-NOTA[[#This Row],[DISC 1-]])*NOTA[[#This Row],[DISC 2]])</f>
        <v>0</v>
      </c>
      <c r="Z530" s="87">
        <f>IF(NOTA[[#This Row],[JUMLAH]]="","",NOTA[[#This Row],[DISC 1-]]+NOTA[[#This Row],[DISC 2-]])</f>
        <v>0</v>
      </c>
      <c r="AA530" s="87">
        <f>IF(NOTA[[#This Row],[JUMLAH]]="","",NOTA[[#This Row],[JUMLAH]]-NOTA[[#This Row],[DISC]])</f>
        <v>23587200</v>
      </c>
      <c r="AB53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D530" s="84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E530" s="87">
        <f>IF(OR(NOTA[[#This Row],[QTY]]="",NOTA[[#This Row],[HARGA SATUAN]]="",),"",NOTA[[#This Row],[QTY]]*NOTA[[#This Row],[HARGA SATUAN]])</f>
        <v>23587200</v>
      </c>
      <c r="AF530" s="81">
        <f ca="1">IF(NOTA[ID_H]="","",INDEX(NOTA[TANGGAL],MATCH(,INDIRECT(ADDRESS(ROW(NOTA[TANGGAL]),COLUMN(NOTA[TANGGAL]))&amp;":"&amp;ADDRESS(ROW(),COLUMN(NOTA[TANGGAL]))),-1)))</f>
        <v>44944</v>
      </c>
      <c r="AG530" s="84" t="str">
        <f ca="1">IF(NOTA[[#This Row],[NAMA BARANG]]="","",INDEX(NOTA[SUPPLIER],MATCH(,INDIRECT(ADDRESS(ROW(NOTA[ID]),COLUMN(NOTA[ID]))&amp;":"&amp;ADDRESS(ROW(),COLUMN(NOTA[ID]))),-1)))</f>
        <v>DUTA BAHAGIA</v>
      </c>
      <c r="AH530" s="84" t="str">
        <f ca="1">IF(NOTA[[#This Row],[ID_H]]="","",IF(NOTA[[#This Row],[FAKTUR]]="",INDIRECT(ADDRESS(ROW()-1,COLUMN())),NOTA[[#This Row],[FAKTUR]]))</f>
        <v>UNTANA</v>
      </c>
      <c r="AI530" s="38">
        <f ca="1">IF(NOTA[[#This Row],[ID]]="","",COUNTIF(NOTA[ID_H],NOTA[[#This Row],[ID_H]]))</f>
        <v>1</v>
      </c>
      <c r="AJ530" s="38">
        <f>IF(NOTA[[#This Row],[TGL.NOTA]]="",IF(NOTA[[#This Row],[SUPPLIER_H]]="","",AJ529),MONTH(NOTA[[#This Row],[TGL.NOTA]]))</f>
        <v>1</v>
      </c>
      <c r="AK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>bindernotefphy001a5501965600</v>
      </c>
      <c r="AM530" s="193" t="e">
        <f>IF(NOTA[[#This Row],[CONCAT1]]="","",MATCH(NOTA[[#This Row],[CONCAT1]],[2]!db[NB NOTA_C],0)+1)</f>
        <v>#N/A</v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93" t="str">
        <f>IF(NOTA[[#This Row],[CONCAT1]]="","",MATCH(NOTA[[#This Row],[CONCAT1]],[2]!db[NB NOTA_C],0)+1)</f>
        <v/>
      </c>
    </row>
    <row r="532" spans="1:39" ht="20.100000000000001" customHeight="1" x14ac:dyDescent="0.25">
      <c r="A532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3" t="e">
        <f ca="1">IF(NOTA[[#This Row],[ID_P]]="","",MATCH(NOTA[[#This Row],[ID_P]],[1]!B_MSK[N_ID],0))</f>
        <v>#REF!</v>
      </c>
      <c r="D532" s="93">
        <f ca="1">IF(NOTA[[#This Row],[NAMA BARANG]]="","",INDEX(NOTA[ID],MATCH(,INDIRECT(ADDRESS(ROW(NOTA[ID]),COLUMN(NOTA[ID]))&amp;":"&amp;ADDRESS(ROW(),COLUMN(NOTA[ID]))),-1)))</f>
        <v>99</v>
      </c>
      <c r="E532" s="94"/>
      <c r="F532" s="38" t="s">
        <v>144</v>
      </c>
      <c r="G532" s="38" t="s">
        <v>87</v>
      </c>
      <c r="H532" s="79" t="s">
        <v>704</v>
      </c>
      <c r="I532" s="96"/>
      <c r="J532" s="95">
        <v>44939</v>
      </c>
      <c r="K532" s="96"/>
      <c r="L532" s="38" t="s">
        <v>705</v>
      </c>
      <c r="M532" s="97">
        <v>2</v>
      </c>
      <c r="N532" s="96">
        <v>600</v>
      </c>
      <c r="O532" s="38" t="s">
        <v>104</v>
      </c>
      <c r="P532" s="98">
        <v>9000</v>
      </c>
      <c r="Q532" s="99"/>
      <c r="R532" s="56" t="s">
        <v>706</v>
      </c>
      <c r="S532" s="100"/>
      <c r="T532" s="101"/>
      <c r="U532" s="102"/>
      <c r="V532" s="103"/>
      <c r="W532" s="87">
        <f>IF(NOTA[[#This Row],[HARGA/ CTN]]="",NOTA[[#This Row],[JUMLAH_H]],NOTA[[#This Row],[HARGA/ CTN]]*IF(NOTA[[#This Row],[C]]="",0,NOTA[[#This Row],[C]]))</f>
        <v>5400000</v>
      </c>
      <c r="X532" s="87">
        <f>IF(NOTA[[#This Row],[JUMLAH]]="","",NOTA[[#This Row],[JUMLAH]]*NOTA[[#This Row],[DISC 1]])</f>
        <v>0</v>
      </c>
      <c r="Y532" s="87">
        <f>IF(NOTA[[#This Row],[JUMLAH]]="","",(NOTA[[#This Row],[JUMLAH]]-NOTA[[#This Row],[DISC 1-]])*NOTA[[#This Row],[DISC 2]])</f>
        <v>0</v>
      </c>
      <c r="Z532" s="87">
        <f>IF(NOTA[[#This Row],[JUMLAH]]="","",NOTA[[#This Row],[DISC 1-]]+NOTA[[#This Row],[DISC 2-]])</f>
        <v>0</v>
      </c>
      <c r="AA532" s="87">
        <f>IF(NOTA[[#This Row],[JUMLAH]]="","",NOTA[[#This Row],[JUMLAH]]-NOTA[[#This Row],[DISC]])</f>
        <v>5400000</v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532" s="87">
        <f>IF(OR(NOTA[[#This Row],[QTY]]="",NOTA[[#This Row],[HARGA SATUAN]]="",),"",NOTA[[#This Row],[QTY]]*NOTA[[#This Row],[HARGA SATUAN]])</f>
        <v>5400000</v>
      </c>
      <c r="AF532" s="81">
        <f ca="1">IF(NOTA[ID_H]="","",INDEX(NOTA[TANGGAL],MATCH(,INDIRECT(ADDRESS(ROW(NOTA[TANGGAL]),COLUMN(NOTA[TANGGAL]))&amp;":"&amp;ADDRESS(ROW(),COLUMN(NOTA[TANGGAL]))),-1)))</f>
        <v>44944</v>
      </c>
      <c r="AG532" s="84" t="str">
        <f ca="1">IF(NOTA[[#This Row],[NAMA BARANG]]="","",INDEX(NOTA[SUPPLIER],MATCH(,INDIRECT(ADDRESS(ROW(NOTA[ID]),COLUMN(NOTA[ID]))&amp;":"&amp;ADDRESS(ROW(),COLUMN(NOTA[ID]))),-1)))</f>
        <v>ETJ</v>
      </c>
      <c r="AH532" s="84" t="str">
        <f ca="1">IF(NOTA[[#This Row],[ID_H]]="","",IF(NOTA[[#This Row],[FAKTUR]]="",INDIRECT(ADDRESS(ROW()-1,COLUMN())),NOTA[[#This Row],[FAKTUR]]))</f>
        <v>UNTANA</v>
      </c>
      <c r="AI532" s="38">
        <f ca="1">IF(NOTA[[#This Row],[ID]]="","",COUNTIF(NOTA[ID_H],NOTA[[#This Row],[ID_H]]))</f>
        <v>3</v>
      </c>
      <c r="AJ532" s="38">
        <f>IF(NOTA[[#This Row],[TGL.NOTA]]="",IF(NOTA[[#This Row],[SUPPLIER_H]]="","",AJ531),MONTH(NOTA[[#This Row],[TGL.NOTA]]))</f>
        <v>1</v>
      </c>
      <c r="AK532" s="38" t="str">
        <f>LOWER(SUBSTITUTE(SUBSTITUTE(SUBSTITUTE(SUBSTITUTE(SUBSTITUTE(SUBSTITUTE(SUBSTITUTE(SUBSTITUTE(SUBSTITUTE(NOTA[NAMA BARANG]," ",),".",""),"-",""),"(",""),")",""),",",""),"/",""),"""",""),"+",""))</f>
        <v>sempoa13t</v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>sempoa13t2700000</v>
      </c>
      <c r="AM532" s="193" t="e">
        <f>IF(NOTA[[#This Row],[CONCAT1]]="","",MATCH(NOTA[[#This Row],[CONCAT1]],[2]!db[NB NOTA_C],0)+1)</f>
        <v>#N/A</v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>
        <f ca="1">IF(NOTA[[#This Row],[NAMA BARANG]]="","",INDEX(NOTA[ID],MATCH(,INDIRECT(ADDRESS(ROW(NOTA[ID]),COLUMN(NOTA[ID]))&amp;":"&amp;ADDRESS(ROW(),COLUMN(NOTA[ID]))),-1)))</f>
        <v>99</v>
      </c>
      <c r="E533" s="94"/>
      <c r="F533" s="38"/>
      <c r="G533" s="38"/>
      <c r="H533" s="79"/>
      <c r="I533" s="96"/>
      <c r="J533" s="95"/>
      <c r="K533" s="96"/>
      <c r="L533" s="38" t="s">
        <v>707</v>
      </c>
      <c r="M533" s="97">
        <v>2</v>
      </c>
      <c r="N533" s="96">
        <v>600</v>
      </c>
      <c r="O533" s="38" t="s">
        <v>104</v>
      </c>
      <c r="P533" s="98">
        <v>9250</v>
      </c>
      <c r="Q533" s="99"/>
      <c r="R533" s="56" t="s">
        <v>706</v>
      </c>
      <c r="S533" s="100"/>
      <c r="T533" s="101"/>
      <c r="U533" s="102"/>
      <c r="V533" s="103"/>
      <c r="W533" s="87">
        <f>IF(NOTA[[#This Row],[HARGA/ CTN]]="",NOTA[[#This Row],[JUMLAH_H]],NOTA[[#This Row],[HARGA/ CTN]]*IF(NOTA[[#This Row],[C]]="",0,NOTA[[#This Row],[C]]))</f>
        <v>5550000</v>
      </c>
      <c r="X533" s="87">
        <f>IF(NOTA[[#This Row],[JUMLAH]]="","",NOTA[[#This Row],[JUMLAH]]*NOTA[[#This Row],[DISC 1]])</f>
        <v>0</v>
      </c>
      <c r="Y533" s="87">
        <f>IF(NOTA[[#This Row],[JUMLAH]]="","",(NOTA[[#This Row],[JUMLAH]]-NOTA[[#This Row],[DISC 1-]])*NOTA[[#This Row],[DISC 2]])</f>
        <v>0</v>
      </c>
      <c r="Z533" s="87">
        <f>IF(NOTA[[#This Row],[JUMLAH]]="","",NOTA[[#This Row],[DISC 1-]]+NOTA[[#This Row],[DISC 2-]])</f>
        <v>0</v>
      </c>
      <c r="AA533" s="87">
        <f>IF(NOTA[[#This Row],[JUMLAH]]="","",NOTA[[#This Row],[JUMLAH]]-NOTA[[#This Row],[DISC]])</f>
        <v>5550000</v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533" s="87">
        <f>IF(OR(NOTA[[#This Row],[QTY]]="",NOTA[[#This Row],[HARGA SATUAN]]="",),"",NOTA[[#This Row],[QTY]]*NOTA[[#This Row],[HARGA SATUAN]])</f>
        <v>5550000</v>
      </c>
      <c r="AF533" s="81">
        <f ca="1">IF(NOTA[ID_H]="","",INDEX(NOTA[TANGGAL],MATCH(,INDIRECT(ADDRESS(ROW(NOTA[TANGGAL]),COLUMN(NOTA[TANGGAL]))&amp;":"&amp;ADDRESS(ROW(),COLUMN(NOTA[TANGGAL]))),-1)))</f>
        <v>44944</v>
      </c>
      <c r="AG533" s="84" t="str">
        <f ca="1">IF(NOTA[[#This Row],[NAMA BARANG]]="","",INDEX(NOTA[SUPPLIER],MATCH(,INDIRECT(ADDRESS(ROW(NOTA[ID]),COLUMN(NOTA[ID]))&amp;":"&amp;ADDRESS(ROW(),COLUMN(NOTA[ID]))),-1)))</f>
        <v>ETJ</v>
      </c>
      <c r="AH533" s="84" t="str">
        <f ca="1">IF(NOTA[[#This Row],[ID_H]]="","",IF(NOTA[[#This Row],[FAKTUR]]="",INDIRECT(ADDRESS(ROW()-1,COLUMN())),NOTA[[#This Row],[FAKTUR]]))</f>
        <v>UNTANA</v>
      </c>
      <c r="AI533" s="38" t="str">
        <f ca="1">IF(NOTA[[#This Row],[ID]]="","",COUNTIF(NOTA[ID_H],NOTA[[#This Row],[ID_H]]))</f>
        <v/>
      </c>
      <c r="AJ533" s="38">
        <f ca="1">IF(NOTA[[#This Row],[TGL.NOTA]]="",IF(NOTA[[#This Row],[SUPPLIER_H]]="","",AJ532),MONTH(NOTA[[#This Row],[TGL.NOTA]]))</f>
        <v>1</v>
      </c>
      <c r="AK533" s="38" t="str">
        <f>LOWER(SUBSTITUTE(SUBSTITUTE(SUBSTITUTE(SUBSTITUTE(SUBSTITUTE(SUBSTITUTE(SUBSTITUTE(SUBSTITUTE(SUBSTITUTE(NOTA[NAMA BARANG]," ",),".",""),"-",""),"(",""),")",""),",",""),"/",""),"""",""),"+",""))</f>
        <v>sempoa17t</v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>sempoa17t2775000</v>
      </c>
      <c r="AM533" s="193" t="e">
        <f>IF(NOTA[[#This Row],[CONCAT1]]="","",MATCH(NOTA[[#This Row],[CONCAT1]],[2]!db[NB NOTA_C],0)+1)</f>
        <v>#N/A</v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>
        <f ca="1">IF(NOTA[[#This Row],[NAMA BARANG]]="","",INDEX(NOTA[ID],MATCH(,INDIRECT(ADDRESS(ROW(NOTA[ID]),COLUMN(NOTA[ID]))&amp;":"&amp;ADDRESS(ROW(),COLUMN(NOTA[ID]))),-1)))</f>
        <v>99</v>
      </c>
      <c r="E534" s="80"/>
      <c r="F534" s="26"/>
      <c r="G534" s="26"/>
      <c r="H534" s="31"/>
      <c r="I534" s="26"/>
      <c r="J534" s="81"/>
      <c r="K534" s="81"/>
      <c r="L534" s="38" t="s">
        <v>707</v>
      </c>
      <c r="M534" s="97"/>
      <c r="N534" s="96">
        <v>58</v>
      </c>
      <c r="O534" s="38" t="s">
        <v>104</v>
      </c>
      <c r="P534" s="98">
        <v>9250</v>
      </c>
      <c r="Q534" s="99"/>
      <c r="R534" s="56" t="s">
        <v>706</v>
      </c>
      <c r="S534" s="86"/>
      <c r="T534" s="86"/>
      <c r="U534" s="87"/>
      <c r="V534" s="103"/>
      <c r="W534" s="87">
        <f>IF(NOTA[[#This Row],[HARGA/ CTN]]="",NOTA[[#This Row],[JUMLAH_H]],NOTA[[#This Row],[HARGA/ CTN]]*IF(NOTA[[#This Row],[C]]="",0,NOTA[[#This Row],[C]]))</f>
        <v>536500</v>
      </c>
      <c r="X534" s="87">
        <f>IF(NOTA[[#This Row],[JUMLAH]]="","",NOTA[[#This Row],[JUMLAH]]*NOTA[[#This Row],[DISC 1]])</f>
        <v>0</v>
      </c>
      <c r="Y534" s="87">
        <f>IF(NOTA[[#This Row],[JUMLAH]]="","",(NOTA[[#This Row],[JUMLAH]]-NOTA[[#This Row],[DISC 1-]])*NOTA[[#This Row],[DISC 2]])</f>
        <v>0</v>
      </c>
      <c r="Z534" s="87">
        <f>IF(NOTA[[#This Row],[JUMLAH]]="","",NOTA[[#This Row],[DISC 1-]]+NOTA[[#This Row],[DISC 2-]])</f>
        <v>0</v>
      </c>
      <c r="AA534" s="87">
        <f>IF(NOTA[[#This Row],[JUMLAH]]="","",NOTA[[#This Row],[JUMLAH]]-NOTA[[#This Row],[DISC]])</f>
        <v>536500</v>
      </c>
      <c r="AB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D534" s="84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E534" s="87">
        <f>IF(OR(NOTA[[#This Row],[QTY]]="",NOTA[[#This Row],[HARGA SATUAN]]="",),"",NOTA[[#This Row],[QTY]]*NOTA[[#This Row],[HARGA SATUAN]])</f>
        <v>536500</v>
      </c>
      <c r="AF534" s="81">
        <f ca="1">IF(NOTA[ID_H]="","",INDEX(NOTA[TANGGAL],MATCH(,INDIRECT(ADDRESS(ROW(NOTA[TANGGAL]),COLUMN(NOTA[TANGGAL]))&amp;":"&amp;ADDRESS(ROW(),COLUMN(NOTA[TANGGAL]))),-1)))</f>
        <v>44944</v>
      </c>
      <c r="AG534" s="84" t="str">
        <f ca="1">IF(NOTA[[#This Row],[NAMA BARANG]]="","",INDEX(NOTA[SUPPLIER],MATCH(,INDIRECT(ADDRESS(ROW(NOTA[ID]),COLUMN(NOTA[ID]))&amp;":"&amp;ADDRESS(ROW(),COLUMN(NOTA[ID]))),-1)))</f>
        <v>ETJ</v>
      </c>
      <c r="AH534" s="84" t="str">
        <f ca="1">IF(NOTA[[#This Row],[ID_H]]="","",IF(NOTA[[#This Row],[FAKTUR]]="",INDIRECT(ADDRESS(ROW()-1,COLUMN())),NOTA[[#This Row],[FAKTUR]]))</f>
        <v>UNTANA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1</v>
      </c>
      <c r="AK534" s="38" t="str">
        <f>LOWER(SUBSTITUTE(SUBSTITUTE(SUBSTITUTE(SUBSTITUTE(SUBSTITUTE(SUBSTITUTE(SUBSTITUTE(SUBSTITUTE(SUBSTITUTE(NOTA[NAMA BARANG]," ",),".",""),"-",""),"(",""),")",""),",",""),"/",""),"""",""),"+",""))</f>
        <v>sempoa17t</v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>sempoa17t9250</v>
      </c>
      <c r="AM534" s="193" t="e">
        <f>IF(NOTA[[#This Row],[CONCAT1]]="","",MATCH(NOTA[[#This Row],[CONCAT1]],[2]!db[NB NOTA_C],0)+1)</f>
        <v>#N/A</v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93" t="str">
        <f>IF(NOTA[[#This Row],[CONCAT1]]="","",MATCH(NOTA[[#This Row],[CONCAT1]],[2]!db[NB NOTA_C],0)+1)</f>
        <v/>
      </c>
    </row>
    <row r="536" spans="1:39" ht="20.100000000000001" customHeight="1" x14ac:dyDescent="0.25">
      <c r="A536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3" t="e">
        <f ca="1">IF(NOTA[[#This Row],[ID_P]]="","",MATCH(NOTA[[#This Row],[ID_P]],[1]!B_MSK[N_ID],0))</f>
        <v>#REF!</v>
      </c>
      <c r="D536" s="93">
        <f ca="1">IF(NOTA[[#This Row],[NAMA BARANG]]="","",INDEX(NOTA[ID],MATCH(,INDIRECT(ADDRESS(ROW(NOTA[ID]),COLUMN(NOTA[ID]))&amp;":"&amp;ADDRESS(ROW(),COLUMN(NOTA[ID]))),-1)))</f>
        <v>100</v>
      </c>
      <c r="E536" s="80"/>
      <c r="F536" s="26" t="s">
        <v>708</v>
      </c>
      <c r="G536" s="26" t="s">
        <v>87</v>
      </c>
      <c r="H536" s="31" t="s">
        <v>709</v>
      </c>
      <c r="I536" s="82"/>
      <c r="J536" s="81">
        <v>44943</v>
      </c>
      <c r="K536" s="82"/>
      <c r="L536" s="26" t="s">
        <v>733</v>
      </c>
      <c r="M536" s="83">
        <v>3</v>
      </c>
      <c r="N536" s="82"/>
      <c r="O536" s="26"/>
      <c r="P536" s="84"/>
      <c r="Q536" s="85">
        <v>458100</v>
      </c>
      <c r="R536" s="39" t="s">
        <v>710</v>
      </c>
      <c r="S536" s="86">
        <v>0.05</v>
      </c>
      <c r="T536" s="86"/>
      <c r="U536" s="87"/>
      <c r="V536" s="103" t="s">
        <v>96</v>
      </c>
      <c r="W536" s="87">
        <f>IF(NOTA[[#This Row],[HARGA/ CTN]]="",NOTA[[#This Row],[JUMLAH_H]],NOTA[[#This Row],[HARGA/ CTN]]*IF(NOTA[[#This Row],[C]]="",0,NOTA[[#This Row],[C]]))</f>
        <v>1374300</v>
      </c>
      <c r="X536" s="87">
        <f>IF(NOTA[[#This Row],[JUMLAH]]="","",NOTA[[#This Row],[JUMLAH]]*NOTA[[#This Row],[DISC 1]])</f>
        <v>68715</v>
      </c>
      <c r="Y536" s="87">
        <f>IF(NOTA[[#This Row],[JUMLAH]]="","",(NOTA[[#This Row],[JUMLAH]]-NOTA[[#This Row],[DISC 1-]])*NOTA[[#This Row],[DISC 2]])</f>
        <v>0</v>
      </c>
      <c r="Z536" s="87">
        <f>IF(NOTA[[#This Row],[JUMLAH]]="","",NOTA[[#This Row],[DISC 1-]]+NOTA[[#This Row],[DISC 2-]])</f>
        <v>68715</v>
      </c>
      <c r="AA536" s="87">
        <f>IF(NOTA[[#This Row],[JUMLAH]]="","",NOTA[[#This Row],[JUMLAH]]-NOTA[[#This Row],[DISC]])</f>
        <v>1305585</v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536" s="87" t="str">
        <f>IF(OR(NOTA[[#This Row],[QTY]]="",NOTA[[#This Row],[HARGA SATUAN]]="",),"",NOTA[[#This Row],[QTY]]*NOTA[[#This Row],[HARGA SATUAN]])</f>
        <v/>
      </c>
      <c r="AF536" s="81">
        <f ca="1">IF(NOTA[ID_H]="","",INDEX(NOTA[TANGGAL],MATCH(,INDIRECT(ADDRESS(ROW(NOTA[TANGGAL]),COLUMN(NOTA[TANGGAL]))&amp;":"&amp;ADDRESS(ROW(),COLUMN(NOTA[TANGGAL]))),-1)))</f>
        <v>44944</v>
      </c>
      <c r="AG536" s="84" t="str">
        <f ca="1">IF(NOTA[[#This Row],[NAMA BARANG]]="","",INDEX(NOTA[SUPPLIER],MATCH(,INDIRECT(ADDRESS(ROW(NOTA[ID]),COLUMN(NOTA[ID]))&amp;":"&amp;ADDRESS(ROW(),COLUMN(NOTA[ID]))),-1)))</f>
        <v>YUSHINCA</v>
      </c>
      <c r="AH536" s="84" t="str">
        <f ca="1">IF(NOTA[[#This Row],[ID_H]]="","",IF(NOTA[[#This Row],[FAKTUR]]="",INDIRECT(ADDRESS(ROW()-1,COLUMN())),NOTA[[#This Row],[FAKTUR]]))</f>
        <v>UNTANA</v>
      </c>
      <c r="AI536" s="38">
        <f ca="1">IF(NOTA[[#This Row],[ID]]="","",COUNTIF(NOTA[ID_H],NOTA[[#This Row],[ID_H]]))</f>
        <v>2</v>
      </c>
      <c r="AJ536" s="38">
        <f>IF(NOTA[[#This Row],[TGL.NOTA]]="",IF(NOTA[[#This Row],[SUPPLIER_H]]="","",AJ535),MONTH(NOTA[[#This Row],[TGL.NOTA]]))</f>
        <v>1</v>
      </c>
      <c r="AK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>clipfilec323mix4581000.05</v>
      </c>
      <c r="AM536" s="193">
        <f>IF(NOTA[[#This Row],[CONCAT1]]="","",MATCH(NOTA[[#This Row],[CONCAT1]],[2]!db[NB NOTA_C],0)+1)</f>
        <v>461</v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>
        <f ca="1">IF(NOTA[[#This Row],[NAMA BARANG]]="","",INDEX(NOTA[ID],MATCH(,INDIRECT(ADDRESS(ROW(NOTA[ID]),COLUMN(NOTA[ID]))&amp;":"&amp;ADDRESS(ROW(),COLUMN(NOTA[ID]))),-1)))</f>
        <v>100</v>
      </c>
      <c r="E537" s="80"/>
      <c r="F537" s="26"/>
      <c r="G537" s="26"/>
      <c r="H537" s="31"/>
      <c r="I537" s="82"/>
      <c r="J537" s="81"/>
      <c r="K537" s="82"/>
      <c r="L537" s="26" t="s">
        <v>734</v>
      </c>
      <c r="M537" s="83">
        <v>3</v>
      </c>
      <c r="N537" s="82"/>
      <c r="O537" s="26"/>
      <c r="P537" s="84"/>
      <c r="Q537" s="85">
        <v>537000</v>
      </c>
      <c r="R537" s="39" t="s">
        <v>710</v>
      </c>
      <c r="S537" s="86">
        <v>0.05</v>
      </c>
      <c r="T537" s="86"/>
      <c r="U537" s="87"/>
      <c r="V537" s="103" t="s">
        <v>96</v>
      </c>
      <c r="W537" s="87">
        <f>IF(NOTA[[#This Row],[HARGA/ CTN]]="",NOTA[[#This Row],[JUMLAH_H]],NOTA[[#This Row],[HARGA/ CTN]]*IF(NOTA[[#This Row],[C]]="",0,NOTA[[#This Row],[C]]))</f>
        <v>1611000</v>
      </c>
      <c r="X537" s="87">
        <f>IF(NOTA[[#This Row],[JUMLAH]]="","",NOTA[[#This Row],[JUMLAH]]*NOTA[[#This Row],[DISC 1]])</f>
        <v>80550</v>
      </c>
      <c r="Y537" s="87">
        <f>IF(NOTA[[#This Row],[JUMLAH]]="","",(NOTA[[#This Row],[JUMLAH]]-NOTA[[#This Row],[DISC 1-]])*NOTA[[#This Row],[DISC 2]])</f>
        <v>0</v>
      </c>
      <c r="Z537" s="87">
        <f>IF(NOTA[[#This Row],[JUMLAH]]="","",NOTA[[#This Row],[DISC 1-]]+NOTA[[#This Row],[DISC 2-]])</f>
        <v>80550</v>
      </c>
      <c r="AA537" s="87">
        <f>IF(NOTA[[#This Row],[JUMLAH]]="","",NOTA[[#This Row],[JUMLAH]]-NOTA[[#This Row],[DISC]])</f>
        <v>1530450</v>
      </c>
      <c r="AB53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C53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D537" s="84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537" s="87" t="str">
        <f>IF(OR(NOTA[[#This Row],[QTY]]="",NOTA[[#This Row],[HARGA SATUAN]]="",),"",NOTA[[#This Row],[QTY]]*NOTA[[#This Row],[HARGA SATUAN]])</f>
        <v/>
      </c>
      <c r="AF537" s="81">
        <f ca="1">IF(NOTA[ID_H]="","",INDEX(NOTA[TANGGAL],MATCH(,INDIRECT(ADDRESS(ROW(NOTA[TANGGAL]),COLUMN(NOTA[TANGGAL]))&amp;":"&amp;ADDRESS(ROW(),COLUMN(NOTA[TANGGAL]))),-1)))</f>
        <v>44944</v>
      </c>
      <c r="AG537" s="84" t="str">
        <f ca="1">IF(NOTA[[#This Row],[NAMA BARANG]]="","",INDEX(NOTA[SUPPLIER],MATCH(,INDIRECT(ADDRESS(ROW(NOTA[ID]),COLUMN(NOTA[ID]))&amp;":"&amp;ADDRESS(ROW(),COLUMN(NOTA[ID]))),-1)))</f>
        <v>YUSHINCA</v>
      </c>
      <c r="AH537" s="84" t="str">
        <f ca="1">IF(NOTA[[#This Row],[ID_H]]="","",IF(NOTA[[#This Row],[FAKTUR]]="",INDIRECT(ADDRESS(ROW()-1,COLUMN())),NOTA[[#This Row],[FAKTUR]]))</f>
        <v>UNTANA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1</v>
      </c>
      <c r="AK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>clipfilec324a5mix5370000.05</v>
      </c>
      <c r="AM537" s="193">
        <f>IF(NOTA[[#This Row],[CONCAT1]]="","",MATCH(NOTA[[#This Row],[CONCAT1]],[2]!db[NB NOTA_C],0)+1)</f>
        <v>462</v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93" t="str">
        <f>IF(NOTA[[#This Row],[CONCAT1]]="","",MATCH(NOTA[[#This Row],[CONCAT1]],[2]!db[NB NOTA_C],0)+1)</f>
        <v/>
      </c>
    </row>
    <row r="539" spans="1:39" ht="20.100000000000001" customHeight="1" x14ac:dyDescent="0.25">
      <c r="A539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3" t="e">
        <f ca="1">IF(NOTA[[#This Row],[ID_P]]="","",MATCH(NOTA[[#This Row],[ID_P]],[1]!B_MSK[N_ID],0))</f>
        <v>#REF!</v>
      </c>
      <c r="D539" s="93">
        <f ca="1">IF(NOTA[[#This Row],[NAMA BARANG]]="","",INDEX(NOTA[ID],MATCH(,INDIRECT(ADDRESS(ROW(NOTA[ID]),COLUMN(NOTA[ID]))&amp;":"&amp;ADDRESS(ROW(),COLUMN(NOTA[ID]))),-1)))</f>
        <v>101</v>
      </c>
      <c r="E539" s="80">
        <v>44945</v>
      </c>
      <c r="F539" s="26" t="s">
        <v>231</v>
      </c>
      <c r="G539" s="26" t="s">
        <v>87</v>
      </c>
      <c r="H539" s="31" t="s">
        <v>711</v>
      </c>
      <c r="I539" s="82"/>
      <c r="J539" s="81">
        <v>44945</v>
      </c>
      <c r="K539" s="82"/>
      <c r="L539" s="26" t="s">
        <v>233</v>
      </c>
      <c r="M539" s="83">
        <v>1</v>
      </c>
      <c r="N539" s="82">
        <v>7</v>
      </c>
      <c r="O539" s="26" t="s">
        <v>116</v>
      </c>
      <c r="P539" s="84">
        <v>195000</v>
      </c>
      <c r="Q539" s="85"/>
      <c r="R539" s="39" t="s">
        <v>712</v>
      </c>
      <c r="S539" s="86"/>
      <c r="T539" s="86"/>
      <c r="U539" s="87"/>
      <c r="V539" s="103"/>
      <c r="W539" s="87">
        <f>IF(NOTA[[#This Row],[HARGA/ CTN]]="",NOTA[[#This Row],[JUMLAH_H]],NOTA[[#This Row],[HARGA/ CTN]]*IF(NOTA[[#This Row],[C]]="",0,NOTA[[#This Row],[C]]))</f>
        <v>1365000</v>
      </c>
      <c r="X539" s="87">
        <f>IF(NOTA[[#This Row],[JUMLAH]]="","",NOTA[[#This Row],[JUMLAH]]*NOTA[[#This Row],[DISC 1]])</f>
        <v>0</v>
      </c>
      <c r="Y539" s="87">
        <f>IF(NOTA[[#This Row],[JUMLAH]]="","",(NOTA[[#This Row],[JUMLAH]]-NOTA[[#This Row],[DISC 1-]])*NOTA[[#This Row],[DISC 2]])</f>
        <v>0</v>
      </c>
      <c r="Z539" s="87">
        <f>IF(NOTA[[#This Row],[JUMLAH]]="","",NOTA[[#This Row],[DISC 1-]]+NOTA[[#This Row],[DISC 2-]])</f>
        <v>0</v>
      </c>
      <c r="AA539" s="87">
        <f>IF(NOTA[[#This Row],[JUMLAH]]="","",NOTA[[#This Row],[JUMLAH]]-NOTA[[#This Row],[DISC]])</f>
        <v>1365000</v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E539" s="87">
        <f>IF(OR(NOTA[[#This Row],[QTY]]="",NOTA[[#This Row],[HARGA SATUAN]]="",),"",NOTA[[#This Row],[QTY]]*NOTA[[#This Row],[HARGA SATUAN]])</f>
        <v>1365000</v>
      </c>
      <c r="AF539" s="81">
        <f ca="1">IF(NOTA[ID_H]="","",INDEX(NOTA[TANGGAL],MATCH(,INDIRECT(ADDRESS(ROW(NOTA[TANGGAL]),COLUMN(NOTA[TANGGAL]))&amp;":"&amp;ADDRESS(ROW(),COLUMN(NOTA[TANGGAL]))),-1)))</f>
        <v>44945</v>
      </c>
      <c r="AG539" s="84" t="str">
        <f ca="1">IF(NOTA[[#This Row],[NAMA BARANG]]="","",INDEX(NOTA[SUPPLIER],MATCH(,INDIRECT(ADDRESS(ROW(NOTA[ID]),COLUMN(NOTA[ID]))&amp;":"&amp;ADDRESS(ROW(),COLUMN(NOTA[ID]))),-1)))</f>
        <v>COMBI</v>
      </c>
      <c r="AH539" s="84" t="str">
        <f ca="1">IF(NOTA[[#This Row],[ID_H]]="","",IF(NOTA[[#This Row],[FAKTUR]]="",INDIRECT(ADDRESS(ROW()-1,COLUMN())),NOTA[[#This Row],[FAKTUR]]))</f>
        <v>UNTANA</v>
      </c>
      <c r="AI539" s="38">
        <f ca="1">IF(NOTA[[#This Row],[ID]]="","",COUNTIF(NOTA[ID_H],NOTA[[#This Row],[ID_H]]))</f>
        <v>3</v>
      </c>
      <c r="AJ539" s="38">
        <f>IF(NOTA[[#This Row],[TGL.NOTA]]="",IF(NOTA[[#This Row],[SUPPLIER_H]]="","",AJ538),MONTH(NOTA[[#This Row],[TGL.NOTA]]))</f>
        <v>1</v>
      </c>
      <c r="AK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>docritprestige1365000</v>
      </c>
      <c r="AM539" s="193">
        <f>IF(NOTA[[#This Row],[CONCAT1]]="","",MATCH(NOTA[[#This Row],[CONCAT1]],[2]!db[NB NOTA_C],0)+1)</f>
        <v>601</v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>
        <f ca="1">IF(NOTA[[#This Row],[NAMA BARANG]]="","",INDEX(NOTA[ID],MATCH(,INDIRECT(ADDRESS(ROW(NOTA[ID]),COLUMN(NOTA[ID]))&amp;":"&amp;ADDRESS(ROW(),COLUMN(NOTA[ID]))),-1)))</f>
        <v>101</v>
      </c>
      <c r="E540" s="80"/>
      <c r="F540" s="26"/>
      <c r="G540" s="26"/>
      <c r="H540" s="31"/>
      <c r="I540" s="82"/>
      <c r="J540" s="81"/>
      <c r="K540" s="82"/>
      <c r="L540" s="26" t="s">
        <v>713</v>
      </c>
      <c r="M540" s="83">
        <v>1</v>
      </c>
      <c r="N540" s="82">
        <v>7</v>
      </c>
      <c r="O540" s="26" t="s">
        <v>116</v>
      </c>
      <c r="P540" s="84">
        <v>180000</v>
      </c>
      <c r="Q540" s="85"/>
      <c r="R540" s="39" t="s">
        <v>712</v>
      </c>
      <c r="S540" s="86"/>
      <c r="T540" s="86"/>
      <c r="U540" s="87"/>
      <c r="V540" s="103"/>
      <c r="W540" s="87">
        <f>IF(NOTA[[#This Row],[HARGA/ CTN]]="",NOTA[[#This Row],[JUMLAH_H]],NOTA[[#This Row],[HARGA/ CTN]]*IF(NOTA[[#This Row],[C]]="",0,NOTA[[#This Row],[C]]))</f>
        <v>1260000</v>
      </c>
      <c r="X540" s="87">
        <f>IF(NOTA[[#This Row],[JUMLAH]]="","",NOTA[[#This Row],[JUMLAH]]*NOTA[[#This Row],[DISC 1]])</f>
        <v>0</v>
      </c>
      <c r="Y540" s="87">
        <f>IF(NOTA[[#This Row],[JUMLAH]]="","",(NOTA[[#This Row],[JUMLAH]]-NOTA[[#This Row],[DISC 1-]])*NOTA[[#This Row],[DISC 2]])</f>
        <v>0</v>
      </c>
      <c r="Z540" s="87">
        <f>IF(NOTA[[#This Row],[JUMLAH]]="","",NOTA[[#This Row],[DISC 1-]]+NOTA[[#This Row],[DISC 2-]])</f>
        <v>0</v>
      </c>
      <c r="AA540" s="87">
        <f>IF(NOTA[[#This Row],[JUMLAH]]="","",NOTA[[#This Row],[JUMLAH]]-NOTA[[#This Row],[DISC]])</f>
        <v>1260000</v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540" s="87">
        <f>IF(OR(NOTA[[#This Row],[QTY]]="",NOTA[[#This Row],[HARGA SATUAN]]="",),"",NOTA[[#This Row],[QTY]]*NOTA[[#This Row],[HARGA SATUAN]])</f>
        <v>1260000</v>
      </c>
      <c r="AF540" s="81">
        <f ca="1">IF(NOTA[ID_H]="","",INDEX(NOTA[TANGGAL],MATCH(,INDIRECT(ADDRESS(ROW(NOTA[TANGGAL]),COLUMN(NOTA[TANGGAL]))&amp;":"&amp;ADDRESS(ROW(),COLUMN(NOTA[TANGGAL]))),-1)))</f>
        <v>44945</v>
      </c>
      <c r="AG540" s="84" t="str">
        <f ca="1">IF(NOTA[[#This Row],[NAMA BARANG]]="","",INDEX(NOTA[SUPPLIER],MATCH(,INDIRECT(ADDRESS(ROW(NOTA[ID]),COLUMN(NOTA[ID]))&amp;":"&amp;ADDRESS(ROW(),COLUMN(NOTA[ID]))),-1)))</f>
        <v>COMBI</v>
      </c>
      <c r="AH540" s="84" t="str">
        <f ca="1">IF(NOTA[[#This Row],[ID_H]]="","",IF(NOTA[[#This Row],[FAKTUR]]="",INDIRECT(ADDRESS(ROW()-1,COLUMN())),NOTA[[#This Row],[FAKTUR]]))</f>
        <v>UNTANA</v>
      </c>
      <c r="AI540" s="38" t="str">
        <f ca="1">IF(NOTA[[#This Row],[ID]]="","",COUNTIF(NOTA[ID_H],NOTA[[#This Row],[ID_H]]))</f>
        <v/>
      </c>
      <c r="AJ540" s="38">
        <f ca="1">IF(NOTA[[#This Row],[TGL.NOTA]]="",IF(NOTA[[#This Row],[SUPPLIER_H]]="","",AJ539),MONTH(NOTA[[#This Row],[TGL.NOTA]]))</f>
        <v>1</v>
      </c>
      <c r="AK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>docritinfinity1260000</v>
      </c>
      <c r="AM540" s="193">
        <f>IF(NOTA[[#This Row],[CONCAT1]]="","",MATCH(NOTA[[#This Row],[CONCAT1]],[2]!db[NB NOTA_C],0)+1)</f>
        <v>594</v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>
        <f ca="1">IF(NOTA[[#This Row],[NAMA BARANG]]="","",INDEX(NOTA[ID],MATCH(,INDIRECT(ADDRESS(ROW(NOTA[ID]),COLUMN(NOTA[ID]))&amp;":"&amp;ADDRESS(ROW(),COLUMN(NOTA[ID]))),-1)))</f>
        <v>101</v>
      </c>
      <c r="E541" s="80"/>
      <c r="F541" s="26"/>
      <c r="G541" s="26"/>
      <c r="H541" s="31"/>
      <c r="I541" s="26"/>
      <c r="J541" s="81"/>
      <c r="K541" s="82"/>
      <c r="L541" s="26" t="s">
        <v>233</v>
      </c>
      <c r="M541" s="83"/>
      <c r="N541" s="82">
        <v>9</v>
      </c>
      <c r="O541" s="26" t="s">
        <v>116</v>
      </c>
      <c r="P541" s="84">
        <v>195000</v>
      </c>
      <c r="Q541" s="85"/>
      <c r="R541" s="39" t="s">
        <v>712</v>
      </c>
      <c r="S541" s="86"/>
      <c r="T541" s="86"/>
      <c r="U541" s="87"/>
      <c r="V541" s="37" t="s">
        <v>714</v>
      </c>
      <c r="W541" s="87">
        <f>IF(NOTA[[#This Row],[HARGA/ CTN]]="",NOTA[[#This Row],[JUMLAH_H]],NOTA[[#This Row],[HARGA/ CTN]]*IF(NOTA[[#This Row],[C]]="",0,NOTA[[#This Row],[C]]))</f>
        <v>1755000</v>
      </c>
      <c r="X541" s="87">
        <f>IF(NOTA[[#This Row],[JUMLAH]]="","",NOTA[[#This Row],[JUMLAH]]*NOTA[[#This Row],[DISC 1]])</f>
        <v>0</v>
      </c>
      <c r="Y541" s="87">
        <f>IF(NOTA[[#This Row],[JUMLAH]]="","",(NOTA[[#This Row],[JUMLAH]]-NOTA[[#This Row],[DISC 1-]])*NOTA[[#This Row],[DISC 2]])</f>
        <v>0</v>
      </c>
      <c r="Z541" s="87">
        <f>IF(NOTA[[#This Row],[JUMLAH]]="","",NOTA[[#This Row],[DISC 1-]]+NOTA[[#This Row],[DISC 2-]])</f>
        <v>0</v>
      </c>
      <c r="AA541" s="87">
        <f>IF(NOTA[[#This Row],[JUMLAH]]="","",NOTA[[#This Row],[JUMLAH]]-NOTA[[#This Row],[DISC]])</f>
        <v>1755000</v>
      </c>
      <c r="AB54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4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D541" s="84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41" s="87">
        <f>IF(OR(NOTA[[#This Row],[QTY]]="",NOTA[[#This Row],[HARGA SATUAN]]="",),"",NOTA[[#This Row],[QTY]]*NOTA[[#This Row],[HARGA SATUAN]])</f>
        <v>1755000</v>
      </c>
      <c r="AF541" s="81">
        <f ca="1">IF(NOTA[ID_H]="","",INDEX(NOTA[TANGGAL],MATCH(,INDIRECT(ADDRESS(ROW(NOTA[TANGGAL]),COLUMN(NOTA[TANGGAL]))&amp;":"&amp;ADDRESS(ROW(),COLUMN(NOTA[TANGGAL]))),-1)))</f>
        <v>44945</v>
      </c>
      <c r="AG541" s="84" t="str">
        <f ca="1">IF(NOTA[[#This Row],[NAMA BARANG]]="","",INDEX(NOTA[SUPPLIER],MATCH(,INDIRECT(ADDRESS(ROW(NOTA[ID]),COLUMN(NOTA[ID]))&amp;":"&amp;ADDRESS(ROW(),COLUMN(NOTA[ID]))),-1)))</f>
        <v>COMBI</v>
      </c>
      <c r="AH541" s="84" t="str">
        <f ca="1">IF(NOTA[[#This Row],[ID_H]]="","",IF(NOTA[[#This Row],[FAKTUR]]="",INDIRECT(ADDRESS(ROW()-1,COLUMN())),NOTA[[#This Row],[FAKTUR]]))</f>
        <v>UNTANA</v>
      </c>
      <c r="AI541" s="38" t="str">
        <f ca="1">IF(NOTA[[#This Row],[ID]]="","",COUNTIF(NOTA[ID_H],NOTA[[#This Row],[ID_H]]))</f>
        <v/>
      </c>
      <c r="AJ541" s="38">
        <f ca="1">IF(NOTA[[#This Row],[TGL.NOTA]]="",IF(NOTA[[#This Row],[SUPPLIER_H]]="","",AJ540),MONTH(NOTA[[#This Row],[TGL.NOTA]]))</f>
        <v>1</v>
      </c>
      <c r="AK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>docritprestige195000</v>
      </c>
      <c r="AM541" s="193">
        <f>IF(NOTA[[#This Row],[CONCAT1]]="","",MATCH(NOTA[[#This Row],[CONCAT1]],[2]!db[NB NOTA_C],0)+1)</f>
        <v>601</v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93" t="str">
        <f>IF(NOTA[[#This Row],[CONCAT1]]="","",MATCH(NOTA[[#This Row],[CONCAT1]],[2]!db[NB NOTA_C],0)+1)</f>
        <v/>
      </c>
    </row>
    <row r="543" spans="1:39" ht="20.100000000000001" customHeight="1" x14ac:dyDescent="0.25">
      <c r="A543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3" t="e">
        <f ca="1">IF(NOTA[[#This Row],[ID_P]]="","",MATCH(NOTA[[#This Row],[ID_P]],[1]!B_MSK[N_ID],0))</f>
        <v>#REF!</v>
      </c>
      <c r="D543" s="93">
        <f ca="1">IF(NOTA[[#This Row],[NAMA BARANG]]="","",INDEX(NOTA[ID],MATCH(,INDIRECT(ADDRESS(ROW(NOTA[ID]),COLUMN(NOTA[ID]))&amp;":"&amp;ADDRESS(ROW(),COLUMN(NOTA[ID]))),-1)))</f>
        <v>102</v>
      </c>
      <c r="E543" s="80"/>
      <c r="F543" s="26" t="s">
        <v>220</v>
      </c>
      <c r="G543" s="26" t="s">
        <v>87</v>
      </c>
      <c r="H543" s="31" t="s">
        <v>715</v>
      </c>
      <c r="I543" s="62"/>
      <c r="J543" s="60">
        <v>44940</v>
      </c>
      <c r="K543" s="82"/>
      <c r="L543" s="26" t="s">
        <v>307</v>
      </c>
      <c r="M543" s="83">
        <v>3</v>
      </c>
      <c r="N543" s="82">
        <v>540</v>
      </c>
      <c r="O543" s="26" t="s">
        <v>104</v>
      </c>
      <c r="P543" s="84">
        <v>24500</v>
      </c>
      <c r="Q543" s="85"/>
      <c r="R543" s="39" t="s">
        <v>306</v>
      </c>
      <c r="S543" s="86"/>
      <c r="T543" s="86"/>
      <c r="U543" s="87">
        <v>330750</v>
      </c>
      <c r="V543" s="103"/>
      <c r="W543" s="87">
        <f>IF(NOTA[[#This Row],[HARGA/ CTN]]="",NOTA[[#This Row],[JUMLAH_H]],NOTA[[#This Row],[HARGA/ CTN]]*IF(NOTA[[#This Row],[C]]="",0,NOTA[[#This Row],[C]]))</f>
        <v>13230000</v>
      </c>
      <c r="X543" s="87">
        <f>IF(NOTA[[#This Row],[JUMLAH]]="","",NOTA[[#This Row],[JUMLAH]]*NOTA[[#This Row],[DISC 1]])</f>
        <v>0</v>
      </c>
      <c r="Y543" s="87">
        <f>IF(NOTA[[#This Row],[JUMLAH]]="","",(NOTA[[#This Row],[JUMLAH]]-NOTA[[#This Row],[DISC 1-]])*NOTA[[#This Row],[DISC 2]])</f>
        <v>0</v>
      </c>
      <c r="Z543" s="87">
        <f>IF(NOTA[[#This Row],[JUMLAH]]="","",NOTA[[#This Row],[DISC 1-]]+NOTA[[#This Row],[DISC 2-]])</f>
        <v>0</v>
      </c>
      <c r="AA543" s="87">
        <f>IF(NOTA[[#This Row],[JUMLAH]]="","",NOTA[[#This Row],[JUMLAH]]-NOTA[[#This Row],[DISC]])</f>
        <v>13230000</v>
      </c>
      <c r="AB54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C54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D543" s="84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E543" s="87">
        <f>IF(OR(NOTA[[#This Row],[QTY]]="",NOTA[[#This Row],[HARGA SATUAN]]="",),"",NOTA[[#This Row],[QTY]]*NOTA[[#This Row],[HARGA SATUAN]])</f>
        <v>13230000</v>
      </c>
      <c r="AF543" s="81">
        <f ca="1">IF(NOTA[ID_H]="","",INDEX(NOTA[TANGGAL],MATCH(,INDIRECT(ADDRESS(ROW(NOTA[TANGGAL]),COLUMN(NOTA[TANGGAL]))&amp;":"&amp;ADDRESS(ROW(),COLUMN(NOTA[TANGGAL]))),-1)))</f>
        <v>44945</v>
      </c>
      <c r="AG543" s="84" t="str">
        <f ca="1">IF(NOTA[[#This Row],[NAMA BARANG]]="","",INDEX(NOTA[SUPPLIER],MATCH(,INDIRECT(ADDRESS(ROW(NOTA[ID]),COLUMN(NOTA[ID]))&amp;":"&amp;ADDRESS(ROW(),COLUMN(NOTA[ID]))),-1)))</f>
        <v>DB STATIONERY</v>
      </c>
      <c r="AH543" s="84" t="str">
        <f ca="1">IF(NOTA[[#This Row],[ID_H]]="","",IF(NOTA[[#This Row],[FAKTUR]]="",INDIRECT(ADDRESS(ROW()-1,COLUMN())),NOTA[[#This Row],[FAKTUR]]))</f>
        <v>UNTANA</v>
      </c>
      <c r="AI543" s="38">
        <f ca="1">IF(NOTA[[#This Row],[ID]]="","",COUNTIF(NOTA[ID_H],NOTA[[#This Row],[ID_H]]))</f>
        <v>1</v>
      </c>
      <c r="AJ543" s="38">
        <f>IF(NOTA[[#This Row],[TGL.NOTA]]="",IF(NOTA[[#This Row],[SUPPLIER_H]]="","",AJ542),MONTH(NOTA[[#This Row],[TGL.NOTA]]))</f>
        <v>1</v>
      </c>
      <c r="AK543" s="38" t="str">
        <f>LOWER(SUBSTITUTE(SUBSTITUTE(SUBSTITUTE(SUBSTITUTE(SUBSTITUTE(SUBSTITUTE(SUBSTITUTE(SUBSTITUTE(SUBSTITUTE(NOTA[NAMA BARANG]," ",),".",""),"-",""),"(",""),")",""),",",""),"/",""),"""",""),"+",""))</f>
        <v>tpbd933</v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>tpbd9334410000</v>
      </c>
      <c r="AM543" s="193" t="e">
        <f>IF(NOTA[[#This Row],[CONCAT1]]="","",MATCH(NOTA[[#This Row],[CONCAT1]],[2]!db[NB NOTA_C],0)+1)</f>
        <v>#N/A</v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93" t="str">
        <f>IF(NOTA[[#This Row],[CONCAT1]]="","",MATCH(NOTA[[#This Row],[CONCAT1]],[2]!db[NB NOTA_C],0)+1)</f>
        <v/>
      </c>
    </row>
    <row r="545" spans="1:39" ht="20.100000000000001" customHeight="1" x14ac:dyDescent="0.25">
      <c r="A545" s="8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3" t="e">
        <f ca="1">IF(NOTA[[#This Row],[ID_P]]="","",MATCH(NOTA[[#This Row],[ID_P]],[1]!B_MSK[N_ID],0))</f>
        <v>#REF!</v>
      </c>
      <c r="D545" s="93">
        <f ca="1">IF(NOTA[[#This Row],[NAMA BARANG]]="","",INDEX(NOTA[ID],MATCH(,INDIRECT(ADDRESS(ROW(NOTA[ID]),COLUMN(NOTA[ID]))&amp;":"&amp;ADDRESS(ROW(),COLUMN(NOTA[ID]))),-1)))</f>
        <v>103</v>
      </c>
      <c r="E545" s="80"/>
      <c r="F545" s="26" t="s">
        <v>716</v>
      </c>
      <c r="G545" s="26" t="s">
        <v>87</v>
      </c>
      <c r="H545" s="31" t="s">
        <v>717</v>
      </c>
      <c r="I545" s="82"/>
      <c r="J545" s="81">
        <v>44943</v>
      </c>
      <c r="K545" s="82"/>
      <c r="L545" s="26" t="s">
        <v>718</v>
      </c>
      <c r="M545" s="83"/>
      <c r="N545" s="82">
        <v>15</v>
      </c>
      <c r="O545" s="26" t="s">
        <v>104</v>
      </c>
      <c r="P545" s="84">
        <v>23000</v>
      </c>
      <c r="Q545" s="85"/>
      <c r="R545" s="39"/>
      <c r="S545" s="86"/>
      <c r="T545" s="86"/>
      <c r="U545" s="87"/>
      <c r="V545" s="37"/>
      <c r="W545" s="87">
        <f>IF(NOTA[[#This Row],[HARGA/ CTN]]="",NOTA[[#This Row],[JUMLAH_H]],NOTA[[#This Row],[HARGA/ CTN]]*IF(NOTA[[#This Row],[C]]="",0,NOTA[[#This Row],[C]]))</f>
        <v>345000</v>
      </c>
      <c r="X545" s="87">
        <f>IF(NOTA[[#This Row],[JUMLAH]]="","",NOTA[[#This Row],[JUMLAH]]*NOTA[[#This Row],[DISC 1]])</f>
        <v>0</v>
      </c>
      <c r="Y545" s="87">
        <f>IF(NOTA[[#This Row],[JUMLAH]]="","",(NOTA[[#This Row],[JUMLAH]]-NOTA[[#This Row],[DISC 1-]])*NOTA[[#This Row],[DISC 2]])</f>
        <v>0</v>
      </c>
      <c r="Z545" s="87">
        <f>IF(NOTA[[#This Row],[JUMLAH]]="","",NOTA[[#This Row],[DISC 1-]]+NOTA[[#This Row],[DISC 2-]])</f>
        <v>0</v>
      </c>
      <c r="AA545" s="87">
        <f>IF(NOTA[[#This Row],[JUMLAH]]="","",NOTA[[#This Row],[JUMLAH]]-NOTA[[#This Row],[DISC]])</f>
        <v>345000</v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5" s="87">
        <f>IF(OR(NOTA[[#This Row],[QTY]]="",NOTA[[#This Row],[HARGA SATUAN]]="",),"",NOTA[[#This Row],[QTY]]*NOTA[[#This Row],[HARGA SATUAN]])</f>
        <v>345000</v>
      </c>
      <c r="AF545" s="81">
        <f ca="1">IF(NOTA[ID_H]="","",INDEX(NOTA[TANGGAL],MATCH(,INDIRECT(ADDRESS(ROW(NOTA[TANGGAL]),COLUMN(NOTA[TANGGAL]))&amp;":"&amp;ADDRESS(ROW(),COLUMN(NOTA[TANGGAL]))),-1)))</f>
        <v>44945</v>
      </c>
      <c r="AG545" s="84" t="str">
        <f ca="1">IF(NOTA[[#This Row],[NAMA BARANG]]="","",INDEX(NOTA[SUPPLIER],MATCH(,INDIRECT(ADDRESS(ROW(NOTA[ID]),COLUMN(NOTA[ID]))&amp;":"&amp;ADDRESS(ROW(),COLUMN(NOTA[ID]))),-1)))</f>
        <v>TFS</v>
      </c>
      <c r="AH545" s="84" t="str">
        <f ca="1">IF(NOTA[[#This Row],[ID_H]]="","",IF(NOTA[[#This Row],[FAKTUR]]="",INDIRECT(ADDRESS(ROW()-1,COLUMN())),NOTA[[#This Row],[FAKTUR]]))</f>
        <v>UNTANA</v>
      </c>
      <c r="AI545" s="38">
        <f ca="1">IF(NOTA[[#This Row],[ID]]="","",COUNTIF(NOTA[ID_H],NOTA[[#This Row],[ID_H]]))</f>
        <v>8</v>
      </c>
      <c r="AJ545" s="38">
        <f>IF(NOTA[[#This Row],[TGL.NOTA]]="",IF(NOTA[[#This Row],[SUPPLIER_H]]="","",AJ544),MONTH(NOTA[[#This Row],[TGL.NOTA]]))</f>
        <v>1</v>
      </c>
      <c r="AK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545" s="193">
        <f>IF(NOTA[[#This Row],[CONCAT1]]="","",MATCH(NOTA[[#This Row],[CONCAT1]],[2]!db[NB NOTA_C],0)+1)</f>
        <v>2069</v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>
        <f ca="1">IF(NOTA[[#This Row],[NAMA BARANG]]="","",INDEX(NOTA[ID],MATCH(,INDIRECT(ADDRESS(ROW(NOTA[ID]),COLUMN(NOTA[ID]))&amp;":"&amp;ADDRESS(ROW(),COLUMN(NOTA[ID]))),-1)))</f>
        <v>103</v>
      </c>
      <c r="E546" s="80"/>
      <c r="F546" s="26"/>
      <c r="G546" s="26"/>
      <c r="H546" s="31"/>
      <c r="I546" s="82"/>
      <c r="J546" s="81"/>
      <c r="K546" s="82"/>
      <c r="L546" s="26" t="s">
        <v>719</v>
      </c>
      <c r="M546" s="83"/>
      <c r="N546" s="82">
        <v>15</v>
      </c>
      <c r="O546" s="26" t="s">
        <v>104</v>
      </c>
      <c r="P546" s="84">
        <v>23000</v>
      </c>
      <c r="Q546" s="85"/>
      <c r="R546" s="39"/>
      <c r="S546" s="86"/>
      <c r="T546" s="86"/>
      <c r="U546" s="87"/>
      <c r="V546" s="37"/>
      <c r="W546" s="87">
        <f>IF(NOTA[[#This Row],[HARGA/ CTN]]="",NOTA[[#This Row],[JUMLAH_H]],NOTA[[#This Row],[HARGA/ CTN]]*IF(NOTA[[#This Row],[C]]="",0,NOTA[[#This Row],[C]]))</f>
        <v>345000</v>
      </c>
      <c r="X546" s="87">
        <f>IF(NOTA[[#This Row],[JUMLAH]]="","",NOTA[[#This Row],[JUMLAH]]*NOTA[[#This Row],[DISC 1]])</f>
        <v>0</v>
      </c>
      <c r="Y546" s="87">
        <f>IF(NOTA[[#This Row],[JUMLAH]]="","",(NOTA[[#This Row],[JUMLAH]]-NOTA[[#This Row],[DISC 1-]])*NOTA[[#This Row],[DISC 2]])</f>
        <v>0</v>
      </c>
      <c r="Z546" s="87">
        <f>IF(NOTA[[#This Row],[JUMLAH]]="","",NOTA[[#This Row],[DISC 1-]]+NOTA[[#This Row],[DISC 2-]])</f>
        <v>0</v>
      </c>
      <c r="AA546" s="87">
        <f>IF(NOTA[[#This Row],[JUMLAH]]="","",NOTA[[#This Row],[JUMLAH]]-NOTA[[#This Row],[DISC]])</f>
        <v>345000</v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6" s="87">
        <f>IF(OR(NOTA[[#This Row],[QTY]]="",NOTA[[#This Row],[HARGA SATUAN]]="",),"",NOTA[[#This Row],[QTY]]*NOTA[[#This Row],[HARGA SATUAN]])</f>
        <v>345000</v>
      </c>
      <c r="AF546" s="81">
        <f ca="1">IF(NOTA[ID_H]="","",INDEX(NOTA[TANGGAL],MATCH(,INDIRECT(ADDRESS(ROW(NOTA[TANGGAL]),COLUMN(NOTA[TANGGAL]))&amp;":"&amp;ADDRESS(ROW(),COLUMN(NOTA[TANGGAL]))),-1)))</f>
        <v>44945</v>
      </c>
      <c r="AG546" s="84" t="str">
        <f ca="1">IF(NOTA[[#This Row],[NAMA BARANG]]="","",INDEX(NOTA[SUPPLIER],MATCH(,INDIRECT(ADDRESS(ROW(NOTA[ID]),COLUMN(NOTA[ID]))&amp;":"&amp;ADDRESS(ROW(),COLUMN(NOTA[ID]))),-1)))</f>
        <v>TFS</v>
      </c>
      <c r="AH546" s="84" t="str">
        <f ca="1">IF(NOTA[[#This Row],[ID_H]]="","",IF(NOTA[[#This Row],[FAKTUR]]="",INDIRECT(ADDRESS(ROW()-1,COLUMN())),NOTA[[#This Row],[FAKTUR]]))</f>
        <v>UNTANA</v>
      </c>
      <c r="AI546" s="38" t="str">
        <f ca="1">IF(NOTA[[#This Row],[ID]]="","",COUNTIF(NOTA[ID_H],NOTA[[#This Row],[ID_H]]))</f>
        <v/>
      </c>
      <c r="AJ546" s="38">
        <f ca="1">IF(NOTA[[#This Row],[TGL.NOTA]]="",IF(NOTA[[#This Row],[SUPPLIER_H]]="","",AJ545),MONTH(NOTA[[#This Row],[TGL.NOTA]]))</f>
        <v>1</v>
      </c>
      <c r="AK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546" s="193">
        <f>IF(NOTA[[#This Row],[CONCAT1]]="","",MATCH(NOTA[[#This Row],[CONCAT1]],[2]!db[NB NOTA_C],0)+1)</f>
        <v>2070</v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>
        <f ca="1">IF(NOTA[[#This Row],[NAMA BARANG]]="","",INDEX(NOTA[ID],MATCH(,INDIRECT(ADDRESS(ROW(NOTA[ID]),COLUMN(NOTA[ID]))&amp;":"&amp;ADDRESS(ROW(),COLUMN(NOTA[ID]))),-1)))</f>
        <v>103</v>
      </c>
      <c r="E547" s="80"/>
      <c r="F547" s="26"/>
      <c r="G547" s="26"/>
      <c r="H547" s="31"/>
      <c r="I547" s="26"/>
      <c r="J547" s="81"/>
      <c r="K547" s="82"/>
      <c r="L547" s="26" t="s">
        <v>720</v>
      </c>
      <c r="M547" s="83"/>
      <c r="N547" s="82">
        <v>15</v>
      </c>
      <c r="O547" s="26" t="s">
        <v>104</v>
      </c>
      <c r="P547" s="84">
        <v>23000</v>
      </c>
      <c r="Q547" s="85"/>
      <c r="R547" s="39"/>
      <c r="S547" s="53"/>
      <c r="T547" s="86"/>
      <c r="U547" s="87"/>
      <c r="V547" s="37"/>
      <c r="W547" s="87">
        <f>IF(NOTA[[#This Row],[HARGA/ CTN]]="",NOTA[[#This Row],[JUMLAH_H]],NOTA[[#This Row],[HARGA/ CTN]]*IF(NOTA[[#This Row],[C]]="",0,NOTA[[#This Row],[C]]))</f>
        <v>345000</v>
      </c>
      <c r="X547" s="87">
        <f>IF(NOTA[[#This Row],[JUMLAH]]="","",NOTA[[#This Row],[JUMLAH]]*NOTA[[#This Row],[DISC 1]])</f>
        <v>0</v>
      </c>
      <c r="Y547" s="87">
        <f>IF(NOTA[[#This Row],[JUMLAH]]="","",(NOTA[[#This Row],[JUMLAH]]-NOTA[[#This Row],[DISC 1-]])*NOTA[[#This Row],[DISC 2]])</f>
        <v>0</v>
      </c>
      <c r="Z547" s="87">
        <f>IF(NOTA[[#This Row],[JUMLAH]]="","",NOTA[[#This Row],[DISC 1-]]+NOTA[[#This Row],[DISC 2-]])</f>
        <v>0</v>
      </c>
      <c r="AA547" s="87">
        <f>IF(NOTA[[#This Row],[JUMLAH]]="","",NOTA[[#This Row],[JUMLAH]]-NOTA[[#This Row],[DISC]])</f>
        <v>345000</v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7" s="87">
        <f>IF(OR(NOTA[[#This Row],[QTY]]="",NOTA[[#This Row],[HARGA SATUAN]]="",),"",NOTA[[#This Row],[QTY]]*NOTA[[#This Row],[HARGA SATUAN]])</f>
        <v>345000</v>
      </c>
      <c r="AF547" s="81">
        <f ca="1">IF(NOTA[ID_H]="","",INDEX(NOTA[TANGGAL],MATCH(,INDIRECT(ADDRESS(ROW(NOTA[TANGGAL]),COLUMN(NOTA[TANGGAL]))&amp;":"&amp;ADDRESS(ROW(),COLUMN(NOTA[TANGGAL]))),-1)))</f>
        <v>44945</v>
      </c>
      <c r="AG547" s="84" t="str">
        <f ca="1">IF(NOTA[[#This Row],[NAMA BARANG]]="","",INDEX(NOTA[SUPPLIER],MATCH(,INDIRECT(ADDRESS(ROW(NOTA[ID]),COLUMN(NOTA[ID]))&amp;":"&amp;ADDRESS(ROW(),COLUMN(NOTA[ID]))),-1)))</f>
        <v>TFS</v>
      </c>
      <c r="AH547" s="84" t="str">
        <f ca="1">IF(NOTA[[#This Row],[ID_H]]="","",IF(NOTA[[#This Row],[FAKTUR]]="",INDIRECT(ADDRESS(ROW()-1,COLUMN())),NOTA[[#This Row],[FAKTUR]]))</f>
        <v>UNTANA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1</v>
      </c>
      <c r="AK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547" s="193">
        <f>IF(NOTA[[#This Row],[CONCAT1]]="","",MATCH(NOTA[[#This Row],[CONCAT1]],[2]!db[NB NOTA_C],0)+1)</f>
        <v>2071</v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>
        <f ca="1">IF(NOTA[[#This Row],[NAMA BARANG]]="","",INDEX(NOTA[ID],MATCH(,INDIRECT(ADDRESS(ROW(NOTA[ID]),COLUMN(NOTA[ID]))&amp;":"&amp;ADDRESS(ROW(),COLUMN(NOTA[ID]))),-1)))</f>
        <v>103</v>
      </c>
      <c r="E548" s="80"/>
      <c r="F548" s="26"/>
      <c r="G548" s="26"/>
      <c r="H548" s="31"/>
      <c r="I548" s="82"/>
      <c r="J548" s="51"/>
      <c r="K548" s="82"/>
      <c r="L548" s="26" t="s">
        <v>721</v>
      </c>
      <c r="M548" s="83"/>
      <c r="N548" s="82">
        <v>15</v>
      </c>
      <c r="O548" s="26" t="s">
        <v>104</v>
      </c>
      <c r="P548" s="84">
        <v>23000</v>
      </c>
      <c r="Q548" s="85"/>
      <c r="R548" s="39"/>
      <c r="S548" s="86"/>
      <c r="T548" s="86"/>
      <c r="U548" s="87"/>
      <c r="V548" s="37"/>
      <c r="W548" s="87">
        <f>IF(NOTA[[#This Row],[HARGA/ CTN]]="",NOTA[[#This Row],[JUMLAH_H]],NOTA[[#This Row],[HARGA/ CTN]]*IF(NOTA[[#This Row],[C]]="",0,NOTA[[#This Row],[C]]))</f>
        <v>345000</v>
      </c>
      <c r="X548" s="87">
        <f>IF(NOTA[[#This Row],[JUMLAH]]="","",NOTA[[#This Row],[JUMLAH]]*NOTA[[#This Row],[DISC 1]])</f>
        <v>0</v>
      </c>
      <c r="Y548" s="87">
        <f>IF(NOTA[[#This Row],[JUMLAH]]="","",(NOTA[[#This Row],[JUMLAH]]-NOTA[[#This Row],[DISC 1-]])*NOTA[[#This Row],[DISC 2]])</f>
        <v>0</v>
      </c>
      <c r="Z548" s="87">
        <f>IF(NOTA[[#This Row],[JUMLAH]]="","",NOTA[[#This Row],[DISC 1-]]+NOTA[[#This Row],[DISC 2-]])</f>
        <v>0</v>
      </c>
      <c r="AA548" s="87">
        <f>IF(NOTA[[#This Row],[JUMLAH]]="","",NOTA[[#This Row],[JUMLAH]]-NOTA[[#This Row],[DISC]])</f>
        <v>345000</v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8" s="87">
        <f>IF(OR(NOTA[[#This Row],[QTY]]="",NOTA[[#This Row],[HARGA SATUAN]]="",),"",NOTA[[#This Row],[QTY]]*NOTA[[#This Row],[HARGA SATUAN]])</f>
        <v>345000</v>
      </c>
      <c r="AF548" s="81">
        <f ca="1">IF(NOTA[ID_H]="","",INDEX(NOTA[TANGGAL],MATCH(,INDIRECT(ADDRESS(ROW(NOTA[TANGGAL]),COLUMN(NOTA[TANGGAL]))&amp;":"&amp;ADDRESS(ROW(),COLUMN(NOTA[TANGGAL]))),-1)))</f>
        <v>44945</v>
      </c>
      <c r="AG548" s="84" t="str">
        <f ca="1">IF(NOTA[[#This Row],[NAMA BARANG]]="","",INDEX(NOTA[SUPPLIER],MATCH(,INDIRECT(ADDRESS(ROW(NOTA[ID]),COLUMN(NOTA[ID]))&amp;":"&amp;ADDRESS(ROW(),COLUMN(NOTA[ID]))),-1)))</f>
        <v>TFS</v>
      </c>
      <c r="AH548" s="84" t="str">
        <f ca="1">IF(NOTA[[#This Row],[ID_H]]="","",IF(NOTA[[#This Row],[FAKTUR]]="",INDIRECT(ADDRESS(ROW()-1,COLUMN())),NOTA[[#This Row],[FAKTUR]]))</f>
        <v>UNTANA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1</v>
      </c>
      <c r="AK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548" s="193">
        <f>IF(NOTA[[#This Row],[CONCAT1]]="","",MATCH(NOTA[[#This Row],[CONCAT1]],[2]!db[NB NOTA_C],0)+1)</f>
        <v>2068</v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>
        <f ca="1">IF(NOTA[[#This Row],[NAMA BARANG]]="","",INDEX(NOTA[ID],MATCH(,INDIRECT(ADDRESS(ROW(NOTA[ID]),COLUMN(NOTA[ID]))&amp;":"&amp;ADDRESS(ROW(),COLUMN(NOTA[ID]))),-1)))</f>
        <v>103</v>
      </c>
      <c r="E549" s="80"/>
      <c r="F549" s="26"/>
      <c r="G549" s="26"/>
      <c r="H549" s="31"/>
      <c r="I549" s="82"/>
      <c r="J549" s="81"/>
      <c r="K549" s="82"/>
      <c r="L549" s="26" t="s">
        <v>722</v>
      </c>
      <c r="M549" s="83"/>
      <c r="N549" s="82">
        <v>15</v>
      </c>
      <c r="O549" s="26" t="s">
        <v>104</v>
      </c>
      <c r="P549" s="84">
        <v>29500</v>
      </c>
      <c r="Q549" s="85"/>
      <c r="R549" s="39"/>
      <c r="S549" s="86"/>
      <c r="T549" s="86"/>
      <c r="U549" s="87"/>
      <c r="V549" s="37"/>
      <c r="W549" s="87">
        <f>IF(NOTA[[#This Row],[HARGA/ CTN]]="",NOTA[[#This Row],[JUMLAH_H]],NOTA[[#This Row],[HARGA/ CTN]]*IF(NOTA[[#This Row],[C]]="",0,NOTA[[#This Row],[C]]))</f>
        <v>442500</v>
      </c>
      <c r="X549" s="87">
        <f>IF(NOTA[[#This Row],[JUMLAH]]="","",NOTA[[#This Row],[JUMLAH]]*NOTA[[#This Row],[DISC 1]])</f>
        <v>0</v>
      </c>
      <c r="Y549" s="87">
        <f>IF(NOTA[[#This Row],[JUMLAH]]="","",(NOTA[[#This Row],[JUMLAH]]-NOTA[[#This Row],[DISC 1-]])*NOTA[[#This Row],[DISC 2]])</f>
        <v>0</v>
      </c>
      <c r="Z549" s="87">
        <f>IF(NOTA[[#This Row],[JUMLAH]]="","",NOTA[[#This Row],[DISC 1-]]+NOTA[[#This Row],[DISC 2-]])</f>
        <v>0</v>
      </c>
      <c r="AA549" s="87">
        <f>IF(NOTA[[#This Row],[JUMLAH]]="","",NOTA[[#This Row],[JUMLAH]]-NOTA[[#This Row],[DISC]])</f>
        <v>442500</v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49" s="87">
        <f>IF(OR(NOTA[[#This Row],[QTY]]="",NOTA[[#This Row],[HARGA SATUAN]]="",),"",NOTA[[#This Row],[QTY]]*NOTA[[#This Row],[HARGA SATUAN]])</f>
        <v>442500</v>
      </c>
      <c r="AF549" s="81">
        <f ca="1">IF(NOTA[ID_H]="","",INDEX(NOTA[TANGGAL],MATCH(,INDIRECT(ADDRESS(ROW(NOTA[TANGGAL]),COLUMN(NOTA[TANGGAL]))&amp;":"&amp;ADDRESS(ROW(),COLUMN(NOTA[TANGGAL]))),-1)))</f>
        <v>44945</v>
      </c>
      <c r="AG549" s="84" t="str">
        <f ca="1">IF(NOTA[[#This Row],[NAMA BARANG]]="","",INDEX(NOTA[SUPPLIER],MATCH(,INDIRECT(ADDRESS(ROW(NOTA[ID]),COLUMN(NOTA[ID]))&amp;":"&amp;ADDRESS(ROW(),COLUMN(NOTA[ID]))),-1)))</f>
        <v>TFS</v>
      </c>
      <c r="AH549" s="84" t="str">
        <f ca="1">IF(NOTA[[#This Row],[ID_H]]="","",IF(NOTA[[#This Row],[FAKTUR]]="",INDIRECT(ADDRESS(ROW()-1,COLUMN())),NOTA[[#This Row],[FAKTUR]]))</f>
        <v>UNTANA</v>
      </c>
      <c r="AI549" s="38" t="str">
        <f ca="1">IF(NOTA[[#This Row],[ID]]="","",COUNTIF(NOTA[ID_H],NOTA[[#This Row],[ID_H]]))</f>
        <v/>
      </c>
      <c r="AJ549" s="38">
        <f ca="1">IF(NOTA[[#This Row],[TGL.NOTA]]="",IF(NOTA[[#This Row],[SUPPLIER_H]]="","",AJ548),MONTH(NOTA[[#This Row],[TGL.NOTA]]))</f>
        <v>1</v>
      </c>
      <c r="AK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549" s="193">
        <f>IF(NOTA[[#This Row],[CONCAT1]]="","",MATCH(NOTA[[#This Row],[CONCAT1]],[2]!db[NB NOTA_C],0)+1)</f>
        <v>2073</v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>
        <f ca="1">IF(NOTA[[#This Row],[NAMA BARANG]]="","",INDEX(NOTA[ID],MATCH(,INDIRECT(ADDRESS(ROW(NOTA[ID]),COLUMN(NOTA[ID]))&amp;":"&amp;ADDRESS(ROW(),COLUMN(NOTA[ID]))),-1)))</f>
        <v>103</v>
      </c>
      <c r="E550" s="80"/>
      <c r="F550" s="26"/>
      <c r="G550" s="26"/>
      <c r="H550" s="31"/>
      <c r="I550" s="26"/>
      <c r="J550" s="81"/>
      <c r="K550" s="82"/>
      <c r="L550" s="26" t="s">
        <v>723</v>
      </c>
      <c r="M550" s="83"/>
      <c r="N550" s="82">
        <v>15</v>
      </c>
      <c r="O550" s="26" t="s">
        <v>104</v>
      </c>
      <c r="P550" s="84">
        <v>29500</v>
      </c>
      <c r="Q550" s="85"/>
      <c r="R550" s="39"/>
      <c r="S550" s="86"/>
      <c r="T550" s="86"/>
      <c r="U550" s="87"/>
      <c r="V550" s="37"/>
      <c r="W550" s="87">
        <f>IF(NOTA[[#This Row],[HARGA/ CTN]]="",NOTA[[#This Row],[JUMLAH_H]],NOTA[[#This Row],[HARGA/ CTN]]*IF(NOTA[[#This Row],[C]]="",0,NOTA[[#This Row],[C]]))</f>
        <v>442500</v>
      </c>
      <c r="X550" s="87">
        <f>IF(NOTA[[#This Row],[JUMLAH]]="","",NOTA[[#This Row],[JUMLAH]]*NOTA[[#This Row],[DISC 1]])</f>
        <v>0</v>
      </c>
      <c r="Y550" s="87">
        <f>IF(NOTA[[#This Row],[JUMLAH]]="","",(NOTA[[#This Row],[JUMLAH]]-NOTA[[#This Row],[DISC 1-]])*NOTA[[#This Row],[DISC 2]])</f>
        <v>0</v>
      </c>
      <c r="Z550" s="87">
        <f>IF(NOTA[[#This Row],[JUMLAH]]="","",NOTA[[#This Row],[DISC 1-]]+NOTA[[#This Row],[DISC 2-]])</f>
        <v>0</v>
      </c>
      <c r="AA550" s="87">
        <f>IF(NOTA[[#This Row],[JUMLAH]]="","",NOTA[[#This Row],[JUMLAH]]-NOTA[[#This Row],[DISC]])</f>
        <v>442500</v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0" s="87">
        <f>IF(OR(NOTA[[#This Row],[QTY]]="",NOTA[[#This Row],[HARGA SATUAN]]="",),"",NOTA[[#This Row],[QTY]]*NOTA[[#This Row],[HARGA SATUAN]])</f>
        <v>442500</v>
      </c>
      <c r="AF550" s="81">
        <f ca="1">IF(NOTA[ID_H]="","",INDEX(NOTA[TANGGAL],MATCH(,INDIRECT(ADDRESS(ROW(NOTA[TANGGAL]),COLUMN(NOTA[TANGGAL]))&amp;":"&amp;ADDRESS(ROW(),COLUMN(NOTA[TANGGAL]))),-1)))</f>
        <v>44945</v>
      </c>
      <c r="AG550" s="84" t="str">
        <f ca="1">IF(NOTA[[#This Row],[NAMA BARANG]]="","",INDEX(NOTA[SUPPLIER],MATCH(,INDIRECT(ADDRESS(ROW(NOTA[ID]),COLUMN(NOTA[ID]))&amp;":"&amp;ADDRESS(ROW(),COLUMN(NOTA[ID]))),-1)))</f>
        <v>TFS</v>
      </c>
      <c r="AH550" s="84" t="str">
        <f ca="1">IF(NOTA[[#This Row],[ID_H]]="","",IF(NOTA[[#This Row],[FAKTUR]]="",INDIRECT(ADDRESS(ROW()-1,COLUMN())),NOTA[[#This Row],[FAKTUR]]))</f>
        <v>UNTANA</v>
      </c>
      <c r="AI550" s="38" t="str">
        <f ca="1">IF(NOTA[[#This Row],[ID]]="","",COUNTIF(NOTA[ID_H],NOTA[[#This Row],[ID_H]]))</f>
        <v/>
      </c>
      <c r="AJ550" s="38">
        <f ca="1">IF(NOTA[[#This Row],[TGL.NOTA]]="",IF(NOTA[[#This Row],[SUPPLIER_H]]="","",AJ549),MONTH(NOTA[[#This Row],[TGL.NOTA]]))</f>
        <v>1</v>
      </c>
      <c r="AK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550" s="193">
        <f>IF(NOTA[[#This Row],[CONCAT1]]="","",MATCH(NOTA[[#This Row],[CONCAT1]],[2]!db[NB NOTA_C],0)+1)</f>
        <v>2074</v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>
        <f ca="1">IF(NOTA[[#This Row],[NAMA BARANG]]="","",INDEX(NOTA[ID],MATCH(,INDIRECT(ADDRESS(ROW(NOTA[ID]),COLUMN(NOTA[ID]))&amp;":"&amp;ADDRESS(ROW(),COLUMN(NOTA[ID]))),-1)))</f>
        <v>103</v>
      </c>
      <c r="E551" s="80"/>
      <c r="F551" s="82"/>
      <c r="G551" s="82"/>
      <c r="H551" s="88"/>
      <c r="I551" s="82"/>
      <c r="J551" s="81"/>
      <c r="K551" s="82"/>
      <c r="L551" s="26" t="s">
        <v>724</v>
      </c>
      <c r="M551" s="83"/>
      <c r="N551" s="82">
        <v>15</v>
      </c>
      <c r="O551" s="26" t="s">
        <v>104</v>
      </c>
      <c r="P551" s="84">
        <v>29500</v>
      </c>
      <c r="Q551" s="85"/>
      <c r="R551" s="39"/>
      <c r="S551" s="86"/>
      <c r="T551" s="86"/>
      <c r="U551" s="87"/>
      <c r="V551" s="37"/>
      <c r="W551" s="87">
        <f>IF(NOTA[[#This Row],[HARGA/ CTN]]="",NOTA[[#This Row],[JUMLAH_H]],NOTA[[#This Row],[HARGA/ CTN]]*IF(NOTA[[#This Row],[C]]="",0,NOTA[[#This Row],[C]]))</f>
        <v>442500</v>
      </c>
      <c r="X551" s="87">
        <f>IF(NOTA[[#This Row],[JUMLAH]]="","",NOTA[[#This Row],[JUMLAH]]*NOTA[[#This Row],[DISC 1]])</f>
        <v>0</v>
      </c>
      <c r="Y551" s="87">
        <f>IF(NOTA[[#This Row],[JUMLAH]]="","",(NOTA[[#This Row],[JUMLAH]]-NOTA[[#This Row],[DISC 1-]])*NOTA[[#This Row],[DISC 2]])</f>
        <v>0</v>
      </c>
      <c r="Z551" s="87">
        <f>IF(NOTA[[#This Row],[JUMLAH]]="","",NOTA[[#This Row],[DISC 1-]]+NOTA[[#This Row],[DISC 2-]])</f>
        <v>0</v>
      </c>
      <c r="AA551" s="87">
        <f>IF(NOTA[[#This Row],[JUMLAH]]="","",NOTA[[#This Row],[JUMLAH]]-NOTA[[#This Row],[DISC]])</f>
        <v>442500</v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1" s="87">
        <f>IF(OR(NOTA[[#This Row],[QTY]]="",NOTA[[#This Row],[HARGA SATUAN]]="",),"",NOTA[[#This Row],[QTY]]*NOTA[[#This Row],[HARGA SATUAN]])</f>
        <v>442500</v>
      </c>
      <c r="AF551" s="81">
        <f ca="1">IF(NOTA[ID_H]="","",INDEX(NOTA[TANGGAL],MATCH(,INDIRECT(ADDRESS(ROW(NOTA[TANGGAL]),COLUMN(NOTA[TANGGAL]))&amp;":"&amp;ADDRESS(ROW(),COLUMN(NOTA[TANGGAL]))),-1)))</f>
        <v>44945</v>
      </c>
      <c r="AG551" s="84" t="str">
        <f ca="1">IF(NOTA[[#This Row],[NAMA BARANG]]="","",INDEX(NOTA[SUPPLIER],MATCH(,INDIRECT(ADDRESS(ROW(NOTA[ID]),COLUMN(NOTA[ID]))&amp;":"&amp;ADDRESS(ROW(),COLUMN(NOTA[ID]))),-1)))</f>
        <v>TFS</v>
      </c>
      <c r="AH551" s="84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1</v>
      </c>
      <c r="AK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551" s="193">
        <f>IF(NOTA[[#This Row],[CONCAT1]]="","",MATCH(NOTA[[#This Row],[CONCAT1]],[2]!db[NB NOTA_C],0)+1)</f>
        <v>2075</v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>
        <f ca="1">IF(NOTA[[#This Row],[NAMA BARANG]]="","",INDEX(NOTA[ID],MATCH(,INDIRECT(ADDRESS(ROW(NOTA[ID]),COLUMN(NOTA[ID]))&amp;":"&amp;ADDRESS(ROW(),COLUMN(NOTA[ID]))),-1)))</f>
        <v>103</v>
      </c>
      <c r="E552" s="80"/>
      <c r="F552" s="26"/>
      <c r="G552" s="26"/>
      <c r="H552" s="31"/>
      <c r="I552" s="26"/>
      <c r="J552" s="81"/>
      <c r="K552" s="82"/>
      <c r="L552" s="26" t="s">
        <v>725</v>
      </c>
      <c r="M552" s="83"/>
      <c r="N552" s="82">
        <v>15</v>
      </c>
      <c r="O552" s="26" t="s">
        <v>104</v>
      </c>
      <c r="P552" s="84">
        <v>29500</v>
      </c>
      <c r="Q552" s="85"/>
      <c r="R552" s="39"/>
      <c r="S552" s="86"/>
      <c r="T552" s="86"/>
      <c r="U552" s="108"/>
      <c r="V552" s="91"/>
      <c r="W552" s="87">
        <f>IF(NOTA[[#This Row],[HARGA/ CTN]]="",NOTA[[#This Row],[JUMLAH_H]],NOTA[[#This Row],[HARGA/ CTN]]*IF(NOTA[[#This Row],[C]]="",0,NOTA[[#This Row],[C]]))</f>
        <v>442500</v>
      </c>
      <c r="X552" s="87">
        <f>IF(NOTA[[#This Row],[JUMLAH]]="","",NOTA[[#This Row],[JUMLAH]]*NOTA[[#This Row],[DISC 1]])</f>
        <v>0</v>
      </c>
      <c r="Y552" s="87">
        <f>IF(NOTA[[#This Row],[JUMLAH]]="","",(NOTA[[#This Row],[JUMLAH]]-NOTA[[#This Row],[DISC 1-]])*NOTA[[#This Row],[DISC 2]])</f>
        <v>0</v>
      </c>
      <c r="Z552" s="87">
        <f>IF(NOTA[[#This Row],[JUMLAH]]="","",NOTA[[#This Row],[DISC 1-]]+NOTA[[#This Row],[DISC 2-]])</f>
        <v>0</v>
      </c>
      <c r="AA552" s="87">
        <f>IF(NOTA[[#This Row],[JUMLAH]]="","",NOTA[[#This Row],[JUMLAH]]-NOTA[[#This Row],[DISC]])</f>
        <v>442500</v>
      </c>
      <c r="AB55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552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2" s="87">
        <f>IF(OR(NOTA[[#This Row],[QTY]]="",NOTA[[#This Row],[HARGA SATUAN]]="",),"",NOTA[[#This Row],[QTY]]*NOTA[[#This Row],[HARGA SATUAN]])</f>
        <v>442500</v>
      </c>
      <c r="AF552" s="81">
        <f ca="1">IF(NOTA[ID_H]="","",INDEX(NOTA[TANGGAL],MATCH(,INDIRECT(ADDRESS(ROW(NOTA[TANGGAL]),COLUMN(NOTA[TANGGAL]))&amp;":"&amp;ADDRESS(ROW(),COLUMN(NOTA[TANGGAL]))),-1)))</f>
        <v>44945</v>
      </c>
      <c r="AG552" s="84" t="str">
        <f ca="1">IF(NOTA[[#This Row],[NAMA BARANG]]="","",INDEX(NOTA[SUPPLIER],MATCH(,INDIRECT(ADDRESS(ROW(NOTA[ID]),COLUMN(NOTA[ID]))&amp;":"&amp;ADDRESS(ROW(),COLUMN(NOTA[ID]))),-1)))</f>
        <v>TFS</v>
      </c>
      <c r="AH552" s="84" t="str">
        <f ca="1">IF(NOTA[[#This Row],[ID_H]]="","",IF(NOTA[[#This Row],[FAKTUR]]="",INDIRECT(ADDRESS(ROW()-1,COLUMN())),NOTA[[#This Row],[FAKTUR]]))</f>
        <v>UNTANA</v>
      </c>
      <c r="AI552" s="38" t="str">
        <f ca="1">IF(NOTA[[#This Row],[ID]]="","",COUNTIF(NOTA[ID_H],NOTA[[#This Row],[ID_H]]))</f>
        <v/>
      </c>
      <c r="AJ552" s="38">
        <f ca="1">IF(NOTA[[#This Row],[TGL.NOTA]]="",IF(NOTA[[#This Row],[SUPPLIER_H]]="","",AJ551),MONTH(NOTA[[#This Row],[TGL.NOTA]]))</f>
        <v>1</v>
      </c>
      <c r="AK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552" s="193">
        <f>IF(NOTA[[#This Row],[CONCAT1]]="","",MATCH(NOTA[[#This Row],[CONCAT1]],[2]!db[NB NOTA_C],0)+1)</f>
        <v>2072</v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93" t="str">
        <f>IF(NOTA[[#This Row],[CONCAT1]]="","",MATCH(NOTA[[#This Row],[CONCAT1]],[2]!db[NB NOTA_C],0)+1)</f>
        <v/>
      </c>
    </row>
    <row r="554" spans="1:39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e">
        <f ca="1">IF(NOTA[[#This Row],[ID_P]]="","",MATCH(NOTA[[#This Row],[ID_P]],[1]!B_MSK[N_ID],0))</f>
        <v>#REF!</v>
      </c>
      <c r="D554" s="50">
        <f ca="1">IF(NOTA[[#This Row],[NAMA BARANG]]="","",INDEX(NOTA[ID],MATCH(,INDIRECT(ADDRESS(ROW(NOTA[ID]),COLUMN(NOTA[ID]))&amp;":"&amp;ADDRESS(ROW(),COLUMN(NOTA[ID]))),-1)))</f>
        <v>104</v>
      </c>
      <c r="E554" s="23"/>
      <c r="F554" s="26" t="s">
        <v>285</v>
      </c>
      <c r="G554" s="26" t="s">
        <v>87</v>
      </c>
      <c r="H554" s="31" t="s">
        <v>726</v>
      </c>
      <c r="I554" s="26"/>
      <c r="J554" s="51">
        <v>44945</v>
      </c>
      <c r="K554" s="26"/>
      <c r="L554" s="26" t="s">
        <v>727</v>
      </c>
      <c r="M554" s="39"/>
      <c r="N554" s="26">
        <v>60</v>
      </c>
      <c r="O554" s="26" t="s">
        <v>104</v>
      </c>
      <c r="P554" s="49">
        <v>1450</v>
      </c>
      <c r="Q554" s="52"/>
      <c r="R554" s="39"/>
      <c r="S554" s="53"/>
      <c r="T554" s="53"/>
      <c r="U554" s="54"/>
      <c r="V554" s="37"/>
      <c r="W554" s="54">
        <f>IF(NOTA[[#This Row],[HARGA/ CTN]]="",NOTA[[#This Row],[JUMLAH_H]],NOTA[[#This Row],[HARGA/ CTN]]*IF(NOTA[[#This Row],[C]]="",0,NOTA[[#This Row],[C]]))</f>
        <v>87000</v>
      </c>
      <c r="X554" s="54">
        <f>IF(NOTA[[#This Row],[JUMLAH]]="","",NOTA[[#This Row],[JUMLAH]]*NOTA[[#This Row],[DISC 1]])</f>
        <v>0</v>
      </c>
      <c r="Y554" s="54">
        <f>IF(NOTA[[#This Row],[JUMLAH]]="","",(NOTA[[#This Row],[JUMLAH]]-NOTA[[#This Row],[DISC 1-]])*NOTA[[#This Row],[DISC 2]])</f>
        <v>0</v>
      </c>
      <c r="Z554" s="54">
        <f>IF(NOTA[[#This Row],[JUMLAH]]="","",NOTA[[#This Row],[DISC 1-]]+NOTA[[#This Row],[DISC 2-]])</f>
        <v>0</v>
      </c>
      <c r="AA554" s="54">
        <f>IF(NOTA[[#This Row],[JUMLAH]]="","",NOTA[[#This Row],[JUMLAH]]-NOTA[[#This Row],[DISC]])</f>
        <v>87000</v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554" s="54">
        <f>IF(OR(NOTA[[#This Row],[QTY]]="",NOTA[[#This Row],[HARGA SATUAN]]="",),"",NOTA[[#This Row],[QTY]]*NOTA[[#This Row],[HARGA SATUAN]])</f>
        <v>87000</v>
      </c>
      <c r="AF554" s="51">
        <f ca="1">IF(NOTA[ID_H]="","",INDEX(NOTA[TANGGAL],MATCH(,INDIRECT(ADDRESS(ROW(NOTA[TANGGAL]),COLUMN(NOTA[TANGGAL]))&amp;":"&amp;ADDRESS(ROW(),COLUMN(NOTA[TANGGAL]))),-1)))</f>
        <v>44945</v>
      </c>
      <c r="AG554" s="49" t="str">
        <f ca="1">IF(NOTA[[#This Row],[NAMA BARANG]]="","",INDEX(NOTA[SUPPLIER],MATCH(,INDIRECT(ADDRESS(ROW(NOTA[ID]),COLUMN(NOTA[ID]))&amp;":"&amp;ADDRESS(ROW(),COLUMN(NOTA[ID]))),-1)))</f>
        <v>HANSA</v>
      </c>
      <c r="AH554" s="49" t="str">
        <f ca="1">IF(NOTA[[#This Row],[ID_H]]="","",IF(NOTA[[#This Row],[FAKTUR]]="",INDIRECT(ADDRESS(ROW()-1,COLUMN())),NOTA[[#This Row],[FAKTUR]]))</f>
        <v>UNTANA</v>
      </c>
      <c r="AI554" s="38">
        <f ca="1">IF(NOTA[[#This Row],[ID]]="","",COUNTIF(NOTA[ID_H],NOTA[[#This Row],[ID_H]]))</f>
        <v>6</v>
      </c>
      <c r="AJ554" s="38">
        <f>IF(NOTA[[#This Row],[TGL.NOTA]]="",IF(NOTA[[#This Row],[SUPPLIER_H]]="","",AJ553),MONTH(NOTA[[#This Row],[TGL.NOTA]]))</f>
        <v>1</v>
      </c>
      <c r="AK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>malamshintoengk612w1450</v>
      </c>
      <c r="AM554" s="193">
        <f>IF(NOTA[[#This Row],[CONCAT1]]="","",MATCH(NOTA[[#This Row],[CONCAT1]],[2]!db[NB NOTA_C],0)+1)</f>
        <v>1420</v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>
        <f ca="1">IF(NOTA[[#This Row],[NAMA BARANG]]="","",INDEX(NOTA[ID],MATCH(,INDIRECT(ADDRESS(ROW(NOTA[ID]),COLUMN(NOTA[ID]))&amp;":"&amp;ADDRESS(ROW(),COLUMN(NOTA[ID]))),-1)))</f>
        <v>104</v>
      </c>
      <c r="E555" s="23"/>
      <c r="F555" s="26"/>
      <c r="G555" s="26"/>
      <c r="H555" s="31"/>
      <c r="I555" s="26"/>
      <c r="J555" s="51"/>
      <c r="K555" s="26"/>
      <c r="L555" s="49" t="s">
        <v>728</v>
      </c>
      <c r="M555" s="39"/>
      <c r="N555" s="26">
        <v>60</v>
      </c>
      <c r="O555" s="26" t="s">
        <v>104</v>
      </c>
      <c r="P555" s="49">
        <v>1450</v>
      </c>
      <c r="Q555" s="52"/>
      <c r="R555" s="39"/>
      <c r="S555" s="53"/>
      <c r="T555" s="53"/>
      <c r="U555" s="54"/>
      <c r="V555" s="37"/>
      <c r="W555" s="54">
        <f>IF(NOTA[[#This Row],[HARGA/ CTN]]="",NOTA[[#This Row],[JUMLAH_H]],NOTA[[#This Row],[HARGA/ CTN]]*IF(NOTA[[#This Row],[C]]="",0,NOTA[[#This Row],[C]]))</f>
        <v>87000</v>
      </c>
      <c r="X555" s="54">
        <f>IF(NOTA[[#This Row],[JUMLAH]]="","",NOTA[[#This Row],[JUMLAH]]*NOTA[[#This Row],[DISC 1]])</f>
        <v>0</v>
      </c>
      <c r="Y555" s="54">
        <f>IF(NOTA[[#This Row],[JUMLAH]]="","",(NOTA[[#This Row],[JUMLAH]]-NOTA[[#This Row],[DISC 1-]])*NOTA[[#This Row],[DISC 2]])</f>
        <v>0</v>
      </c>
      <c r="Z555" s="54">
        <f>IF(NOTA[[#This Row],[JUMLAH]]="","",NOTA[[#This Row],[DISC 1-]]+NOTA[[#This Row],[DISC 2-]])</f>
        <v>0</v>
      </c>
      <c r="AA555" s="54">
        <f>IF(NOTA[[#This Row],[JUMLAH]]="","",NOTA[[#This Row],[JUMLAH]]-NOTA[[#This Row],[DISC]])</f>
        <v>87000</v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555" s="54">
        <f>IF(OR(NOTA[[#This Row],[QTY]]="",NOTA[[#This Row],[HARGA SATUAN]]="",),"",NOTA[[#This Row],[QTY]]*NOTA[[#This Row],[HARGA SATUAN]])</f>
        <v>87000</v>
      </c>
      <c r="AF555" s="51">
        <f ca="1">IF(NOTA[ID_H]="","",INDEX(NOTA[TANGGAL],MATCH(,INDIRECT(ADDRESS(ROW(NOTA[TANGGAL]),COLUMN(NOTA[TANGGAL]))&amp;":"&amp;ADDRESS(ROW(),COLUMN(NOTA[TANGGAL]))),-1)))</f>
        <v>44945</v>
      </c>
      <c r="AG555" s="49" t="str">
        <f ca="1">IF(NOTA[[#This Row],[NAMA BARANG]]="","",INDEX(NOTA[SUPPLIER],MATCH(,INDIRECT(ADDRESS(ROW(NOTA[ID]),COLUMN(NOTA[ID]))&amp;":"&amp;ADDRESS(ROW(),COLUMN(NOTA[ID]))),-1)))</f>
        <v>HANSA</v>
      </c>
      <c r="AH555" s="49" t="str">
        <f ca="1">IF(NOTA[[#This Row],[ID_H]]="","",IF(NOTA[[#This Row],[FAKTUR]]="",INDIRECT(ADDRESS(ROW()-1,COLUMN())),NOTA[[#This Row],[FAKTUR]]))</f>
        <v>UNTANA</v>
      </c>
      <c r="AI555" s="38" t="str">
        <f ca="1">IF(NOTA[[#This Row],[ID]]="","",COUNTIF(NOTA[ID_H],NOTA[[#This Row],[ID_H]]))</f>
        <v/>
      </c>
      <c r="AJ555" s="38">
        <f ca="1">IF(NOTA[[#This Row],[TGL.NOTA]]="",IF(NOTA[[#This Row],[SUPPLIER_H]]="","",AJ554),MONTH(NOTA[[#This Row],[TGL.NOTA]]))</f>
        <v>1</v>
      </c>
      <c r="AK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>malamshintoengk1wpolos1450</v>
      </c>
      <c r="AM555" s="193">
        <f>IF(NOTA[[#This Row],[CONCAT1]]="","",MATCH(NOTA[[#This Row],[CONCAT1]],[2]!db[NB NOTA_C],0)+1)</f>
        <v>1419</v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>
        <f ca="1">IF(NOTA[[#This Row],[NAMA BARANG]]="","",INDEX(NOTA[ID],MATCH(,INDIRECT(ADDRESS(ROW(NOTA[ID]),COLUMN(NOTA[ID]))&amp;":"&amp;ADDRESS(ROW(),COLUMN(NOTA[ID]))),-1)))</f>
        <v>104</v>
      </c>
      <c r="E556" s="23"/>
      <c r="F556" s="26"/>
      <c r="G556" s="26"/>
      <c r="H556" s="31"/>
      <c r="I556" s="26"/>
      <c r="J556" s="51"/>
      <c r="K556" s="26"/>
      <c r="L556" s="26" t="s">
        <v>729</v>
      </c>
      <c r="M556" s="39"/>
      <c r="N556" s="26">
        <v>60</v>
      </c>
      <c r="O556" s="26" t="s">
        <v>104</v>
      </c>
      <c r="P556" s="49">
        <v>3900</v>
      </c>
      <c r="Q556" s="52"/>
      <c r="R556" s="39"/>
      <c r="S556" s="53"/>
      <c r="T556" s="53"/>
      <c r="U556" s="54"/>
      <c r="V556" s="37"/>
      <c r="W556" s="54">
        <f>IF(NOTA[[#This Row],[HARGA/ CTN]]="",NOTA[[#This Row],[JUMLAH_H]],NOTA[[#This Row],[HARGA/ CTN]]*IF(NOTA[[#This Row],[C]]="",0,NOTA[[#This Row],[C]]))</f>
        <v>234000</v>
      </c>
      <c r="X556" s="54">
        <f>IF(NOTA[[#This Row],[JUMLAH]]="","",NOTA[[#This Row],[JUMLAH]]*NOTA[[#This Row],[DISC 1]])</f>
        <v>0</v>
      </c>
      <c r="Y556" s="54">
        <f>IF(NOTA[[#This Row],[JUMLAH]]="","",(NOTA[[#This Row],[JUMLAH]]-NOTA[[#This Row],[DISC 1-]])*NOTA[[#This Row],[DISC 2]])</f>
        <v>0</v>
      </c>
      <c r="Z556" s="54">
        <f>IF(NOTA[[#This Row],[JUMLAH]]="","",NOTA[[#This Row],[DISC 1-]]+NOTA[[#This Row],[DISC 2-]])</f>
        <v>0</v>
      </c>
      <c r="AA556" s="54">
        <f>IF(NOTA[[#This Row],[JUMLAH]]="","",NOTA[[#This Row],[JUMLAH]]-NOTA[[#This Row],[DISC]])</f>
        <v>234000</v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E556" s="54">
        <f>IF(OR(NOTA[[#This Row],[QTY]]="",NOTA[[#This Row],[HARGA SATUAN]]="",),"",NOTA[[#This Row],[QTY]]*NOTA[[#This Row],[HARGA SATUAN]])</f>
        <v>234000</v>
      </c>
      <c r="AF556" s="51">
        <f ca="1">IF(NOTA[ID_H]="","",INDEX(NOTA[TANGGAL],MATCH(,INDIRECT(ADDRESS(ROW(NOTA[TANGGAL]),COLUMN(NOTA[TANGGAL]))&amp;":"&amp;ADDRESS(ROW(),COLUMN(NOTA[TANGGAL]))),-1)))</f>
        <v>44945</v>
      </c>
      <c r="AG556" s="49" t="str">
        <f ca="1">IF(NOTA[[#This Row],[NAMA BARANG]]="","",INDEX(NOTA[SUPPLIER],MATCH(,INDIRECT(ADDRESS(ROW(NOTA[ID]),COLUMN(NOTA[ID]))&amp;":"&amp;ADDRESS(ROW(),COLUMN(NOTA[ID]))),-1)))</f>
        <v>HANSA</v>
      </c>
      <c r="AH556" s="49" t="str">
        <f ca="1">IF(NOTA[[#This Row],[ID_H]]="","",IF(NOTA[[#This Row],[FAKTUR]]="",INDIRECT(ADDRESS(ROW()-1,COLUMN())),NOTA[[#This Row],[FAKTUR]]))</f>
        <v>UNTANA</v>
      </c>
      <c r="AI556" s="38" t="str">
        <f ca="1">IF(NOTA[[#This Row],[ID]]="","",COUNTIF(NOTA[ID_H],NOTA[[#This Row],[ID_H]]))</f>
        <v/>
      </c>
      <c r="AJ556" s="38">
        <f ca="1">IF(NOTA[[#This Row],[TGL.NOTA]]="",IF(NOTA[[#This Row],[SUPPLIER_H]]="","",AJ555),MONTH(NOTA[[#This Row],[TGL.NOTA]]))</f>
        <v>1</v>
      </c>
      <c r="AK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>malamshintoengtg1wpolos3900</v>
      </c>
      <c r="AM556" s="193">
        <f>IF(NOTA[[#This Row],[CONCAT1]]="","",MATCH(NOTA[[#This Row],[CONCAT1]],[2]!db[NB NOTA_C],0)+1)</f>
        <v>1422</v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>
        <f ca="1">IF(NOTA[[#This Row],[NAMA BARANG]]="","",INDEX(NOTA[ID],MATCH(,INDIRECT(ADDRESS(ROW(NOTA[ID]),COLUMN(NOTA[ID]))&amp;":"&amp;ADDRESS(ROW(),COLUMN(NOTA[ID]))),-1)))</f>
        <v>104</v>
      </c>
      <c r="E557" s="23"/>
      <c r="F557" s="26"/>
      <c r="G557" s="26"/>
      <c r="H557" s="31"/>
      <c r="I557" s="26"/>
      <c r="J557" s="51"/>
      <c r="K557" s="26"/>
      <c r="L557" s="26" t="s">
        <v>730</v>
      </c>
      <c r="M557" s="39"/>
      <c r="N557" s="26">
        <v>60</v>
      </c>
      <c r="O557" s="26" t="s">
        <v>104</v>
      </c>
      <c r="P557" s="49">
        <v>4100</v>
      </c>
      <c r="Q557" s="52"/>
      <c r="R557" s="39"/>
      <c r="S557" s="53"/>
      <c r="T557" s="53"/>
      <c r="U557" s="54"/>
      <c r="V557" s="37"/>
      <c r="W557" s="54">
        <f>IF(NOTA[[#This Row],[HARGA/ CTN]]="",NOTA[[#This Row],[JUMLAH_H]],NOTA[[#This Row],[HARGA/ CTN]]*IF(NOTA[[#This Row],[C]]="",0,NOTA[[#This Row],[C]]))</f>
        <v>246000</v>
      </c>
      <c r="X557" s="54">
        <f>IF(NOTA[[#This Row],[JUMLAH]]="","",NOTA[[#This Row],[JUMLAH]]*NOTA[[#This Row],[DISC 1]])</f>
        <v>0</v>
      </c>
      <c r="Y557" s="54">
        <f>IF(NOTA[[#This Row],[JUMLAH]]="","",(NOTA[[#This Row],[JUMLAH]]-NOTA[[#This Row],[DISC 1-]])*NOTA[[#This Row],[DISC 2]])</f>
        <v>0</v>
      </c>
      <c r="Z557" s="54">
        <f>IF(NOTA[[#This Row],[JUMLAH]]="","",NOTA[[#This Row],[DISC 1-]]+NOTA[[#This Row],[DISC 2-]])</f>
        <v>0</v>
      </c>
      <c r="AA557" s="54">
        <f>IF(NOTA[[#This Row],[JUMLAH]]="","",NOTA[[#This Row],[JUMLAH]]-NOTA[[#This Row],[DISC]])</f>
        <v>246000</v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E557" s="54">
        <f>IF(OR(NOTA[[#This Row],[QTY]]="",NOTA[[#This Row],[HARGA SATUAN]]="",),"",NOTA[[#This Row],[QTY]]*NOTA[[#This Row],[HARGA SATUAN]])</f>
        <v>246000</v>
      </c>
      <c r="AF557" s="51">
        <f ca="1">IF(NOTA[ID_H]="","",INDEX(NOTA[TANGGAL],MATCH(,INDIRECT(ADDRESS(ROW(NOTA[TANGGAL]),COLUMN(NOTA[TANGGAL]))&amp;":"&amp;ADDRESS(ROW(),COLUMN(NOTA[TANGGAL]))),-1)))</f>
        <v>44945</v>
      </c>
      <c r="AG557" s="49" t="str">
        <f ca="1">IF(NOTA[[#This Row],[NAMA BARANG]]="","",INDEX(NOTA[SUPPLIER],MATCH(,INDIRECT(ADDRESS(ROW(NOTA[ID]),COLUMN(NOTA[ID]))&amp;":"&amp;ADDRESS(ROW(),COLUMN(NOTA[ID]))),-1)))</f>
        <v>HANSA</v>
      </c>
      <c r="AH557" s="49" t="str">
        <f ca="1">IF(NOTA[[#This Row],[ID_H]]="","",IF(NOTA[[#This Row],[FAKTUR]]="",INDIRECT(ADDRESS(ROW()-1,COLUMN())),NOTA[[#This Row],[FAKTUR]]))</f>
        <v>UNTANA</v>
      </c>
      <c r="AI557" s="38" t="str">
        <f ca="1">IF(NOTA[[#This Row],[ID]]="","",COUNTIF(NOTA[ID_H],NOTA[[#This Row],[ID_H]]))</f>
        <v/>
      </c>
      <c r="AJ557" s="38">
        <f ca="1">IF(NOTA[[#This Row],[TGL.NOTA]]="",IF(NOTA[[#This Row],[SUPPLIER_H]]="","",AJ556),MONTH(NOTA[[#This Row],[TGL.NOTA]]))</f>
        <v>1</v>
      </c>
      <c r="AK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>malamshintoengtg612w4100</v>
      </c>
      <c r="AM557" s="193">
        <f>IF(NOTA[[#This Row],[CONCAT1]]="","",MATCH(NOTA[[#This Row],[CONCAT1]],[2]!db[NB NOTA_C],0)+1)</f>
        <v>1424</v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>
        <f ca="1">IF(NOTA[[#This Row],[NAMA BARANG]]="","",INDEX(NOTA[ID],MATCH(,INDIRECT(ADDRESS(ROW(NOTA[ID]),COLUMN(NOTA[ID]))&amp;":"&amp;ADDRESS(ROW(),COLUMN(NOTA[ID]))),-1)))</f>
        <v>104</v>
      </c>
      <c r="E558" s="23"/>
      <c r="F558" s="26"/>
      <c r="G558" s="26"/>
      <c r="H558" s="31"/>
      <c r="I558" s="26"/>
      <c r="J558" s="51"/>
      <c r="K558" s="26"/>
      <c r="L558" s="26" t="s">
        <v>731</v>
      </c>
      <c r="M558" s="39"/>
      <c r="N558" s="26">
        <v>60</v>
      </c>
      <c r="O558" s="26" t="s">
        <v>104</v>
      </c>
      <c r="P558" s="49">
        <v>5200</v>
      </c>
      <c r="Q558" s="52"/>
      <c r="R558" s="39"/>
      <c r="S558" s="53"/>
      <c r="T558" s="53"/>
      <c r="U558" s="54"/>
      <c r="V558" s="37"/>
      <c r="W558" s="54">
        <f>IF(NOTA[[#This Row],[HARGA/ CTN]]="",NOTA[[#This Row],[JUMLAH_H]],NOTA[[#This Row],[HARGA/ CTN]]*IF(NOTA[[#This Row],[C]]="",0,NOTA[[#This Row],[C]]))</f>
        <v>312000</v>
      </c>
      <c r="X558" s="54">
        <f>IF(NOTA[[#This Row],[JUMLAH]]="","",NOTA[[#This Row],[JUMLAH]]*NOTA[[#This Row],[DISC 1]])</f>
        <v>0</v>
      </c>
      <c r="Y558" s="54">
        <f>IF(NOTA[[#This Row],[JUMLAH]]="","",(NOTA[[#This Row],[JUMLAH]]-NOTA[[#This Row],[DISC 1-]])*NOTA[[#This Row],[DISC 2]])</f>
        <v>0</v>
      </c>
      <c r="Z558" s="54">
        <f>IF(NOTA[[#This Row],[JUMLAH]]="","",NOTA[[#This Row],[DISC 1-]]+NOTA[[#This Row],[DISC 2-]])</f>
        <v>0</v>
      </c>
      <c r="AA558" s="54">
        <f>IF(NOTA[[#This Row],[JUMLAH]]="","",NOTA[[#This Row],[JUMLAH]]-NOTA[[#This Row],[DISC]])</f>
        <v>312000</v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558" s="54">
        <f>IF(OR(NOTA[[#This Row],[QTY]]="",NOTA[[#This Row],[HARGA SATUAN]]="",),"",NOTA[[#This Row],[QTY]]*NOTA[[#This Row],[HARGA SATUAN]])</f>
        <v>312000</v>
      </c>
      <c r="AF558" s="51">
        <f ca="1">IF(NOTA[ID_H]="","",INDEX(NOTA[TANGGAL],MATCH(,INDIRECT(ADDRESS(ROW(NOTA[TANGGAL]),COLUMN(NOTA[TANGGAL]))&amp;":"&amp;ADDRESS(ROW(),COLUMN(NOTA[TANGGAL]))),-1)))</f>
        <v>44945</v>
      </c>
      <c r="AG558" s="49" t="str">
        <f ca="1">IF(NOTA[[#This Row],[NAMA BARANG]]="","",INDEX(NOTA[SUPPLIER],MATCH(,INDIRECT(ADDRESS(ROW(NOTA[ID]),COLUMN(NOTA[ID]))&amp;":"&amp;ADDRESS(ROW(),COLUMN(NOTA[ID]))),-1)))</f>
        <v>HANSA</v>
      </c>
      <c r="AH558" s="49" t="str">
        <f ca="1">IF(NOTA[[#This Row],[ID_H]]="","",IF(NOTA[[#This Row],[FAKTUR]]="",INDIRECT(ADDRESS(ROW()-1,COLUMN())),NOTA[[#This Row],[FAKTUR]]))</f>
        <v>UNTANA</v>
      </c>
      <c r="AI558" s="38" t="str">
        <f ca="1">IF(NOTA[[#This Row],[ID]]="","",COUNTIF(NOTA[ID_H],NOTA[[#This Row],[ID_H]]))</f>
        <v/>
      </c>
      <c r="AJ558" s="38">
        <f ca="1">IF(NOTA[[#This Row],[TGL.NOTA]]="",IF(NOTA[[#This Row],[SUPPLIER_H]]="","",AJ557),MONTH(NOTA[[#This Row],[TGL.NOTA]]))</f>
        <v>1</v>
      </c>
      <c r="AK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>malamshintoengb1wpolos5200</v>
      </c>
      <c r="AM558" s="193">
        <f>IF(NOTA[[#This Row],[CONCAT1]]="","",MATCH(NOTA[[#This Row],[CONCAT1]],[2]!db[NB NOTA_C],0)+1)</f>
        <v>1417</v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>
        <f ca="1">IF(NOTA[[#This Row],[NAMA BARANG]]="","",INDEX(NOTA[ID],MATCH(,INDIRECT(ADDRESS(ROW(NOTA[ID]),COLUMN(NOTA[ID]))&amp;":"&amp;ADDRESS(ROW(),COLUMN(NOTA[ID]))),-1)))</f>
        <v>104</v>
      </c>
      <c r="E559" s="23"/>
      <c r="F559" s="26"/>
      <c r="G559" s="26"/>
      <c r="H559" s="31"/>
      <c r="I559" s="26"/>
      <c r="J559" s="51"/>
      <c r="K559" s="26"/>
      <c r="L559" s="26" t="s">
        <v>732</v>
      </c>
      <c r="M559" s="39"/>
      <c r="N559" s="26">
        <v>60</v>
      </c>
      <c r="O559" s="26" t="s">
        <v>104</v>
      </c>
      <c r="P559" s="49">
        <v>5500</v>
      </c>
      <c r="Q559" s="52"/>
      <c r="R559" s="39"/>
      <c r="S559" s="53"/>
      <c r="T559" s="53"/>
      <c r="U559" s="54"/>
      <c r="V559" s="37"/>
      <c r="W559" s="54">
        <f>IF(NOTA[[#This Row],[HARGA/ CTN]]="",NOTA[[#This Row],[JUMLAH_H]],NOTA[[#This Row],[HARGA/ CTN]]*IF(NOTA[[#This Row],[C]]="",0,NOTA[[#This Row],[C]]))</f>
        <v>330000</v>
      </c>
      <c r="X559" s="54">
        <f>IF(NOTA[[#This Row],[JUMLAH]]="","",NOTA[[#This Row],[JUMLAH]]*NOTA[[#This Row],[DISC 1]])</f>
        <v>0</v>
      </c>
      <c r="Y559" s="54">
        <f>IF(NOTA[[#This Row],[JUMLAH]]="","",(NOTA[[#This Row],[JUMLAH]]-NOTA[[#This Row],[DISC 1-]])*NOTA[[#This Row],[DISC 2]])</f>
        <v>0</v>
      </c>
      <c r="Z559" s="54">
        <f>IF(NOTA[[#This Row],[JUMLAH]]="","",NOTA[[#This Row],[DISC 1-]]+NOTA[[#This Row],[DISC 2-]])</f>
        <v>0</v>
      </c>
      <c r="AA559" s="54">
        <f>IF(NOTA[[#This Row],[JUMLAH]]="","",NOTA[[#This Row],[JUMLAH]]-NOTA[[#This Row],[DISC]])</f>
        <v>330000</v>
      </c>
      <c r="AB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D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E559" s="54">
        <f>IF(OR(NOTA[[#This Row],[QTY]]="",NOTA[[#This Row],[HARGA SATUAN]]="",),"",NOTA[[#This Row],[QTY]]*NOTA[[#This Row],[HARGA SATUAN]])</f>
        <v>330000</v>
      </c>
      <c r="AF559" s="51">
        <f ca="1">IF(NOTA[ID_H]="","",INDEX(NOTA[TANGGAL],MATCH(,INDIRECT(ADDRESS(ROW(NOTA[TANGGAL]),COLUMN(NOTA[TANGGAL]))&amp;":"&amp;ADDRESS(ROW(),COLUMN(NOTA[TANGGAL]))),-1)))</f>
        <v>44945</v>
      </c>
      <c r="AG559" s="49" t="str">
        <f ca="1">IF(NOTA[[#This Row],[NAMA BARANG]]="","",INDEX(NOTA[SUPPLIER],MATCH(,INDIRECT(ADDRESS(ROW(NOTA[ID]),COLUMN(NOTA[ID]))&amp;":"&amp;ADDRESS(ROW(),COLUMN(NOTA[ID]))),-1)))</f>
        <v>HANSA</v>
      </c>
      <c r="AH559" s="49" t="str">
        <f ca="1">IF(NOTA[[#This Row],[ID_H]]="","",IF(NOTA[[#This Row],[FAKTUR]]="",INDIRECT(ADDRESS(ROW()-1,COLUMN())),NOTA[[#This Row],[FAKTUR]]))</f>
        <v>UNTANA</v>
      </c>
      <c r="AI559" s="38" t="str">
        <f ca="1">IF(NOTA[[#This Row],[ID]]="","",COUNTIF(NOTA[ID_H],NOTA[[#This Row],[ID_H]]))</f>
        <v/>
      </c>
      <c r="AJ559" s="38">
        <f ca="1">IF(NOTA[[#This Row],[TGL.NOTA]]="",IF(NOTA[[#This Row],[SUPPLIER_H]]="","",AJ558),MONTH(NOTA[[#This Row],[TGL.NOTA]]))</f>
        <v>1</v>
      </c>
      <c r="AK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>malamshintoengb612w5500</v>
      </c>
      <c r="AM559" s="193">
        <f>IF(NOTA[[#This Row],[CONCAT1]]="","",MATCH(NOTA[[#This Row],[CONCAT1]],[2]!db[NB NOTA_C],0)+1)</f>
        <v>1418</v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93" t="str">
        <f>IF(NOTA[[#This Row],[CONCAT1]]="","",MATCH(NOTA[[#This Row],[CONCAT1]],[2]!db[NB NOTA_C],0)+1)</f>
        <v/>
      </c>
    </row>
    <row r="561" spans="1:39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e">
        <f ca="1">IF(NOTA[[#This Row],[ID_P]]="","",MATCH(NOTA[[#This Row],[ID_P]],[1]!B_MSK[N_ID],0))</f>
        <v>#REF!</v>
      </c>
      <c r="D561" s="50">
        <f ca="1">IF(NOTA[[#This Row],[NAMA BARANG]]="","",INDEX(NOTA[ID],MATCH(,INDIRECT(ADDRESS(ROW(NOTA[ID]),COLUMN(NOTA[ID]))&amp;":"&amp;ADDRESS(ROW(),COLUMN(NOTA[ID]))),-1)))</f>
        <v>105</v>
      </c>
      <c r="E561" s="23">
        <v>44946</v>
      </c>
      <c r="F561" s="26" t="s">
        <v>28</v>
      </c>
      <c r="G561" s="26" t="s">
        <v>24</v>
      </c>
      <c r="H561" s="31" t="s">
        <v>736</v>
      </c>
      <c r="I561" s="26">
        <v>201126</v>
      </c>
      <c r="J561" s="51">
        <v>44945</v>
      </c>
      <c r="K561" s="26"/>
      <c r="L561" s="26" t="s">
        <v>756</v>
      </c>
      <c r="M561" s="39">
        <v>30</v>
      </c>
      <c r="N561" s="26">
        <v>3000</v>
      </c>
      <c r="O561" s="26" t="s">
        <v>95</v>
      </c>
      <c r="P561" s="49">
        <v>14000</v>
      </c>
      <c r="Q561" s="52"/>
      <c r="R561" s="39" t="s">
        <v>122</v>
      </c>
      <c r="S561" s="53">
        <v>0.1</v>
      </c>
      <c r="T561" s="53"/>
      <c r="U561" s="54"/>
      <c r="V561" s="37"/>
      <c r="W561" s="54">
        <f>IF(NOTA[[#This Row],[HARGA/ CTN]]="",NOTA[[#This Row],[JUMLAH_H]],NOTA[[#This Row],[HARGA/ CTN]]*IF(NOTA[[#This Row],[C]]="",0,NOTA[[#This Row],[C]]))</f>
        <v>42000000</v>
      </c>
      <c r="X561" s="54">
        <f>IF(NOTA[[#This Row],[JUMLAH]]="","",NOTA[[#This Row],[JUMLAH]]*NOTA[[#This Row],[DISC 1]])</f>
        <v>4200000</v>
      </c>
      <c r="Y561" s="54">
        <f>IF(NOTA[[#This Row],[JUMLAH]]="","",(NOTA[[#This Row],[JUMLAH]]-NOTA[[#This Row],[DISC 1-]])*NOTA[[#This Row],[DISC 2]])</f>
        <v>0</v>
      </c>
      <c r="Z561" s="54">
        <f>IF(NOTA[[#This Row],[JUMLAH]]="","",NOTA[[#This Row],[DISC 1-]]+NOTA[[#This Row],[DISC 2-]])</f>
        <v>4200000</v>
      </c>
      <c r="AA561" s="54">
        <f>IF(NOTA[[#This Row],[JUMLAH]]="","",NOTA[[#This Row],[JUMLAH]]-NOTA[[#This Row],[DISC]])</f>
        <v>37800000</v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561" s="54">
        <f>IF(OR(NOTA[[#This Row],[QTY]]="",NOTA[[#This Row],[HARGA SATUAN]]="",),"",NOTA[[#This Row],[QTY]]*NOTA[[#This Row],[HARGA SATUAN]])</f>
        <v>42000000</v>
      </c>
      <c r="AF561" s="51">
        <f ca="1">IF(NOTA[ID_H]="","",INDEX(NOTA[TANGGAL],MATCH(,INDIRECT(ADDRESS(ROW(NOTA[TANGGAL]),COLUMN(NOTA[TANGGAL]))&amp;":"&amp;ADDRESS(ROW(),COLUMN(NOTA[TANGGAL]))),-1)))</f>
        <v>44946</v>
      </c>
      <c r="AG561" s="49" t="str">
        <f ca="1">IF(NOTA[[#This Row],[NAMA BARANG]]="","",INDEX(NOTA[SUPPLIER],MATCH(,INDIRECT(ADDRESS(ROW(NOTA[ID]),COLUMN(NOTA[ID]))&amp;":"&amp;ADDRESS(ROW(),COLUMN(NOTA[ID]))),-1)))</f>
        <v>LAYS</v>
      </c>
      <c r="AH561" s="49" t="str">
        <f ca="1">IF(NOTA[[#This Row],[ID_H]]="","",IF(NOTA[[#This Row],[FAKTUR]]="",INDIRECT(ADDRESS(ROW()-1,COLUMN())),NOTA[[#This Row],[FAKTUR]]))</f>
        <v>ARTO MORO</v>
      </c>
      <c r="AI561" s="38">
        <f ca="1">IF(NOTA[[#This Row],[ID]]="","",COUNTIF(NOTA[ID_H],NOTA[[#This Row],[ID_H]]))</f>
        <v>2</v>
      </c>
      <c r="AJ561" s="38">
        <f>IF(NOTA[[#This Row],[TGL.NOTA]]="",IF(NOTA[[#This Row],[SUPPLIER_H]]="","",AJ560),MONTH(NOTA[[#This Row],[TGL.NOTA]]))</f>
        <v>1</v>
      </c>
      <c r="AK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>isigwno1014000000.1</v>
      </c>
      <c r="AM561" s="193">
        <f>IF(NOTA[[#This Row],[CONCAT1]]="","",MATCH(NOTA[[#This Row],[CONCAT1]],[2]!db[NB NOTA_C],0)+1)</f>
        <v>984</v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>
        <f ca="1">IF(NOTA[[#This Row],[NAMA BARANG]]="","",INDEX(NOTA[ID],MATCH(,INDIRECT(ADDRESS(ROW(NOTA[ID]),COLUMN(NOTA[ID]))&amp;":"&amp;ADDRESS(ROW(),COLUMN(NOTA[ID]))),-1)))</f>
        <v>105</v>
      </c>
      <c r="E562" s="23"/>
      <c r="F562" s="26"/>
      <c r="G562" s="26"/>
      <c r="H562" s="31"/>
      <c r="I562" s="26"/>
      <c r="J562" s="51"/>
      <c r="K562" s="26"/>
      <c r="L562" s="26" t="s">
        <v>757</v>
      </c>
      <c r="M562" s="39">
        <v>5</v>
      </c>
      <c r="N562" s="26">
        <v>250</v>
      </c>
      <c r="O562" s="26" t="s">
        <v>95</v>
      </c>
      <c r="P562" s="49">
        <v>24000</v>
      </c>
      <c r="Q562" s="52"/>
      <c r="R562" s="39" t="s">
        <v>737</v>
      </c>
      <c r="S562" s="53"/>
      <c r="T562" s="53"/>
      <c r="U562" s="54"/>
      <c r="V562" s="37"/>
      <c r="W562" s="54">
        <f>IF(NOTA[[#This Row],[HARGA/ CTN]]="",NOTA[[#This Row],[JUMLAH_H]],NOTA[[#This Row],[HARGA/ CTN]]*IF(NOTA[[#This Row],[C]]="",0,NOTA[[#This Row],[C]]))</f>
        <v>6000000</v>
      </c>
      <c r="X562" s="54">
        <f>IF(NOTA[[#This Row],[JUMLAH]]="","",NOTA[[#This Row],[JUMLAH]]*NOTA[[#This Row],[DISC 1]])</f>
        <v>0</v>
      </c>
      <c r="Y562" s="54">
        <f>IF(NOTA[[#This Row],[JUMLAH]]="","",(NOTA[[#This Row],[JUMLAH]]-NOTA[[#This Row],[DISC 1-]])*NOTA[[#This Row],[DISC 2]])</f>
        <v>0</v>
      </c>
      <c r="Z562" s="54">
        <f>IF(NOTA[[#This Row],[JUMLAH]]="","",NOTA[[#This Row],[DISC 1-]]+NOTA[[#This Row],[DISC 2-]])</f>
        <v>0</v>
      </c>
      <c r="AA562" s="54">
        <f>IF(NOTA[[#This Row],[JUMLAH]]="","",NOTA[[#This Row],[JUMLAH]]-NOTA[[#This Row],[DISC]])</f>
        <v>6000000</v>
      </c>
      <c r="AB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D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562" s="54">
        <f>IF(OR(NOTA[[#This Row],[QTY]]="",NOTA[[#This Row],[HARGA SATUAN]]="",),"",NOTA[[#This Row],[QTY]]*NOTA[[#This Row],[HARGA SATUAN]])</f>
        <v>6000000</v>
      </c>
      <c r="AF562" s="51">
        <f ca="1">IF(NOTA[ID_H]="","",INDEX(NOTA[TANGGAL],MATCH(,INDIRECT(ADDRESS(ROW(NOTA[TANGGAL]),COLUMN(NOTA[TANGGAL]))&amp;":"&amp;ADDRESS(ROW(),COLUMN(NOTA[TANGGAL]))),-1)))</f>
        <v>44946</v>
      </c>
      <c r="AG562" s="49" t="str">
        <f ca="1">IF(NOTA[[#This Row],[NAMA BARANG]]="","",INDEX(NOTA[SUPPLIER],MATCH(,INDIRECT(ADDRESS(ROW(NOTA[ID]),COLUMN(NOTA[ID]))&amp;":"&amp;ADDRESS(ROW(),COLUMN(NOTA[ID]))),-1)))</f>
        <v>LAYS</v>
      </c>
      <c r="AH562" s="49" t="str">
        <f ca="1">IF(NOTA[[#This Row],[ID_H]]="","",IF(NOTA[[#This Row],[FAKTUR]]="",INDIRECT(ADDRESS(ROW()-1,COLUMN())),NOTA[[#This Row],[FAKTUR]]))</f>
        <v>ARTO MORO</v>
      </c>
      <c r="AI562" s="38" t="str">
        <f ca="1">IF(NOTA[[#This Row],[ID]]="","",COUNTIF(NOTA[ID_H],NOTA[[#This Row],[ID_H]]))</f>
        <v/>
      </c>
      <c r="AJ562" s="38">
        <f ca="1">IF(NOTA[[#This Row],[TGL.NOTA]]="",IF(NOTA[[#This Row],[SUPPLIER_H]]="","",AJ561),MONTH(NOTA[[#This Row],[TGL.NOTA]]))</f>
        <v>1</v>
      </c>
      <c r="AK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>isigwno3691200000</v>
      </c>
      <c r="AM562" s="193">
        <f>IF(NOTA[[#This Row],[CONCAT1]]="","",MATCH(NOTA[[#This Row],[CONCAT1]],[2]!db[NB NOTA_C],0)+1)</f>
        <v>985</v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93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e">
        <f ca="1">IF(NOTA[[#This Row],[ID_P]]="","",MATCH(NOTA[[#This Row],[ID_P]],[1]!B_MSK[N_ID],0))</f>
        <v>#REF!</v>
      </c>
      <c r="D564" s="50">
        <f ca="1">IF(NOTA[[#This Row],[NAMA BARANG]]="","",INDEX(NOTA[ID],MATCH(,INDIRECT(ADDRESS(ROW(NOTA[ID]),COLUMN(NOTA[ID]))&amp;":"&amp;ADDRESS(ROW(),COLUMN(NOTA[ID]))),-1)))</f>
        <v>106</v>
      </c>
      <c r="E564" s="23"/>
      <c r="F564" s="26" t="s">
        <v>25</v>
      </c>
      <c r="G564" s="26" t="s">
        <v>24</v>
      </c>
      <c r="H564" s="31" t="s">
        <v>738</v>
      </c>
      <c r="I564" s="26"/>
      <c r="J564" s="51">
        <v>44943</v>
      </c>
      <c r="K564" s="26"/>
      <c r="L564" s="26" t="s">
        <v>637</v>
      </c>
      <c r="M564" s="39">
        <v>2</v>
      </c>
      <c r="N564" s="26">
        <v>48</v>
      </c>
      <c r="O564" s="26" t="s">
        <v>116</v>
      </c>
      <c r="P564" s="49">
        <v>162000</v>
      </c>
      <c r="Q564" s="52"/>
      <c r="R564" s="39" t="s">
        <v>638</v>
      </c>
      <c r="S564" s="53">
        <v>0.125</v>
      </c>
      <c r="T564" s="53">
        <v>0.05</v>
      </c>
      <c r="U564" s="54"/>
      <c r="V564" s="37"/>
      <c r="W564" s="54">
        <f>IF(NOTA[[#This Row],[HARGA/ CTN]]="",NOTA[[#This Row],[JUMLAH_H]],NOTA[[#This Row],[HARGA/ CTN]]*IF(NOTA[[#This Row],[C]]="",0,NOTA[[#This Row],[C]]))</f>
        <v>7776000</v>
      </c>
      <c r="X564" s="54">
        <f>IF(NOTA[[#This Row],[JUMLAH]]="","",NOTA[[#This Row],[JUMLAH]]*NOTA[[#This Row],[DISC 1]])</f>
        <v>972000</v>
      </c>
      <c r="Y564" s="54">
        <f>IF(NOTA[[#This Row],[JUMLAH]]="","",(NOTA[[#This Row],[JUMLAH]]-NOTA[[#This Row],[DISC 1-]])*NOTA[[#This Row],[DISC 2]])</f>
        <v>340200</v>
      </c>
      <c r="Z564" s="54">
        <f>IF(NOTA[[#This Row],[JUMLAH]]="","",NOTA[[#This Row],[DISC 1-]]+NOTA[[#This Row],[DISC 2-]])</f>
        <v>1312200</v>
      </c>
      <c r="AA564" s="54">
        <f>IF(NOTA[[#This Row],[JUMLAH]]="","",NOTA[[#This Row],[JUMLAH]]-NOTA[[#This Row],[DISC]])</f>
        <v>6463800</v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64" s="54">
        <f>IF(OR(NOTA[[#This Row],[QTY]]="",NOTA[[#This Row],[HARGA SATUAN]]="",),"",NOTA[[#This Row],[QTY]]*NOTA[[#This Row],[HARGA SATUAN]])</f>
        <v>7776000</v>
      </c>
      <c r="AF564" s="51">
        <f ca="1">IF(NOTA[ID_H]="","",INDEX(NOTA[TANGGAL],MATCH(,INDIRECT(ADDRESS(ROW(NOTA[TANGGAL]),COLUMN(NOTA[TANGGAL]))&amp;":"&amp;ADDRESS(ROW(),COLUMN(NOTA[TANGGAL]))),-1)))</f>
        <v>44946</v>
      </c>
      <c r="AG564" s="49" t="str">
        <f ca="1">IF(NOTA[[#This Row],[NAMA BARANG]]="","",INDEX(NOTA[SUPPLIER],MATCH(,INDIRECT(ADDRESS(ROW(NOTA[ID]),COLUMN(NOTA[ID]))&amp;":"&amp;ADDRESS(ROW(),COLUMN(NOTA[ID]))),-1)))</f>
        <v>ATALI MAKMUR</v>
      </c>
      <c r="AH564" s="49" t="str">
        <f ca="1">IF(NOTA[[#This Row],[ID_H]]="","",IF(NOTA[[#This Row],[FAKTUR]]="",INDIRECT(ADDRESS(ROW()-1,COLUMN())),NOTA[[#This Row],[FAKTUR]]))</f>
        <v>ARTO MORO</v>
      </c>
      <c r="AI564" s="38">
        <f ca="1">IF(NOTA[[#This Row],[ID]]="","",COUNTIF(NOTA[ID_H],NOTA[[#This Row],[ID_H]]))</f>
        <v>8</v>
      </c>
      <c r="AJ564" s="38">
        <f>IF(NOTA[[#This Row],[TGL.NOTA]]="",IF(NOTA[[#This Row],[SUPPLIER_H]]="","",AJ563),MONTH(NOTA[[#This Row],[TGL.NOTA]]))</f>
        <v>1</v>
      </c>
      <c r="AK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564" s="193">
        <f>IF(NOTA[[#This Row],[CONCAT1]]="","",MATCH(NOTA[[#This Row],[CONCAT1]],[2]!db[NB NOTA_C],0)+1)</f>
        <v>568</v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>
        <f ca="1">IF(NOTA[[#This Row],[NAMA BARANG]]="","",INDEX(NOTA[ID],MATCH(,INDIRECT(ADDRESS(ROW(NOTA[ID]),COLUMN(NOTA[ID]))&amp;":"&amp;ADDRESS(ROW(),COLUMN(NOTA[ID]))),-1)))</f>
        <v>106</v>
      </c>
      <c r="E565" s="23"/>
      <c r="F565" s="26"/>
      <c r="G565" s="26"/>
      <c r="H565" s="31"/>
      <c r="I565" s="26"/>
      <c r="J565" s="51"/>
      <c r="K565" s="26"/>
      <c r="L565" s="26" t="s">
        <v>639</v>
      </c>
      <c r="M565" s="39"/>
      <c r="N565" s="26">
        <v>48</v>
      </c>
      <c r="O565" s="26" t="s">
        <v>116</v>
      </c>
      <c r="P565" s="49"/>
      <c r="Q565" s="52"/>
      <c r="R565" s="39" t="s">
        <v>640</v>
      </c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65" s="54" t="str">
        <f>IF(OR(NOTA[[#This Row],[QTY]]="",NOTA[[#This Row],[HARGA SATUAN]]="",),"",NOTA[[#This Row],[QTY]]*NOTA[[#This Row],[HARGA SATUAN]])</f>
        <v/>
      </c>
      <c r="AF565" s="51">
        <f ca="1">IF(NOTA[ID_H]="","",INDEX(NOTA[TANGGAL],MATCH(,INDIRECT(ADDRESS(ROW(NOTA[TANGGAL]),COLUMN(NOTA[TANGGAL]))&amp;":"&amp;ADDRESS(ROW(),COLUMN(NOTA[TANGGAL]))),-1)))</f>
        <v>44946</v>
      </c>
      <c r="AG565" s="49" t="str">
        <f ca="1">IF(NOTA[[#This Row],[NAMA BARANG]]="","",INDEX(NOTA[SUPPLIER],MATCH(,INDIRECT(ADDRESS(ROW(NOTA[ID]),COLUMN(NOTA[ID]))&amp;":"&amp;ADDRESS(ROW(),COLUMN(NOTA[ID]))),-1)))</f>
        <v>ATALI MAKMUR</v>
      </c>
      <c r="AH565" s="49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1</v>
      </c>
      <c r="AK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565" s="193">
        <f>IF(NOTA[[#This Row],[CONCAT1]]="","",MATCH(NOTA[[#This Row],[CONCAT1]],[2]!db[NB NOTA_C],0)+1)</f>
        <v>560</v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>
        <f ca="1">IF(NOTA[[#This Row],[NAMA BARANG]]="","",INDEX(NOTA[ID],MATCH(,INDIRECT(ADDRESS(ROW(NOTA[ID]),COLUMN(NOTA[ID]))&amp;":"&amp;ADDRESS(ROW(),COLUMN(NOTA[ID]))),-1)))</f>
        <v>106</v>
      </c>
      <c r="E566" s="23"/>
      <c r="F566" s="26"/>
      <c r="G566" s="26"/>
      <c r="H566" s="31"/>
      <c r="I566" s="26"/>
      <c r="J566" s="51"/>
      <c r="K566" s="26"/>
      <c r="L566" s="26" t="s">
        <v>684</v>
      </c>
      <c r="M566" s="39">
        <v>6</v>
      </c>
      <c r="N566" s="26">
        <v>864</v>
      </c>
      <c r="O566" s="26" t="s">
        <v>128</v>
      </c>
      <c r="P566" s="49">
        <v>11900</v>
      </c>
      <c r="Q566" s="52"/>
      <c r="R566" s="39" t="s">
        <v>264</v>
      </c>
      <c r="S566" s="53">
        <v>0.125</v>
      </c>
      <c r="T566" s="53">
        <v>0.05</v>
      </c>
      <c r="U566" s="54"/>
      <c r="V566" s="37"/>
      <c r="W566" s="54">
        <f>IF(NOTA[[#This Row],[HARGA/ CTN]]="",NOTA[[#This Row],[JUMLAH_H]],NOTA[[#This Row],[HARGA/ CTN]]*IF(NOTA[[#This Row],[C]]="",0,NOTA[[#This Row],[C]]))</f>
        <v>10281600</v>
      </c>
      <c r="X566" s="54">
        <f>IF(NOTA[[#This Row],[JUMLAH]]="","",NOTA[[#This Row],[JUMLAH]]*NOTA[[#This Row],[DISC 1]])</f>
        <v>1285200</v>
      </c>
      <c r="Y566" s="54">
        <f>IF(NOTA[[#This Row],[JUMLAH]]="","",(NOTA[[#This Row],[JUMLAH]]-NOTA[[#This Row],[DISC 1-]])*NOTA[[#This Row],[DISC 2]])</f>
        <v>449820</v>
      </c>
      <c r="Z566" s="54">
        <f>IF(NOTA[[#This Row],[JUMLAH]]="","",NOTA[[#This Row],[DISC 1-]]+NOTA[[#This Row],[DISC 2-]])</f>
        <v>1735020</v>
      </c>
      <c r="AA566" s="54">
        <f>IF(NOTA[[#This Row],[JUMLAH]]="","",NOTA[[#This Row],[JUMLAH]]-NOTA[[#This Row],[DISC]])</f>
        <v>8546580</v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566" s="54">
        <f>IF(OR(NOTA[[#This Row],[QTY]]="",NOTA[[#This Row],[HARGA SATUAN]]="",),"",NOTA[[#This Row],[QTY]]*NOTA[[#This Row],[HARGA SATUAN]])</f>
        <v>10281600</v>
      </c>
      <c r="AF566" s="51">
        <f ca="1">IF(NOTA[ID_H]="","",INDEX(NOTA[TANGGAL],MATCH(,INDIRECT(ADDRESS(ROW(NOTA[TANGGAL]),COLUMN(NOTA[TANGGAL]))&amp;":"&amp;ADDRESS(ROW(),COLUMN(NOTA[TANGGAL]))),-1)))</f>
        <v>44946</v>
      </c>
      <c r="AG566" s="49" t="str">
        <f ca="1">IF(NOTA[[#This Row],[NAMA BARANG]]="","",INDEX(NOTA[SUPPLIER],MATCH(,INDIRECT(ADDRESS(ROW(NOTA[ID]),COLUMN(NOTA[ID]))&amp;":"&amp;ADDRESS(ROW(),COLUMN(NOTA[ID]))),-1)))</f>
        <v>ATALI MAKMUR</v>
      </c>
      <c r="AH566" s="49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1</v>
      </c>
      <c r="AK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566" s="193">
        <f>IF(NOTA[[#This Row],[CONCAT1]]="","",MATCH(NOTA[[#This Row],[CONCAT1]],[2]!db[NB NOTA_C],0)+1)</f>
        <v>1542</v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>
        <f ca="1">IF(NOTA[[#This Row],[NAMA BARANG]]="","",INDEX(NOTA[ID],MATCH(,INDIRECT(ADDRESS(ROW(NOTA[ID]),COLUMN(NOTA[ID]))&amp;":"&amp;ADDRESS(ROW(),COLUMN(NOTA[ID]))),-1)))</f>
        <v>106</v>
      </c>
      <c r="E567" s="23"/>
      <c r="F567" s="26"/>
      <c r="G567" s="26"/>
      <c r="H567" s="31"/>
      <c r="I567" s="26"/>
      <c r="J567" s="51"/>
      <c r="K567" s="26"/>
      <c r="L567" s="26" t="s">
        <v>424</v>
      </c>
      <c r="M567" s="39">
        <v>1</v>
      </c>
      <c r="N567" s="26">
        <v>72</v>
      </c>
      <c r="O567" s="26" t="s">
        <v>128</v>
      </c>
      <c r="P567" s="49">
        <v>23000</v>
      </c>
      <c r="Q567" s="52"/>
      <c r="R567" s="39" t="s">
        <v>425</v>
      </c>
      <c r="S567" s="53">
        <v>0.125</v>
      </c>
      <c r="T567" s="53">
        <v>0.05</v>
      </c>
      <c r="U567" s="54"/>
      <c r="V567" s="37"/>
      <c r="W567" s="54">
        <f>IF(NOTA[[#This Row],[HARGA/ CTN]]="",NOTA[[#This Row],[JUMLAH_H]],NOTA[[#This Row],[HARGA/ CTN]]*IF(NOTA[[#This Row],[C]]="",0,NOTA[[#This Row],[C]]))</f>
        <v>1656000</v>
      </c>
      <c r="X567" s="54">
        <f>IF(NOTA[[#This Row],[JUMLAH]]="","",NOTA[[#This Row],[JUMLAH]]*NOTA[[#This Row],[DISC 1]])</f>
        <v>207000</v>
      </c>
      <c r="Y567" s="54">
        <f>IF(NOTA[[#This Row],[JUMLAH]]="","",(NOTA[[#This Row],[JUMLAH]]-NOTA[[#This Row],[DISC 1-]])*NOTA[[#This Row],[DISC 2]])</f>
        <v>72450</v>
      </c>
      <c r="Z567" s="54">
        <f>IF(NOTA[[#This Row],[JUMLAH]]="","",NOTA[[#This Row],[DISC 1-]]+NOTA[[#This Row],[DISC 2-]])</f>
        <v>279450</v>
      </c>
      <c r="AA567" s="54">
        <f>IF(NOTA[[#This Row],[JUMLAH]]="","",NOTA[[#This Row],[JUMLAH]]-NOTA[[#This Row],[DISC]])</f>
        <v>1376550</v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67" s="54">
        <f>IF(OR(NOTA[[#This Row],[QTY]]="",NOTA[[#This Row],[HARGA SATUAN]]="",),"",NOTA[[#This Row],[QTY]]*NOTA[[#This Row],[HARGA SATUAN]])</f>
        <v>1656000</v>
      </c>
      <c r="AF567" s="51">
        <f ca="1">IF(NOTA[ID_H]="","",INDEX(NOTA[TANGGAL],MATCH(,INDIRECT(ADDRESS(ROW(NOTA[TANGGAL]),COLUMN(NOTA[TANGGAL]))&amp;":"&amp;ADDRESS(ROW(),COLUMN(NOTA[TANGGAL]))),-1)))</f>
        <v>44946</v>
      </c>
      <c r="AG567" s="49" t="str">
        <f ca="1">IF(NOTA[[#This Row],[NAMA BARANG]]="","",INDEX(NOTA[SUPPLIER],MATCH(,INDIRECT(ADDRESS(ROW(NOTA[ID]),COLUMN(NOTA[ID]))&amp;":"&amp;ADDRESS(ROW(),COLUMN(NOTA[ID]))),-1)))</f>
        <v>ATALI MAKMUR</v>
      </c>
      <c r="AH567" s="49" t="str">
        <f ca="1">IF(NOTA[[#This Row],[ID_H]]="","",IF(NOTA[[#This Row],[FAKTUR]]="",INDIRECT(ADDRESS(ROW()-1,COLUMN())),NOTA[[#This Row],[FAKTUR]]))</f>
        <v>ARTO MORO</v>
      </c>
      <c r="AI567" s="38" t="str">
        <f ca="1">IF(NOTA[[#This Row],[ID]]="","",COUNTIF(NOTA[ID_H],NOTA[[#This Row],[ID_H]]))</f>
        <v/>
      </c>
      <c r="AJ567" s="38">
        <f ca="1">IF(NOTA[[#This Row],[TGL.NOTA]]="",IF(NOTA[[#This Row],[SUPPLIER_H]]="","",AJ566),MONTH(NOTA[[#This Row],[TGL.NOTA]]))</f>
        <v>1</v>
      </c>
      <c r="AK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567" s="193">
        <f>IF(NOTA[[#This Row],[CONCAT1]]="","",MATCH(NOTA[[#This Row],[CONCAT1]],[2]!db[NB NOTA_C],0)+1)</f>
        <v>1543</v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>
        <f ca="1">IF(NOTA[[#This Row],[NAMA BARANG]]="","",INDEX(NOTA[ID],MATCH(,INDIRECT(ADDRESS(ROW(NOTA[ID]),COLUMN(NOTA[ID]))&amp;":"&amp;ADDRESS(ROW(),COLUMN(NOTA[ID]))),-1)))</f>
        <v>106</v>
      </c>
      <c r="E568" s="23"/>
      <c r="F568" s="26"/>
      <c r="G568" s="26"/>
      <c r="H568" s="31"/>
      <c r="I568" s="26"/>
      <c r="J568" s="51"/>
      <c r="K568" s="26"/>
      <c r="L568" s="26" t="s">
        <v>739</v>
      </c>
      <c r="M568" s="39">
        <v>3</v>
      </c>
      <c r="N568" s="26">
        <v>144</v>
      </c>
      <c r="O568" s="26" t="s">
        <v>128</v>
      </c>
      <c r="P568" s="49">
        <v>29600</v>
      </c>
      <c r="Q568" s="52"/>
      <c r="R568" s="39" t="s">
        <v>409</v>
      </c>
      <c r="S568" s="53">
        <v>0.125</v>
      </c>
      <c r="T568" s="53">
        <v>0.05</v>
      </c>
      <c r="U568" s="54"/>
      <c r="V568" s="37"/>
      <c r="W568" s="54">
        <f>IF(NOTA[[#This Row],[HARGA/ CTN]]="",NOTA[[#This Row],[JUMLAH_H]],NOTA[[#This Row],[HARGA/ CTN]]*IF(NOTA[[#This Row],[C]]="",0,NOTA[[#This Row],[C]]))</f>
        <v>4262400</v>
      </c>
      <c r="X568" s="54">
        <f>IF(NOTA[[#This Row],[JUMLAH]]="","",NOTA[[#This Row],[JUMLAH]]*NOTA[[#This Row],[DISC 1]])</f>
        <v>532800</v>
      </c>
      <c r="Y568" s="54">
        <f>IF(NOTA[[#This Row],[JUMLAH]]="","",(NOTA[[#This Row],[JUMLAH]]-NOTA[[#This Row],[DISC 1-]])*NOTA[[#This Row],[DISC 2]])</f>
        <v>186480</v>
      </c>
      <c r="Z568" s="54">
        <f>IF(NOTA[[#This Row],[JUMLAH]]="","",NOTA[[#This Row],[DISC 1-]]+NOTA[[#This Row],[DISC 2-]])</f>
        <v>719280</v>
      </c>
      <c r="AA568" s="54">
        <f>IF(NOTA[[#This Row],[JUMLAH]]="","",NOTA[[#This Row],[JUMLAH]]-NOTA[[#This Row],[DISC]])</f>
        <v>3543120</v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568" s="54">
        <f>IF(OR(NOTA[[#This Row],[QTY]]="",NOTA[[#This Row],[HARGA SATUAN]]="",),"",NOTA[[#This Row],[QTY]]*NOTA[[#This Row],[HARGA SATUAN]])</f>
        <v>4262400</v>
      </c>
      <c r="AF568" s="51">
        <f ca="1">IF(NOTA[ID_H]="","",INDEX(NOTA[TANGGAL],MATCH(,INDIRECT(ADDRESS(ROW(NOTA[TANGGAL]),COLUMN(NOTA[TANGGAL]))&amp;":"&amp;ADDRESS(ROW(),COLUMN(NOTA[TANGGAL]))),-1)))</f>
        <v>44946</v>
      </c>
      <c r="AG568" s="49" t="str">
        <f ca="1">IF(NOTA[[#This Row],[NAMA BARANG]]="","",INDEX(NOTA[SUPPLIER],MATCH(,INDIRECT(ADDRESS(ROW(NOTA[ID]),COLUMN(NOTA[ID]))&amp;":"&amp;ADDRESS(ROW(),COLUMN(NOTA[ID]))),-1)))</f>
        <v>ATALI MAKMUR</v>
      </c>
      <c r="AH568" s="49" t="str">
        <f ca="1">IF(NOTA[[#This Row],[ID_H]]="","",IF(NOTA[[#This Row],[FAKTUR]]="",INDIRECT(ADDRESS(ROW()-1,COLUMN())),NOTA[[#This Row],[FAKTUR]]))</f>
        <v>ARTO MORO</v>
      </c>
      <c r="AI568" s="38" t="str">
        <f ca="1">IF(NOTA[[#This Row],[ID]]="","",COUNTIF(NOTA[ID_H],NOTA[[#This Row],[ID_H]]))</f>
        <v/>
      </c>
      <c r="AJ568" s="38">
        <f ca="1">IF(NOTA[[#This Row],[TGL.NOTA]]="",IF(NOTA[[#This Row],[SUPPLIER_H]]="","",AJ567),MONTH(NOTA[[#This Row],[TGL.NOTA]]))</f>
        <v>1</v>
      </c>
      <c r="AK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568" s="193">
        <f>IF(NOTA[[#This Row],[CONCAT1]]="","",MATCH(NOTA[[#This Row],[CONCAT1]],[2]!db[NB NOTA_C],0)+1)</f>
        <v>1544</v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>
        <f ca="1">IF(NOTA[[#This Row],[NAMA BARANG]]="","",INDEX(NOTA[ID],MATCH(,INDIRECT(ADDRESS(ROW(NOTA[ID]),COLUMN(NOTA[ID]))&amp;":"&amp;ADDRESS(ROW(),COLUMN(NOTA[ID]))),-1)))</f>
        <v>106</v>
      </c>
      <c r="E569" s="23"/>
      <c r="F569" s="26"/>
      <c r="G569" s="26"/>
      <c r="H569" s="31"/>
      <c r="I569" s="26"/>
      <c r="J569" s="51"/>
      <c r="K569" s="26"/>
      <c r="L569" s="26" t="s">
        <v>152</v>
      </c>
      <c r="M569" s="39">
        <v>3</v>
      </c>
      <c r="N569" s="26">
        <v>72</v>
      </c>
      <c r="O569" s="26" t="s">
        <v>128</v>
      </c>
      <c r="P569" s="49">
        <v>58900</v>
      </c>
      <c r="Q569" s="52"/>
      <c r="R569" s="39" t="s">
        <v>141</v>
      </c>
      <c r="S569" s="53">
        <v>0.125</v>
      </c>
      <c r="T569" s="53">
        <v>0.05</v>
      </c>
      <c r="U569" s="54"/>
      <c r="V569" s="37"/>
      <c r="W569" s="54">
        <f>IF(NOTA[[#This Row],[HARGA/ CTN]]="",NOTA[[#This Row],[JUMLAH_H]],NOTA[[#This Row],[HARGA/ CTN]]*IF(NOTA[[#This Row],[C]]="",0,NOTA[[#This Row],[C]]))</f>
        <v>4240800</v>
      </c>
      <c r="X569" s="54">
        <f>IF(NOTA[[#This Row],[JUMLAH]]="","",NOTA[[#This Row],[JUMLAH]]*NOTA[[#This Row],[DISC 1]])</f>
        <v>530100</v>
      </c>
      <c r="Y569" s="54">
        <f>IF(NOTA[[#This Row],[JUMLAH]]="","",(NOTA[[#This Row],[JUMLAH]]-NOTA[[#This Row],[DISC 1-]])*NOTA[[#This Row],[DISC 2]])</f>
        <v>185535</v>
      </c>
      <c r="Z569" s="54">
        <f>IF(NOTA[[#This Row],[JUMLAH]]="","",NOTA[[#This Row],[DISC 1-]]+NOTA[[#This Row],[DISC 2-]])</f>
        <v>715635</v>
      </c>
      <c r="AA569" s="54">
        <f>IF(NOTA[[#This Row],[JUMLAH]]="","",NOTA[[#This Row],[JUMLAH]]-NOTA[[#This Row],[DISC]])</f>
        <v>3525165</v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569" s="54">
        <f>IF(OR(NOTA[[#This Row],[QTY]]="",NOTA[[#This Row],[HARGA SATUAN]]="",),"",NOTA[[#This Row],[QTY]]*NOTA[[#This Row],[HARGA SATUAN]])</f>
        <v>4240800</v>
      </c>
      <c r="AF569" s="51">
        <f ca="1">IF(NOTA[ID_H]="","",INDEX(NOTA[TANGGAL],MATCH(,INDIRECT(ADDRESS(ROW(NOTA[TANGGAL]),COLUMN(NOTA[TANGGAL]))&amp;":"&amp;ADDRESS(ROW(),COLUMN(NOTA[TANGGAL]))),-1)))</f>
        <v>44946</v>
      </c>
      <c r="AG569" s="49" t="str">
        <f ca="1">IF(NOTA[[#This Row],[NAMA BARANG]]="","",INDEX(NOTA[SUPPLIER],MATCH(,INDIRECT(ADDRESS(ROW(NOTA[ID]),COLUMN(NOTA[ID]))&amp;":"&amp;ADDRESS(ROW(),COLUMN(NOTA[ID]))),-1)))</f>
        <v>ATALI MAKMUR</v>
      </c>
      <c r="AH569" s="49" t="str">
        <f ca="1">IF(NOTA[[#This Row],[ID_H]]="","",IF(NOTA[[#This Row],[FAKTUR]]="",INDIRECT(ADDRESS(ROW()-1,COLUMN())),NOTA[[#This Row],[FAKTUR]]))</f>
        <v>ARTO MORO</v>
      </c>
      <c r="AI569" s="38" t="str">
        <f ca="1">IF(NOTA[[#This Row],[ID]]="","",COUNTIF(NOTA[ID_H],NOTA[[#This Row],[ID_H]]))</f>
        <v/>
      </c>
      <c r="AJ569" s="38">
        <f ca="1">IF(NOTA[[#This Row],[TGL.NOTA]]="",IF(NOTA[[#This Row],[SUPPLIER_H]]="","",AJ568),MONTH(NOTA[[#This Row],[TGL.NOTA]]))</f>
        <v>1</v>
      </c>
      <c r="AK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>oilpastelop48sppcaseseaworldjk14136000.1250.05</v>
      </c>
      <c r="AM569" s="193">
        <f>IF(NOTA[[#This Row],[CONCAT1]]="","",MATCH(NOTA[[#This Row],[CONCAT1]],[2]!db[NB NOTA_C],0)+1)</f>
        <v>1546</v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>
        <f ca="1">IF(NOTA[[#This Row],[NAMA BARANG]]="","",INDEX(NOTA[ID],MATCH(,INDIRECT(ADDRESS(ROW(NOTA[ID]),COLUMN(NOTA[ID]))&amp;":"&amp;ADDRESS(ROW(),COLUMN(NOTA[ID]))),-1)))</f>
        <v>106</v>
      </c>
      <c r="E570" s="23"/>
      <c r="F570" s="26"/>
      <c r="G570" s="26"/>
      <c r="H570" s="31"/>
      <c r="I570" s="26"/>
      <c r="J570" s="51"/>
      <c r="K570" s="26"/>
      <c r="L570" s="26" t="s">
        <v>153</v>
      </c>
      <c r="M570" s="39">
        <v>3</v>
      </c>
      <c r="N570" s="26">
        <v>72</v>
      </c>
      <c r="O570" s="26" t="s">
        <v>128</v>
      </c>
      <c r="P570" s="49">
        <v>66900</v>
      </c>
      <c r="Q570" s="52"/>
      <c r="R570" s="39" t="s">
        <v>141</v>
      </c>
      <c r="S570" s="53">
        <v>0.125</v>
      </c>
      <c r="T570" s="53">
        <v>0.05</v>
      </c>
      <c r="U570" s="54"/>
      <c r="V570" s="37"/>
      <c r="W570" s="54">
        <f>IF(NOTA[[#This Row],[HARGA/ CTN]]="",NOTA[[#This Row],[JUMLAH_H]],NOTA[[#This Row],[HARGA/ CTN]]*IF(NOTA[[#This Row],[C]]="",0,NOTA[[#This Row],[C]]))</f>
        <v>4816800</v>
      </c>
      <c r="X570" s="54">
        <f>IF(NOTA[[#This Row],[JUMLAH]]="","",NOTA[[#This Row],[JUMLAH]]*NOTA[[#This Row],[DISC 1]])</f>
        <v>602100</v>
      </c>
      <c r="Y570" s="54">
        <f>IF(NOTA[[#This Row],[JUMLAH]]="","",(NOTA[[#This Row],[JUMLAH]]-NOTA[[#This Row],[DISC 1-]])*NOTA[[#This Row],[DISC 2]])</f>
        <v>210735</v>
      </c>
      <c r="Z570" s="54">
        <f>IF(NOTA[[#This Row],[JUMLAH]]="","",NOTA[[#This Row],[DISC 1-]]+NOTA[[#This Row],[DISC 2-]])</f>
        <v>812835</v>
      </c>
      <c r="AA570" s="54">
        <f>IF(NOTA[[#This Row],[JUMLAH]]="","",NOTA[[#This Row],[JUMLAH]]-NOTA[[#This Row],[DISC]])</f>
        <v>4003965</v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570" s="54">
        <f>IF(OR(NOTA[[#This Row],[QTY]]="",NOTA[[#This Row],[HARGA SATUAN]]="",),"",NOTA[[#This Row],[QTY]]*NOTA[[#This Row],[HARGA SATUAN]])</f>
        <v>4816800</v>
      </c>
      <c r="AF570" s="51">
        <f ca="1">IF(NOTA[ID_H]="","",INDEX(NOTA[TANGGAL],MATCH(,INDIRECT(ADDRESS(ROW(NOTA[TANGGAL]),COLUMN(NOTA[TANGGAL]))&amp;":"&amp;ADDRESS(ROW(),COLUMN(NOTA[TANGGAL]))),-1)))</f>
        <v>44946</v>
      </c>
      <c r="AG570" s="49" t="str">
        <f ca="1">IF(NOTA[[#This Row],[NAMA BARANG]]="","",INDEX(NOTA[SUPPLIER],MATCH(,INDIRECT(ADDRESS(ROW(NOTA[ID]),COLUMN(NOTA[ID]))&amp;":"&amp;ADDRESS(ROW(),COLUMN(NOTA[ID]))),-1)))</f>
        <v>ATALI MAKMUR</v>
      </c>
      <c r="AH570" s="49" t="str">
        <f ca="1">IF(NOTA[[#This Row],[ID_H]]="","",IF(NOTA[[#This Row],[FAKTUR]]="",INDIRECT(ADDRESS(ROW()-1,COLUMN())),NOTA[[#This Row],[FAKTUR]]))</f>
        <v>ARTO MORO</v>
      </c>
      <c r="AI570" s="38" t="str">
        <f ca="1">IF(NOTA[[#This Row],[ID]]="","",COUNTIF(NOTA[ID_H],NOTA[[#This Row],[ID_H]]))</f>
        <v/>
      </c>
      <c r="AJ570" s="38">
        <f ca="1">IF(NOTA[[#This Row],[TGL.NOTA]]="",IF(NOTA[[#This Row],[SUPPLIER_H]]="","",AJ569),MONTH(NOTA[[#This Row],[TGL.NOTA]]))</f>
        <v>1</v>
      </c>
      <c r="AK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570" s="193">
        <f>IF(NOTA[[#This Row],[CONCAT1]]="","",MATCH(NOTA[[#This Row],[CONCAT1]],[2]!db[NB NOTA_C],0)+1)</f>
        <v>1547</v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>
        <f ca="1">IF(NOTA[[#This Row],[NAMA BARANG]]="","",INDEX(NOTA[ID],MATCH(,INDIRECT(ADDRESS(ROW(NOTA[ID]),COLUMN(NOTA[ID]))&amp;":"&amp;ADDRESS(ROW(),COLUMN(NOTA[ID]))),-1)))</f>
        <v>106</v>
      </c>
      <c r="E571" s="23"/>
      <c r="F571" s="26"/>
      <c r="G571" s="26"/>
      <c r="H571" s="31"/>
      <c r="I571" s="26"/>
      <c r="J571" s="51"/>
      <c r="K571" s="26"/>
      <c r="L571" s="26" t="s">
        <v>275</v>
      </c>
      <c r="M571" s="39"/>
      <c r="N571" s="26">
        <v>192</v>
      </c>
      <c r="O571" s="26" t="s">
        <v>104</v>
      </c>
      <c r="P571" s="49">
        <v>2350</v>
      </c>
      <c r="Q571" s="52"/>
      <c r="R571" s="39" t="s">
        <v>276</v>
      </c>
      <c r="S571" s="53">
        <v>0.125</v>
      </c>
      <c r="T571" s="53">
        <v>0.05</v>
      </c>
      <c r="U571" s="54">
        <v>375060</v>
      </c>
      <c r="V571" s="37" t="s">
        <v>155</v>
      </c>
      <c r="W571" s="54">
        <f>IF(NOTA[[#This Row],[HARGA/ CTN]]="",NOTA[[#This Row],[JUMLAH_H]],NOTA[[#This Row],[HARGA/ CTN]]*IF(NOTA[[#This Row],[C]]="",0,NOTA[[#This Row],[C]]))</f>
        <v>451200</v>
      </c>
      <c r="X571" s="54">
        <f>IF(NOTA[[#This Row],[JUMLAH]]="","",NOTA[[#This Row],[JUMLAH]]*NOTA[[#This Row],[DISC 1]])</f>
        <v>56400</v>
      </c>
      <c r="Y571" s="54">
        <f>IF(NOTA[[#This Row],[JUMLAH]]="","",(NOTA[[#This Row],[JUMLAH]]-NOTA[[#This Row],[DISC 1-]])*NOTA[[#This Row],[DISC 2]])</f>
        <v>19740</v>
      </c>
      <c r="Z571" s="54">
        <f>IF(NOTA[[#This Row],[JUMLAH]]="","",NOTA[[#This Row],[DISC 1-]]+NOTA[[#This Row],[DISC 2-]])</f>
        <v>76140</v>
      </c>
      <c r="AA571" s="54">
        <f>IF(NOTA[[#This Row],[JUMLAH]]="","",NOTA[[#This Row],[JUMLAH]]-NOTA[[#This Row],[DISC]])</f>
        <v>375060</v>
      </c>
      <c r="AB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E571" s="54">
        <f>IF(OR(NOTA[[#This Row],[QTY]]="",NOTA[[#This Row],[HARGA SATUAN]]="",),"",NOTA[[#This Row],[QTY]]*NOTA[[#This Row],[HARGA SATUAN]])</f>
        <v>451200</v>
      </c>
      <c r="AF571" s="51">
        <f ca="1">IF(NOTA[ID_H]="","",INDEX(NOTA[TANGGAL],MATCH(,INDIRECT(ADDRESS(ROW(NOTA[TANGGAL]),COLUMN(NOTA[TANGGAL]))&amp;":"&amp;ADDRESS(ROW(),COLUMN(NOTA[TANGGAL]))),-1)))</f>
        <v>44946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 t="str">
        <f ca="1">IF(NOTA[[#This Row],[ID]]="","",COUNTIF(NOTA[ID_H],NOTA[[#This Row],[ID_H]]))</f>
        <v/>
      </c>
      <c r="AJ571" s="38">
        <f ca="1">IF(NOTA[[#This Row],[TGL.NOTA]]="",IF(NOTA[[#This Row],[SUPPLIER_H]]="","",AJ570),MONTH(NOTA[[#This Row],[TGL.NOTA]]))</f>
        <v>1</v>
      </c>
      <c r="AK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571" s="193">
        <f>IF(NOTA[[#This Row],[CONCAT1]]="","",MATCH(NOTA[[#This Row],[CONCAT1]],[2]!db[NB NOTA_C],0)+1)</f>
        <v>1798</v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93" t="str">
        <f>IF(NOTA[[#This Row],[CONCAT1]]="","",MATCH(NOTA[[#This Row],[CONCAT1]],[2]!db[NB NOTA_C],0)+1)</f>
        <v/>
      </c>
    </row>
    <row r="573" spans="1:39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e">
        <f ca="1">IF(NOTA[[#This Row],[ID_P]]="","",MATCH(NOTA[[#This Row],[ID_P]],[1]!B_MSK[N_ID],0))</f>
        <v>#REF!</v>
      </c>
      <c r="D573" s="50">
        <f ca="1">IF(NOTA[[#This Row],[NAMA BARANG]]="","",INDEX(NOTA[ID],MATCH(,INDIRECT(ADDRESS(ROW(NOTA[ID]),COLUMN(NOTA[ID]))&amp;":"&amp;ADDRESS(ROW(),COLUMN(NOTA[ID]))),-1)))</f>
        <v>107</v>
      </c>
      <c r="E573" s="23"/>
      <c r="F573" s="26" t="s">
        <v>25</v>
      </c>
      <c r="G573" s="26" t="s">
        <v>24</v>
      </c>
      <c r="H573" s="31" t="s">
        <v>740</v>
      </c>
      <c r="I573" s="26"/>
      <c r="J573" s="51">
        <v>44943</v>
      </c>
      <c r="K573" s="26"/>
      <c r="L573" s="26" t="s">
        <v>656</v>
      </c>
      <c r="M573" s="39">
        <v>1</v>
      </c>
      <c r="N573" s="26">
        <v>144</v>
      </c>
      <c r="O573" s="26" t="s">
        <v>128</v>
      </c>
      <c r="P573" s="49">
        <v>10600</v>
      </c>
      <c r="Q573" s="52"/>
      <c r="R573" s="39" t="s">
        <v>264</v>
      </c>
      <c r="S573" s="53">
        <v>0.125</v>
      </c>
      <c r="T573" s="53">
        <v>0.05</v>
      </c>
      <c r="U573" s="54"/>
      <c r="V573" s="37"/>
      <c r="W573" s="54">
        <f>IF(NOTA[[#This Row],[HARGA/ CTN]]="",NOTA[[#This Row],[JUMLAH_H]],NOTA[[#This Row],[HARGA/ CTN]]*IF(NOTA[[#This Row],[C]]="",0,NOTA[[#This Row],[C]]))</f>
        <v>1526400</v>
      </c>
      <c r="X573" s="54">
        <f>IF(NOTA[[#This Row],[JUMLAH]]="","",NOTA[[#This Row],[JUMLAH]]*NOTA[[#This Row],[DISC 1]])</f>
        <v>190800</v>
      </c>
      <c r="Y573" s="54">
        <f>IF(NOTA[[#This Row],[JUMLAH]]="","",(NOTA[[#This Row],[JUMLAH]]-NOTA[[#This Row],[DISC 1-]])*NOTA[[#This Row],[DISC 2]])</f>
        <v>66780</v>
      </c>
      <c r="Z573" s="54">
        <f>IF(NOTA[[#This Row],[JUMLAH]]="","",NOTA[[#This Row],[DISC 1-]]+NOTA[[#This Row],[DISC 2-]])</f>
        <v>257580</v>
      </c>
      <c r="AA573" s="54">
        <f>IF(NOTA[[#This Row],[JUMLAH]]="","",NOTA[[#This Row],[JUMLAH]]-NOTA[[#This Row],[DISC]])</f>
        <v>1268820</v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73" s="54">
        <f>IF(OR(NOTA[[#This Row],[QTY]]="",NOTA[[#This Row],[HARGA SATUAN]]="",),"",NOTA[[#This Row],[QTY]]*NOTA[[#This Row],[HARGA SATUAN]])</f>
        <v>1526400</v>
      </c>
      <c r="AF573" s="51">
        <f ca="1">IF(NOTA[ID_H]="","",INDEX(NOTA[TANGGAL],MATCH(,INDIRECT(ADDRESS(ROW(NOTA[TANGGAL]),COLUMN(NOTA[TANGGAL]))&amp;":"&amp;ADDRESS(ROW(),COLUMN(NOTA[TANGGAL]))),-1)))</f>
        <v>44946</v>
      </c>
      <c r="AG573" s="49" t="str">
        <f ca="1">IF(NOTA[[#This Row],[NAMA BARANG]]="","",INDEX(NOTA[SUPPLIER],MATCH(,INDIRECT(ADDRESS(ROW(NOTA[ID]),COLUMN(NOTA[ID]))&amp;":"&amp;ADDRESS(ROW(),COLUMN(NOTA[ID]))),-1)))</f>
        <v>ATALI MAKMUR</v>
      </c>
      <c r="AH573" s="49" t="str">
        <f ca="1">IF(NOTA[[#This Row],[ID_H]]="","",IF(NOTA[[#This Row],[FAKTUR]]="",INDIRECT(ADDRESS(ROW()-1,COLUMN())),NOTA[[#This Row],[FAKTUR]]))</f>
        <v>ARTO MORO</v>
      </c>
      <c r="AI573" s="38">
        <f ca="1">IF(NOTA[[#This Row],[ID]]="","",COUNTIF(NOTA[ID_H],NOTA[[#This Row],[ID_H]]))</f>
        <v>11</v>
      </c>
      <c r="AJ573" s="38">
        <f>IF(NOTA[[#This Row],[TGL.NOTA]]="",IF(NOTA[[#This Row],[SUPPLIER_H]]="","",AJ572),MONTH(NOTA[[#This Row],[TGL.NOTA]]))</f>
        <v>1</v>
      </c>
      <c r="AK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573" s="193">
        <f>IF(NOTA[[#This Row],[CONCAT1]]="","",MATCH(NOTA[[#This Row],[CONCAT1]],[2]!db[NB NOTA_C],0)+1)</f>
        <v>487</v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>
        <f ca="1">IF(NOTA[[#This Row],[NAMA BARANG]]="","",INDEX(NOTA[ID],MATCH(,INDIRECT(ADDRESS(ROW(NOTA[ID]),COLUMN(NOTA[ID]))&amp;":"&amp;ADDRESS(ROW(),COLUMN(NOTA[ID]))),-1)))</f>
        <v>107</v>
      </c>
      <c r="E574" s="23"/>
      <c r="F574" s="26"/>
      <c r="G574" s="26"/>
      <c r="H574" s="31"/>
      <c r="I574" s="26"/>
      <c r="J574" s="51"/>
      <c r="K574" s="26"/>
      <c r="L574" s="26" t="s">
        <v>270</v>
      </c>
      <c r="M574" s="39">
        <v>2</v>
      </c>
      <c r="N574" s="26">
        <v>288</v>
      </c>
      <c r="O574" s="26" t="s">
        <v>104</v>
      </c>
      <c r="P574" s="49">
        <v>4350</v>
      </c>
      <c r="Q574" s="52"/>
      <c r="R574" s="39" t="s">
        <v>271</v>
      </c>
      <c r="S574" s="53">
        <v>0.125</v>
      </c>
      <c r="T574" s="53">
        <v>0.05</v>
      </c>
      <c r="U574" s="54"/>
      <c r="V574" s="37"/>
      <c r="W574" s="54">
        <f>IF(NOTA[[#This Row],[HARGA/ CTN]]="",NOTA[[#This Row],[JUMLAH_H]],NOTA[[#This Row],[HARGA/ CTN]]*IF(NOTA[[#This Row],[C]]="",0,NOTA[[#This Row],[C]]))</f>
        <v>1252800</v>
      </c>
      <c r="X574" s="54">
        <f>IF(NOTA[[#This Row],[JUMLAH]]="","",NOTA[[#This Row],[JUMLAH]]*NOTA[[#This Row],[DISC 1]])</f>
        <v>156600</v>
      </c>
      <c r="Y574" s="54">
        <f>IF(NOTA[[#This Row],[JUMLAH]]="","",(NOTA[[#This Row],[JUMLAH]]-NOTA[[#This Row],[DISC 1-]])*NOTA[[#This Row],[DISC 2]])</f>
        <v>54810</v>
      </c>
      <c r="Z574" s="54">
        <f>IF(NOTA[[#This Row],[JUMLAH]]="","",NOTA[[#This Row],[DISC 1-]]+NOTA[[#This Row],[DISC 2-]])</f>
        <v>211410</v>
      </c>
      <c r="AA574" s="54">
        <f>IF(NOTA[[#This Row],[JUMLAH]]="","",NOTA[[#This Row],[JUMLAH]]-NOTA[[#This Row],[DISC]])</f>
        <v>1041390</v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574" s="54">
        <f>IF(OR(NOTA[[#This Row],[QTY]]="",NOTA[[#This Row],[HARGA SATUAN]]="",),"",NOTA[[#This Row],[QTY]]*NOTA[[#This Row],[HARGA SATUAN]])</f>
        <v>1252800</v>
      </c>
      <c r="AF574" s="51">
        <f ca="1">IF(NOTA[ID_H]="","",INDEX(NOTA[TANGGAL],MATCH(,INDIRECT(ADDRESS(ROW(NOTA[TANGGAL]),COLUMN(NOTA[TANGGAL]))&amp;":"&amp;ADDRESS(ROW(),COLUMN(NOTA[TANGGAL]))),-1)))</f>
        <v>44946</v>
      </c>
      <c r="AG574" s="49" t="str">
        <f ca="1">IF(NOTA[[#This Row],[NAMA BARANG]]="","",INDEX(NOTA[SUPPLIER],MATCH(,INDIRECT(ADDRESS(ROW(NOTA[ID]),COLUMN(NOTA[ID]))&amp;":"&amp;ADDRESS(ROW(),COLUMN(NOTA[ID]))),-1)))</f>
        <v>ATALI MAKMUR</v>
      </c>
      <c r="AH574" s="49" t="str">
        <f ca="1">IF(NOTA[[#This Row],[ID_H]]="","",IF(NOTA[[#This Row],[FAKTUR]]="",INDIRECT(ADDRESS(ROW()-1,COLUMN())),NOTA[[#This Row],[FAKTUR]]))</f>
        <v>ARTO MORO</v>
      </c>
      <c r="AI574" s="38" t="str">
        <f ca="1">IF(NOTA[[#This Row],[ID]]="","",COUNTIF(NOTA[ID_H],NOTA[[#This Row],[ID_H]]))</f>
        <v/>
      </c>
      <c r="AJ574" s="38">
        <f ca="1">IF(NOTA[[#This Row],[TGL.NOTA]]="",IF(NOTA[[#This Row],[SUPPLIER_H]]="","",AJ573),MONTH(NOTA[[#This Row],[TGL.NOTA]]))</f>
        <v>1</v>
      </c>
      <c r="AK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574" s="193">
        <f>IF(NOTA[[#This Row],[CONCAT1]]="","",MATCH(NOTA[[#This Row],[CONCAT1]],[2]!db[NB NOTA_C],0)+1)</f>
        <v>1881</v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>
        <f ca="1">IF(NOTA[[#This Row],[NAMA BARANG]]="","",INDEX(NOTA[ID],MATCH(,INDIRECT(ADDRESS(ROW(NOTA[ID]),COLUMN(NOTA[ID]))&amp;":"&amp;ADDRESS(ROW(),COLUMN(NOTA[ID]))),-1)))</f>
        <v>107</v>
      </c>
      <c r="E575" s="23"/>
      <c r="F575" s="26"/>
      <c r="G575" s="26"/>
      <c r="H575" s="31"/>
      <c r="I575" s="26"/>
      <c r="J575" s="51"/>
      <c r="K575" s="26"/>
      <c r="L575" s="26" t="s">
        <v>291</v>
      </c>
      <c r="M575" s="39">
        <v>1</v>
      </c>
      <c r="N575" s="26">
        <v>144</v>
      </c>
      <c r="O575" s="26" t="s">
        <v>104</v>
      </c>
      <c r="P575" s="49">
        <v>6500</v>
      </c>
      <c r="Q575" s="52"/>
      <c r="R575" s="39" t="s">
        <v>271</v>
      </c>
      <c r="S575" s="53">
        <v>0.125</v>
      </c>
      <c r="T575" s="53">
        <v>0.05</v>
      </c>
      <c r="U575" s="54"/>
      <c r="V575" s="37"/>
      <c r="W575" s="54">
        <f>IF(NOTA[[#This Row],[HARGA/ CTN]]="",NOTA[[#This Row],[JUMLAH_H]],NOTA[[#This Row],[HARGA/ CTN]]*IF(NOTA[[#This Row],[C]]="",0,NOTA[[#This Row],[C]]))</f>
        <v>936000</v>
      </c>
      <c r="X575" s="54">
        <f>IF(NOTA[[#This Row],[JUMLAH]]="","",NOTA[[#This Row],[JUMLAH]]*NOTA[[#This Row],[DISC 1]])</f>
        <v>117000</v>
      </c>
      <c r="Y575" s="54">
        <f>IF(NOTA[[#This Row],[JUMLAH]]="","",(NOTA[[#This Row],[JUMLAH]]-NOTA[[#This Row],[DISC 1-]])*NOTA[[#This Row],[DISC 2]])</f>
        <v>40950</v>
      </c>
      <c r="Z575" s="54">
        <f>IF(NOTA[[#This Row],[JUMLAH]]="","",NOTA[[#This Row],[DISC 1-]]+NOTA[[#This Row],[DISC 2-]])</f>
        <v>157950</v>
      </c>
      <c r="AA575" s="54">
        <f>IF(NOTA[[#This Row],[JUMLAH]]="","",NOTA[[#This Row],[JUMLAH]]-NOTA[[#This Row],[DISC]])</f>
        <v>778050</v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75" s="54">
        <f>IF(OR(NOTA[[#This Row],[QTY]]="",NOTA[[#This Row],[HARGA SATUAN]]="",),"",NOTA[[#This Row],[QTY]]*NOTA[[#This Row],[HARGA SATUAN]])</f>
        <v>936000</v>
      </c>
      <c r="AF575" s="51">
        <f ca="1">IF(NOTA[ID_H]="","",INDEX(NOTA[TANGGAL],MATCH(,INDIRECT(ADDRESS(ROW(NOTA[TANGGAL]),COLUMN(NOTA[TANGGAL]))&amp;":"&amp;ADDRESS(ROW(),COLUMN(NOTA[TANGGAL]))),-1)))</f>
        <v>44946</v>
      </c>
      <c r="AG575" s="49" t="str">
        <f ca="1">IF(NOTA[[#This Row],[NAMA BARANG]]="","",INDEX(NOTA[SUPPLIER],MATCH(,INDIRECT(ADDRESS(ROW(NOTA[ID]),COLUMN(NOTA[ID]))&amp;":"&amp;ADDRESS(ROW(),COLUMN(NOTA[ID]))),-1)))</f>
        <v>ATALI MAKMUR</v>
      </c>
      <c r="AH575" s="49" t="str">
        <f ca="1">IF(NOTA[[#This Row],[ID_H]]="","",IF(NOTA[[#This Row],[FAKTUR]]="",INDIRECT(ADDRESS(ROW()-1,COLUMN())),NOTA[[#This Row],[FAKTUR]]))</f>
        <v>ARTO MORO</v>
      </c>
      <c r="AI575" s="38" t="str">
        <f ca="1">IF(NOTA[[#This Row],[ID]]="","",COUNTIF(NOTA[ID_H],NOTA[[#This Row],[ID_H]]))</f>
        <v/>
      </c>
      <c r="AJ575" s="38">
        <f ca="1">IF(NOTA[[#This Row],[TGL.NOTA]]="",IF(NOTA[[#This Row],[SUPPLIER_H]]="","",AJ574),MONTH(NOTA[[#This Row],[TGL.NOTA]]))</f>
        <v>1</v>
      </c>
      <c r="AK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575" s="193">
        <f>IF(NOTA[[#This Row],[CONCAT1]]="","",MATCH(NOTA[[#This Row],[CONCAT1]],[2]!db[NB NOTA_C],0)+1)</f>
        <v>1882</v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>
        <f ca="1">IF(NOTA[[#This Row],[NAMA BARANG]]="","",INDEX(NOTA[ID],MATCH(,INDIRECT(ADDRESS(ROW(NOTA[ID]),COLUMN(NOTA[ID]))&amp;":"&amp;ADDRESS(ROW(),COLUMN(NOTA[ID]))),-1)))</f>
        <v>107</v>
      </c>
      <c r="E576" s="23"/>
      <c r="F576" s="26"/>
      <c r="G576" s="26"/>
      <c r="H576" s="31"/>
      <c r="I576" s="26"/>
      <c r="J576" s="51"/>
      <c r="K576" s="26"/>
      <c r="L576" s="26" t="s">
        <v>272</v>
      </c>
      <c r="M576" s="39">
        <v>1</v>
      </c>
      <c r="N576" s="26">
        <v>144</v>
      </c>
      <c r="O576" s="26" t="s">
        <v>104</v>
      </c>
      <c r="P576" s="49">
        <v>9750</v>
      </c>
      <c r="Q576" s="52"/>
      <c r="R576" s="39" t="s">
        <v>271</v>
      </c>
      <c r="S576" s="53">
        <v>0.125</v>
      </c>
      <c r="T576" s="53">
        <v>0.05</v>
      </c>
      <c r="U576" s="54"/>
      <c r="V576" s="37"/>
      <c r="W576" s="54">
        <f>IF(NOTA[[#This Row],[HARGA/ CTN]]="",NOTA[[#This Row],[JUMLAH_H]],NOTA[[#This Row],[HARGA/ CTN]]*IF(NOTA[[#This Row],[C]]="",0,NOTA[[#This Row],[C]]))</f>
        <v>1404000</v>
      </c>
      <c r="X576" s="54">
        <f>IF(NOTA[[#This Row],[JUMLAH]]="","",NOTA[[#This Row],[JUMLAH]]*NOTA[[#This Row],[DISC 1]])</f>
        <v>175500</v>
      </c>
      <c r="Y576" s="54">
        <f>IF(NOTA[[#This Row],[JUMLAH]]="","",(NOTA[[#This Row],[JUMLAH]]-NOTA[[#This Row],[DISC 1-]])*NOTA[[#This Row],[DISC 2]])</f>
        <v>61425</v>
      </c>
      <c r="Z576" s="54">
        <f>IF(NOTA[[#This Row],[JUMLAH]]="","",NOTA[[#This Row],[DISC 1-]]+NOTA[[#This Row],[DISC 2-]])</f>
        <v>236925</v>
      </c>
      <c r="AA576" s="54">
        <f>IF(NOTA[[#This Row],[JUMLAH]]="","",NOTA[[#This Row],[JUMLAH]]-NOTA[[#This Row],[DISC]])</f>
        <v>1167075</v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76" s="54">
        <f>IF(OR(NOTA[[#This Row],[QTY]]="",NOTA[[#This Row],[HARGA SATUAN]]="",),"",NOTA[[#This Row],[QTY]]*NOTA[[#This Row],[HARGA SATUAN]])</f>
        <v>1404000</v>
      </c>
      <c r="AF576" s="51">
        <f ca="1">IF(NOTA[ID_H]="","",INDEX(NOTA[TANGGAL],MATCH(,INDIRECT(ADDRESS(ROW(NOTA[TANGGAL]),COLUMN(NOTA[TANGGAL]))&amp;":"&amp;ADDRESS(ROW(),COLUMN(NOTA[TANGGAL]))),-1)))</f>
        <v>44946</v>
      </c>
      <c r="AG576" s="49" t="str">
        <f ca="1">IF(NOTA[[#This Row],[NAMA BARANG]]="","",INDEX(NOTA[SUPPLIER],MATCH(,INDIRECT(ADDRESS(ROW(NOTA[ID]),COLUMN(NOTA[ID]))&amp;":"&amp;ADDRESS(ROW(),COLUMN(NOTA[ID]))),-1)))</f>
        <v>ATALI MAKMUR</v>
      </c>
      <c r="AH576" s="49" t="str">
        <f ca="1">IF(NOTA[[#This Row],[ID_H]]="","",IF(NOTA[[#This Row],[FAKTUR]]="",INDIRECT(ADDRESS(ROW()-1,COLUMN())),NOTA[[#This Row],[FAKTUR]]))</f>
        <v>ARTO MORO</v>
      </c>
      <c r="AI576" s="38" t="str">
        <f ca="1">IF(NOTA[[#This Row],[ID]]="","",COUNTIF(NOTA[ID_H],NOTA[[#This Row],[ID_H]]))</f>
        <v/>
      </c>
      <c r="AJ576" s="38">
        <f ca="1">IF(NOTA[[#This Row],[TGL.NOTA]]="",IF(NOTA[[#This Row],[SUPPLIER_H]]="","",AJ575),MONTH(NOTA[[#This Row],[TGL.NOTA]]))</f>
        <v>1</v>
      </c>
      <c r="AK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576" s="193">
        <f>IF(NOTA[[#This Row],[CONCAT1]]="","",MATCH(NOTA[[#This Row],[CONCAT1]],[2]!db[NB NOTA_C],0)+1)</f>
        <v>1884</v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>
        <f ca="1">IF(NOTA[[#This Row],[NAMA BARANG]]="","",INDEX(NOTA[ID],MATCH(,INDIRECT(ADDRESS(ROW(NOTA[ID]),COLUMN(NOTA[ID]))&amp;":"&amp;ADDRESS(ROW(),COLUMN(NOTA[ID]))),-1)))</f>
        <v>107</v>
      </c>
      <c r="E577" s="23"/>
      <c r="F577" s="26"/>
      <c r="G577" s="26"/>
      <c r="H577" s="31"/>
      <c r="I577" s="26"/>
      <c r="J577" s="51"/>
      <c r="K577" s="26"/>
      <c r="L577" s="26" t="s">
        <v>427</v>
      </c>
      <c r="M577" s="39">
        <v>3</v>
      </c>
      <c r="N577" s="26">
        <v>216</v>
      </c>
      <c r="O577" s="26" t="s">
        <v>116</v>
      </c>
      <c r="P577" s="49">
        <v>37200</v>
      </c>
      <c r="Q577" s="52"/>
      <c r="R577" s="39" t="s">
        <v>428</v>
      </c>
      <c r="S577" s="53">
        <v>0.125</v>
      </c>
      <c r="T577" s="53">
        <v>0.05</v>
      </c>
      <c r="U577" s="54"/>
      <c r="V577" s="37"/>
      <c r="W577" s="54">
        <f>IF(NOTA[[#This Row],[HARGA/ CTN]]="",NOTA[[#This Row],[JUMLAH_H]],NOTA[[#This Row],[HARGA/ CTN]]*IF(NOTA[[#This Row],[C]]="",0,NOTA[[#This Row],[C]]))</f>
        <v>8035200</v>
      </c>
      <c r="X577" s="54">
        <f>IF(NOTA[[#This Row],[JUMLAH]]="","",NOTA[[#This Row],[JUMLAH]]*NOTA[[#This Row],[DISC 1]])</f>
        <v>1004400</v>
      </c>
      <c r="Y577" s="54">
        <f>IF(NOTA[[#This Row],[JUMLAH]]="","",(NOTA[[#This Row],[JUMLAH]]-NOTA[[#This Row],[DISC 1-]])*NOTA[[#This Row],[DISC 2]])</f>
        <v>351540</v>
      </c>
      <c r="Z577" s="54">
        <f>IF(NOTA[[#This Row],[JUMLAH]]="","",NOTA[[#This Row],[DISC 1-]]+NOTA[[#This Row],[DISC 2-]])</f>
        <v>1355940</v>
      </c>
      <c r="AA577" s="54">
        <f>IF(NOTA[[#This Row],[JUMLAH]]="","",NOTA[[#This Row],[JUMLAH]]-NOTA[[#This Row],[DISC]])</f>
        <v>6679260</v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77" s="54">
        <f>IF(OR(NOTA[[#This Row],[QTY]]="",NOTA[[#This Row],[HARGA SATUAN]]="",),"",NOTA[[#This Row],[QTY]]*NOTA[[#This Row],[HARGA SATUAN]])</f>
        <v>8035200</v>
      </c>
      <c r="AF577" s="51">
        <f ca="1">IF(NOTA[ID_H]="","",INDEX(NOTA[TANGGAL],MATCH(,INDIRECT(ADDRESS(ROW(NOTA[TANGGAL]),COLUMN(NOTA[TANGGAL]))&amp;":"&amp;ADDRESS(ROW(),COLUMN(NOTA[TANGGAL]))),-1)))</f>
        <v>44946</v>
      </c>
      <c r="AG577" s="49" t="str">
        <f ca="1">IF(NOTA[[#This Row],[NAMA BARANG]]="","",INDEX(NOTA[SUPPLIER],MATCH(,INDIRECT(ADDRESS(ROW(NOTA[ID]),COLUMN(NOTA[ID]))&amp;":"&amp;ADDRESS(ROW(),COLUMN(NOTA[ID]))),-1)))</f>
        <v>ATALI MAKMUR</v>
      </c>
      <c r="AH577" s="49" t="str">
        <f ca="1">IF(NOTA[[#This Row],[ID_H]]="","",IF(NOTA[[#This Row],[FAKTUR]]="",INDIRECT(ADDRESS(ROW()-1,COLUMN())),NOTA[[#This Row],[FAKTUR]]))</f>
        <v>ARTO MORO</v>
      </c>
      <c r="AI577" s="38" t="str">
        <f ca="1">IF(NOTA[[#This Row],[ID]]="","",COUNTIF(NOTA[ID_H],NOTA[[#This Row],[ID_H]]))</f>
        <v/>
      </c>
      <c r="AJ577" s="38">
        <f ca="1">IF(NOTA[[#This Row],[TGL.NOTA]]="",IF(NOTA[[#This Row],[SUPPLIER_H]]="","",AJ576),MONTH(NOTA[[#This Row],[TGL.NOTA]]))</f>
        <v>1</v>
      </c>
      <c r="AK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577" s="193">
        <f>IF(NOTA[[#This Row],[CONCAT1]]="","",MATCH(NOTA[[#This Row],[CONCAT1]],[2]!db[NB NOTA_C],0)+1)</f>
        <v>1729</v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>
        <f ca="1">IF(NOTA[[#This Row],[NAMA BARANG]]="","",INDEX(NOTA[ID],MATCH(,INDIRECT(ADDRESS(ROW(NOTA[ID]),COLUMN(NOTA[ID]))&amp;":"&amp;ADDRESS(ROW(),COLUMN(NOTA[ID]))),-1)))</f>
        <v>107</v>
      </c>
      <c r="E578" s="23"/>
      <c r="F578" s="26"/>
      <c r="G578" s="26"/>
      <c r="H578" s="31"/>
      <c r="I578" s="26"/>
      <c r="J578" s="51"/>
      <c r="K578" s="26"/>
      <c r="L578" s="26" t="s">
        <v>741</v>
      </c>
      <c r="M578" s="39">
        <v>3</v>
      </c>
      <c r="N578" s="26">
        <v>864</v>
      </c>
      <c r="O578" s="26" t="s">
        <v>104</v>
      </c>
      <c r="P578" s="49">
        <v>2150</v>
      </c>
      <c r="Q578" s="52"/>
      <c r="R578" s="39" t="s">
        <v>672</v>
      </c>
      <c r="S578" s="53">
        <v>0.125</v>
      </c>
      <c r="T578" s="53">
        <v>0.05</v>
      </c>
      <c r="U578" s="54"/>
      <c r="V578" s="37"/>
      <c r="W578" s="54">
        <f>IF(NOTA[[#This Row],[HARGA/ CTN]]="",NOTA[[#This Row],[JUMLAH_H]],NOTA[[#This Row],[HARGA/ CTN]]*IF(NOTA[[#This Row],[C]]="",0,NOTA[[#This Row],[C]]))</f>
        <v>1857600</v>
      </c>
      <c r="X578" s="54">
        <f>IF(NOTA[[#This Row],[JUMLAH]]="","",NOTA[[#This Row],[JUMLAH]]*NOTA[[#This Row],[DISC 1]])</f>
        <v>232200</v>
      </c>
      <c r="Y578" s="54">
        <f>IF(NOTA[[#This Row],[JUMLAH]]="","",(NOTA[[#This Row],[JUMLAH]]-NOTA[[#This Row],[DISC 1-]])*NOTA[[#This Row],[DISC 2]])</f>
        <v>81270</v>
      </c>
      <c r="Z578" s="54">
        <f>IF(NOTA[[#This Row],[JUMLAH]]="","",NOTA[[#This Row],[DISC 1-]]+NOTA[[#This Row],[DISC 2-]])</f>
        <v>313470</v>
      </c>
      <c r="AA578" s="54">
        <f>IF(NOTA[[#This Row],[JUMLAH]]="","",NOTA[[#This Row],[JUMLAH]]-NOTA[[#This Row],[DISC]])</f>
        <v>1544130</v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E578" s="54">
        <f>IF(OR(NOTA[[#This Row],[QTY]]="",NOTA[[#This Row],[HARGA SATUAN]]="",),"",NOTA[[#This Row],[QTY]]*NOTA[[#This Row],[HARGA SATUAN]])</f>
        <v>1857600</v>
      </c>
      <c r="AF578" s="51">
        <f ca="1">IF(NOTA[ID_H]="","",INDEX(NOTA[TANGGAL],MATCH(,INDIRECT(ADDRESS(ROW(NOTA[TANGGAL]),COLUMN(NOTA[TANGGAL]))&amp;":"&amp;ADDRESS(ROW(),COLUMN(NOTA[TANGGAL]))),-1)))</f>
        <v>44946</v>
      </c>
      <c r="AG578" s="49" t="str">
        <f ca="1">IF(NOTA[[#This Row],[NAMA BARANG]]="","",INDEX(NOTA[SUPPLIER],MATCH(,INDIRECT(ADDRESS(ROW(NOTA[ID]),COLUMN(NOTA[ID]))&amp;":"&amp;ADDRESS(ROW(),COLUMN(NOTA[ID]))),-1)))</f>
        <v>ATALI MAKMUR</v>
      </c>
      <c r="AH578" s="49" t="str">
        <f ca="1">IF(NOTA[[#This Row],[ID_H]]="","",IF(NOTA[[#This Row],[FAKTUR]]="",INDIRECT(ADDRESS(ROW()-1,COLUMN())),NOTA[[#This Row],[FAKTUR]]))</f>
        <v>ARTO MORO</v>
      </c>
      <c r="AI578" s="38" t="str">
        <f ca="1">IF(NOTA[[#This Row],[ID]]="","",COUNTIF(NOTA[ID_H],NOTA[[#This Row],[ID_H]]))</f>
        <v/>
      </c>
      <c r="AJ578" s="38">
        <f ca="1">IF(NOTA[[#This Row],[TGL.NOTA]]="",IF(NOTA[[#This Row],[SUPPLIER_H]]="","",AJ577),MONTH(NOTA[[#This Row],[TGL.NOTA]]))</f>
        <v>1</v>
      </c>
      <c r="AK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>glueglr50jk6192000.1250.05</v>
      </c>
      <c r="AM578" s="193">
        <f>IF(NOTA[[#This Row],[CONCAT1]]="","",MATCH(NOTA[[#This Row],[CONCAT1]],[2]!db[NB NOTA_C],0)+1)</f>
        <v>914</v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>
        <f ca="1">IF(NOTA[[#This Row],[NAMA BARANG]]="","",INDEX(NOTA[ID],MATCH(,INDIRECT(ADDRESS(ROW(NOTA[ID]),COLUMN(NOTA[ID]))&amp;":"&amp;ADDRESS(ROW(),COLUMN(NOTA[ID]))),-1)))</f>
        <v>107</v>
      </c>
      <c r="E579" s="23"/>
      <c r="F579" s="26"/>
      <c r="G579" s="26"/>
      <c r="H579" s="31"/>
      <c r="I579" s="26"/>
      <c r="J579" s="51"/>
      <c r="K579" s="26"/>
      <c r="L579" s="26" t="s">
        <v>688</v>
      </c>
      <c r="M579" s="39">
        <v>4</v>
      </c>
      <c r="N579" s="26">
        <v>3456</v>
      </c>
      <c r="O579" s="26" t="s">
        <v>104</v>
      </c>
      <c r="P579" s="49">
        <v>2100</v>
      </c>
      <c r="Q579" s="52"/>
      <c r="R579" s="39" t="s">
        <v>689</v>
      </c>
      <c r="S579" s="53">
        <v>0.125</v>
      </c>
      <c r="T579" s="53">
        <v>0.05</v>
      </c>
      <c r="U579" s="54"/>
      <c r="V579" s="37"/>
      <c r="W579" s="54">
        <f>IF(NOTA[[#This Row],[HARGA/ CTN]]="",NOTA[[#This Row],[JUMLAH_H]],NOTA[[#This Row],[HARGA/ CTN]]*IF(NOTA[[#This Row],[C]]="",0,NOTA[[#This Row],[C]]))</f>
        <v>7257600</v>
      </c>
      <c r="X579" s="54">
        <f>IF(NOTA[[#This Row],[JUMLAH]]="","",NOTA[[#This Row],[JUMLAH]]*NOTA[[#This Row],[DISC 1]])</f>
        <v>907200</v>
      </c>
      <c r="Y579" s="54">
        <f>IF(NOTA[[#This Row],[JUMLAH]]="","",(NOTA[[#This Row],[JUMLAH]]-NOTA[[#This Row],[DISC 1-]])*NOTA[[#This Row],[DISC 2]])</f>
        <v>317520</v>
      </c>
      <c r="Z579" s="54">
        <f>IF(NOTA[[#This Row],[JUMLAH]]="","",NOTA[[#This Row],[DISC 1-]]+NOTA[[#This Row],[DISC 2-]])</f>
        <v>1224720</v>
      </c>
      <c r="AA579" s="54">
        <f>IF(NOTA[[#This Row],[JUMLAH]]="","",NOTA[[#This Row],[JUMLAH]]-NOTA[[#This Row],[DISC]])</f>
        <v>6032880</v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579" s="54">
        <f>IF(OR(NOTA[[#This Row],[QTY]]="",NOTA[[#This Row],[HARGA SATUAN]]="",),"",NOTA[[#This Row],[QTY]]*NOTA[[#This Row],[HARGA SATUAN]])</f>
        <v>7257600</v>
      </c>
      <c r="AF579" s="51">
        <f ca="1">IF(NOTA[ID_H]="","",INDEX(NOTA[TANGGAL],MATCH(,INDIRECT(ADDRESS(ROW(NOTA[TANGGAL]),COLUMN(NOTA[TANGGAL]))&amp;":"&amp;ADDRESS(ROW(),COLUMN(NOTA[TANGGAL]))),-1)))</f>
        <v>44946</v>
      </c>
      <c r="AG579" s="49" t="str">
        <f ca="1">IF(NOTA[[#This Row],[NAMA BARANG]]="","",INDEX(NOTA[SUPPLIER],MATCH(,INDIRECT(ADDRESS(ROW(NOTA[ID]),COLUMN(NOTA[ID]))&amp;":"&amp;ADDRESS(ROW(),COLUMN(NOTA[ID]))),-1)))</f>
        <v>ATALI MAKMUR</v>
      </c>
      <c r="AH579" s="49" t="str">
        <f ca="1">IF(NOTA[[#This Row],[ID_H]]="","",IF(NOTA[[#This Row],[FAKTUR]]="",INDIRECT(ADDRESS(ROW()-1,COLUMN())),NOTA[[#This Row],[FAKTUR]]))</f>
        <v>ARTO MORO</v>
      </c>
      <c r="AI579" s="38" t="str">
        <f ca="1">IF(NOTA[[#This Row],[ID]]="","",COUNTIF(NOTA[ID_H],NOTA[[#This Row],[ID_H]]))</f>
        <v/>
      </c>
      <c r="AJ579" s="38">
        <f ca="1">IF(NOTA[[#This Row],[TGL.NOTA]]="",IF(NOTA[[#This Row],[SUPPLIER_H]]="","",AJ578),MONTH(NOTA[[#This Row],[TGL.NOTA]]))</f>
        <v>1</v>
      </c>
      <c r="AK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>gluestickgs1008gramjk18144000.1250.05</v>
      </c>
      <c r="AM579" s="193">
        <f>IF(NOTA[[#This Row],[CONCAT1]]="","",MATCH(NOTA[[#This Row],[CONCAT1]],[2]!db[NB NOTA_C],0)+1)</f>
        <v>919</v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>
        <f ca="1">IF(NOTA[[#This Row],[NAMA BARANG]]="","",INDEX(NOTA[ID],MATCH(,INDIRECT(ADDRESS(ROW(NOTA[ID]),COLUMN(NOTA[ID]))&amp;":"&amp;ADDRESS(ROW(),COLUMN(NOTA[ID]))),-1)))</f>
        <v>107</v>
      </c>
      <c r="E580" s="23"/>
      <c r="F580" s="26"/>
      <c r="G580" s="26"/>
      <c r="H580" s="31"/>
      <c r="I580" s="26"/>
      <c r="J580" s="51"/>
      <c r="K580" s="26"/>
      <c r="L580" s="26" t="s">
        <v>488</v>
      </c>
      <c r="M580" s="39">
        <v>2</v>
      </c>
      <c r="N580" s="26">
        <v>40</v>
      </c>
      <c r="O580" s="26" t="s">
        <v>104</v>
      </c>
      <c r="P580" s="49">
        <v>40500</v>
      </c>
      <c r="Q580" s="52"/>
      <c r="R580" s="39" t="s">
        <v>489</v>
      </c>
      <c r="S580" s="53">
        <v>0.125</v>
      </c>
      <c r="T580" s="53">
        <v>0.05</v>
      </c>
      <c r="U580" s="54"/>
      <c r="V580" s="37"/>
      <c r="W580" s="54">
        <f>IF(NOTA[[#This Row],[HARGA/ CTN]]="",NOTA[[#This Row],[JUMLAH_H]],NOTA[[#This Row],[HARGA/ CTN]]*IF(NOTA[[#This Row],[C]]="",0,NOTA[[#This Row],[C]]))</f>
        <v>1620000</v>
      </c>
      <c r="X580" s="54">
        <f>IF(NOTA[[#This Row],[JUMLAH]]="","",NOTA[[#This Row],[JUMLAH]]*NOTA[[#This Row],[DISC 1]])</f>
        <v>202500</v>
      </c>
      <c r="Y580" s="54">
        <f>IF(NOTA[[#This Row],[JUMLAH]]="","",(NOTA[[#This Row],[JUMLAH]]-NOTA[[#This Row],[DISC 1-]])*NOTA[[#This Row],[DISC 2]])</f>
        <v>70875</v>
      </c>
      <c r="Z580" s="54">
        <f>IF(NOTA[[#This Row],[JUMLAH]]="","",NOTA[[#This Row],[DISC 1-]]+NOTA[[#This Row],[DISC 2-]])</f>
        <v>273375</v>
      </c>
      <c r="AA580" s="54">
        <f>IF(NOTA[[#This Row],[JUMLAH]]="","",NOTA[[#This Row],[JUMLAH]]-NOTA[[#This Row],[DISC]])</f>
        <v>1346625</v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80" s="54">
        <f>IF(OR(NOTA[[#This Row],[QTY]]="",NOTA[[#This Row],[HARGA SATUAN]]="",),"",NOTA[[#This Row],[QTY]]*NOTA[[#This Row],[HARGA SATUAN]])</f>
        <v>1620000</v>
      </c>
      <c r="AF580" s="51">
        <f ca="1">IF(NOTA[ID_H]="","",INDEX(NOTA[TANGGAL],MATCH(,INDIRECT(ADDRESS(ROW(NOTA[TANGGAL]),COLUMN(NOTA[TANGGAL]))&amp;":"&amp;ADDRESS(ROW(),COLUMN(NOTA[TANGGAL]))),-1)))</f>
        <v>44946</v>
      </c>
      <c r="AG580" s="49" t="str">
        <f ca="1">IF(NOTA[[#This Row],[NAMA BARANG]]="","",INDEX(NOTA[SUPPLIER],MATCH(,INDIRECT(ADDRESS(ROW(NOTA[ID]),COLUMN(NOTA[ID]))&amp;":"&amp;ADDRESS(ROW(),COLUMN(NOTA[ID]))),-1)))</f>
        <v>ATALI MAKMUR</v>
      </c>
      <c r="AH580" s="49" t="str">
        <f ca="1">IF(NOTA[[#This Row],[ID_H]]="","",IF(NOTA[[#This Row],[FAKTUR]]="",INDIRECT(ADDRESS(ROW()-1,COLUMN())),NOTA[[#This Row],[FAKTUR]]))</f>
        <v>ARTO MORO</v>
      </c>
      <c r="AI580" s="38" t="str">
        <f ca="1">IF(NOTA[[#This Row],[ID]]="","",COUNTIF(NOTA[ID_H],NOTA[[#This Row],[ID_H]]))</f>
        <v/>
      </c>
      <c r="AJ580" s="38">
        <f ca="1">IF(NOTA[[#This Row],[TGL.NOTA]]="",IF(NOTA[[#This Row],[SUPPLIER_H]]="","",AJ579),MONTH(NOTA[[#This Row],[TGL.NOTA]]))</f>
        <v>1</v>
      </c>
      <c r="AK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580" s="193">
        <f>IF(NOTA[[#This Row],[CONCAT1]]="","",MATCH(NOTA[[#This Row],[CONCAT1]],[2]!db[NB NOTA_C],0)+1)</f>
        <v>1344</v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>
        <f ca="1">IF(NOTA[[#This Row],[NAMA BARANG]]="","",INDEX(NOTA[ID],MATCH(,INDIRECT(ADDRESS(ROW(NOTA[ID]),COLUMN(NOTA[ID]))&amp;":"&amp;ADDRESS(ROW(),COLUMN(NOTA[ID]))),-1)))</f>
        <v>107</v>
      </c>
      <c r="E581" s="23"/>
      <c r="F581" s="26"/>
      <c r="G581" s="26"/>
      <c r="H581" s="31"/>
      <c r="I581" s="26"/>
      <c r="J581" s="51"/>
      <c r="K581" s="26"/>
      <c r="L581" s="26" t="s">
        <v>439</v>
      </c>
      <c r="M581" s="39">
        <v>2</v>
      </c>
      <c r="N581" s="26">
        <v>1000</v>
      </c>
      <c r="O581" s="26" t="s">
        <v>131</v>
      </c>
      <c r="P581" s="49">
        <v>1625</v>
      </c>
      <c r="Q581" s="52"/>
      <c r="R581" s="39" t="s">
        <v>481</v>
      </c>
      <c r="S581" s="53">
        <v>0.125</v>
      </c>
      <c r="T581" s="53">
        <v>0.05</v>
      </c>
      <c r="U581" s="54"/>
      <c r="V581" s="37"/>
      <c r="W581" s="54">
        <f>IF(NOTA[[#This Row],[HARGA/ CTN]]="",NOTA[[#This Row],[JUMLAH_H]],NOTA[[#This Row],[HARGA/ CTN]]*IF(NOTA[[#This Row],[C]]="",0,NOTA[[#This Row],[C]]))</f>
        <v>1625000</v>
      </c>
      <c r="X581" s="54">
        <f>IF(NOTA[[#This Row],[JUMLAH]]="","",NOTA[[#This Row],[JUMLAH]]*NOTA[[#This Row],[DISC 1]])</f>
        <v>203125</v>
      </c>
      <c r="Y581" s="54">
        <f>IF(NOTA[[#This Row],[JUMLAH]]="","",(NOTA[[#This Row],[JUMLAH]]-NOTA[[#This Row],[DISC 1-]])*NOTA[[#This Row],[DISC 2]])</f>
        <v>71093.75</v>
      </c>
      <c r="Z581" s="54">
        <f>IF(NOTA[[#This Row],[JUMLAH]]="","",NOTA[[#This Row],[DISC 1-]]+NOTA[[#This Row],[DISC 2-]])</f>
        <v>274218.75</v>
      </c>
      <c r="AA581" s="54">
        <f>IF(NOTA[[#This Row],[JUMLAH]]="","",NOTA[[#This Row],[JUMLAH]]-NOTA[[#This Row],[DISC]])</f>
        <v>1350781.25</v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581" s="54">
        <f>IF(OR(NOTA[[#This Row],[QTY]]="",NOTA[[#This Row],[HARGA SATUAN]]="",),"",NOTA[[#This Row],[QTY]]*NOTA[[#This Row],[HARGA SATUAN]])</f>
        <v>1625000</v>
      </c>
      <c r="AF581" s="51">
        <f ca="1">IF(NOTA[ID_H]="","",INDEX(NOTA[TANGGAL],MATCH(,INDIRECT(ADDRESS(ROW(NOTA[TANGGAL]),COLUMN(NOTA[TANGGAL]))&amp;":"&amp;ADDRESS(ROW(),COLUMN(NOTA[TANGGAL]))),-1)))</f>
        <v>44946</v>
      </c>
      <c r="AG581" s="49" t="str">
        <f ca="1">IF(NOTA[[#This Row],[NAMA BARANG]]="","",INDEX(NOTA[SUPPLIER],MATCH(,INDIRECT(ADDRESS(ROW(NOTA[ID]),COLUMN(NOTA[ID]))&amp;":"&amp;ADDRESS(ROW(),COLUMN(NOTA[ID]))),-1)))</f>
        <v>ATALI MAKMUR</v>
      </c>
      <c r="AH581" s="49" t="str">
        <f ca="1">IF(NOTA[[#This Row],[ID_H]]="","",IF(NOTA[[#This Row],[FAKTUR]]="",INDIRECT(ADDRESS(ROW()-1,COLUMN())),NOTA[[#This Row],[FAKTUR]]))</f>
        <v>ARTO MORO</v>
      </c>
      <c r="AI581" s="38" t="str">
        <f ca="1">IF(NOTA[[#This Row],[ID]]="","",COUNTIF(NOTA[ID_H],NOTA[[#This Row],[ID_H]]))</f>
        <v/>
      </c>
      <c r="AJ581" s="38">
        <f ca="1">IF(NOTA[[#This Row],[TGL.NOTA]]="",IF(NOTA[[#This Row],[SUPPLIER_H]]="","",AJ580),MONTH(NOTA[[#This Row],[TGL.NOTA]]))</f>
        <v>1</v>
      </c>
      <c r="AK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581" s="193">
        <f>IF(NOTA[[#This Row],[CONCAT1]]="","",MATCH(NOTA[[#This Row],[CONCAT1]],[2]!db[NB NOTA_C],0)+1)</f>
        <v>2040</v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>
        <f ca="1">IF(NOTA[[#This Row],[NAMA BARANG]]="","",INDEX(NOTA[ID],MATCH(,INDIRECT(ADDRESS(ROW(NOTA[ID]),COLUMN(NOTA[ID]))&amp;":"&amp;ADDRESS(ROW(),COLUMN(NOTA[ID]))),-1)))</f>
        <v>107</v>
      </c>
      <c r="E582" s="23"/>
      <c r="F582" s="26"/>
      <c r="G582" s="26"/>
      <c r="H582" s="31"/>
      <c r="I582" s="26"/>
      <c r="J582" s="51"/>
      <c r="K582" s="26"/>
      <c r="L582" s="26" t="s">
        <v>278</v>
      </c>
      <c r="M582" s="39">
        <v>2</v>
      </c>
      <c r="N582" s="26">
        <v>100</v>
      </c>
      <c r="O582" s="26" t="s">
        <v>131</v>
      </c>
      <c r="P582" s="49">
        <v>28300</v>
      </c>
      <c r="Q582" s="52"/>
      <c r="R582" s="39" t="s">
        <v>279</v>
      </c>
      <c r="S582" s="53">
        <v>0.125</v>
      </c>
      <c r="T582" s="53">
        <v>0.05</v>
      </c>
      <c r="U582" s="54"/>
      <c r="V582" s="37"/>
      <c r="W582" s="54">
        <f>IF(NOTA[[#This Row],[HARGA/ CTN]]="",NOTA[[#This Row],[JUMLAH_H]],NOTA[[#This Row],[HARGA/ CTN]]*IF(NOTA[[#This Row],[C]]="",0,NOTA[[#This Row],[C]]))</f>
        <v>2830000</v>
      </c>
      <c r="X582" s="54">
        <f>IF(NOTA[[#This Row],[JUMLAH]]="","",NOTA[[#This Row],[JUMLAH]]*NOTA[[#This Row],[DISC 1]])</f>
        <v>353750</v>
      </c>
      <c r="Y582" s="54">
        <f>IF(NOTA[[#This Row],[JUMLAH]]="","",(NOTA[[#This Row],[JUMLAH]]-NOTA[[#This Row],[DISC 1-]])*NOTA[[#This Row],[DISC 2]])</f>
        <v>123812.5</v>
      </c>
      <c r="Z582" s="54">
        <f>IF(NOTA[[#This Row],[JUMLAH]]="","",NOTA[[#This Row],[DISC 1-]]+NOTA[[#This Row],[DISC 2-]])</f>
        <v>477562.5</v>
      </c>
      <c r="AA582" s="54">
        <f>IF(NOTA[[#This Row],[JUMLAH]]="","",NOTA[[#This Row],[JUMLAH]]-NOTA[[#This Row],[DISC]])</f>
        <v>2352437.5</v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82" s="54">
        <f>IF(OR(NOTA[[#This Row],[QTY]]="",NOTA[[#This Row],[HARGA SATUAN]]="",),"",NOTA[[#This Row],[QTY]]*NOTA[[#This Row],[HARGA SATUAN]])</f>
        <v>2830000</v>
      </c>
      <c r="AF582" s="51">
        <f ca="1">IF(NOTA[ID_H]="","",INDEX(NOTA[TANGGAL],MATCH(,INDIRECT(ADDRESS(ROW(NOTA[TANGGAL]),COLUMN(NOTA[TANGGAL]))&amp;":"&amp;ADDRESS(ROW(),COLUMN(NOTA[TANGGAL]))),-1)))</f>
        <v>44946</v>
      </c>
      <c r="AG582" s="49" t="str">
        <f ca="1">IF(NOTA[[#This Row],[NAMA BARANG]]="","",INDEX(NOTA[SUPPLIER],MATCH(,INDIRECT(ADDRESS(ROW(NOTA[ID]),COLUMN(NOTA[ID]))&amp;":"&amp;ADDRESS(ROW(),COLUMN(NOTA[ID]))),-1)))</f>
        <v>ATALI MAKMUR</v>
      </c>
      <c r="AH582" s="49" t="str">
        <f ca="1">IF(NOTA[[#This Row],[ID_H]]="","",IF(NOTA[[#This Row],[FAKTUR]]="",INDIRECT(ADDRESS(ROW()-1,COLUMN())),NOTA[[#This Row],[FAKTUR]]))</f>
        <v>ARTO MORO</v>
      </c>
      <c r="AI582" s="38" t="str">
        <f ca="1">IF(NOTA[[#This Row],[ID]]="","",COUNTIF(NOTA[ID_H],NOTA[[#This Row],[ID_H]]))</f>
        <v/>
      </c>
      <c r="AJ582" s="38">
        <f ca="1">IF(NOTA[[#This Row],[TGL.NOTA]]="",IF(NOTA[[#This Row],[SUPPLIER_H]]="","",AJ581),MONTH(NOTA[[#This Row],[TGL.NOTA]]))</f>
        <v>1</v>
      </c>
      <c r="AK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582" s="193">
        <f>IF(NOTA[[#This Row],[CONCAT1]]="","",MATCH(NOTA[[#This Row],[CONCAT1]],[2]!db[NB NOTA_C],0)+1)</f>
        <v>673</v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>
        <f ca="1">IF(NOTA[[#This Row],[NAMA BARANG]]="","",INDEX(NOTA[ID],MATCH(,INDIRECT(ADDRESS(ROW(NOTA[ID]),COLUMN(NOTA[ID]))&amp;":"&amp;ADDRESS(ROW(),COLUMN(NOTA[ID]))),-1)))</f>
        <v>107</v>
      </c>
      <c r="E583" s="23"/>
      <c r="F583" s="26"/>
      <c r="G583" s="26"/>
      <c r="H583" s="31"/>
      <c r="I583" s="26"/>
      <c r="J583" s="51"/>
      <c r="K583" s="26"/>
      <c r="L583" s="26" t="s">
        <v>283</v>
      </c>
      <c r="M583" s="39">
        <v>1</v>
      </c>
      <c r="N583" s="26">
        <v>50</v>
      </c>
      <c r="O583" s="26" t="s">
        <v>131</v>
      </c>
      <c r="P583" s="49">
        <v>28300</v>
      </c>
      <c r="Q583" s="52"/>
      <c r="R583" s="39" t="s">
        <v>279</v>
      </c>
      <c r="S583" s="53">
        <v>0.125</v>
      </c>
      <c r="T583" s="53">
        <v>0.05</v>
      </c>
      <c r="U583" s="54"/>
      <c r="V583" s="37"/>
      <c r="W583" s="54">
        <f>IF(NOTA[[#This Row],[HARGA/ CTN]]="",NOTA[[#This Row],[JUMLAH_H]],NOTA[[#This Row],[HARGA/ CTN]]*IF(NOTA[[#This Row],[C]]="",0,NOTA[[#This Row],[C]]))</f>
        <v>1415000</v>
      </c>
      <c r="X583" s="54">
        <f>IF(NOTA[[#This Row],[JUMLAH]]="","",NOTA[[#This Row],[JUMLAH]]*NOTA[[#This Row],[DISC 1]])</f>
        <v>176875</v>
      </c>
      <c r="Y583" s="54">
        <f>IF(NOTA[[#This Row],[JUMLAH]]="","",(NOTA[[#This Row],[JUMLAH]]-NOTA[[#This Row],[DISC 1-]])*NOTA[[#This Row],[DISC 2]])</f>
        <v>61906.25</v>
      </c>
      <c r="Z583" s="54">
        <f>IF(NOTA[[#This Row],[JUMLAH]]="","",NOTA[[#This Row],[DISC 1-]]+NOTA[[#This Row],[DISC 2-]])</f>
        <v>238781.25</v>
      </c>
      <c r="AA583" s="54">
        <f>IF(NOTA[[#This Row],[JUMLAH]]="","",NOTA[[#This Row],[JUMLAH]]-NOTA[[#This Row],[DISC]])</f>
        <v>1176218.75</v>
      </c>
      <c r="AB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D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83" s="54">
        <f>IF(OR(NOTA[[#This Row],[QTY]]="",NOTA[[#This Row],[HARGA SATUAN]]="",),"",NOTA[[#This Row],[QTY]]*NOTA[[#This Row],[HARGA SATUAN]])</f>
        <v>1415000</v>
      </c>
      <c r="AF583" s="51">
        <f ca="1">IF(NOTA[ID_H]="","",INDEX(NOTA[TANGGAL],MATCH(,INDIRECT(ADDRESS(ROW(NOTA[TANGGAL]),COLUMN(NOTA[TANGGAL]))&amp;":"&amp;ADDRESS(ROW(),COLUMN(NOTA[TANGGAL]))),-1)))</f>
        <v>44946</v>
      </c>
      <c r="AG583" s="49" t="str">
        <f ca="1">IF(NOTA[[#This Row],[NAMA BARANG]]="","",INDEX(NOTA[SUPPLIER],MATCH(,INDIRECT(ADDRESS(ROW(NOTA[ID]),COLUMN(NOTA[ID]))&amp;":"&amp;ADDRESS(ROW(),COLUMN(NOTA[ID]))),-1)))</f>
        <v>ATALI MAKMUR</v>
      </c>
      <c r="AH583" s="49" t="str">
        <f ca="1">IF(NOTA[[#This Row],[ID_H]]="","",IF(NOTA[[#This Row],[FAKTUR]]="",INDIRECT(ADDRESS(ROW()-1,COLUMN())),NOTA[[#This Row],[FAKTUR]]))</f>
        <v>ARTO MORO</v>
      </c>
      <c r="AI583" s="38" t="str">
        <f ca="1">IF(NOTA[[#This Row],[ID]]="","",COUNTIF(NOTA[ID_H],NOTA[[#This Row],[ID_H]]))</f>
        <v/>
      </c>
      <c r="AJ583" s="38">
        <f ca="1">IF(NOTA[[#This Row],[TGL.NOTA]]="",IF(NOTA[[#This Row],[SUPPLIER_H]]="","",AJ582),MONTH(NOTA[[#This Row],[TGL.NOTA]]))</f>
        <v>1</v>
      </c>
      <c r="AK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583" s="193">
        <f>IF(NOTA[[#This Row],[CONCAT1]]="","",MATCH(NOTA[[#This Row],[CONCAT1]],[2]!db[NB NOTA_C],0)+1)</f>
        <v>672</v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93" t="str">
        <f>IF(NOTA[[#This Row],[CONCAT1]]="","",MATCH(NOTA[[#This Row],[CONCAT1]],[2]!db[NB NOTA_C],0)+1)</f>
        <v/>
      </c>
    </row>
    <row r="585" spans="1:39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e">
        <f ca="1">IF(NOTA[[#This Row],[ID_P]]="","",MATCH(NOTA[[#This Row],[ID_P]],[1]!B_MSK[N_ID],0))</f>
        <v>#REF!</v>
      </c>
      <c r="D585" s="50">
        <f ca="1">IF(NOTA[[#This Row],[NAMA BARANG]]="","",INDEX(NOTA[ID],MATCH(,INDIRECT(ADDRESS(ROW(NOTA[ID]),COLUMN(NOTA[ID]))&amp;":"&amp;ADDRESS(ROW(),COLUMN(NOTA[ID]))),-1)))</f>
        <v>108</v>
      </c>
      <c r="E585" s="23"/>
      <c r="F585" s="26" t="s">
        <v>25</v>
      </c>
      <c r="G585" s="26" t="s">
        <v>24</v>
      </c>
      <c r="H585" s="31" t="s">
        <v>742</v>
      </c>
      <c r="I585" s="26"/>
      <c r="J585" s="51">
        <v>44943</v>
      </c>
      <c r="K585" s="26"/>
      <c r="L585" s="26" t="s">
        <v>755</v>
      </c>
      <c r="M585" s="39">
        <v>1</v>
      </c>
      <c r="N585" s="26">
        <v>36</v>
      </c>
      <c r="O585" s="26" t="s">
        <v>116</v>
      </c>
      <c r="P585" s="49">
        <v>41400</v>
      </c>
      <c r="Q585" s="52"/>
      <c r="R585" s="39" t="s">
        <v>505</v>
      </c>
      <c r="S585" s="53">
        <v>0.125</v>
      </c>
      <c r="T585" s="53">
        <v>0.05</v>
      </c>
      <c r="U585" s="54"/>
      <c r="V585" s="37"/>
      <c r="W585" s="54">
        <f>IF(NOTA[[#This Row],[HARGA/ CTN]]="",NOTA[[#This Row],[JUMLAH_H]],NOTA[[#This Row],[HARGA/ CTN]]*IF(NOTA[[#This Row],[C]]="",0,NOTA[[#This Row],[C]]))</f>
        <v>1490400</v>
      </c>
      <c r="X585" s="54">
        <f>IF(NOTA[[#This Row],[JUMLAH]]="","",NOTA[[#This Row],[JUMLAH]]*NOTA[[#This Row],[DISC 1]])</f>
        <v>186300</v>
      </c>
      <c r="Y585" s="54">
        <f>IF(NOTA[[#This Row],[JUMLAH]]="","",(NOTA[[#This Row],[JUMLAH]]-NOTA[[#This Row],[DISC 1-]])*NOTA[[#This Row],[DISC 2]])</f>
        <v>65205</v>
      </c>
      <c r="Z585" s="54">
        <f>IF(NOTA[[#This Row],[JUMLAH]]="","",NOTA[[#This Row],[DISC 1-]]+NOTA[[#This Row],[DISC 2-]])</f>
        <v>251505</v>
      </c>
      <c r="AA585" s="54">
        <f>IF(NOTA[[#This Row],[JUMLAH]]="","",NOTA[[#This Row],[JUMLAH]]-NOTA[[#This Row],[DISC]])</f>
        <v>1238895</v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585" s="54">
        <f>IF(OR(NOTA[[#This Row],[QTY]]="",NOTA[[#This Row],[HARGA SATUAN]]="",),"",NOTA[[#This Row],[QTY]]*NOTA[[#This Row],[HARGA SATUAN]])</f>
        <v>1490400</v>
      </c>
      <c r="AF585" s="51">
        <f ca="1">IF(NOTA[ID_H]="","",INDEX(NOTA[TANGGAL],MATCH(,INDIRECT(ADDRESS(ROW(NOTA[TANGGAL]),COLUMN(NOTA[TANGGAL]))&amp;":"&amp;ADDRESS(ROW(),COLUMN(NOTA[TANGGAL]))),-1)))</f>
        <v>44946</v>
      </c>
      <c r="AG585" s="49" t="str">
        <f ca="1">IF(NOTA[[#This Row],[NAMA BARANG]]="","",INDEX(NOTA[SUPPLIER],MATCH(,INDIRECT(ADDRESS(ROW(NOTA[ID]),COLUMN(NOTA[ID]))&amp;":"&amp;ADDRESS(ROW(),COLUMN(NOTA[ID]))),-1)))</f>
        <v>ATALI MAKMUR</v>
      </c>
      <c r="AH585" s="49" t="str">
        <f ca="1">IF(NOTA[[#This Row],[ID_H]]="","",IF(NOTA[[#This Row],[FAKTUR]]="",INDIRECT(ADDRESS(ROW()-1,COLUMN())),NOTA[[#This Row],[FAKTUR]]))</f>
        <v>ARTO MORO</v>
      </c>
      <c r="AI585" s="38">
        <f ca="1">IF(NOTA[[#This Row],[ID]]="","",COUNTIF(NOTA[ID_H],NOTA[[#This Row],[ID_H]]))</f>
        <v>5</v>
      </c>
      <c r="AJ585" s="38">
        <f>IF(NOTA[[#This Row],[TGL.NOTA]]="",IF(NOTA[[#This Row],[SUPPLIER_H]]="","",AJ584),MONTH(NOTA[[#This Row],[TGL.NOTA]]))</f>
        <v>1</v>
      </c>
      <c r="AK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>correctionfluidcfs209ajk14904000.1250.05</v>
      </c>
      <c r="AM585" s="193">
        <f>IF(NOTA[[#This Row],[CONCAT1]]="","",MATCH(NOTA[[#This Row],[CONCAT1]],[2]!db[NB NOTA_C],0)+1)</f>
        <v>507</v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>
        <f ca="1">IF(NOTA[[#This Row],[NAMA BARANG]]="","",INDEX(NOTA[ID],MATCH(,INDIRECT(ADDRESS(ROW(NOTA[ID]),COLUMN(NOTA[ID]))&amp;":"&amp;ADDRESS(ROW(),COLUMN(NOTA[ID]))),-1)))</f>
        <v>108</v>
      </c>
      <c r="E586" s="23"/>
      <c r="F586" s="26"/>
      <c r="G586" s="26"/>
      <c r="H586" s="31"/>
      <c r="I586" s="26"/>
      <c r="J586" s="51"/>
      <c r="K586" s="26"/>
      <c r="L586" s="26" t="s">
        <v>628</v>
      </c>
      <c r="M586" s="39">
        <v>1</v>
      </c>
      <c r="N586" s="26">
        <v>72</v>
      </c>
      <c r="O586" s="26" t="s">
        <v>128</v>
      </c>
      <c r="P586" s="49">
        <v>21200</v>
      </c>
      <c r="Q586" s="52"/>
      <c r="R586" s="39" t="s">
        <v>629</v>
      </c>
      <c r="S586" s="53">
        <v>0.125</v>
      </c>
      <c r="T586" s="53">
        <v>0.05</v>
      </c>
      <c r="U586" s="54"/>
      <c r="V586" s="37"/>
      <c r="W586" s="54">
        <f>IF(NOTA[[#This Row],[HARGA/ CTN]]="",NOTA[[#This Row],[JUMLAH_H]],NOTA[[#This Row],[HARGA/ CTN]]*IF(NOTA[[#This Row],[C]]="",0,NOTA[[#This Row],[C]]))</f>
        <v>1526400</v>
      </c>
      <c r="X586" s="54">
        <f>IF(NOTA[[#This Row],[JUMLAH]]="","",NOTA[[#This Row],[JUMLAH]]*NOTA[[#This Row],[DISC 1]])</f>
        <v>190800</v>
      </c>
      <c r="Y586" s="54">
        <f>IF(NOTA[[#This Row],[JUMLAH]]="","",(NOTA[[#This Row],[JUMLAH]]-NOTA[[#This Row],[DISC 1-]])*NOTA[[#This Row],[DISC 2]])</f>
        <v>66780</v>
      </c>
      <c r="Z586" s="54">
        <f>IF(NOTA[[#This Row],[JUMLAH]]="","",NOTA[[#This Row],[DISC 1-]]+NOTA[[#This Row],[DISC 2-]])</f>
        <v>257580</v>
      </c>
      <c r="AA586" s="54">
        <f>IF(NOTA[[#This Row],[JUMLAH]]="","",NOTA[[#This Row],[JUMLAH]]-NOTA[[#This Row],[DISC]])</f>
        <v>1268820</v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86" s="54">
        <f>IF(OR(NOTA[[#This Row],[QTY]]="",NOTA[[#This Row],[HARGA SATUAN]]="",),"",NOTA[[#This Row],[QTY]]*NOTA[[#This Row],[HARGA SATUAN]])</f>
        <v>1526400</v>
      </c>
      <c r="AF586" s="51">
        <f ca="1">IF(NOTA[ID_H]="","",INDEX(NOTA[TANGGAL],MATCH(,INDIRECT(ADDRESS(ROW(NOTA[TANGGAL]),COLUMN(NOTA[TANGGAL]))&amp;":"&amp;ADDRESS(ROW(),COLUMN(NOTA[TANGGAL]))),-1)))</f>
        <v>44946</v>
      </c>
      <c r="AG586" s="49" t="str">
        <f ca="1">IF(NOTA[[#This Row],[NAMA BARANG]]="","",INDEX(NOTA[SUPPLIER],MATCH(,INDIRECT(ADDRESS(ROW(NOTA[ID]),COLUMN(NOTA[ID]))&amp;":"&amp;ADDRESS(ROW(),COLUMN(NOTA[ID]))),-1)))</f>
        <v>ATALI MAKMUR</v>
      </c>
      <c r="AH586" s="49" t="str">
        <f ca="1">IF(NOTA[[#This Row],[ID_H]]="","",IF(NOTA[[#This Row],[FAKTUR]]="",INDIRECT(ADDRESS(ROW()-1,COLUMN())),NOTA[[#This Row],[FAKTUR]]))</f>
        <v>ARTO MORO</v>
      </c>
      <c r="AI586" s="38" t="str">
        <f ca="1">IF(NOTA[[#This Row],[ID]]="","",COUNTIF(NOTA[ID_H],NOTA[[#This Row],[ID_H]]))</f>
        <v/>
      </c>
      <c r="AJ586" s="38">
        <f ca="1">IF(NOTA[[#This Row],[TGL.NOTA]]="",IF(NOTA[[#This Row],[SUPPLIER_H]]="","",AJ585),MONTH(NOTA[[#This Row],[TGL.NOTA]]))</f>
        <v>1</v>
      </c>
      <c r="AK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586" s="193">
        <f>IF(NOTA[[#This Row],[CONCAT1]]="","",MATCH(NOTA[[#This Row],[CONCAT1]],[2]!db[NB NOTA_C],0)+1)</f>
        <v>489</v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>
        <f ca="1">IF(NOTA[[#This Row],[NAMA BARANG]]="","",INDEX(NOTA[ID],MATCH(,INDIRECT(ADDRESS(ROW(NOTA[ID]),COLUMN(NOTA[ID]))&amp;":"&amp;ADDRESS(ROW(),COLUMN(NOTA[ID]))),-1)))</f>
        <v>108</v>
      </c>
      <c r="E587" s="23"/>
      <c r="F587" s="26"/>
      <c r="G587" s="26"/>
      <c r="H587" s="31"/>
      <c r="I587" s="26"/>
      <c r="J587" s="51"/>
      <c r="K587" s="26"/>
      <c r="L587" s="26" t="s">
        <v>436</v>
      </c>
      <c r="M587" s="39">
        <v>2</v>
      </c>
      <c r="N587" s="26">
        <v>2000</v>
      </c>
      <c r="O587" s="26" t="s">
        <v>133</v>
      </c>
      <c r="P587" s="49">
        <v>2050</v>
      </c>
      <c r="Q587" s="52"/>
      <c r="R587" s="39" t="s">
        <v>437</v>
      </c>
      <c r="S587" s="53">
        <v>0.125</v>
      </c>
      <c r="T587" s="53">
        <v>0.05</v>
      </c>
      <c r="U587" s="54"/>
      <c r="V587" s="37"/>
      <c r="W587" s="54">
        <f>IF(NOTA[[#This Row],[HARGA/ CTN]]="",NOTA[[#This Row],[JUMLAH_H]],NOTA[[#This Row],[HARGA/ CTN]]*IF(NOTA[[#This Row],[C]]="",0,NOTA[[#This Row],[C]]))</f>
        <v>4100000</v>
      </c>
      <c r="X587" s="54">
        <f>IF(NOTA[[#This Row],[JUMLAH]]="","",NOTA[[#This Row],[JUMLAH]]*NOTA[[#This Row],[DISC 1]])</f>
        <v>512500</v>
      </c>
      <c r="Y587" s="54">
        <f>IF(NOTA[[#This Row],[JUMLAH]]="","",(NOTA[[#This Row],[JUMLAH]]-NOTA[[#This Row],[DISC 1-]])*NOTA[[#This Row],[DISC 2]])</f>
        <v>179375</v>
      </c>
      <c r="Z587" s="54">
        <f>IF(NOTA[[#This Row],[JUMLAH]]="","",NOTA[[#This Row],[DISC 1-]]+NOTA[[#This Row],[DISC 2-]])</f>
        <v>691875</v>
      </c>
      <c r="AA587" s="54">
        <f>IF(NOTA[[#This Row],[JUMLAH]]="","",NOTA[[#This Row],[JUMLAH]]-NOTA[[#This Row],[DISC]])</f>
        <v>3408125</v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587" s="54">
        <f>IF(OR(NOTA[[#This Row],[QTY]]="",NOTA[[#This Row],[HARGA SATUAN]]="",),"",NOTA[[#This Row],[QTY]]*NOTA[[#This Row],[HARGA SATUAN]])</f>
        <v>4100000</v>
      </c>
      <c r="AF587" s="51">
        <f ca="1">IF(NOTA[ID_H]="","",INDEX(NOTA[TANGGAL],MATCH(,INDIRECT(ADDRESS(ROW(NOTA[TANGGAL]),COLUMN(NOTA[TANGGAL]))&amp;":"&amp;ADDRESS(ROW(),COLUMN(NOTA[TANGGAL]))),-1)))</f>
        <v>44946</v>
      </c>
      <c r="AG587" s="49" t="str">
        <f ca="1">IF(NOTA[[#This Row],[NAMA BARANG]]="","",INDEX(NOTA[SUPPLIER],MATCH(,INDIRECT(ADDRESS(ROW(NOTA[ID]),COLUMN(NOTA[ID]))&amp;":"&amp;ADDRESS(ROW(),COLUMN(NOTA[ID]))),-1)))</f>
        <v>ATALI MAKMUR</v>
      </c>
      <c r="AH587" s="49" t="str">
        <f ca="1">IF(NOTA[[#This Row],[ID_H]]="","",IF(NOTA[[#This Row],[FAKTUR]]="",INDIRECT(ADDRESS(ROW()-1,COLUMN())),NOTA[[#This Row],[FAKTUR]]))</f>
        <v>ARTO MORO</v>
      </c>
      <c r="AI587" s="38" t="str">
        <f ca="1">IF(NOTA[[#This Row],[ID]]="","",COUNTIF(NOTA[ID_H],NOTA[[#This Row],[ID_H]]))</f>
        <v/>
      </c>
      <c r="AJ587" s="38">
        <f ca="1">IF(NOTA[[#This Row],[TGL.NOTA]]="",IF(NOTA[[#This Row],[SUPPLIER_H]]="","",AJ586),MONTH(NOTA[[#This Row],[TGL.NOTA]]))</f>
        <v>1</v>
      </c>
      <c r="AK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587" s="193">
        <f>IF(NOTA[[#This Row],[CONCAT1]]="","",MATCH(NOTA[[#This Row],[CONCAT1]],[2]!db[NB NOTA_C],0)+1)</f>
        <v>1338</v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>
        <f ca="1">IF(NOTA[[#This Row],[NAMA BARANG]]="","",INDEX(NOTA[ID],MATCH(,INDIRECT(ADDRESS(ROW(NOTA[ID]),COLUMN(NOTA[ID]))&amp;":"&amp;ADDRESS(ROW(),COLUMN(NOTA[ID]))),-1)))</f>
        <v>108</v>
      </c>
      <c r="E588" s="30"/>
      <c r="F588" s="26"/>
      <c r="G588" s="26"/>
      <c r="H588" s="31"/>
      <c r="I588" s="32"/>
      <c r="J588" s="33"/>
      <c r="K588" s="26"/>
      <c r="L588" s="26" t="s">
        <v>743</v>
      </c>
      <c r="M588" s="34">
        <v>1</v>
      </c>
      <c r="N588" s="26">
        <v>144</v>
      </c>
      <c r="O588" s="26" t="s">
        <v>116</v>
      </c>
      <c r="P588" s="28">
        <v>40800</v>
      </c>
      <c r="Q588" s="46"/>
      <c r="R588" s="39" t="s">
        <v>129</v>
      </c>
      <c r="S588" s="53">
        <v>0.125</v>
      </c>
      <c r="T588" s="35">
        <v>0.05</v>
      </c>
      <c r="U588" s="36"/>
      <c r="V588" s="37"/>
      <c r="W588" s="36">
        <f>IF(NOTA[[#This Row],[HARGA/ CTN]]="",NOTA[[#This Row],[JUMLAH_H]],NOTA[[#This Row],[HARGA/ CTN]]*IF(NOTA[[#This Row],[C]]="",0,NOTA[[#This Row],[C]]))</f>
        <v>5875200</v>
      </c>
      <c r="X588" s="36">
        <f>IF(NOTA[[#This Row],[JUMLAH]]="","",NOTA[[#This Row],[JUMLAH]]*NOTA[[#This Row],[DISC 1]])</f>
        <v>734400</v>
      </c>
      <c r="Y588" s="36">
        <f>IF(NOTA[[#This Row],[JUMLAH]]="","",(NOTA[[#This Row],[JUMLAH]]-NOTA[[#This Row],[DISC 1-]])*NOTA[[#This Row],[DISC 2]])</f>
        <v>257040</v>
      </c>
      <c r="Z588" s="36">
        <f>IF(NOTA[[#This Row],[JUMLAH]]="","",NOTA[[#This Row],[DISC 1-]]+NOTA[[#This Row],[DISC 2-]])</f>
        <v>991440</v>
      </c>
      <c r="AA588" s="36">
        <f>IF(NOTA[[#This Row],[JUMLAH]]="","",NOTA[[#This Row],[JUMLAH]]-NOTA[[#This Row],[DISC]])</f>
        <v>4883760</v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588" s="36">
        <f>IF(OR(NOTA[[#This Row],[QTY]]="",NOTA[[#This Row],[HARGA SATUAN]]="",),"",NOTA[[#This Row],[QTY]]*NOTA[[#This Row],[HARGA SATUAN]])</f>
        <v>5875200</v>
      </c>
      <c r="AF588" s="33">
        <f ca="1">IF(NOTA[ID_H]="","",INDEX(NOTA[TANGGAL],MATCH(,INDIRECT(ADDRESS(ROW(NOTA[TANGGAL]),COLUMN(NOTA[TANGGAL]))&amp;":"&amp;ADDRESS(ROW(),COLUMN(NOTA[TANGGAL]))),-1)))</f>
        <v>44946</v>
      </c>
      <c r="AG588" s="28" t="str">
        <f ca="1">IF(NOTA[[#This Row],[NAMA BARANG]]="","",INDEX(NOTA[SUPPLIER],MATCH(,INDIRECT(ADDRESS(ROW(NOTA[ID]),COLUMN(NOTA[ID]))&amp;":"&amp;ADDRESS(ROW(),COLUMN(NOTA[ID]))),-1)))</f>
        <v>ATALI MAKMUR</v>
      </c>
      <c r="AH588" s="28" t="str">
        <f ca="1">IF(NOTA[[#This Row],[ID_H]]="","",IF(NOTA[[#This Row],[FAKTUR]]="",INDIRECT(ADDRESS(ROW()-1,COLUMN())),NOTA[[#This Row],[FAKTUR]]))</f>
        <v>ARTO MORO</v>
      </c>
      <c r="AI588" s="38" t="str">
        <f ca="1">IF(NOTA[[#This Row],[ID]]="","",COUNTIF(NOTA[ID_H],NOTA[[#This Row],[ID_H]]))</f>
        <v/>
      </c>
      <c r="AJ588" s="38">
        <f ca="1">IF(NOTA[[#This Row],[TGL.NOTA]]="",IF(NOTA[[#This Row],[SUPPLIER_H]]="","",AJ587),MONTH(NOTA[[#This Row],[TGL.NOTA]]))</f>
        <v>1</v>
      </c>
      <c r="AK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>mechpencilmp21jk58752000.1250.05</v>
      </c>
      <c r="AM588" s="193">
        <f>IF(NOTA[[#This Row],[CONCAT1]]="","",MATCH(NOTA[[#This Row],[CONCAT1]],[2]!db[NB NOTA_C],0)+1)</f>
        <v>1476</v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>
        <f ca="1">IF(NOTA[[#This Row],[NAMA BARANG]]="","",INDEX(NOTA[ID],MATCH(,INDIRECT(ADDRESS(ROW(NOTA[ID]),COLUMN(NOTA[ID]))&amp;":"&amp;ADDRESS(ROW(),COLUMN(NOTA[ID]))),-1)))</f>
        <v>108</v>
      </c>
      <c r="E589" s="30"/>
      <c r="F589" s="32"/>
      <c r="G589" s="32"/>
      <c r="H589" s="55"/>
      <c r="I589" s="32"/>
      <c r="J589" s="33"/>
      <c r="K589" s="32"/>
      <c r="L589" s="26" t="s">
        <v>744</v>
      </c>
      <c r="M589" s="34">
        <v>1</v>
      </c>
      <c r="N589" s="32">
        <v>60</v>
      </c>
      <c r="O589" s="26" t="s">
        <v>131</v>
      </c>
      <c r="P589" s="28">
        <v>22200</v>
      </c>
      <c r="Q589" s="46"/>
      <c r="R589" s="39" t="s">
        <v>492</v>
      </c>
      <c r="S589" s="35">
        <v>0.125</v>
      </c>
      <c r="T589" s="35">
        <v>0.05</v>
      </c>
      <c r="U589" s="36"/>
      <c r="V589" s="37"/>
      <c r="W589" s="36">
        <f>IF(NOTA[[#This Row],[HARGA/ CTN]]="",NOTA[[#This Row],[JUMLAH_H]],NOTA[[#This Row],[HARGA/ CTN]]*IF(NOTA[[#This Row],[C]]="",0,NOTA[[#This Row],[C]]))</f>
        <v>1332000</v>
      </c>
      <c r="X589" s="36">
        <f>IF(NOTA[[#This Row],[JUMLAH]]="","",NOTA[[#This Row],[JUMLAH]]*NOTA[[#This Row],[DISC 1]])</f>
        <v>166500</v>
      </c>
      <c r="Y589" s="36">
        <f>IF(NOTA[[#This Row],[JUMLAH]]="","",(NOTA[[#This Row],[JUMLAH]]-NOTA[[#This Row],[DISC 1-]])*NOTA[[#This Row],[DISC 2]])</f>
        <v>58275</v>
      </c>
      <c r="Z589" s="36">
        <f>IF(NOTA[[#This Row],[JUMLAH]]="","",NOTA[[#This Row],[DISC 1-]]+NOTA[[#This Row],[DISC 2-]])</f>
        <v>224775</v>
      </c>
      <c r="AA589" s="36">
        <f>IF(NOTA[[#This Row],[JUMLAH]]="","",NOTA[[#This Row],[JUMLAH]]-NOTA[[#This Row],[DISC]])</f>
        <v>1107225</v>
      </c>
      <c r="AB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D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E589" s="36">
        <f>IF(OR(NOTA[[#This Row],[QTY]]="",NOTA[[#This Row],[HARGA SATUAN]]="",),"",NOTA[[#This Row],[QTY]]*NOTA[[#This Row],[HARGA SATUAN]])</f>
        <v>1332000</v>
      </c>
      <c r="AF589" s="33">
        <f ca="1">IF(NOTA[ID_H]="","",INDEX(NOTA[TANGGAL],MATCH(,INDIRECT(ADDRESS(ROW(NOTA[TANGGAL]),COLUMN(NOTA[TANGGAL]))&amp;":"&amp;ADDRESS(ROW(),COLUMN(NOTA[TANGGAL]))),-1)))</f>
        <v>44946</v>
      </c>
      <c r="AG589" s="28" t="str">
        <f ca="1">IF(NOTA[[#This Row],[NAMA BARANG]]="","",INDEX(NOTA[SUPPLIER],MATCH(,INDIRECT(ADDRESS(ROW(NOTA[ID]),COLUMN(NOTA[ID]))&amp;":"&amp;ADDRESS(ROW(),COLUMN(NOTA[ID]))),-1)))</f>
        <v>ATALI MAKMUR</v>
      </c>
      <c r="AH589" s="28" t="str">
        <f ca="1">IF(NOTA[[#This Row],[ID_H]]="","",IF(NOTA[[#This Row],[FAKTUR]]="",INDIRECT(ADDRESS(ROW()-1,COLUMN())),NOTA[[#This Row],[FAKTUR]]))</f>
        <v>ARTO MORO</v>
      </c>
      <c r="AI589" s="38" t="str">
        <f ca="1">IF(NOTA[[#This Row],[ID]]="","",COUNTIF(NOTA[ID_H],NOTA[[#This Row],[ID_H]]))</f>
        <v/>
      </c>
      <c r="AJ589" s="38">
        <f ca="1">IF(NOTA[[#This Row],[TGL.NOTA]]="",IF(NOTA[[#This Row],[SUPPLIER_H]]="","",AJ588),MONTH(NOTA[[#This Row],[TGL.NOTA]]))</f>
        <v>1</v>
      </c>
      <c r="AK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>sharpenerb23jk13320000.1250.05</v>
      </c>
      <c r="AM589" s="193">
        <f>IF(NOTA[[#This Row],[CONCAT1]]="","",MATCH(NOTA[[#This Row],[CONCAT1]],[2]!db[NB NOTA_C],0)+1)</f>
        <v>1918</v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93" t="str">
        <f>IF(NOTA[[#This Row],[CONCAT1]]="","",MATCH(NOTA[[#This Row],[CONCAT1]],[2]!db[NB NOTA_C],0)+1)</f>
        <v/>
      </c>
    </row>
    <row r="591" spans="1:39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e">
        <f ca="1">IF(NOTA[[#This Row],[ID_P]]="","",MATCH(NOTA[[#This Row],[ID_P]],[1]!B_MSK[N_ID],0))</f>
        <v>#REF!</v>
      </c>
      <c r="D591" s="29">
        <f ca="1">IF(NOTA[[#This Row],[NAMA BARANG]]="","",INDEX(NOTA[ID],MATCH(,INDIRECT(ADDRESS(ROW(NOTA[ID]),COLUMN(NOTA[ID]))&amp;":"&amp;ADDRESS(ROW(),COLUMN(NOTA[ID]))),-1)))</f>
        <v>109</v>
      </c>
      <c r="E591" s="30"/>
      <c r="F591" s="26" t="s">
        <v>52</v>
      </c>
      <c r="G591" s="26" t="s">
        <v>24</v>
      </c>
      <c r="H591" s="31" t="s">
        <v>745</v>
      </c>
      <c r="I591" s="33"/>
      <c r="J591" s="33">
        <v>44943</v>
      </c>
      <c r="K591" s="32"/>
      <c r="L591" s="26" t="s">
        <v>511</v>
      </c>
      <c r="M591" s="34"/>
      <c r="N591" s="32">
        <v>40</v>
      </c>
      <c r="O591" s="26" t="s">
        <v>104</v>
      </c>
      <c r="P591" s="28">
        <v>47000</v>
      </c>
      <c r="Q591" s="46"/>
      <c r="R591" s="39" t="s">
        <v>519</v>
      </c>
      <c r="S591" s="35">
        <v>0.125</v>
      </c>
      <c r="T591" s="35">
        <v>0.05</v>
      </c>
      <c r="U591" s="36"/>
      <c r="V591" s="37"/>
      <c r="W591" s="36">
        <f>IF(NOTA[[#This Row],[HARGA/ CTN]]="",NOTA[[#This Row],[JUMLAH_H]],NOTA[[#This Row],[HARGA/ CTN]]*IF(NOTA[[#This Row],[C]]="",0,NOTA[[#This Row],[C]]))</f>
        <v>1880000</v>
      </c>
      <c r="X591" s="36">
        <f>IF(NOTA[[#This Row],[JUMLAH]]="","",NOTA[[#This Row],[JUMLAH]]*NOTA[[#This Row],[DISC 1]])</f>
        <v>235000</v>
      </c>
      <c r="Y591" s="36">
        <f>IF(NOTA[[#This Row],[JUMLAH]]="","",(NOTA[[#This Row],[JUMLAH]]-NOTA[[#This Row],[DISC 1-]])*NOTA[[#This Row],[DISC 2]])</f>
        <v>82250</v>
      </c>
      <c r="Z591" s="36">
        <f>IF(NOTA[[#This Row],[JUMLAH]]="","",NOTA[[#This Row],[DISC 1-]]+NOTA[[#This Row],[DISC 2-]])</f>
        <v>317250</v>
      </c>
      <c r="AA591" s="36">
        <f>IF(NOTA[[#This Row],[JUMLAH]]="","",NOTA[[#This Row],[JUMLAH]]-NOTA[[#This Row],[DISC]])</f>
        <v>1562750</v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1" s="36">
        <f>IF(OR(NOTA[[#This Row],[QTY]]="",NOTA[[#This Row],[HARGA SATUAN]]="",),"",NOTA[[#This Row],[QTY]]*NOTA[[#This Row],[HARGA SATUAN]])</f>
        <v>1880000</v>
      </c>
      <c r="AF591" s="33">
        <f ca="1">IF(NOTA[ID_H]="","",INDEX(NOTA[TANGGAL],MATCH(,INDIRECT(ADDRESS(ROW(NOTA[TANGGAL]),COLUMN(NOTA[TANGGAL]))&amp;":"&amp;ADDRESS(ROW(),COLUMN(NOTA[TANGGAL]))),-1)))</f>
        <v>44946</v>
      </c>
      <c r="AG591" s="28" t="str">
        <f ca="1">IF(NOTA[[#This Row],[NAMA BARANG]]="","",INDEX(NOTA[SUPPLIER],MATCH(,INDIRECT(ADDRESS(ROW(NOTA[ID]),COLUMN(NOTA[ID]))&amp;":"&amp;ADDRESS(ROW(),COLUMN(NOTA[ID]))),-1)))</f>
        <v>KALINDO SUKSES</v>
      </c>
      <c r="AH591" s="28" t="str">
        <f ca="1">IF(NOTA[[#This Row],[ID_H]]="","",IF(NOTA[[#This Row],[FAKTUR]]="",INDIRECT(ADDRESS(ROW()-1,COLUMN())),NOTA[[#This Row],[FAKTUR]]))</f>
        <v>ARTO MORO</v>
      </c>
      <c r="AI591" s="38">
        <f ca="1">IF(NOTA[[#This Row],[ID]]="","",COUNTIF(NOTA[ID_H],NOTA[[#This Row],[ID_H]]))</f>
        <v>3</v>
      </c>
      <c r="AJ591" s="38">
        <f>IF(NOTA[[#This Row],[TGL.NOTA]]="",IF(NOTA[[#This Row],[SUPPLIER_H]]="","",AJ590),MONTH(NOTA[[#This Row],[TGL.NOTA]]))</f>
        <v>1</v>
      </c>
      <c r="AK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>calculatorjoykocc8coblue47000</v>
      </c>
      <c r="AM591" s="193">
        <f>IF(NOTA[[#This Row],[CONCAT1]]="","",MATCH(NOTA[[#This Row],[CONCAT1]],[2]!db[NB NOTA_C],0)+1)</f>
        <v>426</v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>
        <f ca="1">IF(NOTA[[#This Row],[NAMA BARANG]]="","",INDEX(NOTA[ID],MATCH(,INDIRECT(ADDRESS(ROW(NOTA[ID]),COLUMN(NOTA[ID]))&amp;":"&amp;ADDRESS(ROW(),COLUMN(NOTA[ID]))),-1)))</f>
        <v>109</v>
      </c>
      <c r="E592" s="30"/>
      <c r="F592" s="26"/>
      <c r="G592" s="26"/>
      <c r="H592" s="31"/>
      <c r="I592" s="32"/>
      <c r="J592" s="33"/>
      <c r="K592" s="32"/>
      <c r="L592" s="26" t="s">
        <v>512</v>
      </c>
      <c r="M592" s="34"/>
      <c r="N592" s="32">
        <v>40</v>
      </c>
      <c r="O592" s="26" t="s">
        <v>104</v>
      </c>
      <c r="P592" s="28">
        <v>47000</v>
      </c>
      <c r="Q592" s="46"/>
      <c r="R592" s="39" t="s">
        <v>519</v>
      </c>
      <c r="S592" s="35">
        <v>0.125</v>
      </c>
      <c r="T592" s="35">
        <v>0.05</v>
      </c>
      <c r="U592" s="36"/>
      <c r="V592" s="37"/>
      <c r="W592" s="36">
        <f>IF(NOTA[[#This Row],[HARGA/ CTN]]="",NOTA[[#This Row],[JUMLAH_H]],NOTA[[#This Row],[HARGA/ CTN]]*IF(NOTA[[#This Row],[C]]="",0,NOTA[[#This Row],[C]]))</f>
        <v>1880000</v>
      </c>
      <c r="X592" s="36">
        <f>IF(NOTA[[#This Row],[JUMLAH]]="","",NOTA[[#This Row],[JUMLAH]]*NOTA[[#This Row],[DISC 1]])</f>
        <v>235000</v>
      </c>
      <c r="Y592" s="36">
        <f>IF(NOTA[[#This Row],[JUMLAH]]="","",(NOTA[[#This Row],[JUMLAH]]-NOTA[[#This Row],[DISC 1-]])*NOTA[[#This Row],[DISC 2]])</f>
        <v>82250</v>
      </c>
      <c r="Z592" s="36">
        <f>IF(NOTA[[#This Row],[JUMLAH]]="","",NOTA[[#This Row],[DISC 1-]]+NOTA[[#This Row],[DISC 2-]])</f>
        <v>317250</v>
      </c>
      <c r="AA592" s="36">
        <f>IF(NOTA[[#This Row],[JUMLAH]]="","",NOTA[[#This Row],[JUMLAH]]-NOTA[[#This Row],[DISC]])</f>
        <v>1562750</v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2" s="36">
        <f>IF(OR(NOTA[[#This Row],[QTY]]="",NOTA[[#This Row],[HARGA SATUAN]]="",),"",NOTA[[#This Row],[QTY]]*NOTA[[#This Row],[HARGA SATUAN]])</f>
        <v>1880000</v>
      </c>
      <c r="AF592" s="33">
        <f ca="1">IF(NOTA[ID_H]="","",INDEX(NOTA[TANGGAL],MATCH(,INDIRECT(ADDRESS(ROW(NOTA[TANGGAL]),COLUMN(NOTA[TANGGAL]))&amp;":"&amp;ADDRESS(ROW(),COLUMN(NOTA[TANGGAL]))),-1)))</f>
        <v>44946</v>
      </c>
      <c r="AG592" s="28" t="str">
        <f ca="1">IF(NOTA[[#This Row],[NAMA BARANG]]="","",INDEX(NOTA[SUPPLIER],MATCH(,INDIRECT(ADDRESS(ROW(NOTA[ID]),COLUMN(NOTA[ID]))&amp;":"&amp;ADDRESS(ROW(),COLUMN(NOTA[ID]))),-1)))</f>
        <v>KALINDO SUKSES</v>
      </c>
      <c r="AH592" s="28" t="str">
        <f ca="1">IF(NOTA[[#This Row],[ID_H]]="","",IF(NOTA[[#This Row],[FAKTUR]]="",INDIRECT(ADDRESS(ROW()-1,COLUMN())),NOTA[[#This Row],[FAKTUR]]))</f>
        <v>ARTO MORO</v>
      </c>
      <c r="AI592" s="38" t="str">
        <f ca="1">IF(NOTA[[#This Row],[ID]]="","",COUNTIF(NOTA[ID_H],NOTA[[#This Row],[ID_H]]))</f>
        <v/>
      </c>
      <c r="AJ592" s="38">
        <f ca="1">IF(NOTA[[#This Row],[TGL.NOTA]]="",IF(NOTA[[#This Row],[SUPPLIER_H]]="","",AJ591),MONTH(NOTA[[#This Row],[TGL.NOTA]]))</f>
        <v>1</v>
      </c>
      <c r="AK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>calculatorjoykocc8cogreen47000</v>
      </c>
      <c r="AM592" s="193">
        <f>IF(NOTA[[#This Row],[CONCAT1]]="","",MATCH(NOTA[[#This Row],[CONCAT1]],[2]!db[NB NOTA_C],0)+1)</f>
        <v>419</v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>
        <f ca="1">IF(NOTA[[#This Row],[NAMA BARANG]]="","",INDEX(NOTA[ID],MATCH(,INDIRECT(ADDRESS(ROW(NOTA[ID]),COLUMN(NOTA[ID]))&amp;":"&amp;ADDRESS(ROW(),COLUMN(NOTA[ID]))),-1)))</f>
        <v>109</v>
      </c>
      <c r="E593" s="30"/>
      <c r="F593" s="26"/>
      <c r="G593" s="26"/>
      <c r="H593" s="31"/>
      <c r="I593" s="32"/>
      <c r="J593" s="33"/>
      <c r="K593" s="32"/>
      <c r="L593" s="26" t="s">
        <v>513</v>
      </c>
      <c r="M593" s="34"/>
      <c r="N593" s="32">
        <v>40</v>
      </c>
      <c r="O593" s="26" t="s">
        <v>104</v>
      </c>
      <c r="P593" s="28">
        <v>47000</v>
      </c>
      <c r="Q593" s="46"/>
      <c r="R593" s="39" t="s">
        <v>519</v>
      </c>
      <c r="S593" s="35">
        <v>0.125</v>
      </c>
      <c r="T593" s="35">
        <v>0.05</v>
      </c>
      <c r="U593" s="36"/>
      <c r="V593" s="37"/>
      <c r="W593" s="36">
        <f>IF(NOTA[[#This Row],[HARGA/ CTN]]="",NOTA[[#This Row],[JUMLAH_H]],NOTA[[#This Row],[HARGA/ CTN]]*IF(NOTA[[#This Row],[C]]="",0,NOTA[[#This Row],[C]]))</f>
        <v>1880000</v>
      </c>
      <c r="X593" s="36">
        <f>IF(NOTA[[#This Row],[JUMLAH]]="","",NOTA[[#This Row],[JUMLAH]]*NOTA[[#This Row],[DISC 1]])</f>
        <v>235000</v>
      </c>
      <c r="Y593" s="36">
        <f>IF(NOTA[[#This Row],[JUMLAH]]="","",(NOTA[[#This Row],[JUMLAH]]-NOTA[[#This Row],[DISC 1-]])*NOTA[[#This Row],[DISC 2]])</f>
        <v>82250</v>
      </c>
      <c r="Z593" s="36">
        <f>IF(NOTA[[#This Row],[JUMLAH]]="","",NOTA[[#This Row],[DISC 1-]]+NOTA[[#This Row],[DISC 2-]])</f>
        <v>317250</v>
      </c>
      <c r="AA593" s="36">
        <f>IF(NOTA[[#This Row],[JUMLAH]]="","",NOTA[[#This Row],[JUMLAH]]-NOTA[[#This Row],[DISC]])</f>
        <v>1562750</v>
      </c>
      <c r="AB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D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3" s="36">
        <f>IF(OR(NOTA[[#This Row],[QTY]]="",NOTA[[#This Row],[HARGA SATUAN]]="",),"",NOTA[[#This Row],[QTY]]*NOTA[[#This Row],[HARGA SATUAN]])</f>
        <v>1880000</v>
      </c>
      <c r="AF593" s="33">
        <f ca="1">IF(NOTA[ID_H]="","",INDEX(NOTA[TANGGAL],MATCH(,INDIRECT(ADDRESS(ROW(NOTA[TANGGAL]),COLUMN(NOTA[TANGGAL]))&amp;":"&amp;ADDRESS(ROW(),COLUMN(NOTA[TANGGAL]))),-1)))</f>
        <v>44946</v>
      </c>
      <c r="AG593" s="28" t="str">
        <f ca="1">IF(NOTA[[#This Row],[NAMA BARANG]]="","",INDEX(NOTA[SUPPLIER],MATCH(,INDIRECT(ADDRESS(ROW(NOTA[ID]),COLUMN(NOTA[ID]))&amp;":"&amp;ADDRESS(ROW(),COLUMN(NOTA[ID]))),-1)))</f>
        <v>KALINDO SUKSES</v>
      </c>
      <c r="AH593" s="28" t="str">
        <f ca="1">IF(NOTA[[#This Row],[ID_H]]="","",IF(NOTA[[#This Row],[FAKTUR]]="",INDIRECT(ADDRESS(ROW()-1,COLUMN())),NOTA[[#This Row],[FAKTUR]]))</f>
        <v>ARTO MORO</v>
      </c>
      <c r="AI593" s="38" t="str">
        <f ca="1">IF(NOTA[[#This Row],[ID]]="","",COUNTIF(NOTA[ID_H],NOTA[[#This Row],[ID_H]]))</f>
        <v/>
      </c>
      <c r="AJ593" s="38">
        <f ca="1">IF(NOTA[[#This Row],[TGL.NOTA]]="",IF(NOTA[[#This Row],[SUPPLIER_H]]="","",AJ592),MONTH(NOTA[[#This Row],[TGL.NOTA]]))</f>
        <v>1</v>
      </c>
      <c r="AK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>calculatorjoykocc8coorange47000</v>
      </c>
      <c r="AM593" s="193">
        <f>IF(NOTA[[#This Row],[CONCAT1]]="","",MATCH(NOTA[[#This Row],[CONCAT1]],[2]!db[NB NOTA_C],0)+1)</f>
        <v>427</v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93" t="str">
        <f>IF(NOTA[[#This Row],[CONCAT1]]="","",MATCH(NOTA[[#This Row],[CONCAT1]],[2]!db[NB NOTA_C],0)+1)</f>
        <v/>
      </c>
    </row>
    <row r="595" spans="1:39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e">
        <f ca="1">IF(NOTA[[#This Row],[ID_P]]="","",MATCH(NOTA[[#This Row],[ID_P]],[1]!B_MSK[N_ID],0))</f>
        <v>#REF!</v>
      </c>
      <c r="D595" s="29">
        <f ca="1">IF(NOTA[[#This Row],[NAMA BARANG]]="","",INDEX(NOTA[ID],MATCH(,INDIRECT(ADDRESS(ROW(NOTA[ID]),COLUMN(NOTA[ID]))&amp;":"&amp;ADDRESS(ROW(),COLUMN(NOTA[ID]))),-1)))</f>
        <v>110</v>
      </c>
      <c r="E595" s="30"/>
      <c r="F595" s="26" t="s">
        <v>23</v>
      </c>
      <c r="G595" s="26" t="s">
        <v>24</v>
      </c>
      <c r="H595" s="31" t="s">
        <v>746</v>
      </c>
      <c r="I595" s="26" t="s">
        <v>747</v>
      </c>
      <c r="J595" s="33">
        <v>44944</v>
      </c>
      <c r="K595" s="32"/>
      <c r="L595" s="26" t="s">
        <v>352</v>
      </c>
      <c r="M595" s="34">
        <v>2</v>
      </c>
      <c r="N595" s="32"/>
      <c r="O595" s="26"/>
      <c r="P595" s="28"/>
      <c r="Q595" s="46">
        <v>1375000</v>
      </c>
      <c r="R595" s="39" t="s">
        <v>362</v>
      </c>
      <c r="S595" s="35">
        <v>0.17</v>
      </c>
      <c r="T595" s="35"/>
      <c r="U595" s="36"/>
      <c r="V595" s="37"/>
      <c r="W595" s="36">
        <f>IF(NOTA[[#This Row],[HARGA/ CTN]]="",NOTA[[#This Row],[JUMLAH_H]],NOTA[[#This Row],[HARGA/ CTN]]*IF(NOTA[[#This Row],[C]]="",0,NOTA[[#This Row],[C]]))</f>
        <v>2750000</v>
      </c>
      <c r="X595" s="36">
        <f>IF(NOTA[[#This Row],[JUMLAH]]="","",NOTA[[#This Row],[JUMLAH]]*NOTA[[#This Row],[DISC 1]])</f>
        <v>467500.00000000006</v>
      </c>
      <c r="Y595" s="36">
        <f>IF(NOTA[[#This Row],[JUMLAH]]="","",(NOTA[[#This Row],[JUMLAH]]-NOTA[[#This Row],[DISC 1-]])*NOTA[[#This Row],[DISC 2]])</f>
        <v>0</v>
      </c>
      <c r="Z595" s="36">
        <f>IF(NOTA[[#This Row],[JUMLAH]]="","",NOTA[[#This Row],[DISC 1-]]+NOTA[[#This Row],[DISC 2-]])</f>
        <v>467500.00000000006</v>
      </c>
      <c r="AA595" s="36">
        <f>IF(NOTA[[#This Row],[JUMLAH]]="","",NOTA[[#This Row],[JUMLAH]]-NOTA[[#This Row],[DISC]])</f>
        <v>2282500</v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595" s="36" t="str">
        <f>IF(OR(NOTA[[#This Row],[QTY]]="",NOTA[[#This Row],[HARGA SATUAN]]="",),"",NOTA[[#This Row],[QTY]]*NOTA[[#This Row],[HARGA SATUAN]])</f>
        <v/>
      </c>
      <c r="AF595" s="33">
        <f ca="1">IF(NOTA[ID_H]="","",INDEX(NOTA[TANGGAL],MATCH(,INDIRECT(ADDRESS(ROW(NOTA[TANGGAL]),COLUMN(NOTA[TANGGAL]))&amp;":"&amp;ADDRESS(ROW(),COLUMN(NOTA[TANGGAL]))),-1)))</f>
        <v>44946</v>
      </c>
      <c r="AG595" s="28" t="str">
        <f ca="1">IF(NOTA[[#This Row],[NAMA BARANG]]="","",INDEX(NOTA[SUPPLIER],MATCH(,INDIRECT(ADDRESS(ROW(NOTA[ID]),COLUMN(NOTA[ID]))&amp;":"&amp;ADDRESS(ROW(),COLUMN(NOTA[ID]))),-1)))</f>
        <v>KENKO SINAR INDONESIA</v>
      </c>
      <c r="AH595" s="28" t="str">
        <f ca="1">IF(NOTA[[#This Row],[ID_H]]="","",IF(NOTA[[#This Row],[FAKTUR]]="",INDIRECT(ADDRESS(ROW()-1,COLUMN())),NOTA[[#This Row],[FAKTUR]]))</f>
        <v>ARTO MORO</v>
      </c>
      <c r="AI595" s="38">
        <f ca="1">IF(NOTA[[#This Row],[ID]]="","",COUNTIF(NOTA[ID_H],NOTA[[#This Row],[ID_H]]))</f>
        <v>3</v>
      </c>
      <c r="AJ595" s="38">
        <f>IF(NOTA[[#This Row],[TGL.NOTA]]="",IF(NOTA[[#This Row],[SUPPLIER_H]]="","",AJ594),MONTH(NOTA[[#This Row],[TGL.NOTA]]))</f>
        <v>1</v>
      </c>
      <c r="AK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595" s="193">
        <f>IF(NOTA[[#This Row],[CONCAT1]]="","",MATCH(NOTA[[#This Row],[CONCAT1]],[2]!db[NB NOTA_C],0)+1)</f>
        <v>1133</v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>
        <f ca="1">IF(NOTA[[#This Row],[NAMA BARANG]]="","",INDEX(NOTA[ID],MATCH(,INDIRECT(ADDRESS(ROW(NOTA[ID]),COLUMN(NOTA[ID]))&amp;":"&amp;ADDRESS(ROW(),COLUMN(NOTA[ID]))),-1)))</f>
        <v>110</v>
      </c>
      <c r="E596" s="23"/>
      <c r="F596" s="26"/>
      <c r="G596" s="26"/>
      <c r="H596" s="31"/>
      <c r="I596" s="26"/>
      <c r="J596" s="51"/>
      <c r="K596" s="26"/>
      <c r="L596" s="26" t="s">
        <v>406</v>
      </c>
      <c r="M596" s="39">
        <v>5</v>
      </c>
      <c r="N596" s="26"/>
      <c r="O596" s="26"/>
      <c r="P596" s="52"/>
      <c r="Q596" s="52">
        <v>1954800</v>
      </c>
      <c r="R596" s="39" t="s">
        <v>118</v>
      </c>
      <c r="S596" s="53">
        <v>0.17</v>
      </c>
      <c r="T596" s="53"/>
      <c r="U596" s="54"/>
      <c r="V596" s="37"/>
      <c r="W596" s="54">
        <f>IF(NOTA[[#This Row],[HARGA/ CTN]]="",NOTA[[#This Row],[JUMLAH_H]],NOTA[[#This Row],[HARGA/ CTN]]*IF(NOTA[[#This Row],[C]]="",0,NOTA[[#This Row],[C]]))</f>
        <v>9774000</v>
      </c>
      <c r="X596" s="54">
        <f>IF(NOTA[[#This Row],[JUMLAH]]="","",NOTA[[#This Row],[JUMLAH]]*NOTA[[#This Row],[DISC 1]])</f>
        <v>1661580.0000000002</v>
      </c>
      <c r="Y596" s="54">
        <f>IF(NOTA[[#This Row],[JUMLAH]]="","",(NOTA[[#This Row],[JUMLAH]]-NOTA[[#This Row],[DISC 1-]])*NOTA[[#This Row],[DISC 2]])</f>
        <v>0</v>
      </c>
      <c r="Z596" s="54">
        <f>IF(NOTA[[#This Row],[JUMLAH]]="","",NOTA[[#This Row],[DISC 1-]]+NOTA[[#This Row],[DISC 2-]])</f>
        <v>1661580.0000000002</v>
      </c>
      <c r="AA596" s="54">
        <f>IF(NOTA[[#This Row],[JUMLAH]]="","",NOTA[[#This Row],[JUMLAH]]-NOTA[[#This Row],[DISC]])</f>
        <v>8112420</v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96" s="54" t="str">
        <f>IF(OR(NOTA[[#This Row],[QTY]]="",NOTA[[#This Row],[HARGA SATUAN]]="",),"",NOTA[[#This Row],[QTY]]*NOTA[[#This Row],[HARGA SATUAN]])</f>
        <v/>
      </c>
      <c r="AF596" s="51">
        <f ca="1">IF(NOTA[ID_H]="","",INDEX(NOTA[TANGGAL],MATCH(,INDIRECT(ADDRESS(ROW(NOTA[TANGGAL]),COLUMN(NOTA[TANGGAL]))&amp;":"&amp;ADDRESS(ROW(),COLUMN(NOTA[TANGGAL]))),-1)))</f>
        <v>44946</v>
      </c>
      <c r="AG596" s="49" t="str">
        <f ca="1">IF(NOTA[[#This Row],[NAMA BARANG]]="","",INDEX(NOTA[SUPPLIER],MATCH(,INDIRECT(ADDRESS(ROW(NOTA[ID]),COLUMN(NOTA[ID]))&amp;":"&amp;ADDRESS(ROW(),COLUMN(NOTA[ID]))),-1)))</f>
        <v>KENKO SINAR INDONESIA</v>
      </c>
      <c r="AH596" s="49" t="str">
        <f ca="1">IF(NOTA[[#This Row],[ID_H]]="","",IF(NOTA[[#This Row],[FAKTUR]]="",INDIRECT(ADDRESS(ROW()-1,COLUMN())),NOTA[[#This Row],[FAKTUR]]))</f>
        <v>ARTO MORO</v>
      </c>
      <c r="AI596" s="38" t="str">
        <f ca="1">IF(NOTA[[#This Row],[ID]]="","",COUNTIF(NOTA[ID_H],NOTA[[#This Row],[ID_H]]))</f>
        <v/>
      </c>
      <c r="AJ596" s="38">
        <f ca="1">IF(NOTA[[#This Row],[TGL.NOTA]]="",IF(NOTA[[#This Row],[SUPPLIER_H]]="","",AJ595),MONTH(NOTA[[#This Row],[TGL.NOTA]]))</f>
        <v>1</v>
      </c>
      <c r="AK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596" s="193">
        <f>IF(NOTA[[#This Row],[CONCAT1]]="","",MATCH(NOTA[[#This Row],[CONCAT1]],[2]!db[NB NOTA_C],0)+1)</f>
        <v>1089</v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>
        <f ca="1">IF(NOTA[[#This Row],[NAMA BARANG]]="","",INDEX(NOTA[ID],MATCH(,INDIRECT(ADDRESS(ROW(NOTA[ID]),COLUMN(NOTA[ID]))&amp;":"&amp;ADDRESS(ROW(),COLUMN(NOTA[ID]))),-1)))</f>
        <v>110</v>
      </c>
      <c r="E597" s="23"/>
      <c r="F597" s="26"/>
      <c r="G597" s="26"/>
      <c r="H597" s="31"/>
      <c r="I597" s="26"/>
      <c r="J597" s="51"/>
      <c r="K597" s="26"/>
      <c r="L597" s="26" t="s">
        <v>748</v>
      </c>
      <c r="M597" s="39">
        <v>2</v>
      </c>
      <c r="N597" s="26"/>
      <c r="O597" s="26"/>
      <c r="P597" s="49"/>
      <c r="Q597" s="52">
        <v>5702400</v>
      </c>
      <c r="R597" s="39" t="s">
        <v>117</v>
      </c>
      <c r="S597" s="53">
        <v>0.17</v>
      </c>
      <c r="T597" s="53"/>
      <c r="U597" s="54"/>
      <c r="V597" s="37"/>
      <c r="W597" s="54">
        <f>IF(NOTA[[#This Row],[HARGA/ CTN]]="",NOTA[[#This Row],[JUMLAH_H]],NOTA[[#This Row],[HARGA/ CTN]]*IF(NOTA[[#This Row],[C]]="",0,NOTA[[#This Row],[C]]))</f>
        <v>11404800</v>
      </c>
      <c r="X597" s="54">
        <f>IF(NOTA[[#This Row],[JUMLAH]]="","",NOTA[[#This Row],[JUMLAH]]*NOTA[[#This Row],[DISC 1]])</f>
        <v>1938816.0000000002</v>
      </c>
      <c r="Y597" s="54">
        <f>IF(NOTA[[#This Row],[JUMLAH]]="","",(NOTA[[#This Row],[JUMLAH]]-NOTA[[#This Row],[DISC 1-]])*NOTA[[#This Row],[DISC 2]])</f>
        <v>0</v>
      </c>
      <c r="Z597" s="54">
        <f>IF(NOTA[[#This Row],[JUMLAH]]="","",NOTA[[#This Row],[DISC 1-]]+NOTA[[#This Row],[DISC 2-]])</f>
        <v>1938816.0000000002</v>
      </c>
      <c r="AA597" s="54">
        <f>IF(NOTA[[#This Row],[JUMLAH]]="","",NOTA[[#This Row],[JUMLAH]]-NOTA[[#This Row],[DISC]])</f>
        <v>9465984</v>
      </c>
      <c r="AB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D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97" s="54" t="str">
        <f>IF(OR(NOTA[[#This Row],[QTY]]="",NOTA[[#This Row],[HARGA SATUAN]]="",),"",NOTA[[#This Row],[QTY]]*NOTA[[#This Row],[HARGA SATUAN]])</f>
        <v/>
      </c>
      <c r="AF597" s="51">
        <f ca="1">IF(NOTA[ID_H]="","",INDEX(NOTA[TANGGAL],MATCH(,INDIRECT(ADDRESS(ROW(NOTA[TANGGAL]),COLUMN(NOTA[TANGGAL]))&amp;":"&amp;ADDRESS(ROW(),COLUMN(NOTA[TANGGAL]))),-1)))</f>
        <v>44946</v>
      </c>
      <c r="AG597" s="49" t="str">
        <f ca="1">IF(NOTA[[#This Row],[NAMA BARANG]]="","",INDEX(NOTA[SUPPLIER],MATCH(,INDIRECT(ADDRESS(ROW(NOTA[ID]),COLUMN(NOTA[ID]))&amp;":"&amp;ADDRESS(ROW(),COLUMN(NOTA[ID]))),-1)))</f>
        <v>KENKO SINAR INDONESIA</v>
      </c>
      <c r="AH597" s="49" t="str">
        <f ca="1">IF(NOTA[[#This Row],[ID_H]]="","",IF(NOTA[[#This Row],[FAKTUR]]="",INDIRECT(ADDRESS(ROW()-1,COLUMN())),NOTA[[#This Row],[FAKTUR]]))</f>
        <v>ARTO MORO</v>
      </c>
      <c r="AI597" s="38" t="str">
        <f ca="1">IF(NOTA[[#This Row],[ID]]="","",COUNTIF(NOTA[ID_H],NOTA[[#This Row],[ID_H]]))</f>
        <v/>
      </c>
      <c r="AJ597" s="38">
        <f ca="1">IF(NOTA[[#This Row],[TGL.NOTA]]="",IF(NOTA[[#This Row],[SUPPLIER_H]]="","",AJ596),MONTH(NOTA[[#This Row],[TGL.NOTA]]))</f>
        <v>1</v>
      </c>
      <c r="AK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597" s="193">
        <f>IF(NOTA[[#This Row],[CONCAT1]]="","",MATCH(NOTA[[#This Row],[CONCAT1]],[2]!db[NB NOTA_C],0)+1)</f>
        <v>1152</v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93" t="str">
        <f>IF(NOTA[[#This Row],[CONCAT1]]="","",MATCH(NOTA[[#This Row],[CONCAT1]],[2]!db[NB NOTA_C],0)+1)</f>
        <v/>
      </c>
    </row>
    <row r="599" spans="1:39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e">
        <f ca="1">IF(NOTA[[#This Row],[ID_P]]="","",MATCH(NOTA[[#This Row],[ID_P]],[1]!B_MSK[N_ID],0))</f>
        <v>#REF!</v>
      </c>
      <c r="D599" s="50">
        <f ca="1">IF(NOTA[[#This Row],[NAMA BARANG]]="","",INDEX(NOTA[ID],MATCH(,INDIRECT(ADDRESS(ROW(NOTA[ID]),COLUMN(NOTA[ID]))&amp;":"&amp;ADDRESS(ROW(),COLUMN(NOTA[ID]))),-1)))</f>
        <v>111</v>
      </c>
      <c r="E599" s="23"/>
      <c r="F599" s="26" t="s">
        <v>23</v>
      </c>
      <c r="G599" s="26" t="s">
        <v>24</v>
      </c>
      <c r="H599" s="31" t="s">
        <v>749</v>
      </c>
      <c r="I599" s="26" t="s">
        <v>750</v>
      </c>
      <c r="J599" s="51">
        <v>44943</v>
      </c>
      <c r="K599" s="26"/>
      <c r="L599" s="26" t="s">
        <v>752</v>
      </c>
      <c r="M599" s="39">
        <v>4</v>
      </c>
      <c r="N599" s="26"/>
      <c r="O599" s="26"/>
      <c r="P599" s="49"/>
      <c r="Q599" s="52">
        <v>2376000</v>
      </c>
      <c r="R599" s="39" t="s">
        <v>753</v>
      </c>
      <c r="S599" s="53">
        <v>0.17</v>
      </c>
      <c r="T599" s="53"/>
      <c r="U599" s="54"/>
      <c r="V599" s="37"/>
      <c r="W599" s="54">
        <f>IF(NOTA[[#This Row],[HARGA/ CTN]]="",NOTA[[#This Row],[JUMLAH_H]],NOTA[[#This Row],[HARGA/ CTN]]*IF(NOTA[[#This Row],[C]]="",0,NOTA[[#This Row],[C]]))</f>
        <v>9504000</v>
      </c>
      <c r="X599" s="54">
        <f>IF(NOTA[[#This Row],[JUMLAH]]="","",NOTA[[#This Row],[JUMLAH]]*NOTA[[#This Row],[DISC 1]])</f>
        <v>1615680</v>
      </c>
      <c r="Y599" s="54">
        <f>IF(NOTA[[#This Row],[JUMLAH]]="","",(NOTA[[#This Row],[JUMLAH]]-NOTA[[#This Row],[DISC 1-]])*NOTA[[#This Row],[DISC 2]])</f>
        <v>0</v>
      </c>
      <c r="Z599" s="54">
        <f>IF(NOTA[[#This Row],[JUMLAH]]="","",NOTA[[#This Row],[DISC 1-]]+NOTA[[#This Row],[DISC 2-]])</f>
        <v>1615680</v>
      </c>
      <c r="AA599" s="54">
        <f>IF(NOTA[[#This Row],[JUMLAH]]="","",NOTA[[#This Row],[JUMLAH]]-NOTA[[#This Row],[DISC]])</f>
        <v>7888320</v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9" s="54" t="str">
        <f>IF(OR(NOTA[[#This Row],[QTY]]="",NOTA[[#This Row],[HARGA SATUAN]]="",),"",NOTA[[#This Row],[QTY]]*NOTA[[#This Row],[HARGA SATUAN]])</f>
        <v/>
      </c>
      <c r="AF599" s="51">
        <f ca="1">IF(NOTA[ID_H]="","",INDEX(NOTA[TANGGAL],MATCH(,INDIRECT(ADDRESS(ROW(NOTA[TANGGAL]),COLUMN(NOTA[TANGGAL]))&amp;":"&amp;ADDRESS(ROW(),COLUMN(NOTA[TANGGAL]))),-1)))</f>
        <v>44946</v>
      </c>
      <c r="AG599" s="49" t="str">
        <f ca="1">IF(NOTA[[#This Row],[NAMA BARANG]]="","",INDEX(NOTA[SUPPLIER],MATCH(,INDIRECT(ADDRESS(ROW(NOTA[ID]),COLUMN(NOTA[ID]))&amp;":"&amp;ADDRESS(ROW(),COLUMN(NOTA[ID]))),-1)))</f>
        <v>KENKO SINAR INDONESIA</v>
      </c>
      <c r="AH599" s="49" t="str">
        <f ca="1">IF(NOTA[[#This Row],[ID_H]]="","",IF(NOTA[[#This Row],[FAKTUR]]="",INDIRECT(ADDRESS(ROW()-1,COLUMN())),NOTA[[#This Row],[FAKTUR]]))</f>
        <v>ARTO MORO</v>
      </c>
      <c r="AI599" s="38">
        <f ca="1">IF(NOTA[[#This Row],[ID]]="","",COUNTIF(NOTA[ID_H],NOTA[[#This Row],[ID_H]]))</f>
        <v>2</v>
      </c>
      <c r="AJ599" s="38">
        <f>IF(NOTA[[#This Row],[TGL.NOTA]]="",IF(NOTA[[#This Row],[SUPPLIER_H]]="","",AJ598),MONTH(NOTA[[#This Row],[TGL.NOTA]]))</f>
        <v>1</v>
      </c>
      <c r="AK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599" s="193">
        <f>IF(NOTA[[#This Row],[CONCAT1]]="","",MATCH(NOTA[[#This Row],[CONCAT1]],[2]!db[NB NOTA_C],0)+1)</f>
        <v>1178</v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>
        <f ca="1">IF(NOTA[[#This Row],[NAMA BARANG]]="","",INDEX(NOTA[ID],MATCH(,INDIRECT(ADDRESS(ROW(NOTA[ID]),COLUMN(NOTA[ID]))&amp;":"&amp;ADDRESS(ROW(),COLUMN(NOTA[ID]))),-1)))</f>
        <v>111</v>
      </c>
      <c r="E600" s="23"/>
      <c r="F600" s="26"/>
      <c r="G600" s="26"/>
      <c r="H600" s="31"/>
      <c r="I600" s="26"/>
      <c r="J600" s="51"/>
      <c r="K600" s="26"/>
      <c r="L600" s="26" t="s">
        <v>751</v>
      </c>
      <c r="M600" s="39">
        <v>2</v>
      </c>
      <c r="N600" s="26"/>
      <c r="O600" s="26"/>
      <c r="P600" s="49"/>
      <c r="Q600" s="52">
        <v>2592000</v>
      </c>
      <c r="R600" s="39" t="s">
        <v>754</v>
      </c>
      <c r="S600" s="53">
        <v>0.17</v>
      </c>
      <c r="T600" s="53"/>
      <c r="U600" s="54"/>
      <c r="V600" s="37"/>
      <c r="W600" s="54">
        <f>IF(NOTA[[#This Row],[HARGA/ CTN]]="",NOTA[[#This Row],[JUMLAH_H]],NOTA[[#This Row],[HARGA/ CTN]]*IF(NOTA[[#This Row],[C]]="",0,NOTA[[#This Row],[C]]))</f>
        <v>5184000</v>
      </c>
      <c r="X600" s="54">
        <f>IF(NOTA[[#This Row],[JUMLAH]]="","",NOTA[[#This Row],[JUMLAH]]*NOTA[[#This Row],[DISC 1]])</f>
        <v>881280.00000000012</v>
      </c>
      <c r="Y600" s="54">
        <f>IF(NOTA[[#This Row],[JUMLAH]]="","",(NOTA[[#This Row],[JUMLAH]]-NOTA[[#This Row],[DISC 1-]])*NOTA[[#This Row],[DISC 2]])</f>
        <v>0</v>
      </c>
      <c r="Z600" s="54">
        <f>IF(NOTA[[#This Row],[JUMLAH]]="","",NOTA[[#This Row],[DISC 1-]]+NOTA[[#This Row],[DISC 2-]])</f>
        <v>881280.00000000012</v>
      </c>
      <c r="AA600" s="54">
        <f>IF(NOTA[[#This Row],[JUMLAH]]="","",NOTA[[#This Row],[JUMLAH]]-NOTA[[#This Row],[DISC]])</f>
        <v>4302720</v>
      </c>
      <c r="AB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D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600" s="54" t="str">
        <f>IF(OR(NOTA[[#This Row],[QTY]]="",NOTA[[#This Row],[HARGA SATUAN]]="",),"",NOTA[[#This Row],[QTY]]*NOTA[[#This Row],[HARGA SATUAN]])</f>
        <v/>
      </c>
      <c r="AF600" s="51">
        <f ca="1">IF(NOTA[ID_H]="","",INDEX(NOTA[TANGGAL],MATCH(,INDIRECT(ADDRESS(ROW(NOTA[TANGGAL]),COLUMN(NOTA[TANGGAL]))&amp;":"&amp;ADDRESS(ROW(),COLUMN(NOTA[TANGGAL]))),-1)))</f>
        <v>44946</v>
      </c>
      <c r="AG600" s="49" t="str">
        <f ca="1">IF(NOTA[[#This Row],[NAMA BARANG]]="","",INDEX(NOTA[SUPPLIER],MATCH(,INDIRECT(ADDRESS(ROW(NOTA[ID]),COLUMN(NOTA[ID]))&amp;":"&amp;ADDRESS(ROW(),COLUMN(NOTA[ID]))),-1)))</f>
        <v>KENKO SINAR INDONESIA</v>
      </c>
      <c r="AH600" s="49" t="str">
        <f ca="1">IF(NOTA[[#This Row],[ID_H]]="","",IF(NOTA[[#This Row],[FAKTUR]]="",INDIRECT(ADDRESS(ROW()-1,COLUMN())),NOTA[[#This Row],[FAKTUR]]))</f>
        <v>ARTO MORO</v>
      </c>
      <c r="AI600" s="38" t="str">
        <f ca="1">IF(NOTA[[#This Row],[ID]]="","",COUNTIF(NOTA[ID_H],NOTA[[#This Row],[ID_H]]))</f>
        <v/>
      </c>
      <c r="AJ600" s="38">
        <f ca="1">IF(NOTA[[#This Row],[TGL.NOTA]]="",IF(NOTA[[#This Row],[SUPPLIER_H]]="","",AJ599),MONTH(NOTA[[#This Row],[TGL.NOTA]]))</f>
        <v>1</v>
      </c>
      <c r="AK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600" s="193">
        <f>IF(NOTA[[#This Row],[CONCAT1]]="","",MATCH(NOTA[[#This Row],[CONCAT1]],[2]!db[NB NOTA_C],0)+1)</f>
        <v>1176</v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93" t="str">
        <f>IF(NOTA[[#This Row],[CONCAT1]]="","",MATCH(NOTA[[#This Row],[CONCAT1]],[2]!db[NB NOTA_C],0)+1)</f>
        <v/>
      </c>
    </row>
    <row r="602" spans="1:39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e">
        <f ca="1">IF(NOTA[[#This Row],[ID_P]]="","",MATCH(NOTA[[#This Row],[ID_P]],[1]!B_MSK[N_ID],0))</f>
        <v>#REF!</v>
      </c>
      <c r="D602" s="50">
        <f ca="1">IF(NOTA[[#This Row],[NAMA BARANG]]="","",INDEX(NOTA[ID],MATCH(,INDIRECT(ADDRESS(ROW(NOTA[ID]),COLUMN(NOTA[ID]))&amp;":"&amp;ADDRESS(ROW(),COLUMN(NOTA[ID]))),-1)))</f>
        <v>112</v>
      </c>
      <c r="E602" s="23"/>
      <c r="F602" s="26" t="s">
        <v>144</v>
      </c>
      <c r="G602" s="26" t="s">
        <v>87</v>
      </c>
      <c r="H602" s="31" t="s">
        <v>758</v>
      </c>
      <c r="I602" s="26"/>
      <c r="J602" s="51">
        <v>44942</v>
      </c>
      <c r="K602" s="26"/>
      <c r="L602" s="26" t="s">
        <v>759</v>
      </c>
      <c r="M602" s="39">
        <v>1</v>
      </c>
      <c r="N602" s="26">
        <v>600</v>
      </c>
      <c r="O602" s="26" t="s">
        <v>128</v>
      </c>
      <c r="P602" s="49">
        <v>13000</v>
      </c>
      <c r="Q602" s="52"/>
      <c r="R602" s="39" t="s">
        <v>760</v>
      </c>
      <c r="S602" s="53"/>
      <c r="T602" s="53"/>
      <c r="U602" s="54"/>
      <c r="V602" s="37"/>
      <c r="W602" s="54">
        <f>IF(NOTA[[#This Row],[HARGA/ CTN]]="",NOTA[[#This Row],[JUMLAH_H]],NOTA[[#This Row],[HARGA/ CTN]]*IF(NOTA[[#This Row],[C]]="",0,NOTA[[#This Row],[C]]))</f>
        <v>7800000</v>
      </c>
      <c r="X602" s="54">
        <f>IF(NOTA[[#This Row],[JUMLAH]]="","",NOTA[[#This Row],[JUMLAH]]*NOTA[[#This Row],[DISC 1]])</f>
        <v>0</v>
      </c>
      <c r="Y602" s="54">
        <f>IF(NOTA[[#This Row],[JUMLAH]]="","",(NOTA[[#This Row],[JUMLAH]]-NOTA[[#This Row],[DISC 1-]])*NOTA[[#This Row],[DISC 2]])</f>
        <v>0</v>
      </c>
      <c r="Z602" s="54">
        <f>IF(NOTA[[#This Row],[JUMLAH]]="","",NOTA[[#This Row],[DISC 1-]]+NOTA[[#This Row],[DISC 2-]])</f>
        <v>0</v>
      </c>
      <c r="AA602" s="54">
        <f>IF(NOTA[[#This Row],[JUMLAH]]="","",NOTA[[#This Row],[JUMLAH]]-NOTA[[#This Row],[DISC]])</f>
        <v>7800000</v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E602" s="54">
        <f>IF(OR(NOTA[[#This Row],[QTY]]="",NOTA[[#This Row],[HARGA SATUAN]]="",),"",NOTA[[#This Row],[QTY]]*NOTA[[#This Row],[HARGA SATUAN]])</f>
        <v>7800000</v>
      </c>
      <c r="AF602" s="51">
        <f ca="1">IF(NOTA[ID_H]="","",INDEX(NOTA[TANGGAL],MATCH(,INDIRECT(ADDRESS(ROW(NOTA[TANGGAL]),COLUMN(NOTA[TANGGAL]))&amp;":"&amp;ADDRESS(ROW(),COLUMN(NOTA[TANGGAL]))),-1)))</f>
        <v>44946</v>
      </c>
      <c r="AG602" s="49" t="str">
        <f ca="1">IF(NOTA[[#This Row],[NAMA BARANG]]="","",INDEX(NOTA[SUPPLIER],MATCH(,INDIRECT(ADDRESS(ROW(NOTA[ID]),COLUMN(NOTA[ID]))&amp;":"&amp;ADDRESS(ROW(),COLUMN(NOTA[ID]))),-1)))</f>
        <v>ETJ</v>
      </c>
      <c r="AH602" s="49" t="str">
        <f ca="1">IF(NOTA[[#This Row],[ID_H]]="","",IF(NOTA[[#This Row],[FAKTUR]]="",INDIRECT(ADDRESS(ROW()-1,COLUMN())),NOTA[[#This Row],[FAKTUR]]))</f>
        <v>UNTANA</v>
      </c>
      <c r="AI602" s="38">
        <f ca="1">IF(NOTA[[#This Row],[ID]]="","",COUNTIF(NOTA[ID_H],NOTA[[#This Row],[ID_H]]))</f>
        <v>2</v>
      </c>
      <c r="AJ602" s="38">
        <f>IF(NOTA[[#This Row],[TGL.NOTA]]="",IF(NOTA[[#This Row],[SUPPLIER_H]]="","",AJ601),MONTH(NOTA[[#This Row],[TGL.NOTA]]))</f>
        <v>1</v>
      </c>
      <c r="AK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>entercataira1297800000</v>
      </c>
      <c r="AM602" s="193">
        <f>IF(NOTA[[#This Row],[CONCAT1]]="","",MATCH(NOTA[[#This Row],[CONCAT1]],[2]!db[NB NOTA_C],0)+1)</f>
        <v>657</v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>
        <f ca="1">IF(NOTA[[#This Row],[NAMA BARANG]]="","",INDEX(NOTA[ID],MATCH(,INDIRECT(ADDRESS(ROW(NOTA[ID]),COLUMN(NOTA[ID]))&amp;":"&amp;ADDRESS(ROW(),COLUMN(NOTA[ID]))),-1)))</f>
        <v>112</v>
      </c>
      <c r="E603" s="23"/>
      <c r="F603" s="26"/>
      <c r="G603" s="26"/>
      <c r="H603" s="31"/>
      <c r="I603" s="26"/>
      <c r="J603" s="51"/>
      <c r="K603" s="26"/>
      <c r="L603" s="26" t="s">
        <v>761</v>
      </c>
      <c r="M603" s="39">
        <v>10</v>
      </c>
      <c r="N603" s="26">
        <v>1200</v>
      </c>
      <c r="O603" s="26" t="s">
        <v>128</v>
      </c>
      <c r="P603" s="49">
        <v>14000</v>
      </c>
      <c r="Q603" s="52"/>
      <c r="R603" s="39" t="s">
        <v>760</v>
      </c>
      <c r="S603" s="53"/>
      <c r="T603" s="53"/>
      <c r="U603" s="54"/>
      <c r="V603" s="37"/>
      <c r="W603" s="54">
        <f>IF(NOTA[[#This Row],[HARGA/ CTN]]="",NOTA[[#This Row],[JUMLAH_H]],NOTA[[#This Row],[HARGA/ CTN]]*IF(NOTA[[#This Row],[C]]="",0,NOTA[[#This Row],[C]]))</f>
        <v>16800000</v>
      </c>
      <c r="X603" s="54">
        <f>IF(NOTA[[#This Row],[JUMLAH]]="","",NOTA[[#This Row],[JUMLAH]]*NOTA[[#This Row],[DISC 1]])</f>
        <v>0</v>
      </c>
      <c r="Y603" s="54">
        <f>IF(NOTA[[#This Row],[JUMLAH]]="","",(NOTA[[#This Row],[JUMLAH]]-NOTA[[#This Row],[DISC 1-]])*NOTA[[#This Row],[DISC 2]])</f>
        <v>0</v>
      </c>
      <c r="Z603" s="54">
        <f>IF(NOTA[[#This Row],[JUMLAH]]="","",NOTA[[#This Row],[DISC 1-]]+NOTA[[#This Row],[DISC 2-]])</f>
        <v>0</v>
      </c>
      <c r="AA603" s="54">
        <f>IF(NOTA[[#This Row],[JUMLAH]]="","",NOTA[[#This Row],[JUMLAH]]-NOTA[[#This Row],[DISC]])</f>
        <v>16800000</v>
      </c>
      <c r="AB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D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603" s="54">
        <f>IF(OR(NOTA[[#This Row],[QTY]]="",NOTA[[#This Row],[HARGA SATUAN]]="",),"",NOTA[[#This Row],[QTY]]*NOTA[[#This Row],[HARGA SATUAN]])</f>
        <v>16800000</v>
      </c>
      <c r="AF603" s="51">
        <f ca="1">IF(NOTA[ID_H]="","",INDEX(NOTA[TANGGAL],MATCH(,INDIRECT(ADDRESS(ROW(NOTA[TANGGAL]),COLUMN(NOTA[TANGGAL]))&amp;":"&amp;ADDRESS(ROW(),COLUMN(NOTA[TANGGAL]))),-1)))</f>
        <v>44946</v>
      </c>
      <c r="AG603" s="49" t="str">
        <f ca="1">IF(NOTA[[#This Row],[NAMA BARANG]]="","",INDEX(NOTA[SUPPLIER],MATCH(,INDIRECT(ADDRESS(ROW(NOTA[ID]),COLUMN(NOTA[ID]))&amp;":"&amp;ADDRESS(ROW(),COLUMN(NOTA[ID]))),-1)))</f>
        <v>ETJ</v>
      </c>
      <c r="AH603" s="49" t="str">
        <f ca="1">IF(NOTA[[#This Row],[ID_H]]="","",IF(NOTA[[#This Row],[FAKTUR]]="",INDIRECT(ADDRESS(ROW()-1,COLUMN())),NOTA[[#This Row],[FAKTUR]]))</f>
        <v>UNTANA</v>
      </c>
      <c r="AI603" s="38" t="str">
        <f ca="1">IF(NOTA[[#This Row],[ID]]="","",COUNTIF(NOTA[ID_H],NOTA[[#This Row],[ID_H]]))</f>
        <v/>
      </c>
      <c r="AJ603" s="38">
        <f ca="1">IF(NOTA[[#This Row],[TGL.NOTA]]="",IF(NOTA[[#This Row],[SUPPLIER_H]]="","",AJ602),MONTH(NOTA[[#This Row],[TGL.NOTA]]))</f>
        <v>1</v>
      </c>
      <c r="AK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>entercatacrylica9121680000</v>
      </c>
      <c r="AM603" s="193" t="e">
        <f>IF(NOTA[[#This Row],[CONCAT1]]="","",MATCH(NOTA[[#This Row],[CONCAT1]],[2]!db[NB NOTA_C],0)+1)</f>
        <v>#N/A</v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93" t="str">
        <f>IF(NOTA[[#This Row],[CONCAT1]]="","",MATCH(NOTA[[#This Row],[CONCAT1]],[2]!db[NB NOTA_C],0)+1)</f>
        <v/>
      </c>
    </row>
    <row r="605" spans="1:39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e">
        <f ca="1">IF(NOTA[[#This Row],[ID_P]]="","",MATCH(NOTA[[#This Row],[ID_P]],[1]!B_MSK[N_ID],0))</f>
        <v>#REF!</v>
      </c>
      <c r="D605" s="29">
        <f ca="1">IF(NOTA[[#This Row],[NAMA BARANG]]="","",INDEX(NOTA[ID],MATCH(,INDIRECT(ADDRESS(ROW(NOTA[ID]),COLUMN(NOTA[ID]))&amp;":"&amp;ADDRESS(ROW(),COLUMN(NOTA[ID]))),-1)))</f>
        <v>113</v>
      </c>
      <c r="E605" s="30"/>
      <c r="F605" s="26" t="s">
        <v>144</v>
      </c>
      <c r="G605" s="26" t="s">
        <v>87</v>
      </c>
      <c r="H605" s="31" t="s">
        <v>762</v>
      </c>
      <c r="I605" s="32"/>
      <c r="J605" s="33">
        <v>44942</v>
      </c>
      <c r="K605" s="32"/>
      <c r="L605" s="26" t="s">
        <v>763</v>
      </c>
      <c r="M605" s="34">
        <v>5</v>
      </c>
      <c r="N605" s="32">
        <v>500</v>
      </c>
      <c r="O605" s="26" t="s">
        <v>104</v>
      </c>
      <c r="P605" s="28">
        <v>7000</v>
      </c>
      <c r="Q605" s="46"/>
      <c r="R605" s="39" t="s">
        <v>764</v>
      </c>
      <c r="S605" s="35"/>
      <c r="T605" s="35"/>
      <c r="U605" s="36"/>
      <c r="V605" s="37"/>
      <c r="W605" s="36">
        <f>IF(NOTA[[#This Row],[HARGA/ CTN]]="",NOTA[[#This Row],[JUMLAH_H]],NOTA[[#This Row],[HARGA/ CTN]]*IF(NOTA[[#This Row],[C]]="",0,NOTA[[#This Row],[C]]))</f>
        <v>3500000</v>
      </c>
      <c r="X605" s="36">
        <f>IF(NOTA[[#This Row],[JUMLAH]]="","",NOTA[[#This Row],[JUMLAH]]*NOTA[[#This Row],[DISC 1]])</f>
        <v>0</v>
      </c>
      <c r="Y605" s="36">
        <f>IF(NOTA[[#This Row],[JUMLAH]]="","",(NOTA[[#This Row],[JUMLAH]]-NOTA[[#This Row],[DISC 1-]])*NOTA[[#This Row],[DISC 2]])</f>
        <v>0</v>
      </c>
      <c r="Z605" s="36">
        <f>IF(NOTA[[#This Row],[JUMLAH]]="","",NOTA[[#This Row],[DISC 1-]]+NOTA[[#This Row],[DISC 2-]])</f>
        <v>0</v>
      </c>
      <c r="AA605" s="36">
        <f>IF(NOTA[[#This Row],[JUMLAH]]="","",NOTA[[#This Row],[JUMLAH]]-NOTA[[#This Row],[DISC]])</f>
        <v>3500000</v>
      </c>
      <c r="AB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D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605" s="36">
        <f>IF(OR(NOTA[[#This Row],[QTY]]="",NOTA[[#This Row],[HARGA SATUAN]]="",),"",NOTA[[#This Row],[QTY]]*NOTA[[#This Row],[HARGA SATUAN]])</f>
        <v>3500000</v>
      </c>
      <c r="AF605" s="33">
        <f ca="1">IF(NOTA[ID_H]="","",INDEX(NOTA[TANGGAL],MATCH(,INDIRECT(ADDRESS(ROW(NOTA[TANGGAL]),COLUMN(NOTA[TANGGAL]))&amp;":"&amp;ADDRESS(ROW(),COLUMN(NOTA[TANGGAL]))),-1)))</f>
        <v>44946</v>
      </c>
      <c r="AG605" s="28" t="str">
        <f ca="1">IF(NOTA[[#This Row],[NAMA BARANG]]="","",INDEX(NOTA[SUPPLIER],MATCH(,INDIRECT(ADDRESS(ROW(NOTA[ID]),COLUMN(NOTA[ID]))&amp;":"&amp;ADDRESS(ROW(),COLUMN(NOTA[ID]))),-1)))</f>
        <v>ETJ</v>
      </c>
      <c r="AH605" s="28" t="str">
        <f ca="1">IF(NOTA[[#This Row],[ID_H]]="","",IF(NOTA[[#This Row],[FAKTUR]]="",INDIRECT(ADDRESS(ROW()-1,COLUMN())),NOTA[[#This Row],[FAKTUR]]))</f>
        <v>UNTANA</v>
      </c>
      <c r="AI605" s="38">
        <f ca="1">IF(NOTA[[#This Row],[ID]]="","",COUNTIF(NOTA[ID_H],NOTA[[#This Row],[ID_H]]))</f>
        <v>1</v>
      </c>
      <c r="AJ605" s="38">
        <f>IF(NOTA[[#This Row],[TGL.NOTA]]="",IF(NOTA[[#This Row],[SUPPLIER_H]]="","",AJ604),MONTH(NOTA[[#This Row],[TGL.NOTA]]))</f>
        <v>1</v>
      </c>
      <c r="AK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>entergrs1mkayu700000</v>
      </c>
      <c r="AM605" s="193">
        <f>IF(NOTA[[#This Row],[CONCAT1]]="","",MATCH(NOTA[[#This Row],[CONCAT1]],[2]!db[NB NOTA_C],0)+1)</f>
        <v>658</v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93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e">
        <f ca="1">IF(NOTA[[#This Row],[ID_P]]="","",MATCH(NOTA[[#This Row],[ID_P]],[1]!B_MSK[N_ID],0))</f>
        <v>#REF!</v>
      </c>
      <c r="D607" s="29">
        <f ca="1">IF(NOTA[[#This Row],[NAMA BARANG]]="","",INDEX(NOTA[ID],MATCH(,INDIRECT(ADDRESS(ROW(NOTA[ID]),COLUMN(NOTA[ID]))&amp;":"&amp;ADDRESS(ROW(),COLUMN(NOTA[ID]))),-1)))</f>
        <v>114</v>
      </c>
      <c r="E607" s="30"/>
      <c r="F607" s="26" t="s">
        <v>86</v>
      </c>
      <c r="G607" s="26" t="s">
        <v>87</v>
      </c>
      <c r="H607" s="31"/>
      <c r="I607" s="32"/>
      <c r="J607" s="33">
        <v>44944</v>
      </c>
      <c r="K607" s="32"/>
      <c r="L607" s="26" t="s">
        <v>765</v>
      </c>
      <c r="M607" s="34">
        <v>2</v>
      </c>
      <c r="N607" s="32">
        <v>120</v>
      </c>
      <c r="O607" s="26" t="s">
        <v>90</v>
      </c>
      <c r="P607" s="28"/>
      <c r="Q607" s="46"/>
      <c r="R607" s="39" t="s">
        <v>91</v>
      </c>
      <c r="S607" s="35"/>
      <c r="T607" s="35"/>
      <c r="U607" s="36"/>
      <c r="V607" s="37" t="s">
        <v>88</v>
      </c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07" s="36" t="str">
        <f>IF(OR(NOTA[[#This Row],[QTY]]="",NOTA[[#This Row],[HARGA SATUAN]]="",),"",NOTA[[#This Row],[QTY]]*NOTA[[#This Row],[HARGA SATUAN]])</f>
        <v/>
      </c>
      <c r="AF607" s="33">
        <f ca="1">IF(NOTA[ID_H]="","",INDEX(NOTA[TANGGAL],MATCH(,INDIRECT(ADDRESS(ROW(NOTA[TANGGAL]),COLUMN(NOTA[TANGGAL]))&amp;":"&amp;ADDRESS(ROW(),COLUMN(NOTA[TANGGAL]))),-1)))</f>
        <v>44946</v>
      </c>
      <c r="AG607" s="28" t="str">
        <f ca="1">IF(NOTA[[#This Row],[NAMA BARANG]]="","",INDEX(NOTA[SUPPLIER],MATCH(,INDIRECT(ADDRESS(ROW(NOTA[ID]),COLUMN(NOTA[ID]))&amp;":"&amp;ADDRESS(ROW(),COLUMN(NOTA[ID]))),-1)))</f>
        <v>GRAFINDO</v>
      </c>
      <c r="AH607" s="28" t="str">
        <f ca="1">IF(NOTA[[#This Row],[ID_H]]="","",IF(NOTA[[#This Row],[FAKTUR]]="",INDIRECT(ADDRESS(ROW()-1,COLUMN())),NOTA[[#This Row],[FAKTUR]]))</f>
        <v>UNTANA</v>
      </c>
      <c r="AI607" s="38">
        <f ca="1">IF(NOTA[[#This Row],[ID]]="","",COUNTIF(NOTA[ID_H],NOTA[[#This Row],[ID_H]]))</f>
        <v>2</v>
      </c>
      <c r="AJ607" s="38">
        <f>IF(NOTA[[#This Row],[TGL.NOTA]]="",IF(NOTA[[#This Row],[SUPPLIER_H]]="","",AJ606),MONTH(NOTA[[#This Row],[TGL.NOTA]]))</f>
        <v>1</v>
      </c>
      <c r="AK607" s="38" t="str">
        <f>LOWER(SUBSTITUTE(SUBSTITUTE(SUBSTITUTE(SUBSTITUTE(SUBSTITUTE(SUBSTITUTE(SUBSTITUTE(SUBSTITUTE(SUBSTITUTE(NOTA[NAMA BARANG]," ",),".",""),"-",""),"(",""),")",""),",",""),"/",""),"""",""),"+",""))</f>
        <v>ac105fmerah</v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>ac105fmerah0</v>
      </c>
      <c r="AM607" s="193" t="e">
        <f>IF(NOTA[[#This Row],[CONCAT1]]="","",MATCH(NOTA[[#This Row],[CONCAT1]],[2]!db[NB NOTA_C],0)+1)</f>
        <v>#N/A</v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>
        <f ca="1">IF(NOTA[[#This Row],[NAMA BARANG]]="","",INDEX(NOTA[ID],MATCH(,INDIRECT(ADDRESS(ROW(NOTA[ID]),COLUMN(NOTA[ID]))&amp;":"&amp;ADDRESS(ROW(),COLUMN(NOTA[ID]))),-1)))</f>
        <v>114</v>
      </c>
      <c r="E608" s="30"/>
      <c r="F608" s="26"/>
      <c r="G608" s="26"/>
      <c r="H608" s="31"/>
      <c r="I608" s="32"/>
      <c r="J608" s="33"/>
      <c r="K608" s="32"/>
      <c r="L608" s="26" t="s">
        <v>766</v>
      </c>
      <c r="M608" s="34">
        <v>5</v>
      </c>
      <c r="N608" s="32">
        <v>300</v>
      </c>
      <c r="O608" s="26" t="s">
        <v>90</v>
      </c>
      <c r="P608" s="28"/>
      <c r="Q608" s="46"/>
      <c r="R608" s="39" t="s">
        <v>91</v>
      </c>
      <c r="S608" s="35"/>
      <c r="T608" s="35"/>
      <c r="U608" s="36"/>
      <c r="V608" s="37" t="s">
        <v>88</v>
      </c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08" s="36" t="str">
        <f>IF(OR(NOTA[[#This Row],[QTY]]="",NOTA[[#This Row],[HARGA SATUAN]]="",),"",NOTA[[#This Row],[QTY]]*NOTA[[#This Row],[HARGA SATUAN]])</f>
        <v/>
      </c>
      <c r="AF608" s="33">
        <f ca="1">IF(NOTA[ID_H]="","",INDEX(NOTA[TANGGAL],MATCH(,INDIRECT(ADDRESS(ROW(NOTA[TANGGAL]),COLUMN(NOTA[TANGGAL]))&amp;":"&amp;ADDRESS(ROW(),COLUMN(NOTA[TANGGAL]))),-1)))</f>
        <v>44946</v>
      </c>
      <c r="AG608" s="28" t="str">
        <f ca="1">IF(NOTA[[#This Row],[NAMA BARANG]]="","",INDEX(NOTA[SUPPLIER],MATCH(,INDIRECT(ADDRESS(ROW(NOTA[ID]),COLUMN(NOTA[ID]))&amp;":"&amp;ADDRESS(ROW(),COLUMN(NOTA[ID]))),-1)))</f>
        <v>GRAFINDO</v>
      </c>
      <c r="AH608" s="28" t="str">
        <f ca="1">IF(NOTA[[#This Row],[ID_H]]="","",IF(NOTA[[#This Row],[FAKTUR]]="",INDIRECT(ADDRESS(ROW()-1,COLUMN())),NOTA[[#This Row],[FAKTUR]]))</f>
        <v>UNTANA</v>
      </c>
      <c r="AI608" s="38" t="str">
        <f ca="1">IF(NOTA[[#This Row],[ID]]="","",COUNTIF(NOTA[ID_H],NOTA[[#This Row],[ID_H]]))</f>
        <v/>
      </c>
      <c r="AJ608" s="38">
        <f ca="1">IF(NOTA[[#This Row],[TGL.NOTA]]="",IF(NOTA[[#This Row],[SUPPLIER_H]]="","",AJ607),MONTH(NOTA[[#This Row],[TGL.NOTA]]))</f>
        <v>1</v>
      </c>
      <c r="AK608" s="38" t="str">
        <f>LOWER(SUBSTITUTE(SUBSTITUTE(SUBSTITUTE(SUBSTITUTE(SUBSTITUTE(SUBSTITUTE(SUBSTITUTE(SUBSTITUTE(SUBSTITUTE(NOTA[NAMA BARANG]," ",),".",""),"-",""),"(",""),")",""),",",""),"/",""),"""",""),"+",""))</f>
        <v>ac105fkuning</v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>ac105fkuning0</v>
      </c>
      <c r="AM608" s="193" t="e">
        <f>IF(NOTA[[#This Row],[CONCAT1]]="","",MATCH(NOTA[[#This Row],[CONCAT1]],[2]!db[NB NOTA_C],0)+1)</f>
        <v>#N/A</v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93" t="str">
        <f>IF(NOTA[[#This Row],[CONCAT1]]="","",MATCH(NOTA[[#This Row],[CONCAT1]],[2]!db[NB NOTA_C],0)+1)</f>
        <v/>
      </c>
    </row>
    <row r="610" spans="1:39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e">
        <f ca="1">IF(NOTA[[#This Row],[ID_P]]="","",MATCH(NOTA[[#This Row],[ID_P]],[1]!B_MSK[N_ID],0))</f>
        <v>#REF!</v>
      </c>
      <c r="D610" s="29">
        <f ca="1">IF(NOTA[[#This Row],[NAMA BARANG]]="","",INDEX(NOTA[ID],MATCH(,INDIRECT(ADDRESS(ROW(NOTA[ID]),COLUMN(NOTA[ID]))&amp;":"&amp;ADDRESS(ROW(),COLUMN(NOTA[ID]))),-1)))</f>
        <v>115</v>
      </c>
      <c r="E610" s="30"/>
      <c r="F610" s="26" t="s">
        <v>86</v>
      </c>
      <c r="G610" s="26" t="s">
        <v>87</v>
      </c>
      <c r="H610" s="31" t="s">
        <v>767</v>
      </c>
      <c r="I610" s="32"/>
      <c r="J610" s="33">
        <v>44946</v>
      </c>
      <c r="K610" s="32"/>
      <c r="L610" s="26" t="s">
        <v>768</v>
      </c>
      <c r="M610" s="34">
        <v>2</v>
      </c>
      <c r="N610" s="32">
        <v>480</v>
      </c>
      <c r="O610" s="26" t="s">
        <v>104</v>
      </c>
      <c r="P610" s="28">
        <v>5750</v>
      </c>
      <c r="Q610" s="46"/>
      <c r="R610" s="39" t="s">
        <v>769</v>
      </c>
      <c r="S610" s="35"/>
      <c r="T610" s="35"/>
      <c r="U610" s="36"/>
      <c r="V610" s="37"/>
      <c r="W610" s="36">
        <f>IF(NOTA[[#This Row],[HARGA/ CTN]]="",NOTA[[#This Row],[JUMLAH_H]],NOTA[[#This Row],[HARGA/ CTN]]*IF(NOTA[[#This Row],[C]]="",0,NOTA[[#This Row],[C]]))</f>
        <v>2760000</v>
      </c>
      <c r="X610" s="36">
        <f>IF(NOTA[[#This Row],[JUMLAH]]="","",NOTA[[#This Row],[JUMLAH]]*NOTA[[#This Row],[DISC 1]])</f>
        <v>0</v>
      </c>
      <c r="Y610" s="36">
        <f>IF(NOTA[[#This Row],[JUMLAH]]="","",(NOTA[[#This Row],[JUMLAH]]-NOTA[[#This Row],[DISC 1-]])*NOTA[[#This Row],[DISC 2]])</f>
        <v>0</v>
      </c>
      <c r="Z610" s="36">
        <f>IF(NOTA[[#This Row],[JUMLAH]]="","",NOTA[[#This Row],[DISC 1-]]+NOTA[[#This Row],[DISC 2-]])</f>
        <v>0</v>
      </c>
      <c r="AA610" s="36">
        <f>IF(NOTA[[#This Row],[JUMLAH]]="","",NOTA[[#This Row],[JUMLAH]]-NOTA[[#This Row],[DISC]])</f>
        <v>2760000</v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0" s="36">
        <f>IF(OR(NOTA[[#This Row],[QTY]]="",NOTA[[#This Row],[HARGA SATUAN]]="",),"",NOTA[[#This Row],[QTY]]*NOTA[[#This Row],[HARGA SATUAN]])</f>
        <v>2760000</v>
      </c>
      <c r="AF610" s="33">
        <f ca="1">IF(NOTA[ID_H]="","",INDEX(NOTA[TANGGAL],MATCH(,INDIRECT(ADDRESS(ROW(NOTA[TANGGAL]),COLUMN(NOTA[TANGGAL]))&amp;":"&amp;ADDRESS(ROW(),COLUMN(NOTA[TANGGAL]))),-1)))</f>
        <v>44946</v>
      </c>
      <c r="AG610" s="28" t="str">
        <f ca="1">IF(NOTA[[#This Row],[NAMA BARANG]]="","",INDEX(NOTA[SUPPLIER],MATCH(,INDIRECT(ADDRESS(ROW(NOTA[ID]),COLUMN(NOTA[ID]))&amp;":"&amp;ADDRESS(ROW(),COLUMN(NOTA[ID]))),-1)))</f>
        <v>GRAFINDO</v>
      </c>
      <c r="AH610" s="28" t="str">
        <f ca="1">IF(NOTA[[#This Row],[ID_H]]="","",IF(NOTA[[#This Row],[FAKTUR]]="",INDIRECT(ADDRESS(ROW()-1,COLUMN())),NOTA[[#This Row],[FAKTUR]]))</f>
        <v>UNTANA</v>
      </c>
      <c r="AI610" s="38">
        <f ca="1">IF(NOTA[[#This Row],[ID]]="","",COUNTIF(NOTA[ID_H],NOTA[[#This Row],[ID_H]]))</f>
        <v>3</v>
      </c>
      <c r="AJ610" s="38">
        <f>IF(NOTA[[#This Row],[TGL.NOTA]]="",IF(NOTA[[#This Row],[SUPPLIER_H]]="","",AJ609),MONTH(NOTA[[#This Row],[TGL.NOTA]]))</f>
        <v>1</v>
      </c>
      <c r="AK610" s="38" t="str">
        <f>LOWER(SUBSTITUTE(SUBSTITUTE(SUBSTITUTE(SUBSTITUTE(SUBSTITUTE(SUBSTITUTE(SUBSTITUTE(SUBSTITUTE(SUBSTITUTE(NOTA[NAMA BARANG]," ",),".",""),"-",""),"(",""),")",""),",",""),"/",""),"""",""),"+",""))</f>
        <v>mapzipperjalabiru</v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>mapzipperjalabiru1380000</v>
      </c>
      <c r="AM610" s="193" t="e">
        <f>IF(NOTA[[#This Row],[CONCAT1]]="","",MATCH(NOTA[[#This Row],[CONCAT1]],[2]!db[NB NOTA_C],0)+1)</f>
        <v>#N/A</v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>
        <f ca="1">IF(NOTA[[#This Row],[NAMA BARANG]]="","",INDEX(NOTA[ID],MATCH(,INDIRECT(ADDRESS(ROW(NOTA[ID]),COLUMN(NOTA[ID]))&amp;":"&amp;ADDRESS(ROW(),COLUMN(NOTA[ID]))),-1)))</f>
        <v>115</v>
      </c>
      <c r="E611" s="30"/>
      <c r="F611" s="32"/>
      <c r="G611" s="32"/>
      <c r="H611" s="55"/>
      <c r="I611" s="32"/>
      <c r="J611" s="33"/>
      <c r="K611" s="32"/>
      <c r="L611" s="26" t="s">
        <v>770</v>
      </c>
      <c r="M611" s="34">
        <v>4</v>
      </c>
      <c r="N611" s="26">
        <v>960</v>
      </c>
      <c r="O611" s="26" t="s">
        <v>104</v>
      </c>
      <c r="P611" s="28">
        <v>5750</v>
      </c>
      <c r="Q611" s="46"/>
      <c r="R611" s="39" t="s">
        <v>769</v>
      </c>
      <c r="S611" s="35"/>
      <c r="T611" s="35"/>
      <c r="U611" s="36"/>
      <c r="V611" s="37"/>
      <c r="W611" s="36">
        <f>IF(NOTA[[#This Row],[HARGA/ CTN]]="",NOTA[[#This Row],[JUMLAH_H]],NOTA[[#This Row],[HARGA/ CTN]]*IF(NOTA[[#This Row],[C]]="",0,NOTA[[#This Row],[C]]))</f>
        <v>5520000</v>
      </c>
      <c r="X611" s="36">
        <f>IF(NOTA[[#This Row],[JUMLAH]]="","",NOTA[[#This Row],[JUMLAH]]*NOTA[[#This Row],[DISC 1]])</f>
        <v>0</v>
      </c>
      <c r="Y611" s="36">
        <f>IF(NOTA[[#This Row],[JUMLAH]]="","",(NOTA[[#This Row],[JUMLAH]]-NOTA[[#This Row],[DISC 1-]])*NOTA[[#This Row],[DISC 2]])</f>
        <v>0</v>
      </c>
      <c r="Z611" s="36">
        <f>IF(NOTA[[#This Row],[JUMLAH]]="","",NOTA[[#This Row],[DISC 1-]]+NOTA[[#This Row],[DISC 2-]])</f>
        <v>0</v>
      </c>
      <c r="AA611" s="36">
        <f>IF(NOTA[[#This Row],[JUMLAH]]="","",NOTA[[#This Row],[JUMLAH]]-NOTA[[#This Row],[DISC]])</f>
        <v>5520000</v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1" s="36">
        <f>IF(OR(NOTA[[#This Row],[QTY]]="",NOTA[[#This Row],[HARGA SATUAN]]="",),"",NOTA[[#This Row],[QTY]]*NOTA[[#This Row],[HARGA SATUAN]])</f>
        <v>5520000</v>
      </c>
      <c r="AF611" s="33">
        <f ca="1">IF(NOTA[ID_H]="","",INDEX(NOTA[TANGGAL],MATCH(,INDIRECT(ADDRESS(ROW(NOTA[TANGGAL]),COLUMN(NOTA[TANGGAL]))&amp;":"&amp;ADDRESS(ROW(),COLUMN(NOTA[TANGGAL]))),-1)))</f>
        <v>44946</v>
      </c>
      <c r="AG611" s="28" t="str">
        <f ca="1">IF(NOTA[[#This Row],[NAMA BARANG]]="","",INDEX(NOTA[SUPPLIER],MATCH(,INDIRECT(ADDRESS(ROW(NOTA[ID]),COLUMN(NOTA[ID]))&amp;":"&amp;ADDRESS(ROW(),COLUMN(NOTA[ID]))),-1)))</f>
        <v>GRAFINDO</v>
      </c>
      <c r="AH611" s="28" t="str">
        <f ca="1">IF(NOTA[[#This Row],[ID_H]]="","",IF(NOTA[[#This Row],[FAKTUR]]="",INDIRECT(ADDRESS(ROW()-1,COLUMN())),NOTA[[#This Row],[FAKTUR]]))</f>
        <v>UNTANA</v>
      </c>
      <c r="AI611" s="38" t="str">
        <f ca="1">IF(NOTA[[#This Row],[ID]]="","",COUNTIF(NOTA[ID_H],NOTA[[#This Row],[ID_H]]))</f>
        <v/>
      </c>
      <c r="AJ611" s="38">
        <f ca="1">IF(NOTA[[#This Row],[TGL.NOTA]]="",IF(NOTA[[#This Row],[SUPPLIER_H]]="","",AJ610),MONTH(NOTA[[#This Row],[TGL.NOTA]]))</f>
        <v>1</v>
      </c>
      <c r="AK611" s="38" t="str">
        <f>LOWER(SUBSTITUTE(SUBSTITUTE(SUBSTITUTE(SUBSTITUTE(SUBSTITUTE(SUBSTITUTE(SUBSTITUTE(SUBSTITUTE(SUBSTITUTE(NOTA[NAMA BARANG]," ",),".",""),"-",""),"(",""),")",""),",",""),"/",""),"""",""),"+",""))</f>
        <v>mapzipperjalahijau</v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>mapzipperjalahijau1380000</v>
      </c>
      <c r="AM611" s="193" t="e">
        <f>IF(NOTA[[#This Row],[CONCAT1]]="","",MATCH(NOTA[[#This Row],[CONCAT1]],[2]!db[NB NOTA_C],0)+1)</f>
        <v>#N/A</v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>
        <f ca="1">IF(NOTA[[#This Row],[NAMA BARANG]]="","",INDEX(NOTA[ID],MATCH(,INDIRECT(ADDRESS(ROW(NOTA[ID]),COLUMN(NOTA[ID]))&amp;":"&amp;ADDRESS(ROW(),COLUMN(NOTA[ID]))),-1)))</f>
        <v>115</v>
      </c>
      <c r="E612" s="30"/>
      <c r="F612" s="26"/>
      <c r="G612" s="26"/>
      <c r="H612" s="31"/>
      <c r="I612" s="32"/>
      <c r="J612" s="33"/>
      <c r="K612" s="32"/>
      <c r="L612" s="26" t="s">
        <v>771</v>
      </c>
      <c r="M612" s="34">
        <v>1</v>
      </c>
      <c r="N612" s="32">
        <v>240</v>
      </c>
      <c r="O612" s="26" t="s">
        <v>104</v>
      </c>
      <c r="P612" s="28">
        <v>5750</v>
      </c>
      <c r="Q612" s="46"/>
      <c r="R612" s="39" t="s">
        <v>769</v>
      </c>
      <c r="S612" s="35"/>
      <c r="T612" s="35"/>
      <c r="U612" s="36"/>
      <c r="V612" s="37"/>
      <c r="W612" s="36">
        <f>IF(NOTA[[#This Row],[HARGA/ CTN]]="",NOTA[[#This Row],[JUMLAH_H]],NOTA[[#This Row],[HARGA/ CTN]]*IF(NOTA[[#This Row],[C]]="",0,NOTA[[#This Row],[C]]))</f>
        <v>1380000</v>
      </c>
      <c r="X612" s="36">
        <f>IF(NOTA[[#This Row],[JUMLAH]]="","",NOTA[[#This Row],[JUMLAH]]*NOTA[[#This Row],[DISC 1]])</f>
        <v>0</v>
      </c>
      <c r="Y612" s="36">
        <f>IF(NOTA[[#This Row],[JUMLAH]]="","",(NOTA[[#This Row],[JUMLAH]]-NOTA[[#This Row],[DISC 1-]])*NOTA[[#This Row],[DISC 2]])</f>
        <v>0</v>
      </c>
      <c r="Z612" s="36">
        <f>IF(NOTA[[#This Row],[JUMLAH]]="","",NOTA[[#This Row],[DISC 1-]]+NOTA[[#This Row],[DISC 2-]])</f>
        <v>0</v>
      </c>
      <c r="AA612" s="36">
        <f>IF(NOTA[[#This Row],[JUMLAH]]="","",NOTA[[#This Row],[JUMLAH]]-NOTA[[#This Row],[DISC]])</f>
        <v>1380000</v>
      </c>
      <c r="AB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D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2" s="36">
        <f>IF(OR(NOTA[[#This Row],[QTY]]="",NOTA[[#This Row],[HARGA SATUAN]]="",),"",NOTA[[#This Row],[QTY]]*NOTA[[#This Row],[HARGA SATUAN]])</f>
        <v>1380000</v>
      </c>
      <c r="AF612" s="33">
        <f ca="1">IF(NOTA[ID_H]="","",INDEX(NOTA[TANGGAL],MATCH(,INDIRECT(ADDRESS(ROW(NOTA[TANGGAL]),COLUMN(NOTA[TANGGAL]))&amp;":"&amp;ADDRESS(ROW(),COLUMN(NOTA[TANGGAL]))),-1)))</f>
        <v>44946</v>
      </c>
      <c r="AG612" s="28" t="str">
        <f ca="1">IF(NOTA[[#This Row],[NAMA BARANG]]="","",INDEX(NOTA[SUPPLIER],MATCH(,INDIRECT(ADDRESS(ROW(NOTA[ID]),COLUMN(NOTA[ID]))&amp;":"&amp;ADDRESS(ROW(),COLUMN(NOTA[ID]))),-1)))</f>
        <v>GRAFINDO</v>
      </c>
      <c r="AH612" s="28" t="str">
        <f ca="1">IF(NOTA[[#This Row],[ID_H]]="","",IF(NOTA[[#This Row],[FAKTUR]]="",INDIRECT(ADDRESS(ROW()-1,COLUMN())),NOTA[[#This Row],[FAKTUR]]))</f>
        <v>UNTANA</v>
      </c>
      <c r="AI612" s="38" t="str">
        <f ca="1">IF(NOTA[[#This Row],[ID]]="","",COUNTIF(NOTA[ID_H],NOTA[[#This Row],[ID_H]]))</f>
        <v/>
      </c>
      <c r="AJ612" s="38">
        <f ca="1">IF(NOTA[[#This Row],[TGL.NOTA]]="",IF(NOTA[[#This Row],[SUPPLIER_H]]="","",AJ611),MONTH(NOTA[[#This Row],[TGL.NOTA]]))</f>
        <v>1</v>
      </c>
      <c r="AK612" s="38" t="str">
        <f>LOWER(SUBSTITUTE(SUBSTITUTE(SUBSTITUTE(SUBSTITUTE(SUBSTITUTE(SUBSTITUTE(SUBSTITUTE(SUBSTITUTE(SUBSTITUTE(NOTA[NAMA BARANG]," ",),".",""),"-",""),"(",""),")",""),",",""),"/",""),"""",""),"+",""))</f>
        <v>mapzipperjalamerah</v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>mapzipperjalamerah1380000</v>
      </c>
      <c r="AM612" s="193" t="e">
        <f>IF(NOTA[[#This Row],[CONCAT1]]="","",MATCH(NOTA[[#This Row],[CONCAT1]],[2]!db[NB NOTA_C],0)+1)</f>
        <v>#N/A</v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93" t="str">
        <f>IF(NOTA[[#This Row],[CONCAT1]]="","",MATCH(NOTA[[#This Row],[CONCAT1]],[2]!db[NB NOTA_C],0)+1)</f>
        <v/>
      </c>
    </row>
    <row r="614" spans="1:39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e">
        <f ca="1">IF(NOTA[[#This Row],[ID_P]]="","",MATCH(NOTA[[#This Row],[ID_P]],[1]!B_MSK[N_ID],0))</f>
        <v>#REF!</v>
      </c>
      <c r="D614" s="29">
        <f ca="1">IF(NOTA[[#This Row],[NAMA BARANG]]="","",INDEX(NOTA[ID],MATCH(,INDIRECT(ADDRESS(ROW(NOTA[ID]),COLUMN(NOTA[ID]))&amp;":"&amp;ADDRESS(ROW(),COLUMN(NOTA[ID]))),-1)))</f>
        <v>116</v>
      </c>
      <c r="E614" s="30"/>
      <c r="F614" s="26" t="s">
        <v>215</v>
      </c>
      <c r="G614" s="26" t="s">
        <v>87</v>
      </c>
      <c r="H614" s="31" t="s">
        <v>772</v>
      </c>
      <c r="I614" s="32"/>
      <c r="J614" s="33">
        <v>44946</v>
      </c>
      <c r="K614" s="32"/>
      <c r="L614" s="26" t="s">
        <v>773</v>
      </c>
      <c r="M614" s="34"/>
      <c r="N614" s="26">
        <v>100</v>
      </c>
      <c r="O614" s="26" t="s">
        <v>104</v>
      </c>
      <c r="P614" s="28">
        <v>12800</v>
      </c>
      <c r="Q614" s="46"/>
      <c r="R614" s="39"/>
      <c r="S614" s="35"/>
      <c r="T614" s="35"/>
      <c r="U614" s="36">
        <v>64000</v>
      </c>
      <c r="V614" s="37" t="s">
        <v>774</v>
      </c>
      <c r="W614" s="36">
        <f>IF(NOTA[[#This Row],[HARGA/ CTN]]="",NOTA[[#This Row],[JUMLAH_H]],NOTA[[#This Row],[HARGA/ CTN]]*IF(NOTA[[#This Row],[C]]="",0,NOTA[[#This Row],[C]]))</f>
        <v>1280000</v>
      </c>
      <c r="X614" s="36">
        <f>IF(NOTA[[#This Row],[JUMLAH]]="","",NOTA[[#This Row],[JUMLAH]]*NOTA[[#This Row],[DISC 1]])</f>
        <v>0</v>
      </c>
      <c r="Y614" s="36">
        <f>IF(NOTA[[#This Row],[JUMLAH]]="","",(NOTA[[#This Row],[JUMLAH]]-NOTA[[#This Row],[DISC 1-]])*NOTA[[#This Row],[DISC 2]])</f>
        <v>0</v>
      </c>
      <c r="Z614" s="36">
        <f>IF(NOTA[[#This Row],[JUMLAH]]="","",NOTA[[#This Row],[DISC 1-]]+NOTA[[#This Row],[DISC 2-]])</f>
        <v>0</v>
      </c>
      <c r="AA614" s="36">
        <f>IF(NOTA[[#This Row],[JUMLAH]]="","",NOTA[[#This Row],[JUMLAH]]-NOTA[[#This Row],[DISC]])</f>
        <v>1280000</v>
      </c>
      <c r="AB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614" s="36">
        <f>IF(OR(NOTA[[#This Row],[QTY]]="",NOTA[[#This Row],[HARGA SATUAN]]="",),"",NOTA[[#This Row],[QTY]]*NOTA[[#This Row],[HARGA SATUAN]])</f>
        <v>1280000</v>
      </c>
      <c r="AF614" s="33">
        <f ca="1">IF(NOTA[ID_H]="","",INDEX(NOTA[TANGGAL],MATCH(,INDIRECT(ADDRESS(ROW(NOTA[TANGGAL]),COLUMN(NOTA[TANGGAL]))&amp;":"&amp;ADDRESS(ROW(),COLUMN(NOTA[TANGGAL]))),-1)))</f>
        <v>44946</v>
      </c>
      <c r="AG614" s="28" t="str">
        <f ca="1">IF(NOTA[[#This Row],[NAMA BARANG]]="","",INDEX(NOTA[SUPPLIER],MATCH(,INDIRECT(ADDRESS(ROW(NOTA[ID]),COLUMN(NOTA[ID]))&amp;":"&amp;ADDRESS(ROW(),COLUMN(NOTA[ID]))),-1)))</f>
        <v>GLORY</v>
      </c>
      <c r="AH614" s="28" t="str">
        <f ca="1">IF(NOTA[[#This Row],[ID_H]]="","",IF(NOTA[[#This Row],[FAKTUR]]="",INDIRECT(ADDRESS(ROW()-1,COLUMN())),NOTA[[#This Row],[FAKTUR]]))</f>
        <v>UNTANA</v>
      </c>
      <c r="AI614" s="38">
        <f ca="1">IF(NOTA[[#This Row],[ID]]="","",COUNTIF(NOTA[ID_H],NOTA[[#This Row],[ID_H]]))</f>
        <v>1</v>
      </c>
      <c r="AJ614" s="38">
        <f>IF(NOTA[[#This Row],[TGL.NOTA]]="",IF(NOTA[[#This Row],[SUPPLIER_H]]="","",AJ613),MONTH(NOTA[[#This Row],[TGL.NOTA]]))</f>
        <v>1</v>
      </c>
      <c r="AK614" s="38" t="str">
        <f>LOWER(SUBSTITUTE(SUBSTITUTE(SUBSTITUTE(SUBSTITUTE(SUBSTITUTE(SUBSTITUTE(SUBSTITUTE(SUBSTITUTE(SUBSTITUTE(NOTA[NAMA BARANG]," ",),".",""),"-",""),"(",""),")",""),",",""),"/",""),"""",""),"+",""))</f>
        <v>agbatik</v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>agbatik12800</v>
      </c>
      <c r="AM614" s="193">
        <f>IF(NOTA[[#This Row],[CONCAT1]]="","",MATCH(NOTA[[#This Row],[CONCAT1]],[2]!db[NB NOTA_C],0)+1)</f>
        <v>37</v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93" t="str">
        <f>IF(NOTA[[#This Row],[CONCAT1]]="","",MATCH(NOTA[[#This Row],[CONCAT1]],[2]!db[NB NOTA_C],0)+1)</f>
        <v/>
      </c>
    </row>
    <row r="616" spans="1:39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e">
        <f ca="1">IF(NOTA[[#This Row],[ID_P]]="","",MATCH(NOTA[[#This Row],[ID_P]],[1]!B_MSK[N_ID],0))</f>
        <v>#REF!</v>
      </c>
      <c r="D616" s="29">
        <f ca="1">IF(NOTA[[#This Row],[NAMA BARANG]]="","",INDEX(NOTA[ID],MATCH(,INDIRECT(ADDRESS(ROW(NOTA[ID]),COLUMN(NOTA[ID]))&amp;":"&amp;ADDRESS(ROW(),COLUMN(NOTA[ID]))),-1)))</f>
        <v>117</v>
      </c>
      <c r="E616" s="30"/>
      <c r="F616" s="26" t="s">
        <v>237</v>
      </c>
      <c r="G616" s="26" t="s">
        <v>87</v>
      </c>
      <c r="H616" s="31" t="s">
        <v>775</v>
      </c>
      <c r="I616" s="32"/>
      <c r="J616" s="33">
        <v>44945</v>
      </c>
      <c r="K616" s="32"/>
      <c r="L616" s="26" t="s">
        <v>650</v>
      </c>
      <c r="M616" s="34">
        <v>5</v>
      </c>
      <c r="N616" s="32">
        <v>360</v>
      </c>
      <c r="O616" s="26" t="s">
        <v>128</v>
      </c>
      <c r="P616" s="28">
        <v>23500</v>
      </c>
      <c r="Q616" s="46"/>
      <c r="R616" s="39" t="s">
        <v>651</v>
      </c>
      <c r="S616" s="35"/>
      <c r="T616" s="35"/>
      <c r="U616" s="36"/>
      <c r="V616" s="37"/>
      <c r="W616" s="36">
        <f>IF(NOTA[[#This Row],[HARGA/ CTN]]="",NOTA[[#This Row],[JUMLAH_H]],NOTA[[#This Row],[HARGA/ CTN]]*IF(NOTA[[#This Row],[C]]="",0,NOTA[[#This Row],[C]]))</f>
        <v>8460000</v>
      </c>
      <c r="X616" s="36">
        <f>IF(NOTA[[#This Row],[JUMLAH]]="","",NOTA[[#This Row],[JUMLAH]]*NOTA[[#This Row],[DISC 1]])</f>
        <v>0</v>
      </c>
      <c r="Y616" s="36">
        <f>IF(NOTA[[#This Row],[JUMLAH]]="","",(NOTA[[#This Row],[JUMLAH]]-NOTA[[#This Row],[DISC 1-]])*NOTA[[#This Row],[DISC 2]])</f>
        <v>0</v>
      </c>
      <c r="Z616" s="36">
        <f>IF(NOTA[[#This Row],[JUMLAH]]="","",NOTA[[#This Row],[DISC 1-]]+NOTA[[#This Row],[DISC 2-]])</f>
        <v>0</v>
      </c>
      <c r="AA616" s="36">
        <f>IF(NOTA[[#This Row],[JUMLAH]]="","",NOTA[[#This Row],[JUMLAH]]-NOTA[[#This Row],[DISC]])</f>
        <v>8460000</v>
      </c>
      <c r="AB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D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616" s="36">
        <f>IF(OR(NOTA[[#This Row],[QTY]]="",NOTA[[#This Row],[HARGA SATUAN]]="",),"",NOTA[[#This Row],[QTY]]*NOTA[[#This Row],[HARGA SATUAN]])</f>
        <v>8460000</v>
      </c>
      <c r="AF616" s="33">
        <f ca="1">IF(NOTA[ID_H]="","",INDEX(NOTA[TANGGAL],MATCH(,INDIRECT(ADDRESS(ROW(NOTA[TANGGAL]),COLUMN(NOTA[TANGGAL]))&amp;":"&amp;ADDRESS(ROW(),COLUMN(NOTA[TANGGAL]))),-1)))</f>
        <v>44946</v>
      </c>
      <c r="AG616" s="28" t="str">
        <f ca="1">IF(NOTA[[#This Row],[NAMA BARANG]]="","",INDEX(NOTA[SUPPLIER],MATCH(,INDIRECT(ADDRESS(ROW(NOTA[ID]),COLUMN(NOTA[ID]))&amp;":"&amp;ADDRESS(ROW(),COLUMN(NOTA[ID]))),-1)))</f>
        <v>DUTA BUANA</v>
      </c>
      <c r="AH616" s="28" t="str">
        <f ca="1">IF(NOTA[[#This Row],[ID_H]]="","",IF(NOTA[[#This Row],[FAKTUR]]="",INDIRECT(ADDRESS(ROW()-1,COLUMN())),NOTA[[#This Row],[FAKTUR]]))</f>
        <v>UNTANA</v>
      </c>
      <c r="AI616" s="38">
        <f ca="1">IF(NOTA[[#This Row],[ID]]="","",COUNTIF(NOTA[ID_H],NOTA[[#This Row],[ID_H]]))</f>
        <v>1</v>
      </c>
      <c r="AJ616" s="38">
        <f>IF(NOTA[[#This Row],[TGL.NOTA]]="",IF(NOTA[[#This Row],[SUPPLIER_H]]="","",AJ615),MONTH(NOTA[[#This Row],[TGL.NOTA]]))</f>
        <v>1</v>
      </c>
      <c r="AK616" s="38" t="str">
        <f>LOWER(SUBSTITUTE(SUBSTITUTE(SUBSTITUTE(SUBSTITUTE(SUBSTITUTE(SUBSTITUTE(SUBSTITUTE(SUBSTITUTE(SUBSTITUTE(NOTA[NAMA BARANG]," ",),".",""),"-",""),"(",""),")",""),",",""),"/",""),"""",""),"+",""))</f>
        <v>acryliccolourtf1c00318x6ml</v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>acryliccolourtf1c00318x6ml1692000</v>
      </c>
      <c r="AM616" s="193" t="e">
        <f>IF(NOTA[[#This Row],[CONCAT1]]="","",MATCH(NOTA[[#This Row],[CONCAT1]],[2]!db[NB NOTA_C],0)+1)</f>
        <v>#N/A</v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93" t="str">
        <f>IF(NOTA[[#This Row],[CONCAT1]]="","",MATCH(NOTA[[#This Row],[CONCAT1]],[2]!db[NB NOTA_C],0)+1)</f>
        <v/>
      </c>
    </row>
    <row r="618" spans="1:39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e">
        <f ca="1">IF(NOTA[[#This Row],[ID_P]]="","",MATCH(NOTA[[#This Row],[ID_P]],[1]!B_MSK[N_ID],0))</f>
        <v>#REF!</v>
      </c>
      <c r="D618" s="29">
        <f ca="1">IF(NOTA[[#This Row],[NAMA BARANG]]="","",INDEX(NOTA[ID],MATCH(,INDIRECT(ADDRESS(ROW(NOTA[ID]),COLUMN(NOTA[ID]))&amp;":"&amp;ADDRESS(ROW(),COLUMN(NOTA[ID]))),-1)))</f>
        <v>118</v>
      </c>
      <c r="E618" s="30">
        <v>44947</v>
      </c>
      <c r="F618" s="26" t="s">
        <v>776</v>
      </c>
      <c r="G618" s="26" t="s">
        <v>87</v>
      </c>
      <c r="H618" s="31" t="s">
        <v>777</v>
      </c>
      <c r="I618" s="32"/>
      <c r="J618" s="33">
        <v>44943</v>
      </c>
      <c r="K618" s="32"/>
      <c r="L618" s="26" t="s">
        <v>778</v>
      </c>
      <c r="M618" s="34">
        <v>10</v>
      </c>
      <c r="N618" s="32"/>
      <c r="O618" s="26"/>
      <c r="P618" s="28"/>
      <c r="Q618" s="46">
        <v>720000</v>
      </c>
      <c r="R618" s="39"/>
      <c r="S618" s="35"/>
      <c r="T618" s="35"/>
      <c r="U618" s="36"/>
      <c r="V618" s="37"/>
      <c r="W618" s="36">
        <f>IF(NOTA[[#This Row],[HARGA/ CTN]]="",NOTA[[#This Row],[JUMLAH_H]],NOTA[[#This Row],[HARGA/ CTN]]*IF(NOTA[[#This Row],[C]]="",0,NOTA[[#This Row],[C]]))</f>
        <v>7200000</v>
      </c>
      <c r="X618" s="36">
        <f>IF(NOTA[[#This Row],[JUMLAH]]="","",NOTA[[#This Row],[JUMLAH]]*NOTA[[#This Row],[DISC 1]])</f>
        <v>0</v>
      </c>
      <c r="Y618" s="36">
        <f>IF(NOTA[[#This Row],[JUMLAH]]="","",(NOTA[[#This Row],[JUMLAH]]-NOTA[[#This Row],[DISC 1-]])*NOTA[[#This Row],[DISC 2]])</f>
        <v>0</v>
      </c>
      <c r="Z618" s="36">
        <f>IF(NOTA[[#This Row],[JUMLAH]]="","",NOTA[[#This Row],[DISC 1-]]+NOTA[[#This Row],[DISC 2-]])</f>
        <v>0</v>
      </c>
      <c r="AA618" s="36">
        <f>IF(NOTA[[#This Row],[JUMLAH]]="","",NOTA[[#This Row],[JUMLAH]]-NOTA[[#This Row],[DISC]])</f>
        <v>7200000</v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18" s="36" t="str">
        <f>IF(OR(NOTA[[#This Row],[QTY]]="",NOTA[[#This Row],[HARGA SATUAN]]="",),"",NOTA[[#This Row],[QTY]]*NOTA[[#This Row],[HARGA SATUAN]])</f>
        <v/>
      </c>
      <c r="AF618" s="33">
        <f ca="1">IF(NOTA[ID_H]="","",INDEX(NOTA[TANGGAL],MATCH(,INDIRECT(ADDRESS(ROW(NOTA[TANGGAL]),COLUMN(NOTA[TANGGAL]))&amp;":"&amp;ADDRESS(ROW(),COLUMN(NOTA[TANGGAL]))),-1)))</f>
        <v>44947</v>
      </c>
      <c r="AG618" s="28" t="str">
        <f ca="1">IF(NOTA[[#This Row],[NAMA BARANG]]="","",INDEX(NOTA[SUPPLIER],MATCH(,INDIRECT(ADDRESS(ROW(NOTA[ID]),COLUMN(NOTA[ID]))&amp;":"&amp;ADDRESS(ROW(),COLUMN(NOTA[ID]))),-1)))</f>
        <v>WINS SENTOSA</v>
      </c>
      <c r="AH618" s="28" t="str">
        <f ca="1">IF(NOTA[[#This Row],[ID_H]]="","",IF(NOTA[[#This Row],[FAKTUR]]="",INDIRECT(ADDRESS(ROW()-1,COLUMN())),NOTA[[#This Row],[FAKTUR]]))</f>
        <v>UNTANA</v>
      </c>
      <c r="AI618" s="38">
        <f ca="1">IF(NOTA[[#This Row],[ID]]="","",COUNTIF(NOTA[ID_H],NOTA[[#This Row],[ID_H]]))</f>
        <v>3</v>
      </c>
      <c r="AJ618" s="38">
        <f>IF(NOTA[[#This Row],[TGL.NOTA]]="",IF(NOTA[[#This Row],[SUPPLIER_H]]="","",AJ617),MONTH(NOTA[[#This Row],[TGL.NOTA]]))</f>
        <v>1</v>
      </c>
      <c r="AK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>pitajpnpolosmixb720000</v>
      </c>
      <c r="AM618" s="193" t="e">
        <f>IF(NOTA[[#This Row],[CONCAT1]]="","",MATCH(NOTA[[#This Row],[CONCAT1]],[2]!db[NB NOTA_C],0)+1)</f>
        <v>#N/A</v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>
        <f ca="1">IF(NOTA[[#This Row],[NAMA BARANG]]="","",INDEX(NOTA[ID],MATCH(,INDIRECT(ADDRESS(ROW(NOTA[ID]),COLUMN(NOTA[ID]))&amp;":"&amp;ADDRESS(ROW(),COLUMN(NOTA[ID]))),-1)))</f>
        <v>118</v>
      </c>
      <c r="E619" s="30"/>
      <c r="F619" s="32"/>
      <c r="G619" s="32"/>
      <c r="H619" s="55"/>
      <c r="I619" s="32"/>
      <c r="J619" s="33"/>
      <c r="K619" s="32"/>
      <c r="L619" s="26" t="s">
        <v>779</v>
      </c>
      <c r="M619" s="34">
        <v>10</v>
      </c>
      <c r="N619" s="26"/>
      <c r="O619" s="26"/>
      <c r="P619" s="28"/>
      <c r="Q619" s="46">
        <v>720000</v>
      </c>
      <c r="R619" s="39"/>
      <c r="S619" s="35"/>
      <c r="T619" s="35"/>
      <c r="U619" s="36"/>
      <c r="V619" s="37"/>
      <c r="W619" s="36">
        <f>IF(NOTA[[#This Row],[HARGA/ CTN]]="",NOTA[[#This Row],[JUMLAH_H]],NOTA[[#This Row],[HARGA/ CTN]]*IF(NOTA[[#This Row],[C]]="",0,NOTA[[#This Row],[C]]))</f>
        <v>7200000</v>
      </c>
      <c r="X619" s="36">
        <f>IF(NOTA[[#This Row],[JUMLAH]]="","",NOTA[[#This Row],[JUMLAH]]*NOTA[[#This Row],[DISC 1]])</f>
        <v>0</v>
      </c>
      <c r="Y619" s="36">
        <f>IF(NOTA[[#This Row],[JUMLAH]]="","",(NOTA[[#This Row],[JUMLAH]]-NOTA[[#This Row],[DISC 1-]])*NOTA[[#This Row],[DISC 2]])</f>
        <v>0</v>
      </c>
      <c r="Z619" s="36">
        <f>IF(NOTA[[#This Row],[JUMLAH]]="","",NOTA[[#This Row],[DISC 1-]]+NOTA[[#This Row],[DISC 2-]])</f>
        <v>0</v>
      </c>
      <c r="AA619" s="36">
        <f>IF(NOTA[[#This Row],[JUMLAH]]="","",NOTA[[#This Row],[JUMLAH]]-NOTA[[#This Row],[DISC]])</f>
        <v>7200000</v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19" s="36" t="str">
        <f>IF(OR(NOTA[[#This Row],[QTY]]="",NOTA[[#This Row],[HARGA SATUAN]]="",),"",NOTA[[#This Row],[QTY]]*NOTA[[#This Row],[HARGA SATUAN]])</f>
        <v/>
      </c>
      <c r="AF619" s="33">
        <f ca="1">IF(NOTA[ID_H]="","",INDEX(NOTA[TANGGAL],MATCH(,INDIRECT(ADDRESS(ROW(NOTA[TANGGAL]),COLUMN(NOTA[TANGGAL]))&amp;":"&amp;ADDRESS(ROW(),COLUMN(NOTA[TANGGAL]))),-1)))</f>
        <v>44947</v>
      </c>
      <c r="AG619" s="28" t="str">
        <f ca="1">IF(NOTA[[#This Row],[NAMA BARANG]]="","",INDEX(NOTA[SUPPLIER],MATCH(,INDIRECT(ADDRESS(ROW(NOTA[ID]),COLUMN(NOTA[ID]))&amp;":"&amp;ADDRESS(ROW(),COLUMN(NOTA[ID]))),-1)))</f>
        <v>WINS SENTOSA</v>
      </c>
      <c r="AH619" s="28" t="str">
        <f ca="1">IF(NOTA[[#This Row],[ID_H]]="","",IF(NOTA[[#This Row],[FAKTUR]]="",INDIRECT(ADDRESS(ROW()-1,COLUMN())),NOTA[[#This Row],[FAKTUR]]))</f>
        <v>UNTANA</v>
      </c>
      <c r="AI619" s="38" t="str">
        <f ca="1">IF(NOTA[[#This Row],[ID]]="","",COUNTIF(NOTA[ID_H],NOTA[[#This Row],[ID_H]]))</f>
        <v/>
      </c>
      <c r="AJ619" s="38">
        <f ca="1">IF(NOTA[[#This Row],[TGL.NOTA]]="",IF(NOTA[[#This Row],[SUPPLIER_H]]="","",AJ618),MONTH(NOTA[[#This Row],[TGL.NOTA]]))</f>
        <v>1</v>
      </c>
      <c r="AK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>pitajpnmotifpolosmixb720000</v>
      </c>
      <c r="AM619" s="193" t="e">
        <f>IF(NOTA[[#This Row],[CONCAT1]]="","",MATCH(NOTA[[#This Row],[CONCAT1]],[2]!db[NB NOTA_C],0)+1)</f>
        <v>#N/A</v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>
        <f ca="1">IF(NOTA[[#This Row],[NAMA BARANG]]="","",INDEX(NOTA[ID],MATCH(,INDIRECT(ADDRESS(ROW(NOTA[ID]),COLUMN(NOTA[ID]))&amp;":"&amp;ADDRESS(ROW(),COLUMN(NOTA[ID]))),-1)))</f>
        <v>118</v>
      </c>
      <c r="E620" s="178"/>
      <c r="F620" s="179"/>
      <c r="G620" s="179"/>
      <c r="H620" s="180"/>
      <c r="I620" s="179"/>
      <c r="J620" s="181"/>
      <c r="K620" s="179"/>
      <c r="L620" s="26" t="s">
        <v>780</v>
      </c>
      <c r="M620" s="182">
        <v>10</v>
      </c>
      <c r="N620" s="177"/>
      <c r="O620" s="179"/>
      <c r="P620" s="176"/>
      <c r="Q620" s="183">
        <v>720000</v>
      </c>
      <c r="R620" s="182"/>
      <c r="S620" s="184"/>
      <c r="T620" s="184"/>
      <c r="U620" s="185"/>
      <c r="V620" s="186"/>
      <c r="W620" s="36">
        <f>IF(NOTA[[#This Row],[HARGA/ CTN]]="",NOTA[[#This Row],[JUMLAH_H]],NOTA[[#This Row],[HARGA/ CTN]]*IF(NOTA[[#This Row],[C]]="",0,NOTA[[#This Row],[C]]))</f>
        <v>7200000</v>
      </c>
      <c r="X620" s="36">
        <f>IF(NOTA[[#This Row],[JUMLAH]]="","",NOTA[[#This Row],[JUMLAH]]*NOTA[[#This Row],[DISC 1]])</f>
        <v>0</v>
      </c>
      <c r="Y620" s="36">
        <f>IF(NOTA[[#This Row],[JUMLAH]]="","",(NOTA[[#This Row],[JUMLAH]]-NOTA[[#This Row],[DISC 1-]])*NOTA[[#This Row],[DISC 2]])</f>
        <v>0</v>
      </c>
      <c r="Z620" s="36">
        <f>IF(NOTA[[#This Row],[JUMLAH]]="","",NOTA[[#This Row],[DISC 1-]]+NOTA[[#This Row],[DISC 2-]])</f>
        <v>0</v>
      </c>
      <c r="AA620" s="36">
        <f>IF(NOTA[[#This Row],[JUMLAH]]="","",NOTA[[#This Row],[JUMLAH]]-NOTA[[#This Row],[DISC]])</f>
        <v>7200000</v>
      </c>
      <c r="AB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D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20" s="36" t="str">
        <f>IF(OR(NOTA[[#This Row],[QTY]]="",NOTA[[#This Row],[HARGA SATUAN]]="",),"",NOTA[[#This Row],[QTY]]*NOTA[[#This Row],[HARGA SATUAN]])</f>
        <v/>
      </c>
      <c r="AF620" s="33">
        <f ca="1">IF(NOTA[ID_H]="","",INDEX(NOTA[TANGGAL],MATCH(,INDIRECT(ADDRESS(ROW(NOTA[TANGGAL]),COLUMN(NOTA[TANGGAL]))&amp;":"&amp;ADDRESS(ROW(),COLUMN(NOTA[TANGGAL]))),-1)))</f>
        <v>44947</v>
      </c>
      <c r="AG620" s="28" t="str">
        <f ca="1">IF(NOTA[[#This Row],[NAMA BARANG]]="","",INDEX(NOTA[SUPPLIER],MATCH(,INDIRECT(ADDRESS(ROW(NOTA[ID]),COLUMN(NOTA[ID]))&amp;":"&amp;ADDRESS(ROW(),COLUMN(NOTA[ID]))),-1)))</f>
        <v>WINS SENTOSA</v>
      </c>
      <c r="AH620" s="28" t="str">
        <f ca="1">IF(NOTA[[#This Row],[ID_H]]="","",IF(NOTA[[#This Row],[FAKTUR]]="",INDIRECT(ADDRESS(ROW()-1,COLUMN())),NOTA[[#This Row],[FAKTUR]]))</f>
        <v>UNTANA</v>
      </c>
      <c r="AI620" s="38" t="str">
        <f ca="1">IF(NOTA[[#This Row],[ID]]="","",COUNTIF(NOTA[ID_H],NOTA[[#This Row],[ID_H]]))</f>
        <v/>
      </c>
      <c r="AJ620" s="38">
        <f ca="1">IF(NOTA[[#This Row],[TGL.NOTA]]="",IF(NOTA[[#This Row],[SUPPLIER_H]]="","",AJ619),MONTH(NOTA[[#This Row],[TGL.NOTA]]))</f>
        <v>1</v>
      </c>
      <c r="AK620" s="38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>pitajpnlistgoldmixb720000</v>
      </c>
      <c r="AM620" s="193" t="e">
        <f>IF(NOTA[[#This Row],[CONCAT1]]="","",MATCH(NOTA[[#This Row],[CONCAT1]],[2]!db[NB NOTA_C],0)+1)</f>
        <v>#N/A</v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93" t="str">
        <f>IF(NOTA[[#This Row],[CONCAT1]]="","",MATCH(NOTA[[#This Row],[CONCAT1]],[2]!db[NB NOTA_C],0)+1)</f>
        <v/>
      </c>
    </row>
    <row r="622" spans="1:39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e">
        <f ca="1">IF(NOTA[[#This Row],[ID_P]]="","",MATCH(NOTA[[#This Row],[ID_P]],[1]!B_MSK[N_ID],0))</f>
        <v>#REF!</v>
      </c>
      <c r="D622" s="29">
        <f ca="1">IF(NOTA[[#This Row],[NAMA BARANG]]="","",INDEX(NOTA[ID],MATCH(,INDIRECT(ADDRESS(ROW(NOTA[ID]),COLUMN(NOTA[ID]))&amp;":"&amp;ADDRESS(ROW(),COLUMN(NOTA[ID]))),-1)))</f>
        <v>119</v>
      </c>
      <c r="E622" s="30"/>
      <c r="F622" s="26" t="s">
        <v>782</v>
      </c>
      <c r="G622" s="26" t="s">
        <v>87</v>
      </c>
      <c r="H622" s="31" t="s">
        <v>781</v>
      </c>
      <c r="I622" s="32"/>
      <c r="J622" s="33">
        <v>44945</v>
      </c>
      <c r="K622" s="32"/>
      <c r="L622" s="26" t="s">
        <v>783</v>
      </c>
      <c r="M622" s="34">
        <v>10</v>
      </c>
      <c r="N622" s="32">
        <v>200</v>
      </c>
      <c r="O622" s="26" t="s">
        <v>274</v>
      </c>
      <c r="P622" s="28">
        <v>155000</v>
      </c>
      <c r="Q622" s="46"/>
      <c r="R622" s="39" t="s">
        <v>136</v>
      </c>
      <c r="S622" s="35"/>
      <c r="T622" s="35"/>
      <c r="U622" s="36"/>
      <c r="V622" s="37"/>
      <c r="W622" s="36">
        <f>IF(NOTA[[#This Row],[HARGA/ CTN]]="",NOTA[[#This Row],[JUMLAH_H]],NOTA[[#This Row],[HARGA/ CTN]]*IF(NOTA[[#This Row],[C]]="",0,NOTA[[#This Row],[C]]))</f>
        <v>31000000</v>
      </c>
      <c r="X622" s="36">
        <f>IF(NOTA[[#This Row],[JUMLAH]]="","",NOTA[[#This Row],[JUMLAH]]*NOTA[[#This Row],[DISC 1]])</f>
        <v>0</v>
      </c>
      <c r="Y622" s="36">
        <f>IF(NOTA[[#This Row],[JUMLAH]]="","",(NOTA[[#This Row],[JUMLAH]]-NOTA[[#This Row],[DISC 1-]])*NOTA[[#This Row],[DISC 2]])</f>
        <v>0</v>
      </c>
      <c r="Z622" s="36">
        <f>IF(NOTA[[#This Row],[JUMLAH]]="","",NOTA[[#This Row],[DISC 1-]]+NOTA[[#This Row],[DISC 2-]])</f>
        <v>0</v>
      </c>
      <c r="AA622" s="36">
        <f>IF(NOTA[[#This Row],[JUMLAH]]="","",NOTA[[#This Row],[JUMLAH]]-NOTA[[#This Row],[DISC]])</f>
        <v>31000000</v>
      </c>
      <c r="AB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D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E622" s="36">
        <f>IF(OR(NOTA[[#This Row],[QTY]]="",NOTA[[#This Row],[HARGA SATUAN]]="",),"",NOTA[[#This Row],[QTY]]*NOTA[[#This Row],[HARGA SATUAN]])</f>
        <v>31000000</v>
      </c>
      <c r="AF622" s="33">
        <f ca="1">IF(NOTA[ID_H]="","",INDEX(NOTA[TANGGAL],MATCH(,INDIRECT(ADDRESS(ROW(NOTA[TANGGAL]),COLUMN(NOTA[TANGGAL]))&amp;":"&amp;ADDRESS(ROW(),COLUMN(NOTA[TANGGAL]))),-1)))</f>
        <v>44947</v>
      </c>
      <c r="AG622" s="28" t="str">
        <f ca="1">IF(NOTA[[#This Row],[NAMA BARANG]]="","",INDEX(NOTA[SUPPLIER],MATCH(,INDIRECT(ADDRESS(ROW(NOTA[ID]),COLUMN(NOTA[ID]))&amp;":"&amp;ADDRESS(ROW(),COLUMN(NOTA[ID]))),-1)))</f>
        <v>BAHAGIA TEGUH</v>
      </c>
      <c r="AH622" s="28" t="str">
        <f ca="1">IF(NOTA[[#This Row],[ID_H]]="","",IF(NOTA[[#This Row],[FAKTUR]]="",INDIRECT(ADDRESS(ROW()-1,COLUMN())),NOTA[[#This Row],[FAKTUR]]))</f>
        <v>UNTANA</v>
      </c>
      <c r="AI622" s="38">
        <f ca="1">IF(NOTA[[#This Row],[ID]]="","",COUNTIF(NOTA[ID_H],NOTA[[#This Row],[ID_H]]))</f>
        <v>1</v>
      </c>
      <c r="AJ622" s="38">
        <f>IF(NOTA[[#This Row],[TGL.NOTA]]="",IF(NOTA[[#This Row],[SUPPLIER_H]]="","",AJ621),MONTH(NOTA[[#This Row],[TGL.NOTA]]))</f>
        <v>1</v>
      </c>
      <c r="AK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>pensilcarpenter5003100000</v>
      </c>
      <c r="AM622" s="193" t="e">
        <f>IF(NOTA[[#This Row],[CONCAT1]]="","",MATCH(NOTA[[#This Row],[CONCAT1]],[2]!db[NB NOTA_C],0)+1)</f>
        <v>#N/A</v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93" t="str">
        <f>IF(NOTA[[#This Row],[CONCAT1]]="","",MATCH(NOTA[[#This Row],[CONCAT1]],[2]!db[NB NOTA_C],0)+1)</f>
        <v/>
      </c>
    </row>
    <row r="624" spans="1:39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e">
        <f ca="1">IF(NOTA[[#This Row],[ID_P]]="","",MATCH(NOTA[[#This Row],[ID_P]],[1]!B_MSK[N_ID],0))</f>
        <v>#REF!</v>
      </c>
      <c r="D624" s="29">
        <f ca="1">IF(NOTA[[#This Row],[NAMA BARANG]]="","",INDEX(NOTA[ID],MATCH(,INDIRECT(ADDRESS(ROW(NOTA[ID]),COLUMN(NOTA[ID]))&amp;":"&amp;ADDRESS(ROW(),COLUMN(NOTA[ID]))),-1)))</f>
        <v>120</v>
      </c>
      <c r="E624" s="30"/>
      <c r="F624" s="26" t="s">
        <v>782</v>
      </c>
      <c r="G624" s="26" t="s">
        <v>87</v>
      </c>
      <c r="H624" s="31" t="s">
        <v>784</v>
      </c>
      <c r="I624" s="32"/>
      <c r="J624" s="33">
        <v>44945</v>
      </c>
      <c r="K624" s="32"/>
      <c r="L624" s="26" t="s">
        <v>785</v>
      </c>
      <c r="M624" s="34">
        <v>10</v>
      </c>
      <c r="N624" s="26">
        <v>100</v>
      </c>
      <c r="O624" s="26" t="s">
        <v>131</v>
      </c>
      <c r="P624" s="28">
        <v>330000</v>
      </c>
      <c r="Q624" s="46"/>
      <c r="R624" s="39" t="s">
        <v>786</v>
      </c>
      <c r="S624" s="35">
        <v>0.22500000000000001</v>
      </c>
      <c r="T624" s="35"/>
      <c r="U624" s="36"/>
      <c r="V624" s="37"/>
      <c r="W624" s="36">
        <f>IF(NOTA[[#This Row],[HARGA/ CTN]]="",NOTA[[#This Row],[JUMLAH_H]],NOTA[[#This Row],[HARGA/ CTN]]*IF(NOTA[[#This Row],[C]]="",0,NOTA[[#This Row],[C]]))</f>
        <v>33000000</v>
      </c>
      <c r="X624" s="36">
        <f>IF(NOTA[[#This Row],[JUMLAH]]="","",NOTA[[#This Row],[JUMLAH]]*NOTA[[#This Row],[DISC 1]])</f>
        <v>7425000</v>
      </c>
      <c r="Y624" s="36">
        <f>IF(NOTA[[#This Row],[JUMLAH]]="","",(NOTA[[#This Row],[JUMLAH]]-NOTA[[#This Row],[DISC 1-]])*NOTA[[#This Row],[DISC 2]])</f>
        <v>0</v>
      </c>
      <c r="Z624" s="36">
        <f>IF(NOTA[[#This Row],[JUMLAH]]="","",NOTA[[#This Row],[DISC 1-]]+NOTA[[#This Row],[DISC 2-]])</f>
        <v>7425000</v>
      </c>
      <c r="AA624" s="36">
        <f>IF(NOTA[[#This Row],[JUMLAH]]="","",NOTA[[#This Row],[JUMLAH]]-NOTA[[#This Row],[DISC]])</f>
        <v>25575000</v>
      </c>
      <c r="AB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D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E624" s="36">
        <f>IF(OR(NOTA[[#This Row],[QTY]]="",NOTA[[#This Row],[HARGA SATUAN]]="",),"",NOTA[[#This Row],[QTY]]*NOTA[[#This Row],[HARGA SATUAN]])</f>
        <v>33000000</v>
      </c>
      <c r="AF624" s="33">
        <f ca="1">IF(NOTA[ID_H]="","",INDEX(NOTA[TANGGAL],MATCH(,INDIRECT(ADDRESS(ROW(NOTA[TANGGAL]),COLUMN(NOTA[TANGGAL]))&amp;":"&amp;ADDRESS(ROW(),COLUMN(NOTA[TANGGAL]))),-1)))</f>
        <v>44947</v>
      </c>
      <c r="AG624" s="28" t="str">
        <f ca="1">IF(NOTA[[#This Row],[NAMA BARANG]]="","",INDEX(NOTA[SUPPLIER],MATCH(,INDIRECT(ADDRESS(ROW(NOTA[ID]),COLUMN(NOTA[ID]))&amp;":"&amp;ADDRESS(ROW(),COLUMN(NOTA[ID]))),-1)))</f>
        <v>BAHAGIA TEGUH</v>
      </c>
      <c r="AH624" s="28" t="str">
        <f ca="1">IF(NOTA[[#This Row],[ID_H]]="","",IF(NOTA[[#This Row],[FAKTUR]]="",INDIRECT(ADDRESS(ROW()-1,COLUMN())),NOTA[[#This Row],[FAKTUR]]))</f>
        <v>UNTANA</v>
      </c>
      <c r="AI624" s="38">
        <f ca="1">IF(NOTA[[#This Row],[ID]]="","",COUNTIF(NOTA[ID_H],NOTA[[#This Row],[ID_H]]))</f>
        <v>1</v>
      </c>
      <c r="AJ624" s="38">
        <f>IF(NOTA[[#This Row],[TGL.NOTA]]="",IF(NOTA[[#This Row],[SUPPLIER_H]]="","",AJ623),MONTH(NOTA[[#This Row],[TGL.NOTA]]))</f>
        <v>1</v>
      </c>
      <c r="AK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>pensilzhonghua692b33000000.225</v>
      </c>
      <c r="AM624" s="193" t="e">
        <f>IF(NOTA[[#This Row],[CONCAT1]]="","",MATCH(NOTA[[#This Row],[CONCAT1]],[2]!db[NB NOTA_C],0)+1)</f>
        <v>#N/A</v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93" t="str">
        <f>IF(NOTA[[#This Row],[CONCAT1]]="","",MATCH(NOTA[[#This Row],[CONCAT1]],[2]!db[NB NOTA_C],0)+1)</f>
        <v/>
      </c>
    </row>
    <row r="626" spans="1:39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e">
        <f ca="1">IF(NOTA[[#This Row],[ID_P]]="","",MATCH(NOTA[[#This Row],[ID_P]],[1]!B_MSK[N_ID],0))</f>
        <v>#REF!</v>
      </c>
      <c r="D626" s="29">
        <f ca="1">IF(NOTA[[#This Row],[NAMA BARANG]]="","",INDEX(NOTA[ID],MATCH(,INDIRECT(ADDRESS(ROW(NOTA[ID]),COLUMN(NOTA[ID]))&amp;":"&amp;ADDRESS(ROW(),COLUMN(NOTA[ID]))),-1)))</f>
        <v>121</v>
      </c>
      <c r="E626" s="30"/>
      <c r="F626" s="26" t="s">
        <v>86</v>
      </c>
      <c r="G626" s="26" t="s">
        <v>87</v>
      </c>
      <c r="H626" s="31" t="s">
        <v>787</v>
      </c>
      <c r="I626" s="38"/>
      <c r="J626" s="33">
        <v>44946</v>
      </c>
      <c r="K626" s="32"/>
      <c r="L626" s="26" t="s">
        <v>789</v>
      </c>
      <c r="M626" s="34">
        <v>5</v>
      </c>
      <c r="N626" s="32">
        <v>250</v>
      </c>
      <c r="O626" s="26" t="s">
        <v>90</v>
      </c>
      <c r="P626" s="28">
        <v>17400</v>
      </c>
      <c r="Q626" s="46"/>
      <c r="R626" s="39" t="s">
        <v>227</v>
      </c>
      <c r="S626" s="35"/>
      <c r="T626" s="35"/>
      <c r="U626" s="36"/>
      <c r="V626" s="37"/>
      <c r="W626" s="36">
        <f>IF(NOTA[[#This Row],[HARGA/ CTN]]="",NOTA[[#This Row],[JUMLAH_H]],NOTA[[#This Row],[HARGA/ CTN]]*IF(NOTA[[#This Row],[C]]="",0,NOTA[[#This Row],[C]]))</f>
        <v>4350000</v>
      </c>
      <c r="X626" s="36">
        <f>IF(NOTA[[#This Row],[JUMLAH]]="","",NOTA[[#This Row],[JUMLAH]]*NOTA[[#This Row],[DISC 1]])</f>
        <v>0</v>
      </c>
      <c r="Y626" s="36">
        <f>IF(NOTA[[#This Row],[JUMLAH]]="","",(NOTA[[#This Row],[JUMLAH]]-NOTA[[#This Row],[DISC 1-]])*NOTA[[#This Row],[DISC 2]])</f>
        <v>0</v>
      </c>
      <c r="Z626" s="36">
        <f>IF(NOTA[[#This Row],[JUMLAH]]="","",NOTA[[#This Row],[DISC 1-]]+NOTA[[#This Row],[DISC 2-]])</f>
        <v>0</v>
      </c>
      <c r="AA626" s="36">
        <f>IF(NOTA[[#This Row],[JUMLAH]]="","",NOTA[[#This Row],[JUMLAH]]-NOTA[[#This Row],[DISC]])</f>
        <v>4350000</v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6" s="36">
        <f>IF(OR(NOTA[[#This Row],[QTY]]="",NOTA[[#This Row],[HARGA SATUAN]]="",),"",NOTA[[#This Row],[QTY]]*NOTA[[#This Row],[HARGA SATUAN]])</f>
        <v>4350000</v>
      </c>
      <c r="AF626" s="33">
        <f ca="1">IF(NOTA[ID_H]="","",INDEX(NOTA[TANGGAL],MATCH(,INDIRECT(ADDRESS(ROW(NOTA[TANGGAL]),COLUMN(NOTA[TANGGAL]))&amp;":"&amp;ADDRESS(ROW(),COLUMN(NOTA[TANGGAL]))),-1)))</f>
        <v>44947</v>
      </c>
      <c r="AG626" s="28" t="str">
        <f ca="1">IF(NOTA[[#This Row],[NAMA BARANG]]="","",INDEX(NOTA[SUPPLIER],MATCH(,INDIRECT(ADDRESS(ROW(NOTA[ID]),COLUMN(NOTA[ID]))&amp;":"&amp;ADDRESS(ROW(),COLUMN(NOTA[ID]))),-1)))</f>
        <v>GRAFINDO</v>
      </c>
      <c r="AH626" s="28" t="str">
        <f ca="1">IF(NOTA[[#This Row],[ID_H]]="","",IF(NOTA[[#This Row],[FAKTUR]]="",INDIRECT(ADDRESS(ROW()-1,COLUMN())),NOTA[[#This Row],[FAKTUR]]))</f>
        <v>UNTANA</v>
      </c>
      <c r="AI626" s="38">
        <f ca="1">IF(NOTA[[#This Row],[ID]]="","",COUNTIF(NOTA[ID_H],NOTA[[#This Row],[ID_H]]))</f>
        <v>3</v>
      </c>
      <c r="AJ626" s="38">
        <f>IF(NOTA[[#This Row],[TGL.NOTA]]="",IF(NOTA[[#This Row],[SUPPLIER_H]]="","",AJ625),MONTH(NOTA[[#This Row],[TGL.NOTA]]))</f>
        <v>1</v>
      </c>
      <c r="AK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626" s="193">
        <f>IF(NOTA[[#This Row],[CONCAT1]]="","",MATCH(NOTA[[#This Row],[CONCAT1]],[2]!db[NB NOTA_C],0)+1)</f>
        <v>1432</v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>
        <f ca="1">IF(NOTA[[#This Row],[NAMA BARANG]]="","",INDEX(NOTA[ID],MATCH(,INDIRECT(ADDRESS(ROW(NOTA[ID]),COLUMN(NOTA[ID]))&amp;":"&amp;ADDRESS(ROW(),COLUMN(NOTA[ID]))),-1)))</f>
        <v>121</v>
      </c>
      <c r="E627" s="23"/>
      <c r="F627" s="26"/>
      <c r="G627" s="26"/>
      <c r="H627" s="31"/>
      <c r="I627" s="26"/>
      <c r="J627" s="33"/>
      <c r="K627" s="32"/>
      <c r="L627" s="26" t="s">
        <v>788</v>
      </c>
      <c r="M627" s="34">
        <v>12</v>
      </c>
      <c r="N627" s="32">
        <v>600</v>
      </c>
      <c r="O627" s="26" t="s">
        <v>90</v>
      </c>
      <c r="P627" s="28">
        <v>17400</v>
      </c>
      <c r="Q627" s="46"/>
      <c r="R627" s="39" t="s">
        <v>227</v>
      </c>
      <c r="S627" s="35"/>
      <c r="T627" s="35"/>
      <c r="U627" s="36"/>
      <c r="V627" s="37"/>
      <c r="W627" s="36">
        <f>IF(NOTA[[#This Row],[HARGA/ CTN]]="",NOTA[[#This Row],[JUMLAH_H]],NOTA[[#This Row],[HARGA/ CTN]]*IF(NOTA[[#This Row],[C]]="",0,NOTA[[#This Row],[C]]))</f>
        <v>10440000</v>
      </c>
      <c r="X627" s="36">
        <f>IF(NOTA[[#This Row],[JUMLAH]]="","",NOTA[[#This Row],[JUMLAH]]*NOTA[[#This Row],[DISC 1]])</f>
        <v>0</v>
      </c>
      <c r="Y627" s="36">
        <f>IF(NOTA[[#This Row],[JUMLAH]]="","",(NOTA[[#This Row],[JUMLAH]]-NOTA[[#This Row],[DISC 1-]])*NOTA[[#This Row],[DISC 2]])</f>
        <v>0</v>
      </c>
      <c r="Z627" s="36">
        <f>IF(NOTA[[#This Row],[JUMLAH]]="","",NOTA[[#This Row],[DISC 1-]]+NOTA[[#This Row],[DISC 2-]])</f>
        <v>0</v>
      </c>
      <c r="AA627" s="36">
        <f>IF(NOTA[[#This Row],[JUMLAH]]="","",NOTA[[#This Row],[JUMLAH]]-NOTA[[#This Row],[DISC]])</f>
        <v>10440000</v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7" s="36">
        <f>IF(OR(NOTA[[#This Row],[QTY]]="",NOTA[[#This Row],[HARGA SATUAN]]="",),"",NOTA[[#This Row],[QTY]]*NOTA[[#This Row],[HARGA SATUAN]])</f>
        <v>10440000</v>
      </c>
      <c r="AF627" s="33">
        <f ca="1">IF(NOTA[ID_H]="","",INDEX(NOTA[TANGGAL],MATCH(,INDIRECT(ADDRESS(ROW(NOTA[TANGGAL]),COLUMN(NOTA[TANGGAL]))&amp;":"&amp;ADDRESS(ROW(),COLUMN(NOTA[TANGGAL]))),-1)))</f>
        <v>44947</v>
      </c>
      <c r="AG627" s="28" t="str">
        <f ca="1">IF(NOTA[[#This Row],[NAMA BARANG]]="","",INDEX(NOTA[SUPPLIER],MATCH(,INDIRECT(ADDRESS(ROW(NOTA[ID]),COLUMN(NOTA[ID]))&amp;":"&amp;ADDRESS(ROW(),COLUMN(NOTA[ID]))),-1)))</f>
        <v>GRAFINDO</v>
      </c>
      <c r="AH627" s="28" t="str">
        <f ca="1">IF(NOTA[[#This Row],[ID_H]]="","",IF(NOTA[[#This Row],[FAKTUR]]="",INDIRECT(ADDRESS(ROW()-1,COLUMN())),NOTA[[#This Row],[FAKTUR]]))</f>
        <v>UNTANA</v>
      </c>
      <c r="AI627" s="38" t="str">
        <f ca="1">IF(NOTA[[#This Row],[ID]]="","",COUNTIF(NOTA[ID_H],NOTA[[#This Row],[ID_H]]))</f>
        <v/>
      </c>
      <c r="AJ627" s="38">
        <f ca="1">IF(NOTA[[#This Row],[TGL.NOTA]]="",IF(NOTA[[#This Row],[SUPPLIER_H]]="","",AJ626),MONTH(NOTA[[#This Row],[TGL.NOTA]]))</f>
        <v>1</v>
      </c>
      <c r="AK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627" s="193">
        <f>IF(NOTA[[#This Row],[CONCAT1]]="","",MATCH(NOTA[[#This Row],[CONCAT1]],[2]!db[NB NOTA_C],0)+1)</f>
        <v>1437</v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>
        <f ca="1">IF(NOTA[[#This Row],[NAMA BARANG]]="","",INDEX(NOTA[ID],MATCH(,INDIRECT(ADDRESS(ROW(NOTA[ID]),COLUMN(NOTA[ID]))&amp;":"&amp;ADDRESS(ROW(),COLUMN(NOTA[ID]))),-1)))</f>
        <v>121</v>
      </c>
      <c r="E628" s="30"/>
      <c r="F628" s="32"/>
      <c r="G628" s="32"/>
      <c r="H628" s="55"/>
      <c r="I628" s="32"/>
      <c r="J628" s="33"/>
      <c r="K628" s="32"/>
      <c r="L628" s="26" t="s">
        <v>225</v>
      </c>
      <c r="M628" s="34">
        <v>5</v>
      </c>
      <c r="N628" s="26">
        <v>250</v>
      </c>
      <c r="O628" s="26" t="s">
        <v>90</v>
      </c>
      <c r="P628" s="28">
        <v>17400</v>
      </c>
      <c r="Q628" s="46"/>
      <c r="R628" s="39" t="s">
        <v>227</v>
      </c>
      <c r="S628" s="35"/>
      <c r="T628" s="35"/>
      <c r="U628" s="36"/>
      <c r="V628" s="37"/>
      <c r="W628" s="36">
        <f>IF(NOTA[[#This Row],[HARGA/ CTN]]="",NOTA[[#This Row],[JUMLAH_H]],NOTA[[#This Row],[HARGA/ CTN]]*IF(NOTA[[#This Row],[C]]="",0,NOTA[[#This Row],[C]]))</f>
        <v>4350000</v>
      </c>
      <c r="X628" s="36">
        <f>IF(NOTA[[#This Row],[JUMLAH]]="","",NOTA[[#This Row],[JUMLAH]]*NOTA[[#This Row],[DISC 1]])</f>
        <v>0</v>
      </c>
      <c r="Y628" s="36">
        <f>IF(NOTA[[#This Row],[JUMLAH]]="","",(NOTA[[#This Row],[JUMLAH]]-NOTA[[#This Row],[DISC 1-]])*NOTA[[#This Row],[DISC 2]])</f>
        <v>0</v>
      </c>
      <c r="Z628" s="36">
        <f>IF(NOTA[[#This Row],[JUMLAH]]="","",NOTA[[#This Row],[DISC 1-]]+NOTA[[#This Row],[DISC 2-]])</f>
        <v>0</v>
      </c>
      <c r="AA628" s="36">
        <f>IF(NOTA[[#This Row],[JUMLAH]]="","",NOTA[[#This Row],[JUMLAH]]-NOTA[[#This Row],[DISC]])</f>
        <v>4350000</v>
      </c>
      <c r="AB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D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8" s="36">
        <f>IF(OR(NOTA[[#This Row],[QTY]]="",NOTA[[#This Row],[HARGA SATUAN]]="",),"",NOTA[[#This Row],[QTY]]*NOTA[[#This Row],[HARGA SATUAN]])</f>
        <v>4350000</v>
      </c>
      <c r="AF628" s="33">
        <f ca="1">IF(NOTA[ID_H]="","",INDEX(NOTA[TANGGAL],MATCH(,INDIRECT(ADDRESS(ROW(NOTA[TANGGAL]),COLUMN(NOTA[TANGGAL]))&amp;":"&amp;ADDRESS(ROW(),COLUMN(NOTA[TANGGAL]))),-1)))</f>
        <v>44947</v>
      </c>
      <c r="AG628" s="28" t="str">
        <f ca="1">IF(NOTA[[#This Row],[NAMA BARANG]]="","",INDEX(NOTA[SUPPLIER],MATCH(,INDIRECT(ADDRESS(ROW(NOTA[ID]),COLUMN(NOTA[ID]))&amp;":"&amp;ADDRESS(ROW(),COLUMN(NOTA[ID]))),-1)))</f>
        <v>GRAFINDO</v>
      </c>
      <c r="AH628" s="28" t="str">
        <f ca="1">IF(NOTA[[#This Row],[ID_H]]="","",IF(NOTA[[#This Row],[FAKTUR]]="",INDIRECT(ADDRESS(ROW()-1,COLUMN())),NOTA[[#This Row],[FAKTUR]]))</f>
        <v>UNTANA</v>
      </c>
      <c r="AI628" s="38" t="str">
        <f ca="1">IF(NOTA[[#This Row],[ID]]="","",COUNTIF(NOTA[ID_H],NOTA[[#This Row],[ID_H]]))</f>
        <v/>
      </c>
      <c r="AJ628" s="38">
        <f ca="1">IF(NOTA[[#This Row],[TGL.NOTA]]="",IF(NOTA[[#This Row],[SUPPLIER_H]]="","",AJ627),MONTH(NOTA[[#This Row],[TGL.NOTA]]))</f>
        <v>1</v>
      </c>
      <c r="AK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>mapkancingsikaac05kuning870000</v>
      </c>
      <c r="AM628" s="193">
        <f>IF(NOTA[[#This Row],[CONCAT1]]="","",MATCH(NOTA[[#This Row],[CONCAT1]],[2]!db[NB NOTA_C],0)+1)</f>
        <v>1435</v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93" t="str">
        <f>IF(NOTA[[#This Row],[CONCAT1]]="","",MATCH(NOTA[[#This Row],[CONCAT1]],[2]!db[NB NOTA_C],0)+1)</f>
        <v/>
      </c>
    </row>
    <row r="630" spans="1:39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e">
        <f ca="1">IF(NOTA[[#This Row],[ID_P]]="","",MATCH(NOTA[[#This Row],[ID_P]],[1]!B_MSK[N_ID],0))</f>
        <v>#REF!</v>
      </c>
      <c r="D630" s="29">
        <f ca="1">IF(NOTA[[#This Row],[NAMA BARANG]]="","",INDEX(NOTA[ID],MATCH(,INDIRECT(ADDRESS(ROW(NOTA[ID]),COLUMN(NOTA[ID]))&amp;":"&amp;ADDRESS(ROW(),COLUMN(NOTA[ID]))),-1)))</f>
        <v>122</v>
      </c>
      <c r="E630" s="23">
        <v>44947</v>
      </c>
      <c r="F630" s="26" t="s">
        <v>73</v>
      </c>
      <c r="G630" s="26" t="s">
        <v>24</v>
      </c>
      <c r="H630" s="31" t="s">
        <v>790</v>
      </c>
      <c r="I630" s="26"/>
      <c r="J630" s="33">
        <v>44945</v>
      </c>
      <c r="K630" s="32"/>
      <c r="L630" s="26" t="s">
        <v>791</v>
      </c>
      <c r="M630" s="34">
        <v>3</v>
      </c>
      <c r="N630" s="32">
        <v>1500</v>
      </c>
      <c r="O630" s="26" t="s">
        <v>131</v>
      </c>
      <c r="P630" s="28">
        <v>3036.04</v>
      </c>
      <c r="Q630" s="200"/>
      <c r="R630" s="39" t="s">
        <v>481</v>
      </c>
      <c r="S630" s="35">
        <v>0.17499999999999999</v>
      </c>
      <c r="T630" s="35"/>
      <c r="U630" s="36">
        <v>112712.84</v>
      </c>
      <c r="V630" s="37"/>
      <c r="W630" s="36">
        <f>IF(NOTA[[#This Row],[HARGA/ CTN]]="",NOTA[[#This Row],[JUMLAH_H]],NOTA[[#This Row],[HARGA/ CTN]]*IF(NOTA[[#This Row],[C]]="",0,NOTA[[#This Row],[C]]))</f>
        <v>4554060</v>
      </c>
      <c r="X630" s="36">
        <f>IF(NOTA[[#This Row],[JUMLAH]]="","",NOTA[[#This Row],[JUMLAH]]*NOTA[[#This Row],[DISC 1]])</f>
        <v>796960.5</v>
      </c>
      <c r="Y630" s="36">
        <f>IF(NOTA[[#This Row],[JUMLAH]]="","",(NOTA[[#This Row],[JUMLAH]]-NOTA[[#This Row],[DISC 1-]])*NOTA[[#This Row],[DISC 2]])</f>
        <v>0</v>
      </c>
      <c r="Z630" s="36">
        <f>IF(NOTA[[#This Row],[JUMLAH]]="","",NOTA[[#This Row],[DISC 1-]]+NOTA[[#This Row],[DISC 2-]])</f>
        <v>796960.5</v>
      </c>
      <c r="AA630" s="36">
        <f>IF(NOTA[[#This Row],[JUMLAH]]="","",NOTA[[#This Row],[JUMLAH]]-NOTA[[#This Row],[DISC]])</f>
        <v>3757099.5</v>
      </c>
      <c r="AB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D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E630" s="36">
        <f>IF(OR(NOTA[[#This Row],[QTY]]="",NOTA[[#This Row],[HARGA SATUAN]]="",),"",NOTA[[#This Row],[QTY]]*NOTA[[#This Row],[HARGA SATUAN]])</f>
        <v>4554060</v>
      </c>
      <c r="AF630" s="33">
        <f ca="1">IF(NOTA[ID_H]="","",INDEX(NOTA[TANGGAL],MATCH(,INDIRECT(ADDRESS(ROW(NOTA[TANGGAL]),COLUMN(NOTA[TANGGAL]))&amp;":"&amp;ADDRESS(ROW(),COLUMN(NOTA[TANGGAL]))),-1)))</f>
        <v>44947</v>
      </c>
      <c r="AG630" s="28" t="str">
        <f ca="1">IF(NOTA[[#This Row],[NAMA BARANG]]="","",INDEX(NOTA[SUPPLIER],MATCH(,INDIRECT(ADDRESS(ROW(NOTA[ID]),COLUMN(NOTA[ID]))&amp;":"&amp;ADDRESS(ROW(),COLUMN(NOTA[ID]))),-1)))</f>
        <v>SDI</v>
      </c>
      <c r="AH630" s="28" t="str">
        <f ca="1">IF(NOTA[[#This Row],[ID_H]]="","",IF(NOTA[[#This Row],[FAKTUR]]="",INDIRECT(ADDRESS(ROW()-1,COLUMN())),NOTA[[#This Row],[FAKTUR]]))</f>
        <v>ARTO MORO</v>
      </c>
      <c r="AI630" s="38">
        <f ca="1">IF(NOTA[[#This Row],[ID]]="","",COUNTIF(NOTA[ID_H],NOTA[[#This Row],[ID_H]]))</f>
        <v>1</v>
      </c>
      <c r="AJ630" s="38">
        <f>IF(NOTA[[#This Row],[TGL.NOTA]]="",IF(NOTA[[#This Row],[SUPPLIER_H]]="","",AJ629),MONTH(NOTA[[#This Row],[TGL.NOTA]]))</f>
        <v>1</v>
      </c>
      <c r="AK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>sdistaples1204no315180200.175</v>
      </c>
      <c r="AM630" s="193">
        <f>IF(NOTA[[#This Row],[CONCAT1]]="","",MATCH(NOTA[[#This Row],[CONCAT1]],[2]!db[NB NOTA_C],0)+1)</f>
        <v>1893</v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93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e">
        <f ca="1">IF(NOTA[[#This Row],[ID_P]]="","",MATCH(NOTA[[#This Row],[ID_P]],[1]!B_MSK[N_ID],0))</f>
        <v>#REF!</v>
      </c>
      <c r="D632" s="29">
        <f ca="1">IF(NOTA[[#This Row],[NAMA BARANG]]="","",INDEX(NOTA[ID],MATCH(,INDIRECT(ADDRESS(ROW(NOTA[ID]),COLUMN(NOTA[ID]))&amp;":"&amp;ADDRESS(ROW(),COLUMN(NOTA[ID]))),-1)))</f>
        <v>123</v>
      </c>
      <c r="E632" s="30"/>
      <c r="F632" s="26" t="s">
        <v>25</v>
      </c>
      <c r="G632" s="26" t="s">
        <v>24</v>
      </c>
      <c r="H632" s="31" t="s">
        <v>792</v>
      </c>
      <c r="I632" s="32"/>
      <c r="J632" s="33">
        <v>44944</v>
      </c>
      <c r="K632" s="32"/>
      <c r="L632" s="26" t="s">
        <v>793</v>
      </c>
      <c r="M632" s="34">
        <v>1</v>
      </c>
      <c r="N632" s="32">
        <v>144</v>
      </c>
      <c r="O632" s="26" t="s">
        <v>128</v>
      </c>
      <c r="P632" s="28">
        <v>10600</v>
      </c>
      <c r="Q632" s="46"/>
      <c r="R632" s="39" t="s">
        <v>264</v>
      </c>
      <c r="S632" s="35">
        <v>0.125</v>
      </c>
      <c r="T632" s="35">
        <v>0.05</v>
      </c>
      <c r="U632" s="36"/>
      <c r="V632" s="37"/>
      <c r="W632" s="36">
        <f>IF(NOTA[[#This Row],[HARGA/ CTN]]="",NOTA[[#This Row],[JUMLAH_H]],NOTA[[#This Row],[HARGA/ CTN]]*IF(NOTA[[#This Row],[C]]="",0,NOTA[[#This Row],[C]]))</f>
        <v>1526400</v>
      </c>
      <c r="X632" s="36">
        <f>IF(NOTA[[#This Row],[JUMLAH]]="","",NOTA[[#This Row],[JUMLAH]]*NOTA[[#This Row],[DISC 1]])</f>
        <v>190800</v>
      </c>
      <c r="Y632" s="36">
        <f>IF(NOTA[[#This Row],[JUMLAH]]="","",(NOTA[[#This Row],[JUMLAH]]-NOTA[[#This Row],[DISC 1-]])*NOTA[[#This Row],[DISC 2]])</f>
        <v>66780</v>
      </c>
      <c r="Z632" s="36">
        <f>IF(NOTA[[#This Row],[JUMLAH]]="","",NOTA[[#This Row],[DISC 1-]]+NOTA[[#This Row],[DISC 2-]])</f>
        <v>257580</v>
      </c>
      <c r="AA632" s="36">
        <f>IF(NOTA[[#This Row],[JUMLAH]]="","",NOTA[[#This Row],[JUMLAH]]-NOTA[[#This Row],[DISC]])</f>
        <v>1268820</v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632" s="36">
        <f>IF(OR(NOTA[[#This Row],[QTY]]="",NOTA[[#This Row],[HARGA SATUAN]]="",),"",NOTA[[#This Row],[QTY]]*NOTA[[#This Row],[HARGA SATUAN]])</f>
        <v>1526400</v>
      </c>
      <c r="AF632" s="33">
        <f ca="1">IF(NOTA[ID_H]="","",INDEX(NOTA[TANGGAL],MATCH(,INDIRECT(ADDRESS(ROW(NOTA[TANGGAL]),COLUMN(NOTA[TANGGAL]))&amp;":"&amp;ADDRESS(ROW(),COLUMN(NOTA[TANGGAL]))),-1)))</f>
        <v>44947</v>
      </c>
      <c r="AG632" s="28" t="str">
        <f ca="1">IF(NOTA[[#This Row],[NAMA BARANG]]="","",INDEX(NOTA[SUPPLIER],MATCH(,INDIRECT(ADDRESS(ROW(NOTA[ID]),COLUMN(NOTA[ID]))&amp;":"&amp;ADDRESS(ROW(),COLUMN(NOTA[ID]))),-1)))</f>
        <v>ATALI MAKMUR</v>
      </c>
      <c r="AH632" s="28" t="str">
        <f ca="1">IF(NOTA[[#This Row],[ID_H]]="","",IF(NOTA[[#This Row],[FAKTUR]]="",INDIRECT(ADDRESS(ROW()-1,COLUMN())),NOTA[[#This Row],[FAKTUR]]))</f>
        <v>ARTO MORO</v>
      </c>
      <c r="AI632" s="38">
        <f ca="1">IF(NOTA[[#This Row],[ID]]="","",COUNTIF(NOTA[ID_H],NOTA[[#This Row],[ID_H]]))</f>
        <v>8</v>
      </c>
      <c r="AJ632" s="38">
        <f>IF(NOTA[[#This Row],[TGL.NOTA]]="",IF(NOTA[[#This Row],[SUPPLIER_H]]="","",AJ631),MONTH(NOTA[[#This Row],[TGL.NOTA]]))</f>
        <v>1</v>
      </c>
      <c r="AK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632" s="193">
        <f>IF(NOTA[[#This Row],[CONCAT1]]="","",MATCH(NOTA[[#This Row],[CONCAT1]],[2]!db[NB NOTA_C],0)+1)</f>
        <v>487</v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>
        <f ca="1">IF(NOTA[[#This Row],[NAMA BARANG]]="","",INDEX(NOTA[ID],MATCH(,INDIRECT(ADDRESS(ROW(NOTA[ID]),COLUMN(NOTA[ID]))&amp;":"&amp;ADDRESS(ROW(),COLUMN(NOTA[ID]))),-1)))</f>
        <v>123</v>
      </c>
      <c r="E633" s="30"/>
      <c r="F633" s="32"/>
      <c r="G633" s="32"/>
      <c r="H633" s="55"/>
      <c r="I633" s="32"/>
      <c r="J633" s="33"/>
      <c r="K633" s="32"/>
      <c r="L633" s="26" t="s">
        <v>430</v>
      </c>
      <c r="M633" s="34">
        <v>2</v>
      </c>
      <c r="N633" s="32">
        <v>288</v>
      </c>
      <c r="O633" s="26" t="s">
        <v>128</v>
      </c>
      <c r="P633" s="28">
        <v>23900</v>
      </c>
      <c r="Q633" s="46"/>
      <c r="R633" s="39" t="s">
        <v>264</v>
      </c>
      <c r="S633" s="35">
        <v>0.125</v>
      </c>
      <c r="T633" s="35">
        <v>0.05</v>
      </c>
      <c r="U633" s="36"/>
      <c r="V633" s="37"/>
      <c r="W633" s="36">
        <f>IF(NOTA[[#This Row],[HARGA/ CTN]]="",NOTA[[#This Row],[JUMLAH_H]],NOTA[[#This Row],[HARGA/ CTN]]*IF(NOTA[[#This Row],[C]]="",0,NOTA[[#This Row],[C]]))</f>
        <v>6883200</v>
      </c>
      <c r="X633" s="36">
        <f>IF(NOTA[[#This Row],[JUMLAH]]="","",NOTA[[#This Row],[JUMLAH]]*NOTA[[#This Row],[DISC 1]])</f>
        <v>860400</v>
      </c>
      <c r="Y633" s="36">
        <f>IF(NOTA[[#This Row],[JUMLAH]]="","",(NOTA[[#This Row],[JUMLAH]]-NOTA[[#This Row],[DISC 1-]])*NOTA[[#This Row],[DISC 2]])</f>
        <v>301140</v>
      </c>
      <c r="Z633" s="36">
        <f>IF(NOTA[[#This Row],[JUMLAH]]="","",NOTA[[#This Row],[DISC 1-]]+NOTA[[#This Row],[DISC 2-]])</f>
        <v>1161540</v>
      </c>
      <c r="AA633" s="36">
        <f>IF(NOTA[[#This Row],[JUMLAH]]="","",NOTA[[#This Row],[JUMLAH]]-NOTA[[#This Row],[DISC]])</f>
        <v>5721660</v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633" s="36">
        <f>IF(OR(NOTA[[#This Row],[QTY]]="",NOTA[[#This Row],[HARGA SATUAN]]="",),"",NOTA[[#This Row],[QTY]]*NOTA[[#This Row],[HARGA SATUAN]])</f>
        <v>6883200</v>
      </c>
      <c r="AF633" s="33">
        <f ca="1">IF(NOTA[ID_H]="","",INDEX(NOTA[TANGGAL],MATCH(,INDIRECT(ADDRESS(ROW(NOTA[TANGGAL]),COLUMN(NOTA[TANGGAL]))&amp;":"&amp;ADDRESS(ROW(),COLUMN(NOTA[TANGGAL]))),-1)))</f>
        <v>44947</v>
      </c>
      <c r="AG633" s="28" t="str">
        <f ca="1">IF(NOTA[[#This Row],[NAMA BARANG]]="","",INDEX(NOTA[SUPPLIER],MATCH(,INDIRECT(ADDRESS(ROW(NOTA[ID]),COLUMN(NOTA[ID]))&amp;":"&amp;ADDRESS(ROW(),COLUMN(NOTA[ID]))),-1)))</f>
        <v>ATALI MAKMUR</v>
      </c>
      <c r="AH633" s="28" t="str">
        <f ca="1">IF(NOTA[[#This Row],[ID_H]]="","",IF(NOTA[[#This Row],[FAKTUR]]="",INDIRECT(ADDRESS(ROW()-1,COLUMN())),NOTA[[#This Row],[FAKTUR]]))</f>
        <v>ARTO MORO</v>
      </c>
      <c r="AI633" s="38" t="str">
        <f ca="1">IF(NOTA[[#This Row],[ID]]="","",COUNTIF(NOTA[ID_H],NOTA[[#This Row],[ID_H]]))</f>
        <v/>
      </c>
      <c r="AJ633" s="38">
        <f ca="1">IF(NOTA[[#This Row],[TGL.NOTA]]="",IF(NOTA[[#This Row],[SUPPLIER_H]]="","",AJ632),MONTH(NOTA[[#This Row],[TGL.NOTA]]))</f>
        <v>1</v>
      </c>
      <c r="AK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633" s="193">
        <f>IF(NOTA[[#This Row],[CONCAT1]]="","",MATCH(NOTA[[#This Row],[CONCAT1]],[2]!db[NB NOTA_C],0)+1)</f>
        <v>551</v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>
        <f ca="1">IF(NOTA[[#This Row],[NAMA BARANG]]="","",INDEX(NOTA[ID],MATCH(,INDIRECT(ADDRESS(ROW(NOTA[ID]),COLUMN(NOTA[ID]))&amp;":"&amp;ADDRESS(ROW(),COLUMN(NOTA[ID]))),-1)))</f>
        <v>123</v>
      </c>
      <c r="E634" s="30"/>
      <c r="F634" s="26"/>
      <c r="G634" s="26"/>
      <c r="H634" s="31"/>
      <c r="I634" s="26"/>
      <c r="J634" s="33"/>
      <c r="K634" s="26"/>
      <c r="L634" s="26" t="s">
        <v>683</v>
      </c>
      <c r="M634" s="34">
        <v>1</v>
      </c>
      <c r="N634" s="32">
        <v>144</v>
      </c>
      <c r="O634" s="26" t="s">
        <v>128</v>
      </c>
      <c r="P634" s="28">
        <v>18600</v>
      </c>
      <c r="Q634" s="46"/>
      <c r="R634" s="39" t="s">
        <v>264</v>
      </c>
      <c r="S634" s="35">
        <v>0.125</v>
      </c>
      <c r="T634" s="35">
        <v>0.05</v>
      </c>
      <c r="U634" s="36"/>
      <c r="V634" s="37"/>
      <c r="W634" s="36">
        <f>IF(NOTA[[#This Row],[HARGA/ CTN]]="",NOTA[[#This Row],[JUMLAH_H]],NOTA[[#This Row],[HARGA/ CTN]]*IF(NOTA[[#This Row],[C]]="",0,NOTA[[#This Row],[C]]))</f>
        <v>2678400</v>
      </c>
      <c r="X634" s="36">
        <f>IF(NOTA[[#This Row],[JUMLAH]]="","",NOTA[[#This Row],[JUMLAH]]*NOTA[[#This Row],[DISC 1]])</f>
        <v>334800</v>
      </c>
      <c r="Y634" s="36">
        <f>IF(NOTA[[#This Row],[JUMLAH]]="","",(NOTA[[#This Row],[JUMLAH]]-NOTA[[#This Row],[DISC 1-]])*NOTA[[#This Row],[DISC 2]])</f>
        <v>117180</v>
      </c>
      <c r="Z634" s="36">
        <f>IF(NOTA[[#This Row],[JUMLAH]]="","",NOTA[[#This Row],[DISC 1-]]+NOTA[[#This Row],[DISC 2-]])</f>
        <v>451980</v>
      </c>
      <c r="AA634" s="36">
        <f>IF(NOTA[[#This Row],[JUMLAH]]="","",NOTA[[#This Row],[JUMLAH]]-NOTA[[#This Row],[DISC]])</f>
        <v>2226420</v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34" s="36">
        <f>IF(OR(NOTA[[#This Row],[QTY]]="",NOTA[[#This Row],[HARGA SATUAN]]="",),"",NOTA[[#This Row],[QTY]]*NOTA[[#This Row],[HARGA SATUAN]])</f>
        <v>2678400</v>
      </c>
      <c r="AF634" s="33">
        <f ca="1">IF(NOTA[ID_H]="","",INDEX(NOTA[TANGGAL],MATCH(,INDIRECT(ADDRESS(ROW(NOTA[TANGGAL]),COLUMN(NOTA[TANGGAL]))&amp;":"&amp;ADDRESS(ROW(),COLUMN(NOTA[TANGGAL]))),-1)))</f>
        <v>44947</v>
      </c>
      <c r="AG634" s="28" t="str">
        <f ca="1">IF(NOTA[[#This Row],[NAMA BARANG]]="","",INDEX(NOTA[SUPPLIER],MATCH(,INDIRECT(ADDRESS(ROW(NOTA[ID]),COLUMN(NOTA[ID]))&amp;":"&amp;ADDRESS(ROW(),COLUMN(NOTA[ID]))),-1)))</f>
        <v>ATALI MAKMUR</v>
      </c>
      <c r="AH634" s="28" t="str">
        <f ca="1">IF(NOTA[[#This Row],[ID_H]]="","",IF(NOTA[[#This Row],[FAKTUR]]="",INDIRECT(ADDRESS(ROW()-1,COLUMN())),NOTA[[#This Row],[FAKTUR]]))</f>
        <v>ARTO MORO</v>
      </c>
      <c r="AI634" s="38" t="str">
        <f ca="1">IF(NOTA[[#This Row],[ID]]="","",COUNTIF(NOTA[ID_H],NOTA[[#This Row],[ID_H]]))</f>
        <v/>
      </c>
      <c r="AJ634" s="38">
        <f ca="1">IF(NOTA[[#This Row],[TGL.NOTA]]="",IF(NOTA[[#This Row],[SUPPLIER_H]]="","",AJ633),MONTH(NOTA[[#This Row],[TGL.NOTA]]))</f>
        <v>1</v>
      </c>
      <c r="AK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634" s="193">
        <f>IF(NOTA[[#This Row],[CONCAT1]]="","",MATCH(NOTA[[#This Row],[CONCAT1]],[2]!db[NB NOTA_C],0)+1)</f>
        <v>550</v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>
        <f ca="1">IF(NOTA[[#This Row],[NAMA BARANG]]="","",INDEX(NOTA[ID],MATCH(,INDIRECT(ADDRESS(ROW(NOTA[ID]),COLUMN(NOTA[ID]))&amp;":"&amp;ADDRESS(ROW(),COLUMN(NOTA[ID]))),-1)))</f>
        <v>123</v>
      </c>
      <c r="E635" s="30"/>
      <c r="F635" s="32"/>
      <c r="G635" s="32"/>
      <c r="H635" s="55"/>
      <c r="I635" s="32"/>
      <c r="J635" s="33"/>
      <c r="K635" s="32"/>
      <c r="L635" s="26" t="s">
        <v>684</v>
      </c>
      <c r="M635" s="34">
        <v>10</v>
      </c>
      <c r="N635" s="32">
        <v>1440</v>
      </c>
      <c r="O635" s="26" t="s">
        <v>128</v>
      </c>
      <c r="P635" s="28">
        <v>11900</v>
      </c>
      <c r="Q635" s="46"/>
      <c r="R635" s="39" t="s">
        <v>264</v>
      </c>
      <c r="S635" s="35">
        <v>0.125</v>
      </c>
      <c r="T635" s="35">
        <v>0.05</v>
      </c>
      <c r="U635" s="36"/>
      <c r="V635" s="37"/>
      <c r="W635" s="36">
        <f>IF(NOTA[[#This Row],[HARGA/ CTN]]="",NOTA[[#This Row],[JUMLAH_H]],NOTA[[#This Row],[HARGA/ CTN]]*IF(NOTA[[#This Row],[C]]="",0,NOTA[[#This Row],[C]]))</f>
        <v>17136000</v>
      </c>
      <c r="X635" s="36">
        <f>IF(NOTA[[#This Row],[JUMLAH]]="","",NOTA[[#This Row],[JUMLAH]]*NOTA[[#This Row],[DISC 1]])</f>
        <v>2142000</v>
      </c>
      <c r="Y635" s="36">
        <f>IF(NOTA[[#This Row],[JUMLAH]]="","",(NOTA[[#This Row],[JUMLAH]]-NOTA[[#This Row],[DISC 1-]])*NOTA[[#This Row],[DISC 2]])</f>
        <v>749700</v>
      </c>
      <c r="Z635" s="36">
        <f>IF(NOTA[[#This Row],[JUMLAH]]="","",NOTA[[#This Row],[DISC 1-]]+NOTA[[#This Row],[DISC 2-]])</f>
        <v>2891700</v>
      </c>
      <c r="AA635" s="36">
        <f>IF(NOTA[[#This Row],[JUMLAH]]="","",NOTA[[#This Row],[JUMLAH]]-NOTA[[#This Row],[DISC]])</f>
        <v>14244300</v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35" s="36">
        <f>IF(OR(NOTA[[#This Row],[QTY]]="",NOTA[[#This Row],[HARGA SATUAN]]="",),"",NOTA[[#This Row],[QTY]]*NOTA[[#This Row],[HARGA SATUAN]])</f>
        <v>17136000</v>
      </c>
      <c r="AF635" s="33">
        <f ca="1">IF(NOTA[ID_H]="","",INDEX(NOTA[TANGGAL],MATCH(,INDIRECT(ADDRESS(ROW(NOTA[TANGGAL]),COLUMN(NOTA[TANGGAL]))&amp;":"&amp;ADDRESS(ROW(),COLUMN(NOTA[TANGGAL]))),-1)))</f>
        <v>44947</v>
      </c>
      <c r="AG635" s="28" t="str">
        <f ca="1">IF(NOTA[[#This Row],[NAMA BARANG]]="","",INDEX(NOTA[SUPPLIER],MATCH(,INDIRECT(ADDRESS(ROW(NOTA[ID]),COLUMN(NOTA[ID]))&amp;":"&amp;ADDRESS(ROW(),COLUMN(NOTA[ID]))),-1)))</f>
        <v>ATALI MAKMUR</v>
      </c>
      <c r="AH635" s="28" t="str">
        <f ca="1">IF(NOTA[[#This Row],[ID_H]]="","",IF(NOTA[[#This Row],[FAKTUR]]="",INDIRECT(ADDRESS(ROW()-1,COLUMN())),NOTA[[#This Row],[FAKTUR]]))</f>
        <v>ARTO MORO</v>
      </c>
      <c r="AI635" s="38" t="str">
        <f ca="1">IF(NOTA[[#This Row],[ID]]="","",COUNTIF(NOTA[ID_H],NOTA[[#This Row],[ID_H]]))</f>
        <v/>
      </c>
      <c r="AJ635" s="38">
        <f ca="1">IF(NOTA[[#This Row],[TGL.NOTA]]="",IF(NOTA[[#This Row],[SUPPLIER_H]]="","",AJ634),MONTH(NOTA[[#This Row],[TGL.NOTA]]))</f>
        <v>1</v>
      </c>
      <c r="AK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635" s="193">
        <f>IF(NOTA[[#This Row],[CONCAT1]]="","",MATCH(NOTA[[#This Row],[CONCAT1]],[2]!db[NB NOTA_C],0)+1)</f>
        <v>1542</v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>
        <f ca="1">IF(NOTA[[#This Row],[NAMA BARANG]]="","",INDEX(NOTA[ID],MATCH(,INDIRECT(ADDRESS(ROW(NOTA[ID]),COLUMN(NOTA[ID]))&amp;":"&amp;ADDRESS(ROW(),COLUMN(NOTA[ID]))),-1)))</f>
        <v>123</v>
      </c>
      <c r="E636" s="30"/>
      <c r="F636" s="26"/>
      <c r="G636" s="26"/>
      <c r="H636" s="31"/>
      <c r="I636" s="26"/>
      <c r="J636" s="33"/>
      <c r="K636" s="32"/>
      <c r="L636" s="26" t="s">
        <v>424</v>
      </c>
      <c r="M636" s="34">
        <v>5</v>
      </c>
      <c r="N636" s="32">
        <v>360</v>
      </c>
      <c r="O636" s="26" t="s">
        <v>128</v>
      </c>
      <c r="P636" s="28">
        <v>23000</v>
      </c>
      <c r="Q636" s="46"/>
      <c r="R636" s="39" t="s">
        <v>425</v>
      </c>
      <c r="S636" s="35">
        <v>0.125</v>
      </c>
      <c r="T636" s="35">
        <v>0.05</v>
      </c>
      <c r="U636" s="36"/>
      <c r="V636" s="37"/>
      <c r="W636" s="36">
        <f>IF(NOTA[[#This Row],[HARGA/ CTN]]="",NOTA[[#This Row],[JUMLAH_H]],NOTA[[#This Row],[HARGA/ CTN]]*IF(NOTA[[#This Row],[C]]="",0,NOTA[[#This Row],[C]]))</f>
        <v>8280000</v>
      </c>
      <c r="X636" s="36">
        <f>IF(NOTA[[#This Row],[JUMLAH]]="","",NOTA[[#This Row],[JUMLAH]]*NOTA[[#This Row],[DISC 1]])</f>
        <v>1035000</v>
      </c>
      <c r="Y636" s="36">
        <f>IF(NOTA[[#This Row],[JUMLAH]]="","",(NOTA[[#This Row],[JUMLAH]]-NOTA[[#This Row],[DISC 1-]])*NOTA[[#This Row],[DISC 2]])</f>
        <v>362250</v>
      </c>
      <c r="Z636" s="36">
        <f>IF(NOTA[[#This Row],[JUMLAH]]="","",NOTA[[#This Row],[DISC 1-]]+NOTA[[#This Row],[DISC 2-]])</f>
        <v>1397250</v>
      </c>
      <c r="AA636" s="36">
        <f>IF(NOTA[[#This Row],[JUMLAH]]="","",NOTA[[#This Row],[JUMLAH]]-NOTA[[#This Row],[DISC]])</f>
        <v>6882750</v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36" s="36">
        <f>IF(OR(NOTA[[#This Row],[QTY]]="",NOTA[[#This Row],[HARGA SATUAN]]="",),"",NOTA[[#This Row],[QTY]]*NOTA[[#This Row],[HARGA SATUAN]])</f>
        <v>8280000</v>
      </c>
      <c r="AF636" s="33">
        <f ca="1">IF(NOTA[ID_H]="","",INDEX(NOTA[TANGGAL],MATCH(,INDIRECT(ADDRESS(ROW(NOTA[TANGGAL]),COLUMN(NOTA[TANGGAL]))&amp;":"&amp;ADDRESS(ROW(),COLUMN(NOTA[TANGGAL]))),-1)))</f>
        <v>44947</v>
      </c>
      <c r="AG636" s="28" t="str">
        <f ca="1">IF(NOTA[[#This Row],[NAMA BARANG]]="","",INDEX(NOTA[SUPPLIER],MATCH(,INDIRECT(ADDRESS(ROW(NOTA[ID]),COLUMN(NOTA[ID]))&amp;":"&amp;ADDRESS(ROW(),COLUMN(NOTA[ID]))),-1)))</f>
        <v>ATALI MAKMUR</v>
      </c>
      <c r="AH636" s="28" t="str">
        <f ca="1">IF(NOTA[[#This Row],[ID_H]]="","",IF(NOTA[[#This Row],[FAKTUR]]="",INDIRECT(ADDRESS(ROW()-1,COLUMN())),NOTA[[#This Row],[FAKTUR]]))</f>
        <v>ARTO MORO</v>
      </c>
      <c r="AI636" s="38" t="str">
        <f ca="1">IF(NOTA[[#This Row],[ID]]="","",COUNTIF(NOTA[ID_H],NOTA[[#This Row],[ID_H]]))</f>
        <v/>
      </c>
      <c r="AJ636" s="38">
        <f ca="1">IF(NOTA[[#This Row],[TGL.NOTA]]="",IF(NOTA[[#This Row],[SUPPLIER_H]]="","",AJ635),MONTH(NOTA[[#This Row],[TGL.NOTA]]))</f>
        <v>1</v>
      </c>
      <c r="AK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636" s="193">
        <f>IF(NOTA[[#This Row],[CONCAT1]]="","",MATCH(NOTA[[#This Row],[CONCAT1]],[2]!db[NB NOTA_C],0)+1)</f>
        <v>1543</v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>
        <f ca="1">IF(NOTA[[#This Row],[NAMA BARANG]]="","",INDEX(NOTA[ID],MATCH(,INDIRECT(ADDRESS(ROW(NOTA[ID]),COLUMN(NOTA[ID]))&amp;":"&amp;ADDRESS(ROW(),COLUMN(NOTA[ID]))),-1)))</f>
        <v>123</v>
      </c>
      <c r="E637" s="30"/>
      <c r="F637" s="32"/>
      <c r="G637" s="32"/>
      <c r="H637" s="55"/>
      <c r="I637" s="32"/>
      <c r="J637" s="33"/>
      <c r="K637" s="32"/>
      <c r="L637" s="26" t="s">
        <v>739</v>
      </c>
      <c r="M637" s="34">
        <v>2</v>
      </c>
      <c r="N637" s="32">
        <v>96</v>
      </c>
      <c r="O637" s="26" t="s">
        <v>128</v>
      </c>
      <c r="P637" s="28">
        <v>29600</v>
      </c>
      <c r="Q637" s="46"/>
      <c r="R637" s="39" t="s">
        <v>409</v>
      </c>
      <c r="S637" s="35">
        <v>0.125</v>
      </c>
      <c r="T637" s="35">
        <v>0.05</v>
      </c>
      <c r="U637" s="36"/>
      <c r="V637" s="37"/>
      <c r="W637" s="36">
        <f>IF(NOTA[[#This Row],[HARGA/ CTN]]="",NOTA[[#This Row],[JUMLAH_H]],NOTA[[#This Row],[HARGA/ CTN]]*IF(NOTA[[#This Row],[C]]="",0,NOTA[[#This Row],[C]]))</f>
        <v>2841600</v>
      </c>
      <c r="X637" s="36">
        <f>IF(NOTA[[#This Row],[JUMLAH]]="","",NOTA[[#This Row],[JUMLAH]]*NOTA[[#This Row],[DISC 1]])</f>
        <v>355200</v>
      </c>
      <c r="Y637" s="36">
        <f>IF(NOTA[[#This Row],[JUMLAH]]="","",(NOTA[[#This Row],[JUMLAH]]-NOTA[[#This Row],[DISC 1-]])*NOTA[[#This Row],[DISC 2]])</f>
        <v>124320</v>
      </c>
      <c r="Z637" s="36">
        <f>IF(NOTA[[#This Row],[JUMLAH]]="","",NOTA[[#This Row],[DISC 1-]]+NOTA[[#This Row],[DISC 2-]])</f>
        <v>479520</v>
      </c>
      <c r="AA637" s="36">
        <f>IF(NOTA[[#This Row],[JUMLAH]]="","",NOTA[[#This Row],[JUMLAH]]-NOTA[[#This Row],[DISC]])</f>
        <v>2362080</v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637" s="36">
        <f>IF(OR(NOTA[[#This Row],[QTY]]="",NOTA[[#This Row],[HARGA SATUAN]]="",),"",NOTA[[#This Row],[QTY]]*NOTA[[#This Row],[HARGA SATUAN]])</f>
        <v>2841600</v>
      </c>
      <c r="AF637" s="33">
        <f ca="1">IF(NOTA[ID_H]="","",INDEX(NOTA[TANGGAL],MATCH(,INDIRECT(ADDRESS(ROW(NOTA[TANGGAL]),COLUMN(NOTA[TANGGAL]))&amp;":"&amp;ADDRESS(ROW(),COLUMN(NOTA[TANGGAL]))),-1)))</f>
        <v>44947</v>
      </c>
      <c r="AG637" s="28" t="str">
        <f ca="1">IF(NOTA[[#This Row],[NAMA BARANG]]="","",INDEX(NOTA[SUPPLIER],MATCH(,INDIRECT(ADDRESS(ROW(NOTA[ID]),COLUMN(NOTA[ID]))&amp;":"&amp;ADDRESS(ROW(),COLUMN(NOTA[ID]))),-1)))</f>
        <v>ATALI MAKMUR</v>
      </c>
      <c r="AH637" s="28" t="str">
        <f ca="1">IF(NOTA[[#This Row],[ID_H]]="","",IF(NOTA[[#This Row],[FAKTUR]]="",INDIRECT(ADDRESS(ROW()-1,COLUMN())),NOTA[[#This Row],[FAKTUR]]))</f>
        <v>ARTO MORO</v>
      </c>
      <c r="AI637" s="38" t="str">
        <f ca="1">IF(NOTA[[#This Row],[ID]]="","",COUNTIF(NOTA[ID_H],NOTA[[#This Row],[ID_H]]))</f>
        <v/>
      </c>
      <c r="AJ637" s="38">
        <f ca="1">IF(NOTA[[#This Row],[TGL.NOTA]]="",IF(NOTA[[#This Row],[SUPPLIER_H]]="","",AJ636),MONTH(NOTA[[#This Row],[TGL.NOTA]]))</f>
        <v>1</v>
      </c>
      <c r="AK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637" s="193">
        <f>IF(NOTA[[#This Row],[CONCAT1]]="","",MATCH(NOTA[[#This Row],[CONCAT1]],[2]!db[NB NOTA_C],0)+1)</f>
        <v>1544</v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>
        <f ca="1">IF(NOTA[[#This Row],[NAMA BARANG]]="","",INDEX(NOTA[ID],MATCH(,INDIRECT(ADDRESS(ROW(NOTA[ID]),COLUMN(NOTA[ID]))&amp;":"&amp;ADDRESS(ROW(),COLUMN(NOTA[ID]))),-1)))</f>
        <v>123</v>
      </c>
      <c r="E638" s="30"/>
      <c r="F638" s="32"/>
      <c r="G638" s="32"/>
      <c r="H638" s="55"/>
      <c r="I638" s="32"/>
      <c r="J638" s="33"/>
      <c r="K638" s="32"/>
      <c r="L638" s="26" t="s">
        <v>151</v>
      </c>
      <c r="M638" s="34">
        <v>2</v>
      </c>
      <c r="N638" s="32">
        <v>72</v>
      </c>
      <c r="O638" s="26" t="s">
        <v>128</v>
      </c>
      <c r="P638" s="28">
        <v>41500</v>
      </c>
      <c r="Q638" s="46"/>
      <c r="R638" s="39" t="s">
        <v>123</v>
      </c>
      <c r="S638" s="35">
        <v>0.125</v>
      </c>
      <c r="T638" s="35">
        <v>0.05</v>
      </c>
      <c r="U638" s="36"/>
      <c r="V638" s="37"/>
      <c r="W638" s="36">
        <f>IF(NOTA[[#This Row],[HARGA/ CTN]]="",NOTA[[#This Row],[JUMLAH_H]],NOTA[[#This Row],[HARGA/ CTN]]*IF(NOTA[[#This Row],[C]]="",0,NOTA[[#This Row],[C]]))</f>
        <v>2988000</v>
      </c>
      <c r="X638" s="36">
        <f>IF(NOTA[[#This Row],[JUMLAH]]="","",NOTA[[#This Row],[JUMLAH]]*NOTA[[#This Row],[DISC 1]])</f>
        <v>373500</v>
      </c>
      <c r="Y638" s="36">
        <f>IF(NOTA[[#This Row],[JUMLAH]]="","",(NOTA[[#This Row],[JUMLAH]]-NOTA[[#This Row],[DISC 1-]])*NOTA[[#This Row],[DISC 2]])</f>
        <v>130725</v>
      </c>
      <c r="Z638" s="36">
        <f>IF(NOTA[[#This Row],[JUMLAH]]="","",NOTA[[#This Row],[DISC 1-]]+NOTA[[#This Row],[DISC 2-]])</f>
        <v>504225</v>
      </c>
      <c r="AA638" s="36">
        <f>IF(NOTA[[#This Row],[JUMLAH]]="","",NOTA[[#This Row],[JUMLAH]]-NOTA[[#This Row],[DISC]])</f>
        <v>2483775</v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38" s="36">
        <f>IF(OR(NOTA[[#This Row],[QTY]]="",NOTA[[#This Row],[HARGA SATUAN]]="",),"",NOTA[[#This Row],[QTY]]*NOTA[[#This Row],[HARGA SATUAN]])</f>
        <v>2988000</v>
      </c>
      <c r="AF638" s="33">
        <f ca="1">IF(NOTA[ID_H]="","",INDEX(NOTA[TANGGAL],MATCH(,INDIRECT(ADDRESS(ROW(NOTA[TANGGAL]),COLUMN(NOTA[TANGGAL]))&amp;":"&amp;ADDRESS(ROW(),COLUMN(NOTA[TANGGAL]))),-1)))</f>
        <v>44947</v>
      </c>
      <c r="AG638" s="28" t="str">
        <f ca="1">IF(NOTA[[#This Row],[NAMA BARANG]]="","",INDEX(NOTA[SUPPLIER],MATCH(,INDIRECT(ADDRESS(ROW(NOTA[ID]),COLUMN(NOTA[ID]))&amp;":"&amp;ADDRESS(ROW(),COLUMN(NOTA[ID]))),-1)))</f>
        <v>ATALI MAKMUR</v>
      </c>
      <c r="AH638" s="28" t="str">
        <f ca="1">IF(NOTA[[#This Row],[ID_H]]="","",IF(NOTA[[#This Row],[FAKTUR]]="",INDIRECT(ADDRESS(ROW()-1,COLUMN())),NOTA[[#This Row],[FAKTUR]]))</f>
        <v>ARTO MORO</v>
      </c>
      <c r="AI638" s="38" t="str">
        <f ca="1">IF(NOTA[[#This Row],[ID]]="","",COUNTIF(NOTA[ID_H],NOTA[[#This Row],[ID_H]]))</f>
        <v/>
      </c>
      <c r="AJ638" s="38">
        <f ca="1">IF(NOTA[[#This Row],[TGL.NOTA]]="",IF(NOTA[[#This Row],[SUPPLIER_H]]="","",AJ637),MONTH(NOTA[[#This Row],[TGL.NOTA]]))</f>
        <v>1</v>
      </c>
      <c r="AK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638" s="193">
        <f>IF(NOTA[[#This Row],[CONCAT1]]="","",MATCH(NOTA[[#This Row],[CONCAT1]],[2]!db[NB NOTA_C],0)+1)</f>
        <v>1545</v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>
        <f ca="1">IF(NOTA[[#This Row],[NAMA BARANG]]="","",INDEX(NOTA[ID],MATCH(,INDIRECT(ADDRESS(ROW(NOTA[ID]),COLUMN(NOTA[ID]))&amp;":"&amp;ADDRESS(ROW(),COLUMN(NOTA[ID]))),-1)))</f>
        <v>123</v>
      </c>
      <c r="E639" s="30"/>
      <c r="F639" s="32"/>
      <c r="G639" s="32"/>
      <c r="H639" s="55"/>
      <c r="I639" s="32"/>
      <c r="J639" s="33"/>
      <c r="K639" s="32"/>
      <c r="L639" s="26" t="s">
        <v>275</v>
      </c>
      <c r="M639" s="34"/>
      <c r="N639" s="32">
        <v>228</v>
      </c>
      <c r="O639" s="26" t="s">
        <v>104</v>
      </c>
      <c r="P639" s="28">
        <v>2350</v>
      </c>
      <c r="Q639" s="46"/>
      <c r="R639" s="39" t="s">
        <v>276</v>
      </c>
      <c r="S639" s="35">
        <v>0.1</v>
      </c>
      <c r="T639" s="35">
        <v>0.05</v>
      </c>
      <c r="U639" s="36">
        <v>458109</v>
      </c>
      <c r="V639" s="37" t="s">
        <v>155</v>
      </c>
      <c r="W639" s="36">
        <f>IF(NOTA[[#This Row],[HARGA/ CTN]]="",NOTA[[#This Row],[JUMLAH_H]],NOTA[[#This Row],[HARGA/ CTN]]*IF(NOTA[[#This Row],[C]]="",0,NOTA[[#This Row],[C]]))</f>
        <v>535800</v>
      </c>
      <c r="X639" s="36">
        <f>IF(NOTA[[#This Row],[JUMLAH]]="","",NOTA[[#This Row],[JUMLAH]]*NOTA[[#This Row],[DISC 1]])</f>
        <v>53580</v>
      </c>
      <c r="Y639" s="36">
        <f>IF(NOTA[[#This Row],[JUMLAH]]="","",(NOTA[[#This Row],[JUMLAH]]-NOTA[[#This Row],[DISC 1-]])*NOTA[[#This Row],[DISC 2]])</f>
        <v>24111</v>
      </c>
      <c r="Z639" s="36">
        <f>IF(NOTA[[#This Row],[JUMLAH]]="","",NOTA[[#This Row],[DISC 1-]]+NOTA[[#This Row],[DISC 2-]])</f>
        <v>77691</v>
      </c>
      <c r="AA639" s="36">
        <f>IF(NOTA[[#This Row],[JUMLAH]]="","",NOTA[[#This Row],[JUMLAH]]-NOTA[[#This Row],[DISC]])</f>
        <v>458109</v>
      </c>
      <c r="AB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D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E639" s="36">
        <f>IF(OR(NOTA[[#This Row],[QTY]]="",NOTA[[#This Row],[HARGA SATUAN]]="",),"",NOTA[[#This Row],[QTY]]*NOTA[[#This Row],[HARGA SATUAN]])</f>
        <v>535800</v>
      </c>
      <c r="AF639" s="33">
        <f ca="1">IF(NOTA[ID_H]="","",INDEX(NOTA[TANGGAL],MATCH(,INDIRECT(ADDRESS(ROW(NOTA[TANGGAL]),COLUMN(NOTA[TANGGAL]))&amp;":"&amp;ADDRESS(ROW(),COLUMN(NOTA[TANGGAL]))),-1)))</f>
        <v>44947</v>
      </c>
      <c r="AG639" s="28" t="str">
        <f ca="1">IF(NOTA[[#This Row],[NAMA BARANG]]="","",INDEX(NOTA[SUPPLIER],MATCH(,INDIRECT(ADDRESS(ROW(NOTA[ID]),COLUMN(NOTA[ID]))&amp;":"&amp;ADDRESS(ROW(),COLUMN(NOTA[ID]))),-1)))</f>
        <v>ATALI MAKMUR</v>
      </c>
      <c r="AH639" s="28" t="str">
        <f ca="1">IF(NOTA[[#This Row],[ID_H]]="","",IF(NOTA[[#This Row],[FAKTUR]]="",INDIRECT(ADDRESS(ROW()-1,COLUMN())),NOTA[[#This Row],[FAKTUR]]))</f>
        <v>ARTO MORO</v>
      </c>
      <c r="AI639" s="38" t="str">
        <f ca="1">IF(NOTA[[#This Row],[ID]]="","",COUNTIF(NOTA[ID_H],NOTA[[#This Row],[ID_H]]))</f>
        <v/>
      </c>
      <c r="AJ639" s="38">
        <f ca="1">IF(NOTA[[#This Row],[TGL.NOTA]]="",IF(NOTA[[#This Row],[SUPPLIER_H]]="","",AJ638),MONTH(NOTA[[#This Row],[TGL.NOTA]]))</f>
        <v>1</v>
      </c>
      <c r="AK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639" s="193">
        <f>IF(NOTA[[#This Row],[CONCAT1]]="","",MATCH(NOTA[[#This Row],[CONCAT1]],[2]!db[NB NOTA_C],0)+1)</f>
        <v>1798</v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93" t="str">
        <f>IF(NOTA[[#This Row],[CONCAT1]]="","",MATCH(NOTA[[#This Row],[CONCAT1]],[2]!db[NB NOTA_C],0)+1)</f>
        <v/>
      </c>
    </row>
    <row r="641" spans="1:39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e">
        <f ca="1">IF(NOTA[[#This Row],[ID_P]]="","",MATCH(NOTA[[#This Row],[ID_P]],[1]!B_MSK[N_ID],0))</f>
        <v>#REF!</v>
      </c>
      <c r="D641" s="29">
        <f ca="1">IF(NOTA[[#This Row],[NAMA BARANG]]="","",INDEX(NOTA[ID],MATCH(,INDIRECT(ADDRESS(ROW(NOTA[ID]),COLUMN(NOTA[ID]))&amp;":"&amp;ADDRESS(ROW(),COLUMN(NOTA[ID]))),-1)))</f>
        <v>124</v>
      </c>
      <c r="E641" s="30">
        <v>44950</v>
      </c>
      <c r="F641" s="26" t="s">
        <v>25</v>
      </c>
      <c r="G641" s="26" t="s">
        <v>24</v>
      </c>
      <c r="H641" s="31" t="s">
        <v>794</v>
      </c>
      <c r="I641" s="32"/>
      <c r="J641" s="33">
        <v>44946</v>
      </c>
      <c r="K641" s="32"/>
      <c r="L641" s="26" t="s">
        <v>429</v>
      </c>
      <c r="M641" s="34">
        <v>2</v>
      </c>
      <c r="N641" s="32">
        <v>60</v>
      </c>
      <c r="O641" s="26" t="s">
        <v>274</v>
      </c>
      <c r="P641" s="28">
        <v>104400</v>
      </c>
      <c r="Q641" s="46"/>
      <c r="R641" s="39" t="s">
        <v>371</v>
      </c>
      <c r="S641" s="35">
        <v>0.125</v>
      </c>
      <c r="T641" s="35">
        <v>0.05</v>
      </c>
      <c r="U641" s="36"/>
      <c r="V641" s="37"/>
      <c r="W641" s="36">
        <f>IF(NOTA[[#This Row],[HARGA/ CTN]]="",NOTA[[#This Row],[JUMLAH_H]],NOTA[[#This Row],[HARGA/ CTN]]*IF(NOTA[[#This Row],[C]]="",0,NOTA[[#This Row],[C]]))</f>
        <v>6264000</v>
      </c>
      <c r="X641" s="36">
        <f>IF(NOTA[[#This Row],[JUMLAH]]="","",NOTA[[#This Row],[JUMLAH]]*NOTA[[#This Row],[DISC 1]])</f>
        <v>783000</v>
      </c>
      <c r="Y641" s="36">
        <f>IF(NOTA[[#This Row],[JUMLAH]]="","",(NOTA[[#This Row],[JUMLAH]]-NOTA[[#This Row],[DISC 1-]])*NOTA[[#This Row],[DISC 2]])</f>
        <v>274050</v>
      </c>
      <c r="Z641" s="36">
        <f>IF(NOTA[[#This Row],[JUMLAH]]="","",NOTA[[#This Row],[DISC 1-]]+NOTA[[#This Row],[DISC 2-]])</f>
        <v>1057050</v>
      </c>
      <c r="AA641" s="36">
        <f>IF(NOTA[[#This Row],[JUMLAH]]="","",NOTA[[#This Row],[JUMLAH]]-NOTA[[#This Row],[DISC]])</f>
        <v>5206950</v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641" s="36">
        <f>IF(OR(NOTA[[#This Row],[QTY]]="",NOTA[[#This Row],[HARGA SATUAN]]="",),"",NOTA[[#This Row],[QTY]]*NOTA[[#This Row],[HARGA SATUAN]])</f>
        <v>6264000</v>
      </c>
      <c r="AF641" s="33">
        <f ca="1">IF(NOTA[ID_H]="","",INDEX(NOTA[TANGGAL],MATCH(,INDIRECT(ADDRESS(ROW(NOTA[TANGGAL]),COLUMN(NOTA[TANGGAL]))&amp;":"&amp;ADDRESS(ROW(),COLUMN(NOTA[TANGGAL]))),-1)))</f>
        <v>44950</v>
      </c>
      <c r="AG641" s="28" t="str">
        <f ca="1">IF(NOTA[[#This Row],[NAMA BARANG]]="","",INDEX(NOTA[SUPPLIER],MATCH(,INDIRECT(ADDRESS(ROW(NOTA[ID]),COLUMN(NOTA[ID]))&amp;":"&amp;ADDRESS(ROW(),COLUMN(NOTA[ID]))),-1)))</f>
        <v>ATALI MAKMUR</v>
      </c>
      <c r="AH641" s="28" t="str">
        <f ca="1">IF(NOTA[[#This Row],[ID_H]]="","",IF(NOTA[[#This Row],[FAKTUR]]="",INDIRECT(ADDRESS(ROW()-1,COLUMN())),NOTA[[#This Row],[FAKTUR]]))</f>
        <v>ARTO MORO</v>
      </c>
      <c r="AI641" s="38">
        <f ca="1">IF(NOTA[[#This Row],[ID]]="","",COUNTIF(NOTA[ID_H],NOTA[[#This Row],[ID_H]]))</f>
        <v>5</v>
      </c>
      <c r="AJ641" s="38">
        <f>IF(NOTA[[#This Row],[TGL.NOTA]]="",IF(NOTA[[#This Row],[SUPPLIER_H]]="","",AJ640),MONTH(NOTA[[#This Row],[TGL.NOTA]]))</f>
        <v>1</v>
      </c>
      <c r="AK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641" s="193">
        <f>IF(NOTA[[#This Row],[CONCAT1]]="","",MATCH(NOTA[[#This Row],[CONCAT1]],[2]!db[NB NOTA_C],0)+1)</f>
        <v>1732</v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>
        <f ca="1">IF(NOTA[[#This Row],[NAMA BARANG]]="","",INDEX(NOTA[ID],MATCH(,INDIRECT(ADDRESS(ROW(NOTA[ID]),COLUMN(NOTA[ID]))&amp;":"&amp;ADDRESS(ROW(),COLUMN(NOTA[ID]))),-1)))</f>
        <v>124</v>
      </c>
      <c r="E642" s="23"/>
      <c r="F642" s="26"/>
      <c r="G642" s="26"/>
      <c r="H642" s="31"/>
      <c r="I642" s="32"/>
      <c r="J642" s="33"/>
      <c r="K642" s="32"/>
      <c r="L642" s="26" t="s">
        <v>637</v>
      </c>
      <c r="M642" s="34">
        <v>2</v>
      </c>
      <c r="N642" s="32">
        <v>48</v>
      </c>
      <c r="O642" s="26" t="s">
        <v>116</v>
      </c>
      <c r="P642" s="28">
        <v>162000</v>
      </c>
      <c r="Q642" s="46"/>
      <c r="R642" s="39" t="s">
        <v>638</v>
      </c>
      <c r="S642" s="35">
        <v>0.125</v>
      </c>
      <c r="T642" s="35">
        <v>0.05</v>
      </c>
      <c r="U642" s="36"/>
      <c r="V642" s="37"/>
      <c r="W642" s="36">
        <f>IF(NOTA[[#This Row],[HARGA/ CTN]]="",NOTA[[#This Row],[JUMLAH_H]],NOTA[[#This Row],[HARGA/ CTN]]*IF(NOTA[[#This Row],[C]]="",0,NOTA[[#This Row],[C]]))</f>
        <v>7776000</v>
      </c>
      <c r="X642" s="36">
        <f>IF(NOTA[[#This Row],[JUMLAH]]="","",NOTA[[#This Row],[JUMLAH]]*NOTA[[#This Row],[DISC 1]])</f>
        <v>972000</v>
      </c>
      <c r="Y642" s="36">
        <f>IF(NOTA[[#This Row],[JUMLAH]]="","",(NOTA[[#This Row],[JUMLAH]]-NOTA[[#This Row],[DISC 1-]])*NOTA[[#This Row],[DISC 2]])</f>
        <v>340200</v>
      </c>
      <c r="Z642" s="36">
        <f>IF(NOTA[[#This Row],[JUMLAH]]="","",NOTA[[#This Row],[DISC 1-]]+NOTA[[#This Row],[DISC 2-]])</f>
        <v>1312200</v>
      </c>
      <c r="AA642" s="36">
        <f>IF(NOTA[[#This Row],[JUMLAH]]="","",NOTA[[#This Row],[JUMLAH]]-NOTA[[#This Row],[DISC]])</f>
        <v>6463800</v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42" s="36">
        <f>IF(OR(NOTA[[#This Row],[QTY]]="",NOTA[[#This Row],[HARGA SATUAN]]="",),"",NOTA[[#This Row],[QTY]]*NOTA[[#This Row],[HARGA SATUAN]])</f>
        <v>7776000</v>
      </c>
      <c r="AF642" s="33">
        <f ca="1">IF(NOTA[ID_H]="","",INDEX(NOTA[TANGGAL],MATCH(,INDIRECT(ADDRESS(ROW(NOTA[TANGGAL]),COLUMN(NOTA[TANGGAL]))&amp;":"&amp;ADDRESS(ROW(),COLUMN(NOTA[TANGGAL]))),-1)))</f>
        <v>44950</v>
      </c>
      <c r="AG642" s="28" t="str">
        <f ca="1">IF(NOTA[[#This Row],[NAMA BARANG]]="","",INDEX(NOTA[SUPPLIER],MATCH(,INDIRECT(ADDRESS(ROW(NOTA[ID]),COLUMN(NOTA[ID]))&amp;":"&amp;ADDRESS(ROW(),COLUMN(NOTA[ID]))),-1)))</f>
        <v>ATALI MAKMUR</v>
      </c>
      <c r="AH642" s="28" t="str">
        <f ca="1">IF(NOTA[[#This Row],[ID_H]]="","",IF(NOTA[[#This Row],[FAKTUR]]="",INDIRECT(ADDRESS(ROW()-1,COLUMN())),NOTA[[#This Row],[FAKTUR]]))</f>
        <v>ARTO MORO</v>
      </c>
      <c r="AI642" s="38" t="str">
        <f ca="1">IF(NOTA[[#This Row],[ID]]="","",COUNTIF(NOTA[ID_H],NOTA[[#This Row],[ID_H]]))</f>
        <v/>
      </c>
      <c r="AJ642" s="38">
        <f ca="1">IF(NOTA[[#This Row],[TGL.NOTA]]="",IF(NOTA[[#This Row],[SUPPLIER_H]]="","",AJ641),MONTH(NOTA[[#This Row],[TGL.NOTA]]))</f>
        <v>1</v>
      </c>
      <c r="AK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642" s="193">
        <f>IF(NOTA[[#This Row],[CONCAT1]]="","",MATCH(NOTA[[#This Row],[CONCAT1]],[2]!db[NB NOTA_C],0)+1)</f>
        <v>568</v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>
        <f ca="1">IF(NOTA[[#This Row],[NAMA BARANG]]="","",INDEX(NOTA[ID],MATCH(,INDIRECT(ADDRESS(ROW(NOTA[ID]),COLUMN(NOTA[ID]))&amp;":"&amp;ADDRESS(ROW(),COLUMN(NOTA[ID]))),-1)))</f>
        <v>124</v>
      </c>
      <c r="E643" s="30"/>
      <c r="F643" s="32"/>
      <c r="G643" s="32"/>
      <c r="H643" s="55"/>
      <c r="I643" s="32"/>
      <c r="J643" s="33"/>
      <c r="K643" s="32"/>
      <c r="L643" s="26" t="s">
        <v>639</v>
      </c>
      <c r="M643" s="34"/>
      <c r="N643" s="32">
        <v>48</v>
      </c>
      <c r="O643" s="26" t="s">
        <v>116</v>
      </c>
      <c r="P643" s="28"/>
      <c r="Q643" s="46"/>
      <c r="R643" s="39" t="s">
        <v>640</v>
      </c>
      <c r="S643" s="35"/>
      <c r="T643" s="35"/>
      <c r="U643" s="36"/>
      <c r="V643" s="37" t="s">
        <v>674</v>
      </c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43" s="36" t="str">
        <f>IF(OR(NOTA[[#This Row],[QTY]]="",NOTA[[#This Row],[HARGA SATUAN]]="",),"",NOTA[[#This Row],[QTY]]*NOTA[[#This Row],[HARGA SATUAN]])</f>
        <v/>
      </c>
      <c r="AF643" s="33">
        <f ca="1">IF(NOTA[ID_H]="","",INDEX(NOTA[TANGGAL],MATCH(,INDIRECT(ADDRESS(ROW(NOTA[TANGGAL]),COLUMN(NOTA[TANGGAL]))&amp;":"&amp;ADDRESS(ROW(),COLUMN(NOTA[TANGGAL]))),-1)))</f>
        <v>44950</v>
      </c>
      <c r="AG643" s="28" t="str">
        <f ca="1">IF(NOTA[[#This Row],[NAMA BARANG]]="","",INDEX(NOTA[SUPPLIER],MATCH(,INDIRECT(ADDRESS(ROW(NOTA[ID]),COLUMN(NOTA[ID]))&amp;":"&amp;ADDRESS(ROW(),COLUMN(NOTA[ID]))),-1)))</f>
        <v>ATALI MAKMUR</v>
      </c>
      <c r="AH643" s="28" t="str">
        <f ca="1">IF(NOTA[[#This Row],[ID_H]]="","",IF(NOTA[[#This Row],[FAKTUR]]="",INDIRECT(ADDRESS(ROW()-1,COLUMN())),NOTA[[#This Row],[FAKTUR]]))</f>
        <v>ARTO MORO</v>
      </c>
      <c r="AI643" s="38" t="str">
        <f ca="1">IF(NOTA[[#This Row],[ID]]="","",COUNTIF(NOTA[ID_H],NOTA[[#This Row],[ID_H]]))</f>
        <v/>
      </c>
      <c r="AJ643" s="38">
        <f ca="1">IF(NOTA[[#This Row],[TGL.NOTA]]="",IF(NOTA[[#This Row],[SUPPLIER_H]]="","",AJ642),MONTH(NOTA[[#This Row],[TGL.NOTA]]))</f>
        <v>1</v>
      </c>
      <c r="AK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643" s="193">
        <f>IF(NOTA[[#This Row],[CONCAT1]]="","",MATCH(NOTA[[#This Row],[CONCAT1]],[2]!db[NB NOTA_C],0)+1)</f>
        <v>560</v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>
        <f ca="1">IF(NOTA[[#This Row],[NAMA BARANG]]="","",INDEX(NOTA[ID],MATCH(,INDIRECT(ADDRESS(ROW(NOTA[ID]),COLUMN(NOTA[ID]))&amp;":"&amp;ADDRESS(ROW(),COLUMN(NOTA[ID]))),-1)))</f>
        <v>124</v>
      </c>
      <c r="E644" s="30"/>
      <c r="F644" s="32"/>
      <c r="G644" s="32"/>
      <c r="H644" s="55"/>
      <c r="I644" s="32"/>
      <c r="J644" s="33"/>
      <c r="K644" s="32"/>
      <c r="L644" s="26" t="s">
        <v>795</v>
      </c>
      <c r="M644" s="34">
        <v>2</v>
      </c>
      <c r="N644" s="32">
        <v>96</v>
      </c>
      <c r="O644" s="26" t="s">
        <v>116</v>
      </c>
      <c r="P644" s="28">
        <v>36000</v>
      </c>
      <c r="Q644" s="46"/>
      <c r="R644" s="39" t="s">
        <v>796</v>
      </c>
      <c r="S644" s="35">
        <v>0.125</v>
      </c>
      <c r="T644" s="35">
        <v>0.05</v>
      </c>
      <c r="U644" s="36"/>
      <c r="V644" s="37"/>
      <c r="W644" s="36">
        <f>IF(NOTA[[#This Row],[HARGA/ CTN]]="",NOTA[[#This Row],[JUMLAH_H]],NOTA[[#This Row],[HARGA/ CTN]]*IF(NOTA[[#This Row],[C]]="",0,NOTA[[#This Row],[C]]))</f>
        <v>3456000</v>
      </c>
      <c r="X644" s="36">
        <f>IF(NOTA[[#This Row],[JUMLAH]]="","",NOTA[[#This Row],[JUMLAH]]*NOTA[[#This Row],[DISC 1]])</f>
        <v>432000</v>
      </c>
      <c r="Y644" s="36">
        <f>IF(NOTA[[#This Row],[JUMLAH]]="","",(NOTA[[#This Row],[JUMLAH]]-NOTA[[#This Row],[DISC 1-]])*NOTA[[#This Row],[DISC 2]])</f>
        <v>151200</v>
      </c>
      <c r="Z644" s="36">
        <f>IF(NOTA[[#This Row],[JUMLAH]]="","",NOTA[[#This Row],[DISC 1-]]+NOTA[[#This Row],[DISC 2-]])</f>
        <v>583200</v>
      </c>
      <c r="AA644" s="36">
        <f>IF(NOTA[[#This Row],[JUMLAH]]="","",NOTA[[#This Row],[JUMLAH]]-NOTA[[#This Row],[DISC]])</f>
        <v>2872800</v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644" s="36">
        <f>IF(OR(NOTA[[#This Row],[QTY]]="",NOTA[[#This Row],[HARGA SATUAN]]="",),"",NOTA[[#This Row],[QTY]]*NOTA[[#This Row],[HARGA SATUAN]])</f>
        <v>3456000</v>
      </c>
      <c r="AF644" s="33">
        <f ca="1">IF(NOTA[ID_H]="","",INDEX(NOTA[TANGGAL],MATCH(,INDIRECT(ADDRESS(ROW(NOTA[TANGGAL]),COLUMN(NOTA[TANGGAL]))&amp;":"&amp;ADDRESS(ROW(),COLUMN(NOTA[TANGGAL]))),-1)))</f>
        <v>44950</v>
      </c>
      <c r="AG644" s="28" t="str">
        <f ca="1">IF(NOTA[[#This Row],[NAMA BARANG]]="","",INDEX(NOTA[SUPPLIER],MATCH(,INDIRECT(ADDRESS(ROW(NOTA[ID]),COLUMN(NOTA[ID]))&amp;":"&amp;ADDRESS(ROW(),COLUMN(NOTA[ID]))),-1)))</f>
        <v>ATALI MAKMUR</v>
      </c>
      <c r="AH644" s="28" t="str">
        <f ca="1">IF(NOTA[[#This Row],[ID_H]]="","",IF(NOTA[[#This Row],[FAKTUR]]="",INDIRECT(ADDRESS(ROW()-1,COLUMN())),NOTA[[#This Row],[FAKTUR]]))</f>
        <v>ARTO MORO</v>
      </c>
      <c r="AI644" s="38" t="str">
        <f ca="1">IF(NOTA[[#This Row],[ID]]="","",COUNTIF(NOTA[ID_H],NOTA[[#This Row],[ID_H]]))</f>
        <v/>
      </c>
      <c r="AJ644" s="38">
        <f ca="1">IF(NOTA[[#This Row],[TGL.NOTA]]="",IF(NOTA[[#This Row],[SUPPLIER_H]]="","",AJ643),MONTH(NOTA[[#This Row],[TGL.NOTA]]))</f>
        <v>1</v>
      </c>
      <c r="AK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>correctionfluidjk101jk17280000.1250.05</v>
      </c>
      <c r="AM644" s="193">
        <f>IF(NOTA[[#This Row],[CONCAT1]]="","",MATCH(NOTA[[#This Row],[CONCAT1]],[2]!db[NB NOTA_C],0)+1)</f>
        <v>513</v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>
        <f ca="1">IF(NOTA[[#This Row],[NAMA BARANG]]="","",INDEX(NOTA[ID],MATCH(,INDIRECT(ADDRESS(ROW(NOTA[ID]),COLUMN(NOTA[ID]))&amp;":"&amp;ADDRESS(ROW(),COLUMN(NOTA[ID]))),-1)))</f>
        <v>124</v>
      </c>
      <c r="E645" s="30"/>
      <c r="F645" s="26"/>
      <c r="G645" s="26"/>
      <c r="H645" s="31"/>
      <c r="I645" s="32"/>
      <c r="J645" s="33"/>
      <c r="K645" s="32"/>
      <c r="L645" s="26" t="s">
        <v>275</v>
      </c>
      <c r="M645" s="34"/>
      <c r="N645" s="32">
        <v>24</v>
      </c>
      <c r="O645" s="26" t="s">
        <v>104</v>
      </c>
      <c r="P645" s="28">
        <v>2350</v>
      </c>
      <c r="Q645" s="46"/>
      <c r="R645" s="39" t="s">
        <v>276</v>
      </c>
      <c r="S645" s="35">
        <v>0.1</v>
      </c>
      <c r="T645" s="35">
        <v>0.05</v>
      </c>
      <c r="U645" s="36">
        <v>48222</v>
      </c>
      <c r="V645" s="37" t="s">
        <v>797</v>
      </c>
      <c r="W645" s="36">
        <f>IF(NOTA[[#This Row],[HARGA/ CTN]]="",NOTA[[#This Row],[JUMLAH_H]],NOTA[[#This Row],[HARGA/ CTN]]*IF(NOTA[[#This Row],[C]]="",0,NOTA[[#This Row],[C]]))</f>
        <v>56400</v>
      </c>
      <c r="X645" s="36">
        <f>IF(NOTA[[#This Row],[JUMLAH]]="","",NOTA[[#This Row],[JUMLAH]]*NOTA[[#This Row],[DISC 1]])</f>
        <v>5640</v>
      </c>
      <c r="Y645" s="36">
        <f>IF(NOTA[[#This Row],[JUMLAH]]="","",(NOTA[[#This Row],[JUMLAH]]-NOTA[[#This Row],[DISC 1-]])*NOTA[[#This Row],[DISC 2]])</f>
        <v>2538</v>
      </c>
      <c r="Z645" s="36">
        <f>IF(NOTA[[#This Row],[JUMLAH]]="","",NOTA[[#This Row],[DISC 1-]]+NOTA[[#This Row],[DISC 2-]])</f>
        <v>8178</v>
      </c>
      <c r="AA645" s="36">
        <f>IF(NOTA[[#This Row],[JUMLAH]]="","",NOTA[[#This Row],[JUMLAH]]-NOTA[[#This Row],[DISC]])</f>
        <v>48222</v>
      </c>
      <c r="AB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D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645" s="36">
        <f>IF(OR(NOTA[[#This Row],[QTY]]="",NOTA[[#This Row],[HARGA SATUAN]]="",),"",NOTA[[#This Row],[QTY]]*NOTA[[#This Row],[HARGA SATUAN]])</f>
        <v>56400</v>
      </c>
      <c r="AF645" s="33">
        <f ca="1">IF(NOTA[ID_H]="","",INDEX(NOTA[TANGGAL],MATCH(,INDIRECT(ADDRESS(ROW(NOTA[TANGGAL]),COLUMN(NOTA[TANGGAL]))&amp;":"&amp;ADDRESS(ROW(),COLUMN(NOTA[TANGGAL]))),-1)))</f>
        <v>44950</v>
      </c>
      <c r="AG645" s="28" t="str">
        <f ca="1">IF(NOTA[[#This Row],[NAMA BARANG]]="","",INDEX(NOTA[SUPPLIER],MATCH(,INDIRECT(ADDRESS(ROW(NOTA[ID]),COLUMN(NOTA[ID]))&amp;":"&amp;ADDRESS(ROW(),COLUMN(NOTA[ID]))),-1)))</f>
        <v>ATALI MAKMUR</v>
      </c>
      <c r="AH645" s="28" t="str">
        <f ca="1">IF(NOTA[[#This Row],[ID_H]]="","",IF(NOTA[[#This Row],[FAKTUR]]="",INDIRECT(ADDRESS(ROW()-1,COLUMN())),NOTA[[#This Row],[FAKTUR]]))</f>
        <v>ARTO MORO</v>
      </c>
      <c r="AI645" s="38" t="str">
        <f ca="1">IF(NOTA[[#This Row],[ID]]="","",COUNTIF(NOTA[ID_H],NOTA[[#This Row],[ID_H]]))</f>
        <v/>
      </c>
      <c r="AJ645" s="38">
        <f ca="1">IF(NOTA[[#This Row],[TGL.NOTA]]="",IF(NOTA[[#This Row],[SUPPLIER_H]]="","",AJ644),MONTH(NOTA[[#This Row],[TGL.NOTA]]))</f>
        <v>1</v>
      </c>
      <c r="AK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645" s="193">
        <f>IF(NOTA[[#This Row],[CONCAT1]]="","",MATCH(NOTA[[#This Row],[CONCAT1]],[2]!db[NB NOTA_C],0)+1)</f>
        <v>1798</v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93" t="str">
        <f>IF(NOTA[[#This Row],[CONCAT1]]="","",MATCH(NOTA[[#This Row],[CONCAT1]],[2]!db[NB NOTA_C],0)+1)</f>
        <v/>
      </c>
    </row>
    <row r="647" spans="1:39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e">
        <f ca="1">IF(NOTA[[#This Row],[ID_P]]="","",MATCH(NOTA[[#This Row],[ID_P]],[1]!B_MSK[N_ID],0))</f>
        <v>#REF!</v>
      </c>
      <c r="D647" s="29">
        <f ca="1">IF(NOTA[[#This Row],[NAMA BARANG]]="","",INDEX(NOTA[ID],MATCH(,INDIRECT(ADDRESS(ROW(NOTA[ID]),COLUMN(NOTA[ID]))&amp;":"&amp;ADDRESS(ROW(),COLUMN(NOTA[ID]))),-1)))</f>
        <v>125</v>
      </c>
      <c r="E647" s="30"/>
      <c r="F647" s="26" t="s">
        <v>25</v>
      </c>
      <c r="G647" s="26" t="s">
        <v>24</v>
      </c>
      <c r="H647" s="31" t="s">
        <v>798</v>
      </c>
      <c r="I647" s="32"/>
      <c r="J647" s="51">
        <v>44946</v>
      </c>
      <c r="K647" s="32"/>
      <c r="L647" s="26" t="s">
        <v>429</v>
      </c>
      <c r="M647" s="34">
        <v>2</v>
      </c>
      <c r="N647" s="32">
        <v>60</v>
      </c>
      <c r="O647" s="26" t="s">
        <v>274</v>
      </c>
      <c r="P647" s="28">
        <v>104400</v>
      </c>
      <c r="Q647" s="52"/>
      <c r="R647" s="39" t="s">
        <v>371</v>
      </c>
      <c r="S647" s="35">
        <v>0.125</v>
      </c>
      <c r="T647" s="35">
        <v>0.05</v>
      </c>
      <c r="U647" s="36"/>
      <c r="V647" s="37"/>
      <c r="W647" s="36">
        <f>IF(NOTA[[#This Row],[HARGA/ CTN]]="",NOTA[[#This Row],[JUMLAH_H]],NOTA[[#This Row],[HARGA/ CTN]]*IF(NOTA[[#This Row],[C]]="",0,NOTA[[#This Row],[C]]))</f>
        <v>6264000</v>
      </c>
      <c r="X647" s="36">
        <f>IF(NOTA[[#This Row],[JUMLAH]]="","",NOTA[[#This Row],[JUMLAH]]*NOTA[[#This Row],[DISC 1]])</f>
        <v>783000</v>
      </c>
      <c r="Y647" s="36">
        <f>IF(NOTA[[#This Row],[JUMLAH]]="","",(NOTA[[#This Row],[JUMLAH]]-NOTA[[#This Row],[DISC 1-]])*NOTA[[#This Row],[DISC 2]])</f>
        <v>274050</v>
      </c>
      <c r="Z647" s="36">
        <f>IF(NOTA[[#This Row],[JUMLAH]]="","",NOTA[[#This Row],[DISC 1-]]+NOTA[[#This Row],[DISC 2-]])</f>
        <v>1057050</v>
      </c>
      <c r="AA647" s="36">
        <f>IF(NOTA[[#This Row],[JUMLAH]]="","",NOTA[[#This Row],[JUMLAH]]-NOTA[[#This Row],[DISC]])</f>
        <v>5206950</v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647" s="36">
        <f>IF(OR(NOTA[[#This Row],[QTY]]="",NOTA[[#This Row],[HARGA SATUAN]]="",),"",NOTA[[#This Row],[QTY]]*NOTA[[#This Row],[HARGA SATUAN]])</f>
        <v>6264000</v>
      </c>
      <c r="AF647" s="33">
        <f ca="1">IF(NOTA[ID_H]="","",INDEX(NOTA[TANGGAL],MATCH(,INDIRECT(ADDRESS(ROW(NOTA[TANGGAL]),COLUMN(NOTA[TANGGAL]))&amp;":"&amp;ADDRESS(ROW(),COLUMN(NOTA[TANGGAL]))),-1)))</f>
        <v>44950</v>
      </c>
      <c r="AG647" s="28" t="str">
        <f ca="1">IF(NOTA[[#This Row],[NAMA BARANG]]="","",INDEX(NOTA[SUPPLIER],MATCH(,INDIRECT(ADDRESS(ROW(NOTA[ID]),COLUMN(NOTA[ID]))&amp;":"&amp;ADDRESS(ROW(),COLUMN(NOTA[ID]))),-1)))</f>
        <v>ATALI MAKMUR</v>
      </c>
      <c r="AH647" s="28" t="str">
        <f ca="1">IF(NOTA[[#This Row],[ID_H]]="","",IF(NOTA[[#This Row],[FAKTUR]]="",INDIRECT(ADDRESS(ROW()-1,COLUMN())),NOTA[[#This Row],[FAKTUR]]))</f>
        <v>ARTO MORO</v>
      </c>
      <c r="AI647" s="38">
        <f ca="1">IF(NOTA[[#This Row],[ID]]="","",COUNTIF(NOTA[ID_H],NOTA[[#This Row],[ID_H]]))</f>
        <v>6</v>
      </c>
      <c r="AJ647" s="38">
        <f>IF(NOTA[[#This Row],[TGL.NOTA]]="",IF(NOTA[[#This Row],[SUPPLIER_H]]="","",AJ646),MONTH(NOTA[[#This Row],[TGL.NOTA]]))</f>
        <v>1</v>
      </c>
      <c r="AK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647" s="193">
        <f>IF(NOTA[[#This Row],[CONCAT1]]="","",MATCH(NOTA[[#This Row],[CONCAT1]],[2]!db[NB NOTA_C],0)+1)</f>
        <v>1732</v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>
        <f ca="1">IF(NOTA[[#This Row],[NAMA BARANG]]="","",INDEX(NOTA[ID],MATCH(,INDIRECT(ADDRESS(ROW(NOTA[ID]),COLUMN(NOTA[ID]))&amp;":"&amp;ADDRESS(ROW(),COLUMN(NOTA[ID]))),-1)))</f>
        <v>125</v>
      </c>
      <c r="E648" s="30"/>
      <c r="F648" s="26"/>
      <c r="G648" s="26"/>
      <c r="H648" s="31"/>
      <c r="I648" s="26"/>
      <c r="J648" s="33"/>
      <c r="K648" s="26"/>
      <c r="L648" s="26" t="s">
        <v>799</v>
      </c>
      <c r="M648" s="34">
        <v>1</v>
      </c>
      <c r="N648" s="32">
        <v>72</v>
      </c>
      <c r="O648" s="26" t="s">
        <v>104</v>
      </c>
      <c r="P648" s="28">
        <v>15800</v>
      </c>
      <c r="Q648" s="46"/>
      <c r="R648" s="39" t="s">
        <v>700</v>
      </c>
      <c r="S648" s="35">
        <v>0.125</v>
      </c>
      <c r="T648" s="35">
        <v>0.05</v>
      </c>
      <c r="U648" s="36"/>
      <c r="V648" s="37"/>
      <c r="W648" s="36">
        <f>IF(NOTA[[#This Row],[HARGA/ CTN]]="",NOTA[[#This Row],[JUMLAH_H]],NOTA[[#This Row],[HARGA/ CTN]]*IF(NOTA[[#This Row],[C]]="",0,NOTA[[#This Row],[C]]))</f>
        <v>1137600</v>
      </c>
      <c r="X648" s="36">
        <f>IF(NOTA[[#This Row],[JUMLAH]]="","",NOTA[[#This Row],[JUMLAH]]*NOTA[[#This Row],[DISC 1]])</f>
        <v>142200</v>
      </c>
      <c r="Y648" s="36">
        <f>IF(NOTA[[#This Row],[JUMLAH]]="","",(NOTA[[#This Row],[JUMLAH]]-NOTA[[#This Row],[DISC 1-]])*NOTA[[#This Row],[DISC 2]])</f>
        <v>49770</v>
      </c>
      <c r="Z648" s="36">
        <f>IF(NOTA[[#This Row],[JUMLAH]]="","",NOTA[[#This Row],[DISC 1-]]+NOTA[[#This Row],[DISC 2-]])</f>
        <v>191970</v>
      </c>
      <c r="AA648" s="36">
        <f>IF(NOTA[[#This Row],[JUMLAH]]="","",NOTA[[#This Row],[JUMLAH]]-NOTA[[#This Row],[DISC]])</f>
        <v>945630</v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48" s="36">
        <f>IF(OR(NOTA[[#This Row],[QTY]]="",NOTA[[#This Row],[HARGA SATUAN]]="",),"",NOTA[[#This Row],[QTY]]*NOTA[[#This Row],[HARGA SATUAN]])</f>
        <v>1137600</v>
      </c>
      <c r="AF648" s="33">
        <f ca="1">IF(NOTA[ID_H]="","",INDEX(NOTA[TANGGAL],MATCH(,INDIRECT(ADDRESS(ROW(NOTA[TANGGAL]),COLUMN(NOTA[TANGGAL]))&amp;":"&amp;ADDRESS(ROW(),COLUMN(NOTA[TANGGAL]))),-1)))</f>
        <v>44950</v>
      </c>
      <c r="AG648" s="28" t="str">
        <f ca="1">IF(NOTA[[#This Row],[NAMA BARANG]]="","",INDEX(NOTA[SUPPLIER],MATCH(,INDIRECT(ADDRESS(ROW(NOTA[ID]),COLUMN(NOTA[ID]))&amp;":"&amp;ADDRESS(ROW(),COLUMN(NOTA[ID]))),-1)))</f>
        <v>ATALI MAKMUR</v>
      </c>
      <c r="AH648" s="28" t="str">
        <f ca="1">IF(NOTA[[#This Row],[ID_H]]="","",IF(NOTA[[#This Row],[FAKTUR]]="",INDIRECT(ADDRESS(ROW()-1,COLUMN())),NOTA[[#This Row],[FAKTUR]]))</f>
        <v>ARTO MORO</v>
      </c>
      <c r="AI648" s="38" t="str">
        <f ca="1">IF(NOTA[[#This Row],[ID]]="","",COUNTIF(NOTA[ID_H],NOTA[[#This Row],[ID_H]]))</f>
        <v/>
      </c>
      <c r="AJ648" s="38">
        <f ca="1">IF(NOTA[[#This Row],[TGL.NOTA]]="",IF(NOTA[[#This Row],[SUPPLIER_H]]="","",AJ647),MONTH(NOTA[[#This Row],[TGL.NOTA]]))</f>
        <v>1</v>
      </c>
      <c r="AK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>bindera5tsimm478imagintnjku11376000.1250.05</v>
      </c>
      <c r="AM648" s="193">
        <f>IF(NOTA[[#This Row],[CONCAT1]]="","",MATCH(NOTA[[#This Row],[CONCAT1]],[2]!db[NB NOTA_C],0)+1)</f>
        <v>158</v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>
        <f ca="1">IF(NOTA[[#This Row],[NAMA BARANG]]="","",INDEX(NOTA[ID],MATCH(,INDIRECT(ADDRESS(ROW(NOTA[ID]),COLUMN(NOTA[ID]))&amp;":"&amp;ADDRESS(ROW(),COLUMN(NOTA[ID]))),-1)))</f>
        <v>125</v>
      </c>
      <c r="E649" s="30"/>
      <c r="F649" s="26"/>
      <c r="G649" s="26"/>
      <c r="H649" s="31"/>
      <c r="I649" s="32"/>
      <c r="J649" s="33"/>
      <c r="K649" s="32"/>
      <c r="L649" s="26" t="s">
        <v>800</v>
      </c>
      <c r="M649" s="34">
        <v>1</v>
      </c>
      <c r="N649" s="32">
        <v>72</v>
      </c>
      <c r="O649" s="26" t="s">
        <v>104</v>
      </c>
      <c r="P649" s="28">
        <v>15800</v>
      </c>
      <c r="Q649" s="46"/>
      <c r="R649" s="39" t="s">
        <v>700</v>
      </c>
      <c r="S649" s="35">
        <v>0.125</v>
      </c>
      <c r="T649" s="35">
        <v>0.05</v>
      </c>
      <c r="U649" s="36"/>
      <c r="V649" s="37"/>
      <c r="W649" s="36">
        <f>IF(NOTA[[#This Row],[HARGA/ CTN]]="",NOTA[[#This Row],[JUMLAH_H]],NOTA[[#This Row],[HARGA/ CTN]]*IF(NOTA[[#This Row],[C]]="",0,NOTA[[#This Row],[C]]))</f>
        <v>1137600</v>
      </c>
      <c r="X649" s="36">
        <f>IF(NOTA[[#This Row],[JUMLAH]]="","",NOTA[[#This Row],[JUMLAH]]*NOTA[[#This Row],[DISC 1]])</f>
        <v>142200</v>
      </c>
      <c r="Y649" s="36">
        <f>IF(NOTA[[#This Row],[JUMLAH]]="","",(NOTA[[#This Row],[JUMLAH]]-NOTA[[#This Row],[DISC 1-]])*NOTA[[#This Row],[DISC 2]])</f>
        <v>49770</v>
      </c>
      <c r="Z649" s="36">
        <f>IF(NOTA[[#This Row],[JUMLAH]]="","",NOTA[[#This Row],[DISC 1-]]+NOTA[[#This Row],[DISC 2-]])</f>
        <v>191970</v>
      </c>
      <c r="AA649" s="36">
        <f>IF(NOTA[[#This Row],[JUMLAH]]="","",NOTA[[#This Row],[JUMLAH]]-NOTA[[#This Row],[DISC]])</f>
        <v>945630</v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49" s="36">
        <f>IF(OR(NOTA[[#This Row],[QTY]]="",NOTA[[#This Row],[HARGA SATUAN]]="",),"",NOTA[[#This Row],[QTY]]*NOTA[[#This Row],[HARGA SATUAN]])</f>
        <v>1137600</v>
      </c>
      <c r="AF649" s="33">
        <f ca="1">IF(NOTA[ID_H]="","",INDEX(NOTA[TANGGAL],MATCH(,INDIRECT(ADDRESS(ROW(NOTA[TANGGAL]),COLUMN(NOTA[TANGGAL]))&amp;":"&amp;ADDRESS(ROW(),COLUMN(NOTA[TANGGAL]))),-1)))</f>
        <v>44950</v>
      </c>
      <c r="AG649" s="28" t="str">
        <f ca="1">IF(NOTA[[#This Row],[NAMA BARANG]]="","",INDEX(NOTA[SUPPLIER],MATCH(,INDIRECT(ADDRESS(ROW(NOTA[ID]),COLUMN(NOTA[ID]))&amp;":"&amp;ADDRESS(ROW(),COLUMN(NOTA[ID]))),-1)))</f>
        <v>ATALI MAKMUR</v>
      </c>
      <c r="AH649" s="28" t="str">
        <f ca="1">IF(NOTA[[#This Row],[ID_H]]="","",IF(NOTA[[#This Row],[FAKTUR]]="",INDIRECT(ADDRESS(ROW()-1,COLUMN())),NOTA[[#This Row],[FAKTUR]]))</f>
        <v>ARTO MORO</v>
      </c>
      <c r="AI649" s="38" t="str">
        <f ca="1">IF(NOTA[[#This Row],[ID]]="","",COUNTIF(NOTA[ID_H],NOTA[[#This Row],[ID_H]]))</f>
        <v/>
      </c>
      <c r="AJ649" s="38">
        <f ca="1">IF(NOTA[[#This Row],[TGL.NOTA]]="",IF(NOTA[[#This Row],[SUPPLIER_H]]="","",AJ648),MONTH(NOTA[[#This Row],[TGL.NOTA]]))</f>
        <v>1</v>
      </c>
      <c r="AK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>bindera5tsfcm480facultyjku11376000.1250.05</v>
      </c>
      <c r="AM649" s="193">
        <f>IF(NOTA[[#This Row],[CONCAT1]]="","",MATCH(NOTA[[#This Row],[CONCAT1]],[2]!db[NB NOTA_C],0)+1)</f>
        <v>152</v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>
        <f ca="1">IF(NOTA[[#This Row],[NAMA BARANG]]="","",INDEX(NOTA[ID],MATCH(,INDIRECT(ADDRESS(ROW(NOTA[ID]),COLUMN(NOTA[ID]))&amp;":"&amp;ADDRESS(ROW(),COLUMN(NOTA[ID]))),-1)))</f>
        <v>125</v>
      </c>
      <c r="E650" s="30"/>
      <c r="F650" s="26"/>
      <c r="G650" s="26"/>
      <c r="H650" s="31"/>
      <c r="I650" s="26"/>
      <c r="J650" s="33"/>
      <c r="K650" s="32"/>
      <c r="L650" s="26" t="s">
        <v>801</v>
      </c>
      <c r="M650" s="34">
        <v>1</v>
      </c>
      <c r="N650" s="32">
        <v>72</v>
      </c>
      <c r="O650" s="26" t="s">
        <v>104</v>
      </c>
      <c r="P650" s="28">
        <v>15800</v>
      </c>
      <c r="Q650" s="46"/>
      <c r="R650" s="39" t="s">
        <v>700</v>
      </c>
      <c r="S650" s="35">
        <v>0.125</v>
      </c>
      <c r="T650" s="35">
        <v>0.05</v>
      </c>
      <c r="U650" s="36"/>
      <c r="V650" s="37"/>
      <c r="W650" s="36">
        <f>IF(NOTA[[#This Row],[HARGA/ CTN]]="",NOTA[[#This Row],[JUMLAH_H]],NOTA[[#This Row],[HARGA/ CTN]]*IF(NOTA[[#This Row],[C]]="",0,NOTA[[#This Row],[C]]))</f>
        <v>1137600</v>
      </c>
      <c r="X650" s="36">
        <f>IF(NOTA[[#This Row],[JUMLAH]]="","",NOTA[[#This Row],[JUMLAH]]*NOTA[[#This Row],[DISC 1]])</f>
        <v>142200</v>
      </c>
      <c r="Y650" s="36">
        <f>IF(NOTA[[#This Row],[JUMLAH]]="","",(NOTA[[#This Row],[JUMLAH]]-NOTA[[#This Row],[DISC 1-]])*NOTA[[#This Row],[DISC 2]])</f>
        <v>49770</v>
      </c>
      <c r="Z650" s="36">
        <f>IF(NOTA[[#This Row],[JUMLAH]]="","",NOTA[[#This Row],[DISC 1-]]+NOTA[[#This Row],[DISC 2-]])</f>
        <v>191970</v>
      </c>
      <c r="AA650" s="36">
        <f>IF(NOTA[[#This Row],[JUMLAH]]="","",NOTA[[#This Row],[JUMLAH]]-NOTA[[#This Row],[DISC]])</f>
        <v>945630</v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0" s="36">
        <f>IF(OR(NOTA[[#This Row],[QTY]]="",NOTA[[#This Row],[HARGA SATUAN]]="",),"",NOTA[[#This Row],[QTY]]*NOTA[[#This Row],[HARGA SATUAN]])</f>
        <v>1137600</v>
      </c>
      <c r="AF650" s="33">
        <f ca="1">IF(NOTA[ID_H]="","",INDEX(NOTA[TANGGAL],MATCH(,INDIRECT(ADDRESS(ROW(NOTA[TANGGAL]),COLUMN(NOTA[TANGGAL]))&amp;":"&amp;ADDRESS(ROW(),COLUMN(NOTA[TANGGAL]))),-1)))</f>
        <v>44950</v>
      </c>
      <c r="AG650" s="28" t="str">
        <f ca="1">IF(NOTA[[#This Row],[NAMA BARANG]]="","",INDEX(NOTA[SUPPLIER],MATCH(,INDIRECT(ADDRESS(ROW(NOTA[ID]),COLUMN(NOTA[ID]))&amp;":"&amp;ADDRESS(ROW(),COLUMN(NOTA[ID]))),-1)))</f>
        <v>ATALI MAKMUR</v>
      </c>
      <c r="AH650" s="28" t="str">
        <f ca="1">IF(NOTA[[#This Row],[ID_H]]="","",IF(NOTA[[#This Row],[FAKTUR]]="",INDIRECT(ADDRESS(ROW()-1,COLUMN())),NOTA[[#This Row],[FAKTUR]]))</f>
        <v>ARTO MORO</v>
      </c>
      <c r="AI650" s="38" t="str">
        <f ca="1">IF(NOTA[[#This Row],[ID]]="","",COUNTIF(NOTA[ID_H],NOTA[[#This Row],[ID_H]]))</f>
        <v/>
      </c>
      <c r="AJ650" s="38">
        <f ca="1">IF(NOTA[[#This Row],[TGL.NOTA]]="",IF(NOTA[[#This Row],[SUPPLIER_H]]="","",AJ649),MONTH(NOTA[[#This Row],[TGL.NOTA]]))</f>
        <v>1</v>
      </c>
      <c r="AK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>bindera5tsfs514friendshipjku11376000.1250.05</v>
      </c>
      <c r="AM650" s="193">
        <f>IF(NOTA[[#This Row],[CONCAT1]]="","",MATCH(NOTA[[#This Row],[CONCAT1]],[2]!db[NB NOTA_C],0)+1)</f>
        <v>154</v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>
        <f ca="1">IF(NOTA[[#This Row],[NAMA BARANG]]="","",INDEX(NOTA[ID],MATCH(,INDIRECT(ADDRESS(ROW(NOTA[ID]),COLUMN(NOTA[ID]))&amp;":"&amp;ADDRESS(ROW(),COLUMN(NOTA[ID]))),-1)))</f>
        <v>125</v>
      </c>
      <c r="E651" s="30"/>
      <c r="F651" s="26"/>
      <c r="G651" s="26"/>
      <c r="H651" s="31"/>
      <c r="I651" s="32"/>
      <c r="J651" s="33"/>
      <c r="K651" s="32"/>
      <c r="L651" s="26" t="s">
        <v>802</v>
      </c>
      <c r="M651" s="34">
        <v>1</v>
      </c>
      <c r="N651" s="32">
        <v>72</v>
      </c>
      <c r="O651" s="26" t="s">
        <v>104</v>
      </c>
      <c r="P651" s="28">
        <v>15800</v>
      </c>
      <c r="Q651" s="46"/>
      <c r="R651" s="39" t="s">
        <v>700</v>
      </c>
      <c r="S651" s="35">
        <v>0.125</v>
      </c>
      <c r="T651" s="35">
        <v>0.05</v>
      </c>
      <c r="U651" s="36"/>
      <c r="V651" s="37"/>
      <c r="W651" s="36">
        <f>IF(NOTA[[#This Row],[HARGA/ CTN]]="",NOTA[[#This Row],[JUMLAH_H]],NOTA[[#This Row],[HARGA/ CTN]]*IF(NOTA[[#This Row],[C]]="",0,NOTA[[#This Row],[C]]))</f>
        <v>1137600</v>
      </c>
      <c r="X651" s="36">
        <f>IF(NOTA[[#This Row],[JUMLAH]]="","",NOTA[[#This Row],[JUMLAH]]*NOTA[[#This Row],[DISC 1]])</f>
        <v>142200</v>
      </c>
      <c r="Y651" s="36">
        <f>IF(NOTA[[#This Row],[JUMLAH]]="","",(NOTA[[#This Row],[JUMLAH]]-NOTA[[#This Row],[DISC 1-]])*NOTA[[#This Row],[DISC 2]])</f>
        <v>49770</v>
      </c>
      <c r="Z651" s="36">
        <f>IF(NOTA[[#This Row],[JUMLAH]]="","",NOTA[[#This Row],[DISC 1-]]+NOTA[[#This Row],[DISC 2-]])</f>
        <v>191970</v>
      </c>
      <c r="AA651" s="36">
        <f>IF(NOTA[[#This Row],[JUMLAH]]="","",NOTA[[#This Row],[JUMLAH]]-NOTA[[#This Row],[DISC]])</f>
        <v>945630</v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1" s="36">
        <f>IF(OR(NOTA[[#This Row],[QTY]]="",NOTA[[#This Row],[HARGA SATUAN]]="",),"",NOTA[[#This Row],[QTY]]*NOTA[[#This Row],[HARGA SATUAN]])</f>
        <v>1137600</v>
      </c>
      <c r="AF651" s="33">
        <f ca="1">IF(NOTA[ID_H]="","",INDEX(NOTA[TANGGAL],MATCH(,INDIRECT(ADDRESS(ROW(NOTA[TANGGAL]),COLUMN(NOTA[TANGGAL]))&amp;":"&amp;ADDRESS(ROW(),COLUMN(NOTA[TANGGAL]))),-1)))</f>
        <v>44950</v>
      </c>
      <c r="AG651" s="28" t="str">
        <f ca="1">IF(NOTA[[#This Row],[NAMA BARANG]]="","",INDEX(NOTA[SUPPLIER],MATCH(,INDIRECT(ADDRESS(ROW(NOTA[ID]),COLUMN(NOTA[ID]))&amp;":"&amp;ADDRESS(ROW(),COLUMN(NOTA[ID]))),-1)))</f>
        <v>ATALI MAKMUR</v>
      </c>
      <c r="AH651" s="28" t="str">
        <f ca="1">IF(NOTA[[#This Row],[ID_H]]="","",IF(NOTA[[#This Row],[FAKTUR]]="",INDIRECT(ADDRESS(ROW()-1,COLUMN())),NOTA[[#This Row],[FAKTUR]]))</f>
        <v>ARTO MORO</v>
      </c>
      <c r="AI651" s="38" t="str">
        <f ca="1">IF(NOTA[[#This Row],[ID]]="","",COUNTIF(NOTA[ID_H],NOTA[[#This Row],[ID_H]]))</f>
        <v/>
      </c>
      <c r="AJ651" s="38">
        <f ca="1">IF(NOTA[[#This Row],[TGL.NOTA]]="",IF(NOTA[[#This Row],[SUPPLIER_H]]="","",AJ650),MONTH(NOTA[[#This Row],[TGL.NOTA]]))</f>
        <v>1</v>
      </c>
      <c r="AK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>bindera5tsedm503educationjku11376000.1250.05</v>
      </c>
      <c r="AM651" s="193">
        <f>IF(NOTA[[#This Row],[CONCAT1]]="","",MATCH(NOTA[[#This Row],[CONCAT1]],[2]!db[NB NOTA_C],0)+1)</f>
        <v>151</v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>
        <f ca="1">IF(NOTA[[#This Row],[NAMA BARANG]]="","",INDEX(NOTA[ID],MATCH(,INDIRECT(ADDRESS(ROW(NOTA[ID]),COLUMN(NOTA[ID]))&amp;":"&amp;ADDRESS(ROW(),COLUMN(NOTA[ID]))),-1)))</f>
        <v>125</v>
      </c>
      <c r="E652" s="30"/>
      <c r="F652" s="26"/>
      <c r="G652" s="26"/>
      <c r="H652" s="31"/>
      <c r="I652" s="32"/>
      <c r="J652" s="33"/>
      <c r="K652" s="32"/>
      <c r="L652" s="26" t="s">
        <v>803</v>
      </c>
      <c r="M652" s="34">
        <v>1</v>
      </c>
      <c r="N652" s="32">
        <v>72</v>
      </c>
      <c r="O652" s="26" t="s">
        <v>104</v>
      </c>
      <c r="P652" s="28">
        <v>15800</v>
      </c>
      <c r="Q652" s="52"/>
      <c r="R652" s="39" t="s">
        <v>700</v>
      </c>
      <c r="S652" s="35">
        <v>0.125</v>
      </c>
      <c r="T652" s="35">
        <v>0.05</v>
      </c>
      <c r="U652" s="36"/>
      <c r="V652" s="37"/>
      <c r="W652" s="36">
        <f>IF(NOTA[[#This Row],[HARGA/ CTN]]="",NOTA[[#This Row],[JUMLAH_H]],NOTA[[#This Row],[HARGA/ CTN]]*IF(NOTA[[#This Row],[C]]="",0,NOTA[[#This Row],[C]]))</f>
        <v>1137600</v>
      </c>
      <c r="X652" s="36">
        <f>IF(NOTA[[#This Row],[JUMLAH]]="","",NOTA[[#This Row],[JUMLAH]]*NOTA[[#This Row],[DISC 1]])</f>
        <v>142200</v>
      </c>
      <c r="Y652" s="36">
        <f>IF(NOTA[[#This Row],[JUMLAH]]="","",(NOTA[[#This Row],[JUMLAH]]-NOTA[[#This Row],[DISC 1-]])*NOTA[[#This Row],[DISC 2]])</f>
        <v>49770</v>
      </c>
      <c r="Z652" s="36">
        <f>IF(NOTA[[#This Row],[JUMLAH]]="","",NOTA[[#This Row],[DISC 1-]]+NOTA[[#This Row],[DISC 2-]])</f>
        <v>191970</v>
      </c>
      <c r="AA652" s="36">
        <f>IF(NOTA[[#This Row],[JUMLAH]]="","",NOTA[[#This Row],[JUMLAH]]-NOTA[[#This Row],[DISC]])</f>
        <v>945630</v>
      </c>
      <c r="AB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D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2" s="36">
        <f>IF(OR(NOTA[[#This Row],[QTY]]="",NOTA[[#This Row],[HARGA SATUAN]]="",),"",NOTA[[#This Row],[QTY]]*NOTA[[#This Row],[HARGA SATUAN]])</f>
        <v>1137600</v>
      </c>
      <c r="AF652" s="33">
        <f ca="1">IF(NOTA[ID_H]="","",INDEX(NOTA[TANGGAL],MATCH(,INDIRECT(ADDRESS(ROW(NOTA[TANGGAL]),COLUMN(NOTA[TANGGAL]))&amp;":"&amp;ADDRESS(ROW(),COLUMN(NOTA[TANGGAL]))),-1)))</f>
        <v>44950</v>
      </c>
      <c r="AG652" s="28" t="str">
        <f ca="1">IF(NOTA[[#This Row],[NAMA BARANG]]="","",INDEX(NOTA[SUPPLIER],MATCH(,INDIRECT(ADDRESS(ROW(NOTA[ID]),COLUMN(NOTA[ID]))&amp;":"&amp;ADDRESS(ROW(),COLUMN(NOTA[ID]))),-1)))</f>
        <v>ATALI MAKMUR</v>
      </c>
      <c r="AH652" s="28" t="str">
        <f ca="1">IF(NOTA[[#This Row],[ID_H]]="","",IF(NOTA[[#This Row],[FAKTUR]]="",INDIRECT(ADDRESS(ROW()-1,COLUMN())),NOTA[[#This Row],[FAKTUR]]))</f>
        <v>ARTO MORO</v>
      </c>
      <c r="AI652" s="38" t="str">
        <f ca="1">IF(NOTA[[#This Row],[ID]]="","",COUNTIF(NOTA[ID_H],NOTA[[#This Row],[ID_H]]))</f>
        <v/>
      </c>
      <c r="AJ652" s="38">
        <f ca="1">IF(NOTA[[#This Row],[TGL.NOTA]]="",IF(NOTA[[#This Row],[SUPPLIER_H]]="","",AJ651),MONTH(NOTA[[#This Row],[TGL.NOTA]]))</f>
        <v>1</v>
      </c>
      <c r="AK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>bindera5tsclm401collegejku11376000.1250.05</v>
      </c>
      <c r="AM652" s="193">
        <f>IF(NOTA[[#This Row],[CONCAT1]]="","",MATCH(NOTA[[#This Row],[CONCAT1]],[2]!db[NB NOTA_C],0)+1)</f>
        <v>143</v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93" t="str">
        <f>IF(NOTA[[#This Row],[CONCAT1]]="","",MATCH(NOTA[[#This Row],[CONCAT1]],[2]!db[NB NOTA_C],0)+1)</f>
        <v/>
      </c>
    </row>
    <row r="654" spans="1:39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e">
        <f ca="1">IF(NOTA[[#This Row],[ID_P]]="","",MATCH(NOTA[[#This Row],[ID_P]],[1]!B_MSK[N_ID],0))</f>
        <v>#REF!</v>
      </c>
      <c r="D654" s="29">
        <f ca="1">IF(NOTA[[#This Row],[NAMA BARANG]]="","",INDEX(NOTA[ID],MATCH(,INDIRECT(ADDRESS(ROW(NOTA[ID]),COLUMN(NOTA[ID]))&amp;":"&amp;ADDRESS(ROW(),COLUMN(NOTA[ID]))),-1)))</f>
        <v>126</v>
      </c>
      <c r="E654" s="30"/>
      <c r="F654" s="26" t="s">
        <v>25</v>
      </c>
      <c r="G654" s="26" t="s">
        <v>24</v>
      </c>
      <c r="H654" s="31" t="s">
        <v>804</v>
      </c>
      <c r="I654" s="32"/>
      <c r="J654" s="33">
        <v>44946</v>
      </c>
      <c r="K654" s="32"/>
      <c r="L654" s="26" t="s">
        <v>666</v>
      </c>
      <c r="M654" s="34">
        <v>1</v>
      </c>
      <c r="N654" s="32">
        <v>480</v>
      </c>
      <c r="O654" s="26" t="s">
        <v>104</v>
      </c>
      <c r="P654" s="28">
        <v>8500</v>
      </c>
      <c r="Q654" s="46"/>
      <c r="R654" s="39" t="s">
        <v>667</v>
      </c>
      <c r="S654" s="35">
        <v>0.125</v>
      </c>
      <c r="T654" s="35">
        <v>0.05</v>
      </c>
      <c r="U654" s="36"/>
      <c r="V654" s="37"/>
      <c r="W654" s="36">
        <f>IF(NOTA[[#This Row],[HARGA/ CTN]]="",NOTA[[#This Row],[JUMLAH_H]],NOTA[[#This Row],[HARGA/ CTN]]*IF(NOTA[[#This Row],[C]]="",0,NOTA[[#This Row],[C]]))</f>
        <v>4080000</v>
      </c>
      <c r="X654" s="36">
        <f>IF(NOTA[[#This Row],[JUMLAH]]="","",NOTA[[#This Row],[JUMLAH]]*NOTA[[#This Row],[DISC 1]])</f>
        <v>510000</v>
      </c>
      <c r="Y654" s="36">
        <f>IF(NOTA[[#This Row],[JUMLAH]]="","",(NOTA[[#This Row],[JUMLAH]]-NOTA[[#This Row],[DISC 1-]])*NOTA[[#This Row],[DISC 2]])</f>
        <v>178500</v>
      </c>
      <c r="Z654" s="36">
        <f>IF(NOTA[[#This Row],[JUMLAH]]="","",NOTA[[#This Row],[DISC 1-]]+NOTA[[#This Row],[DISC 2-]])</f>
        <v>688500</v>
      </c>
      <c r="AA654" s="36">
        <f>IF(NOTA[[#This Row],[JUMLAH]]="","",NOTA[[#This Row],[JUMLAH]]-NOTA[[#This Row],[DISC]])</f>
        <v>3391500</v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654" s="36">
        <f>IF(OR(NOTA[[#This Row],[QTY]]="",NOTA[[#This Row],[HARGA SATUAN]]="",),"",NOTA[[#This Row],[QTY]]*NOTA[[#This Row],[HARGA SATUAN]])</f>
        <v>4080000</v>
      </c>
      <c r="AF654" s="33">
        <f ca="1">IF(NOTA[ID_H]="","",INDEX(NOTA[TANGGAL],MATCH(,INDIRECT(ADDRESS(ROW(NOTA[TANGGAL]),COLUMN(NOTA[TANGGAL]))&amp;":"&amp;ADDRESS(ROW(),COLUMN(NOTA[TANGGAL]))),-1)))</f>
        <v>44950</v>
      </c>
      <c r="AG654" s="28" t="str">
        <f ca="1">IF(NOTA[[#This Row],[NAMA BARANG]]="","",INDEX(NOTA[SUPPLIER],MATCH(,INDIRECT(ADDRESS(ROW(NOTA[ID]),COLUMN(NOTA[ID]))&amp;":"&amp;ADDRESS(ROW(),COLUMN(NOTA[ID]))),-1)))</f>
        <v>ATALI MAKMUR</v>
      </c>
      <c r="AH654" s="28" t="str">
        <f ca="1">IF(NOTA[[#This Row],[ID_H]]="","",IF(NOTA[[#This Row],[FAKTUR]]="",INDIRECT(ADDRESS(ROW()-1,COLUMN())),NOTA[[#This Row],[FAKTUR]]))</f>
        <v>ARTO MORO</v>
      </c>
      <c r="AI654" s="38">
        <f ca="1">IF(NOTA[[#This Row],[ID]]="","",COUNTIF(NOTA[ID_H],NOTA[[#This Row],[ID_H]]))</f>
        <v>11</v>
      </c>
      <c r="AJ654" s="38">
        <f>IF(NOTA[[#This Row],[TGL.NOTA]]="",IF(NOTA[[#This Row],[SUPPLIER_H]]="","",AJ653),MONTH(NOTA[[#This Row],[TGL.NOTA]]))</f>
        <v>1</v>
      </c>
      <c r="AK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>correctiontapect533jk40800000.1250.05</v>
      </c>
      <c r="AM654" s="193">
        <f>IF(NOTA[[#This Row],[CONCAT1]]="","",MATCH(NOTA[[#This Row],[CONCAT1]],[2]!db[NB NOTA_C],0)+1)</f>
        <v>523</v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>
        <f ca="1">IF(NOTA[[#This Row],[NAMA BARANG]]="","",INDEX(NOTA[ID],MATCH(,INDIRECT(ADDRESS(ROW(NOTA[ID]),COLUMN(NOTA[ID]))&amp;":"&amp;ADDRESS(ROW(),COLUMN(NOTA[ID]))),-1)))</f>
        <v>126</v>
      </c>
      <c r="E655" s="30"/>
      <c r="F655" s="26"/>
      <c r="G655" s="26"/>
      <c r="H655" s="31"/>
      <c r="I655" s="32"/>
      <c r="J655" s="33"/>
      <c r="K655" s="32"/>
      <c r="L655" s="26" t="s">
        <v>805</v>
      </c>
      <c r="M655" s="34">
        <v>4</v>
      </c>
      <c r="N655" s="32">
        <v>3456</v>
      </c>
      <c r="O655" s="26" t="s">
        <v>104</v>
      </c>
      <c r="P655" s="49">
        <v>2450</v>
      </c>
      <c r="Q655" s="52"/>
      <c r="R655" s="39" t="s">
        <v>689</v>
      </c>
      <c r="S655" s="35">
        <v>0.125</v>
      </c>
      <c r="T655" s="35">
        <v>0.05</v>
      </c>
      <c r="U655" s="36"/>
      <c r="V655" s="37"/>
      <c r="W655" s="36">
        <f>IF(NOTA[[#This Row],[HARGA/ CTN]]="",NOTA[[#This Row],[JUMLAH_H]],NOTA[[#This Row],[HARGA/ CTN]]*IF(NOTA[[#This Row],[C]]="",0,NOTA[[#This Row],[C]]))</f>
        <v>8467200</v>
      </c>
      <c r="X655" s="36">
        <f>IF(NOTA[[#This Row],[JUMLAH]]="","",NOTA[[#This Row],[JUMLAH]]*NOTA[[#This Row],[DISC 1]])</f>
        <v>1058400</v>
      </c>
      <c r="Y655" s="36">
        <f>IF(NOTA[[#This Row],[JUMLAH]]="","",(NOTA[[#This Row],[JUMLAH]]-NOTA[[#This Row],[DISC 1-]])*NOTA[[#This Row],[DISC 2]])</f>
        <v>370440</v>
      </c>
      <c r="Z655" s="36">
        <f>IF(NOTA[[#This Row],[JUMLAH]]="","",NOTA[[#This Row],[DISC 1-]]+NOTA[[#This Row],[DISC 2-]])</f>
        <v>1428840</v>
      </c>
      <c r="AA655" s="36">
        <f>IF(NOTA[[#This Row],[JUMLAH]]="","",NOTA[[#This Row],[JUMLAH]]-NOTA[[#This Row],[DISC]])</f>
        <v>7038360</v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55" s="36">
        <f>IF(OR(NOTA[[#This Row],[QTY]]="",NOTA[[#This Row],[HARGA SATUAN]]="",),"",NOTA[[#This Row],[QTY]]*NOTA[[#This Row],[HARGA SATUAN]])</f>
        <v>8467200</v>
      </c>
      <c r="AF655" s="33">
        <f ca="1">IF(NOTA[ID_H]="","",INDEX(NOTA[TANGGAL],MATCH(,INDIRECT(ADDRESS(ROW(NOTA[TANGGAL]),COLUMN(NOTA[TANGGAL]))&amp;":"&amp;ADDRESS(ROW(),COLUMN(NOTA[TANGGAL]))),-1)))</f>
        <v>44950</v>
      </c>
      <c r="AG655" s="28" t="str">
        <f ca="1">IF(NOTA[[#This Row],[NAMA BARANG]]="","",INDEX(NOTA[SUPPLIER],MATCH(,INDIRECT(ADDRESS(ROW(NOTA[ID]),COLUMN(NOTA[ID]))&amp;":"&amp;ADDRESS(ROW(),COLUMN(NOTA[ID]))),-1)))</f>
        <v>ATALI MAKMUR</v>
      </c>
      <c r="AH655" s="28" t="str">
        <f ca="1">IF(NOTA[[#This Row],[ID_H]]="","",IF(NOTA[[#This Row],[FAKTUR]]="",INDIRECT(ADDRESS(ROW()-1,COLUMN())),NOTA[[#This Row],[FAKTUR]]))</f>
        <v>ARTO MORO</v>
      </c>
      <c r="AI655" s="38" t="str">
        <f ca="1">IF(NOTA[[#This Row],[ID]]="","",COUNTIF(NOTA[ID_H],NOTA[[#This Row],[ID_H]]))</f>
        <v/>
      </c>
      <c r="AJ655" s="38">
        <f ca="1">IF(NOTA[[#This Row],[TGL.NOTA]]="",IF(NOTA[[#This Row],[SUPPLIER_H]]="","",AJ654),MONTH(NOTA[[#This Row],[TGL.NOTA]]))</f>
        <v>1</v>
      </c>
      <c r="AK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>gluestickgs104animalkingdomjk21168000.1250.05</v>
      </c>
      <c r="AM655" s="193">
        <f>IF(NOTA[[#This Row],[CONCAT1]]="","",MATCH(NOTA[[#This Row],[CONCAT1]],[2]!db[NB NOTA_C],0)+1)</f>
        <v>922</v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>
        <f ca="1">IF(NOTA[[#This Row],[NAMA BARANG]]="","",INDEX(NOTA[ID],MATCH(,INDIRECT(ADDRESS(ROW(NOTA[ID]),COLUMN(NOTA[ID]))&amp;":"&amp;ADDRESS(ROW(),COLUMN(NOTA[ID]))),-1)))</f>
        <v>126</v>
      </c>
      <c r="E656" s="30"/>
      <c r="F656" s="32"/>
      <c r="G656" s="32"/>
      <c r="H656" s="55"/>
      <c r="I656" s="32"/>
      <c r="J656" s="33"/>
      <c r="K656" s="32"/>
      <c r="L656" s="26" t="s">
        <v>813</v>
      </c>
      <c r="M656" s="34">
        <v>1</v>
      </c>
      <c r="N656" s="32">
        <v>12</v>
      </c>
      <c r="O656" s="26" t="s">
        <v>104</v>
      </c>
      <c r="P656" s="28">
        <v>31000</v>
      </c>
      <c r="Q656" s="46"/>
      <c r="R656" s="39" t="s">
        <v>449</v>
      </c>
      <c r="S656" s="35">
        <v>0.125</v>
      </c>
      <c r="T656" s="35">
        <v>0.05</v>
      </c>
      <c r="U656" s="36"/>
      <c r="V656" s="37"/>
      <c r="W656" s="36">
        <f>IF(NOTA[[#This Row],[HARGA/ CTN]]="",NOTA[[#This Row],[JUMLAH_H]],NOTA[[#This Row],[HARGA/ CTN]]*IF(NOTA[[#This Row],[C]]="",0,NOTA[[#This Row],[C]]))</f>
        <v>372000</v>
      </c>
      <c r="X656" s="36">
        <f>IF(NOTA[[#This Row],[JUMLAH]]="","",NOTA[[#This Row],[JUMLAH]]*NOTA[[#This Row],[DISC 1]])</f>
        <v>46500</v>
      </c>
      <c r="Y656" s="36">
        <f>IF(NOTA[[#This Row],[JUMLAH]]="","",(NOTA[[#This Row],[JUMLAH]]-NOTA[[#This Row],[DISC 1-]])*NOTA[[#This Row],[DISC 2]])</f>
        <v>16275</v>
      </c>
      <c r="Z656" s="36">
        <f>IF(NOTA[[#This Row],[JUMLAH]]="","",NOTA[[#This Row],[DISC 1-]]+NOTA[[#This Row],[DISC 2-]])</f>
        <v>62775</v>
      </c>
      <c r="AA656" s="36">
        <f>IF(NOTA[[#This Row],[JUMLAH]]="","",NOTA[[#This Row],[JUMLAH]]-NOTA[[#This Row],[DISC]])</f>
        <v>309225</v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656" s="36">
        <f>IF(OR(NOTA[[#This Row],[QTY]]="",NOTA[[#This Row],[HARGA SATUAN]]="",),"",NOTA[[#This Row],[QTY]]*NOTA[[#This Row],[HARGA SATUAN]])</f>
        <v>372000</v>
      </c>
      <c r="AF656" s="33">
        <f ca="1">IF(NOTA[ID_H]="","",INDEX(NOTA[TANGGAL],MATCH(,INDIRECT(ADDRESS(ROW(NOTA[TANGGAL]),COLUMN(NOTA[TANGGAL]))&amp;":"&amp;ADDRESS(ROW(),COLUMN(NOTA[TANGGAL]))),-1)))</f>
        <v>44950</v>
      </c>
      <c r="AG656" s="28" t="str">
        <f ca="1">IF(NOTA[[#This Row],[NAMA BARANG]]="","",INDEX(NOTA[SUPPLIER],MATCH(,INDIRECT(ADDRESS(ROW(NOTA[ID]),COLUMN(NOTA[ID]))&amp;":"&amp;ADDRESS(ROW(),COLUMN(NOTA[ID]))),-1)))</f>
        <v>ATALI MAKMUR</v>
      </c>
      <c r="AH656" s="28" t="str">
        <f ca="1">IF(NOTA[[#This Row],[ID_H]]="","",IF(NOTA[[#This Row],[FAKTUR]]="",INDIRECT(ADDRESS(ROW()-1,COLUMN())),NOTA[[#This Row],[FAKTUR]]))</f>
        <v>ARTO MORO</v>
      </c>
      <c r="AI656" s="38" t="str">
        <f ca="1">IF(NOTA[[#This Row],[ID]]="","",COUNTIF(NOTA[ID_H],NOTA[[#This Row],[ID_H]]))</f>
        <v/>
      </c>
      <c r="AJ656" s="38">
        <f ca="1">IF(NOTA[[#This Row],[TGL.NOTA]]="",IF(NOTA[[#This Row],[SUPPLIER_H]]="","",AJ655),MONTH(NOTA[[#This Row],[TGL.NOTA]]))</f>
        <v>1</v>
      </c>
      <c r="AK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>tapecuttertc106jk3720000.1250.05</v>
      </c>
      <c r="AM656" s="193">
        <f>IF(NOTA[[#This Row],[CONCAT1]]="","",MATCH(NOTA[[#This Row],[CONCAT1]],[2]!db[NB NOTA_C],0)+1)</f>
        <v>1973</v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>
        <f ca="1">IF(NOTA[[#This Row],[NAMA BARANG]]="","",INDEX(NOTA[ID],MATCH(,INDIRECT(ADDRESS(ROW(NOTA[ID]),COLUMN(NOTA[ID]))&amp;":"&amp;ADDRESS(ROW(),COLUMN(NOTA[ID]))),-1)))</f>
        <v>126</v>
      </c>
      <c r="E657" s="30"/>
      <c r="F657" s="32"/>
      <c r="G657" s="32"/>
      <c r="H657" s="55"/>
      <c r="I657" s="32"/>
      <c r="J657" s="33"/>
      <c r="K657" s="32"/>
      <c r="L657" s="26" t="s">
        <v>806</v>
      </c>
      <c r="M657" s="34">
        <v>1</v>
      </c>
      <c r="N657" s="32">
        <v>24</v>
      </c>
      <c r="O657" s="26" t="s">
        <v>104</v>
      </c>
      <c r="P657" s="28">
        <v>24300</v>
      </c>
      <c r="Q657" s="46"/>
      <c r="R657" s="39" t="s">
        <v>130</v>
      </c>
      <c r="S657" s="35">
        <v>0.125</v>
      </c>
      <c r="T657" s="35">
        <v>0.05</v>
      </c>
      <c r="U657" s="36"/>
      <c r="V657" s="37"/>
      <c r="W657" s="36">
        <f>IF(NOTA[[#This Row],[HARGA/ CTN]]="",NOTA[[#This Row],[JUMLAH_H]],NOTA[[#This Row],[HARGA/ CTN]]*IF(NOTA[[#This Row],[C]]="",0,NOTA[[#This Row],[C]]))</f>
        <v>583200</v>
      </c>
      <c r="X657" s="36">
        <f>IF(NOTA[[#This Row],[JUMLAH]]="","",NOTA[[#This Row],[JUMLAH]]*NOTA[[#This Row],[DISC 1]])</f>
        <v>72900</v>
      </c>
      <c r="Y657" s="36">
        <f>IF(NOTA[[#This Row],[JUMLAH]]="","",(NOTA[[#This Row],[JUMLAH]]-NOTA[[#This Row],[DISC 1-]])*NOTA[[#This Row],[DISC 2]])</f>
        <v>25515</v>
      </c>
      <c r="Z657" s="36">
        <f>IF(NOTA[[#This Row],[JUMLAH]]="","",NOTA[[#This Row],[DISC 1-]]+NOTA[[#This Row],[DISC 2-]])</f>
        <v>98415</v>
      </c>
      <c r="AA657" s="36">
        <f>IF(NOTA[[#This Row],[JUMLAH]]="","",NOTA[[#This Row],[JUMLAH]]-NOTA[[#This Row],[DISC]])</f>
        <v>484785</v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E657" s="36">
        <f>IF(OR(NOTA[[#This Row],[QTY]]="",NOTA[[#This Row],[HARGA SATUAN]]="",),"",NOTA[[#This Row],[QTY]]*NOTA[[#This Row],[HARGA SATUAN]])</f>
        <v>583200</v>
      </c>
      <c r="AF657" s="33">
        <f ca="1">IF(NOTA[ID_H]="","",INDEX(NOTA[TANGGAL],MATCH(,INDIRECT(ADDRESS(ROW(NOTA[TANGGAL]),COLUMN(NOTA[TANGGAL]))&amp;":"&amp;ADDRESS(ROW(),COLUMN(NOTA[TANGGAL]))),-1)))</f>
        <v>44950</v>
      </c>
      <c r="AG657" s="28" t="str">
        <f ca="1">IF(NOTA[[#This Row],[NAMA BARANG]]="","",INDEX(NOTA[SUPPLIER],MATCH(,INDIRECT(ADDRESS(ROW(NOTA[ID]),COLUMN(NOTA[ID]))&amp;":"&amp;ADDRESS(ROW(),COLUMN(NOTA[ID]))),-1)))</f>
        <v>ATALI MAKMUR</v>
      </c>
      <c r="AH657" s="28" t="str">
        <f ca="1">IF(NOTA[[#This Row],[ID_H]]="","",IF(NOTA[[#This Row],[FAKTUR]]="",INDIRECT(ADDRESS(ROW()-1,COLUMN())),NOTA[[#This Row],[FAKTUR]]))</f>
        <v>ARTO MORO</v>
      </c>
      <c r="AI657" s="38" t="str">
        <f ca="1">IF(NOTA[[#This Row],[ID]]="","",COUNTIF(NOTA[ID_H],NOTA[[#This Row],[ID_H]]))</f>
        <v/>
      </c>
      <c r="AJ657" s="38">
        <f ca="1">IF(NOTA[[#This Row],[TGL.NOTA]]="",IF(NOTA[[#This Row],[SUPPLIER_H]]="","",AJ656),MONTH(NOTA[[#This Row],[TGL.NOTA]]))</f>
        <v>1</v>
      </c>
      <c r="AK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>tapecuttertd101jk5832000.1250.05</v>
      </c>
      <c r="AM657" s="193">
        <f>IF(NOTA[[#This Row],[CONCAT1]]="","",MATCH(NOTA[[#This Row],[CONCAT1]],[2]!db[NB NOTA_C],0)+1)</f>
        <v>1979</v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>
        <f ca="1">IF(NOTA[[#This Row],[NAMA BARANG]]="","",INDEX(NOTA[ID],MATCH(,INDIRECT(ADDRESS(ROW(NOTA[ID]),COLUMN(NOTA[ID]))&amp;":"&amp;ADDRESS(ROW(),COLUMN(NOTA[ID]))),-1)))</f>
        <v>126</v>
      </c>
      <c r="E658" s="30"/>
      <c r="F658" s="26"/>
      <c r="G658" s="26"/>
      <c r="H658" s="31"/>
      <c r="I658" s="26"/>
      <c r="J658" s="33"/>
      <c r="K658" s="109"/>
      <c r="L658" s="26" t="s">
        <v>269</v>
      </c>
      <c r="M658" s="34">
        <v>2</v>
      </c>
      <c r="N658" s="32">
        <v>48</v>
      </c>
      <c r="O658" s="26" t="s">
        <v>104</v>
      </c>
      <c r="P658" s="28">
        <v>19000</v>
      </c>
      <c r="Q658" s="46"/>
      <c r="R658" s="39" t="s">
        <v>130</v>
      </c>
      <c r="S658" s="35">
        <v>0.125</v>
      </c>
      <c r="T658" s="35">
        <v>0.05</v>
      </c>
      <c r="U658" s="36"/>
      <c r="V658" s="37"/>
      <c r="W658" s="36">
        <f>IF(NOTA[[#This Row],[HARGA/ CTN]]="",NOTA[[#This Row],[JUMLAH_H]],NOTA[[#This Row],[HARGA/ CTN]]*IF(NOTA[[#This Row],[C]]="",0,NOTA[[#This Row],[C]]))</f>
        <v>912000</v>
      </c>
      <c r="X658" s="36">
        <f>IF(NOTA[[#This Row],[JUMLAH]]="","",NOTA[[#This Row],[JUMLAH]]*NOTA[[#This Row],[DISC 1]])</f>
        <v>114000</v>
      </c>
      <c r="Y658" s="36">
        <f>IF(NOTA[[#This Row],[JUMLAH]]="","",(NOTA[[#This Row],[JUMLAH]]-NOTA[[#This Row],[DISC 1-]])*NOTA[[#This Row],[DISC 2]])</f>
        <v>39900</v>
      </c>
      <c r="Z658" s="36">
        <f>IF(NOTA[[#This Row],[JUMLAH]]="","",NOTA[[#This Row],[DISC 1-]]+NOTA[[#This Row],[DISC 2-]])</f>
        <v>153900</v>
      </c>
      <c r="AA658" s="36">
        <f>IF(NOTA[[#This Row],[JUMLAH]]="","",NOTA[[#This Row],[JUMLAH]]-NOTA[[#This Row],[DISC]])</f>
        <v>758100</v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658" s="36">
        <f>IF(OR(NOTA[[#This Row],[QTY]]="",NOTA[[#This Row],[HARGA SATUAN]]="",),"",NOTA[[#This Row],[QTY]]*NOTA[[#This Row],[HARGA SATUAN]])</f>
        <v>912000</v>
      </c>
      <c r="AF658" s="33">
        <f ca="1">IF(NOTA[ID_H]="","",INDEX(NOTA[TANGGAL],MATCH(,INDIRECT(ADDRESS(ROW(NOTA[TANGGAL]),COLUMN(NOTA[TANGGAL]))&amp;":"&amp;ADDRESS(ROW(),COLUMN(NOTA[TANGGAL]))),-1)))</f>
        <v>44950</v>
      </c>
      <c r="AG658" s="28" t="str">
        <f ca="1">IF(NOTA[[#This Row],[NAMA BARANG]]="","",INDEX(NOTA[SUPPLIER],MATCH(,INDIRECT(ADDRESS(ROW(NOTA[ID]),COLUMN(NOTA[ID]))&amp;":"&amp;ADDRESS(ROW(),COLUMN(NOTA[ID]))),-1)))</f>
        <v>ATALI MAKMUR</v>
      </c>
      <c r="AH658" s="28" t="str">
        <f ca="1">IF(NOTA[[#This Row],[ID_H]]="","",IF(NOTA[[#This Row],[FAKTUR]]="",INDIRECT(ADDRESS(ROW()-1,COLUMN())),NOTA[[#This Row],[FAKTUR]]))</f>
        <v>ARTO MORO</v>
      </c>
      <c r="AI658" s="38" t="str">
        <f ca="1">IF(NOTA[[#This Row],[ID]]="","",COUNTIF(NOTA[ID_H],NOTA[[#This Row],[ID_H]]))</f>
        <v/>
      </c>
      <c r="AJ658" s="38">
        <f ca="1">IF(NOTA[[#This Row],[TGL.NOTA]]="",IF(NOTA[[#This Row],[SUPPLIER_H]]="","",AJ657),MONTH(NOTA[[#This Row],[TGL.NOTA]]))</f>
        <v>1</v>
      </c>
      <c r="AK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658" s="193">
        <f>IF(NOTA[[#This Row],[CONCAT1]]="","",MATCH(NOTA[[#This Row],[CONCAT1]],[2]!db[NB NOTA_C],0)+1)</f>
        <v>1981</v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>
        <f ca="1">IF(NOTA[[#This Row],[NAMA BARANG]]="","",INDEX(NOTA[ID],MATCH(,INDIRECT(ADDRESS(ROW(NOTA[ID]),COLUMN(NOTA[ID]))&amp;":"&amp;ADDRESS(ROW(),COLUMN(NOTA[ID]))),-1)))</f>
        <v>126</v>
      </c>
      <c r="E659" s="30"/>
      <c r="F659" s="26"/>
      <c r="G659" s="26"/>
      <c r="H659" s="31"/>
      <c r="I659" s="26"/>
      <c r="J659" s="33"/>
      <c r="K659" s="32"/>
      <c r="L659" s="26" t="s">
        <v>485</v>
      </c>
      <c r="M659" s="34">
        <v>1</v>
      </c>
      <c r="N659" s="32">
        <v>144</v>
      </c>
      <c r="O659" s="26" t="s">
        <v>116</v>
      </c>
      <c r="P659" s="28">
        <v>19800</v>
      </c>
      <c r="Q659" s="46"/>
      <c r="R659" s="39" t="s">
        <v>486</v>
      </c>
      <c r="S659" s="35">
        <v>0.125</v>
      </c>
      <c r="T659" s="35">
        <v>0.05</v>
      </c>
      <c r="U659" s="36"/>
      <c r="V659" s="37"/>
      <c r="W659" s="36">
        <f>IF(NOTA[[#This Row],[HARGA/ CTN]]="",NOTA[[#This Row],[JUMLAH_H]],NOTA[[#This Row],[HARGA/ CTN]]*IF(NOTA[[#This Row],[C]]="",0,NOTA[[#This Row],[C]]))</f>
        <v>2851200</v>
      </c>
      <c r="X659" s="36">
        <f>IF(NOTA[[#This Row],[JUMLAH]]="","",NOTA[[#This Row],[JUMLAH]]*NOTA[[#This Row],[DISC 1]])</f>
        <v>356400</v>
      </c>
      <c r="Y659" s="36">
        <f>IF(NOTA[[#This Row],[JUMLAH]]="","",(NOTA[[#This Row],[JUMLAH]]-NOTA[[#This Row],[DISC 1-]])*NOTA[[#This Row],[DISC 2]])</f>
        <v>124740</v>
      </c>
      <c r="Z659" s="36">
        <f>IF(NOTA[[#This Row],[JUMLAH]]="","",NOTA[[#This Row],[DISC 1-]]+NOTA[[#This Row],[DISC 2-]])</f>
        <v>481140</v>
      </c>
      <c r="AA659" s="36">
        <f>IF(NOTA[[#This Row],[JUMLAH]]="","",NOTA[[#This Row],[JUMLAH]]-NOTA[[#This Row],[DISC]])</f>
        <v>2370060</v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659" s="36">
        <f>IF(OR(NOTA[[#This Row],[QTY]]="",NOTA[[#This Row],[HARGA SATUAN]]="",),"",NOTA[[#This Row],[QTY]]*NOTA[[#This Row],[HARGA SATUAN]])</f>
        <v>2851200</v>
      </c>
      <c r="AF659" s="33">
        <f ca="1">IF(NOTA[ID_H]="","",INDEX(NOTA[TANGGAL],MATCH(,INDIRECT(ADDRESS(ROW(NOTA[TANGGAL]),COLUMN(NOTA[TANGGAL]))&amp;":"&amp;ADDRESS(ROW(),COLUMN(NOTA[TANGGAL]))),-1)))</f>
        <v>44950</v>
      </c>
      <c r="AG659" s="28" t="str">
        <f ca="1">IF(NOTA[[#This Row],[NAMA BARANG]]="","",INDEX(NOTA[SUPPLIER],MATCH(,INDIRECT(ADDRESS(ROW(NOTA[ID]),COLUMN(NOTA[ID]))&amp;":"&amp;ADDRESS(ROW(),COLUMN(NOTA[ID]))),-1)))</f>
        <v>ATALI MAKMUR</v>
      </c>
      <c r="AH659" s="28" t="str">
        <f ca="1">IF(NOTA[[#This Row],[ID_H]]="","",IF(NOTA[[#This Row],[FAKTUR]]="",INDIRECT(ADDRESS(ROW()-1,COLUMN())),NOTA[[#This Row],[FAKTUR]]))</f>
        <v>ARTO MORO</v>
      </c>
      <c r="AI659" s="38" t="str">
        <f ca="1">IF(NOTA[[#This Row],[ID]]="","",COUNTIF(NOTA[ID_H],NOTA[[#This Row],[ID_H]]))</f>
        <v/>
      </c>
      <c r="AJ659" s="38">
        <f ca="1">IF(NOTA[[#This Row],[TGL.NOTA]]="",IF(NOTA[[#This Row],[SUPPLIER_H]]="","",AJ658),MONTH(NOTA[[#This Row],[TGL.NOTA]]))</f>
        <v>1</v>
      </c>
      <c r="AK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659" s="193">
        <f>IF(NOTA[[#This Row],[CONCAT1]]="","",MATCH(NOTA[[#This Row],[CONCAT1]],[2]!db[NB NOTA_C],0)+1)</f>
        <v>1728</v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>
        <f ca="1">IF(NOTA[[#This Row],[NAMA BARANG]]="","",INDEX(NOTA[ID],MATCH(,INDIRECT(ADDRESS(ROW(NOTA[ID]),COLUMN(NOTA[ID]))&amp;":"&amp;ADDRESS(ROW(),COLUMN(NOTA[ID]))),-1)))</f>
        <v>126</v>
      </c>
      <c r="E660" s="30"/>
      <c r="F660" s="26"/>
      <c r="G660" s="26"/>
      <c r="H660" s="55"/>
      <c r="I660" s="26"/>
      <c r="J660" s="33"/>
      <c r="K660" s="32"/>
      <c r="L660" s="26" t="s">
        <v>427</v>
      </c>
      <c r="M660" s="34">
        <v>1</v>
      </c>
      <c r="N660" s="32">
        <v>72</v>
      </c>
      <c r="O660" s="26" t="s">
        <v>116</v>
      </c>
      <c r="P660" s="28">
        <v>37200</v>
      </c>
      <c r="Q660" s="46"/>
      <c r="R660" s="39" t="s">
        <v>807</v>
      </c>
      <c r="S660" s="35">
        <v>0.125</v>
      </c>
      <c r="T660" s="35">
        <v>0.05</v>
      </c>
      <c r="U660" s="36"/>
      <c r="V660" s="37"/>
      <c r="W660" s="36">
        <f>IF(NOTA[[#This Row],[HARGA/ CTN]]="",NOTA[[#This Row],[JUMLAH_H]],NOTA[[#This Row],[HARGA/ CTN]]*IF(NOTA[[#This Row],[C]]="",0,NOTA[[#This Row],[C]]))</f>
        <v>2678400</v>
      </c>
      <c r="X660" s="36">
        <f>IF(NOTA[[#This Row],[JUMLAH]]="","",NOTA[[#This Row],[JUMLAH]]*NOTA[[#This Row],[DISC 1]])</f>
        <v>334800</v>
      </c>
      <c r="Y660" s="36">
        <f>IF(NOTA[[#This Row],[JUMLAH]]="","",(NOTA[[#This Row],[JUMLAH]]-NOTA[[#This Row],[DISC 1-]])*NOTA[[#This Row],[DISC 2]])</f>
        <v>117180</v>
      </c>
      <c r="Z660" s="36">
        <f>IF(NOTA[[#This Row],[JUMLAH]]="","",NOTA[[#This Row],[DISC 1-]]+NOTA[[#This Row],[DISC 2-]])</f>
        <v>451980</v>
      </c>
      <c r="AA660" s="36">
        <f>IF(NOTA[[#This Row],[JUMLAH]]="","",NOTA[[#This Row],[JUMLAH]]-NOTA[[#This Row],[DISC]])</f>
        <v>2226420</v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60" s="36">
        <f>IF(OR(NOTA[[#This Row],[QTY]]="",NOTA[[#This Row],[HARGA SATUAN]]="",),"",NOTA[[#This Row],[QTY]]*NOTA[[#This Row],[HARGA SATUAN]])</f>
        <v>2678400</v>
      </c>
      <c r="AF660" s="33">
        <f ca="1">IF(NOTA[ID_H]="","",INDEX(NOTA[TANGGAL],MATCH(,INDIRECT(ADDRESS(ROW(NOTA[TANGGAL]),COLUMN(NOTA[TANGGAL]))&amp;":"&amp;ADDRESS(ROW(),COLUMN(NOTA[TANGGAL]))),-1)))</f>
        <v>44950</v>
      </c>
      <c r="AG660" s="28" t="str">
        <f ca="1">IF(NOTA[[#This Row],[NAMA BARANG]]="","",INDEX(NOTA[SUPPLIER],MATCH(,INDIRECT(ADDRESS(ROW(NOTA[ID]),COLUMN(NOTA[ID]))&amp;":"&amp;ADDRESS(ROW(),COLUMN(NOTA[ID]))),-1)))</f>
        <v>ATALI MAKMUR</v>
      </c>
      <c r="AH660" s="28" t="str">
        <f ca="1">IF(NOTA[[#This Row],[ID_H]]="","",IF(NOTA[[#This Row],[FAKTUR]]="",INDIRECT(ADDRESS(ROW()-1,COLUMN())),NOTA[[#This Row],[FAKTUR]]))</f>
        <v>ARTO MORO</v>
      </c>
      <c r="AI660" s="38" t="str">
        <f ca="1">IF(NOTA[[#This Row],[ID]]="","",COUNTIF(NOTA[ID_H],NOTA[[#This Row],[ID_H]]))</f>
        <v/>
      </c>
      <c r="AJ660" s="38">
        <f ca="1">IF(NOTA[[#This Row],[TGL.NOTA]]="",IF(NOTA[[#This Row],[SUPPLIER_H]]="","",AJ659),MONTH(NOTA[[#This Row],[TGL.NOTA]]))</f>
        <v>1</v>
      </c>
      <c r="AK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660" s="193">
        <f>IF(NOTA[[#This Row],[CONCAT1]]="","",MATCH(NOTA[[#This Row],[CONCAT1]],[2]!db[NB NOTA_C],0)+1)</f>
        <v>1729</v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>
        <f ca="1">IF(NOTA[[#This Row],[NAMA BARANG]]="","",INDEX(NOTA[ID],MATCH(,INDIRECT(ADDRESS(ROW(NOTA[ID]),COLUMN(NOTA[ID]))&amp;":"&amp;ADDRESS(ROW(),COLUMN(NOTA[ID]))),-1)))</f>
        <v>126</v>
      </c>
      <c r="E661" s="30"/>
      <c r="F661" s="32"/>
      <c r="G661" s="32"/>
      <c r="H661" s="55"/>
      <c r="I661" s="32"/>
      <c r="J661" s="33"/>
      <c r="K661" s="32"/>
      <c r="L661" s="191" t="s">
        <v>812</v>
      </c>
      <c r="M661" s="34">
        <v>1</v>
      </c>
      <c r="N661" s="32">
        <v>72</v>
      </c>
      <c r="O661" s="26" t="s">
        <v>116</v>
      </c>
      <c r="P661" s="28">
        <v>39600</v>
      </c>
      <c r="Q661" s="46"/>
      <c r="R661" s="39" t="s">
        <v>807</v>
      </c>
      <c r="S661" s="35">
        <v>0.125</v>
      </c>
      <c r="T661" s="35">
        <v>0.05</v>
      </c>
      <c r="U661" s="36"/>
      <c r="V661" s="37"/>
      <c r="W661" s="36">
        <f>IF(NOTA[[#This Row],[HARGA/ CTN]]="",NOTA[[#This Row],[JUMLAH_H]],NOTA[[#This Row],[HARGA/ CTN]]*IF(NOTA[[#This Row],[C]]="",0,NOTA[[#This Row],[C]]))</f>
        <v>2851200</v>
      </c>
      <c r="X661" s="36">
        <f>IF(NOTA[[#This Row],[JUMLAH]]="","",NOTA[[#This Row],[JUMLAH]]*NOTA[[#This Row],[DISC 1]])</f>
        <v>356400</v>
      </c>
      <c r="Y661" s="36">
        <f>IF(NOTA[[#This Row],[JUMLAH]]="","",(NOTA[[#This Row],[JUMLAH]]-NOTA[[#This Row],[DISC 1-]])*NOTA[[#This Row],[DISC 2]])</f>
        <v>124740</v>
      </c>
      <c r="Z661" s="36">
        <f>IF(NOTA[[#This Row],[JUMLAH]]="","",NOTA[[#This Row],[DISC 1-]]+NOTA[[#This Row],[DISC 2-]])</f>
        <v>481140</v>
      </c>
      <c r="AA661" s="36">
        <f>IF(NOTA[[#This Row],[JUMLAH]]="","",NOTA[[#This Row],[JUMLAH]]-NOTA[[#This Row],[DISC]])</f>
        <v>2370060</v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661" s="36">
        <f>IF(OR(NOTA[[#This Row],[QTY]]="",NOTA[[#This Row],[HARGA SATUAN]]="",),"",NOTA[[#This Row],[QTY]]*NOTA[[#This Row],[HARGA SATUAN]])</f>
        <v>2851200</v>
      </c>
      <c r="AF661" s="33">
        <f ca="1">IF(NOTA[ID_H]="","",INDEX(NOTA[TANGGAL],MATCH(,INDIRECT(ADDRESS(ROW(NOTA[TANGGAL]),COLUMN(NOTA[TANGGAL]))&amp;":"&amp;ADDRESS(ROW(),COLUMN(NOTA[TANGGAL]))),-1)))</f>
        <v>44950</v>
      </c>
      <c r="AG661" s="28" t="str">
        <f ca="1">IF(NOTA[[#This Row],[NAMA BARANG]]="","",INDEX(NOTA[SUPPLIER],MATCH(,INDIRECT(ADDRESS(ROW(NOTA[ID]),COLUMN(NOTA[ID]))&amp;":"&amp;ADDRESS(ROW(),COLUMN(NOTA[ID]))),-1)))</f>
        <v>ATALI MAKMUR</v>
      </c>
      <c r="AH661" s="28" t="str">
        <f ca="1">IF(NOTA[[#This Row],[ID_H]]="","",IF(NOTA[[#This Row],[FAKTUR]]="",INDIRECT(ADDRESS(ROW()-1,COLUMN())),NOTA[[#This Row],[FAKTUR]]))</f>
        <v>ARTO MORO</v>
      </c>
      <c r="AI661" s="38" t="str">
        <f ca="1">IF(NOTA[[#This Row],[ID]]="","",COUNTIF(NOTA[ID_H],NOTA[[#This Row],[ID_H]]))</f>
        <v/>
      </c>
      <c r="AJ661" s="38">
        <f ca="1">IF(NOTA[[#This Row],[TGL.NOTA]]="",IF(NOTA[[#This Row],[SUPPLIER_H]]="","",AJ660),MONTH(NOTA[[#This Row],[TGL.NOTA]]))</f>
        <v>1</v>
      </c>
      <c r="AK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>pencilleadpl17202bjk28512000.1250.05</v>
      </c>
      <c r="AM661" s="193">
        <f>IF(NOTA[[#This Row],[CONCAT1]]="","",MATCH(NOTA[[#This Row],[CONCAT1]],[2]!db[NB NOTA_C],0)+1)</f>
        <v>1726</v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>
        <f ca="1">IF(NOTA[[#This Row],[NAMA BARANG]]="","",INDEX(NOTA[ID],MATCH(,INDIRECT(ADDRESS(ROW(NOTA[ID]),COLUMN(NOTA[ID]))&amp;":"&amp;ADDRESS(ROW(),COLUMN(NOTA[ID]))),-1)))</f>
        <v>126</v>
      </c>
      <c r="E662" s="30"/>
      <c r="F662" s="26"/>
      <c r="G662" s="26"/>
      <c r="H662" s="31"/>
      <c r="I662" s="32"/>
      <c r="J662" s="33"/>
      <c r="K662" s="32"/>
      <c r="L662" s="26" t="s">
        <v>808</v>
      </c>
      <c r="M662" s="34">
        <v>1</v>
      </c>
      <c r="N662" s="32">
        <v>12</v>
      </c>
      <c r="O662" s="26" t="s">
        <v>274</v>
      </c>
      <c r="P662" s="28">
        <v>198000</v>
      </c>
      <c r="Q662" s="46"/>
      <c r="R662" s="39" t="s">
        <v>117</v>
      </c>
      <c r="S662" s="35">
        <v>0.125</v>
      </c>
      <c r="T662" s="35">
        <v>0.05</v>
      </c>
      <c r="U662" s="36"/>
      <c r="V662" s="37"/>
      <c r="W662" s="36">
        <f>IF(NOTA[[#This Row],[HARGA/ CTN]]="",NOTA[[#This Row],[JUMLAH_H]],NOTA[[#This Row],[HARGA/ CTN]]*IF(NOTA[[#This Row],[C]]="",0,NOTA[[#This Row],[C]]))</f>
        <v>2376000</v>
      </c>
      <c r="X662" s="36">
        <f>IF(NOTA[[#This Row],[JUMLAH]]="","",NOTA[[#This Row],[JUMLAH]]*NOTA[[#This Row],[DISC 1]])</f>
        <v>297000</v>
      </c>
      <c r="Y662" s="36">
        <f>IF(NOTA[[#This Row],[JUMLAH]]="","",(NOTA[[#This Row],[JUMLAH]]-NOTA[[#This Row],[DISC 1-]])*NOTA[[#This Row],[DISC 2]])</f>
        <v>103950</v>
      </c>
      <c r="Z662" s="36">
        <f>IF(NOTA[[#This Row],[JUMLAH]]="","",NOTA[[#This Row],[DISC 1-]]+NOTA[[#This Row],[DISC 2-]])</f>
        <v>400950</v>
      </c>
      <c r="AA662" s="36">
        <f>IF(NOTA[[#This Row],[JUMLAH]]="","",NOTA[[#This Row],[JUMLAH]]-NOTA[[#This Row],[DISC]])</f>
        <v>1975050</v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662" s="36">
        <f>IF(OR(NOTA[[#This Row],[QTY]]="",NOTA[[#This Row],[HARGA SATUAN]]="",),"",NOTA[[#This Row],[QTY]]*NOTA[[#This Row],[HARGA SATUAN]])</f>
        <v>2376000</v>
      </c>
      <c r="AF662" s="33">
        <f ca="1">IF(NOTA[ID_H]="","",INDEX(NOTA[TANGGAL],MATCH(,INDIRECT(ADDRESS(ROW(NOTA[TANGGAL]),COLUMN(NOTA[TANGGAL]))&amp;":"&amp;ADDRESS(ROW(),COLUMN(NOTA[TANGGAL]))),-1)))</f>
        <v>44950</v>
      </c>
      <c r="AG662" s="28" t="str">
        <f ca="1">IF(NOTA[[#This Row],[NAMA BARANG]]="","",INDEX(NOTA[SUPPLIER],MATCH(,INDIRECT(ADDRESS(ROW(NOTA[ID]),COLUMN(NOTA[ID]))&amp;":"&amp;ADDRESS(ROW(),COLUMN(NOTA[ID]))),-1)))</f>
        <v>ATALI MAKMUR</v>
      </c>
      <c r="AH662" s="28" t="str">
        <f ca="1">IF(NOTA[[#This Row],[ID_H]]="","",IF(NOTA[[#This Row],[FAKTUR]]="",INDIRECT(ADDRESS(ROW()-1,COLUMN())),NOTA[[#This Row],[FAKTUR]]))</f>
        <v>ARTO MORO</v>
      </c>
      <c r="AI662" s="38" t="str">
        <f ca="1">IF(NOTA[[#This Row],[ID]]="","",COUNTIF(NOTA[ID_H],NOTA[[#This Row],[ID_H]]))</f>
        <v/>
      </c>
      <c r="AJ662" s="38">
        <f ca="1">IF(NOTA[[#This Row],[TGL.NOTA]]="",IF(NOTA[[#This Row],[SUPPLIER_H]]="","",AJ661),MONTH(NOTA[[#This Row],[TGL.NOTA]]))</f>
        <v>1</v>
      </c>
      <c r="AK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>pencilleadpl1620jk23760000.1250.05</v>
      </c>
      <c r="AM662" s="193">
        <f>IF(NOTA[[#This Row],[CONCAT1]]="","",MATCH(NOTA[[#This Row],[CONCAT1]],[2]!db[NB NOTA_C],0)+1)</f>
        <v>1730</v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>
        <f ca="1">IF(NOTA[[#This Row],[NAMA BARANG]]="","",INDEX(NOTA[ID],MATCH(,INDIRECT(ADDRESS(ROW(NOTA[ID]),COLUMN(NOTA[ID]))&amp;":"&amp;ADDRESS(ROW(),COLUMN(NOTA[ID]))),-1)))</f>
        <v>126</v>
      </c>
      <c r="E663" s="30"/>
      <c r="F663" s="32"/>
      <c r="G663" s="32"/>
      <c r="H663" s="55"/>
      <c r="I663" s="26"/>
      <c r="J663" s="33"/>
      <c r="K663" s="32"/>
      <c r="L663" s="26" t="s">
        <v>809</v>
      </c>
      <c r="M663" s="34">
        <v>1</v>
      </c>
      <c r="N663" s="32">
        <v>20</v>
      </c>
      <c r="O663" s="26" t="s">
        <v>104</v>
      </c>
      <c r="P663" s="28">
        <v>160000</v>
      </c>
      <c r="Q663" s="46"/>
      <c r="R663" s="39" t="s">
        <v>489</v>
      </c>
      <c r="S663" s="35">
        <v>0.125</v>
      </c>
      <c r="T663" s="35">
        <v>0.05</v>
      </c>
      <c r="U663" s="36"/>
      <c r="V663" s="37"/>
      <c r="W663" s="36">
        <f>IF(NOTA[[#This Row],[HARGA/ CTN]]="",NOTA[[#This Row],[JUMLAH_H]],NOTA[[#This Row],[HARGA/ CTN]]*IF(NOTA[[#This Row],[C]]="",0,NOTA[[#This Row],[C]]))</f>
        <v>3200000</v>
      </c>
      <c r="X663" s="36">
        <f>IF(NOTA[[#This Row],[JUMLAH]]="","",NOTA[[#This Row],[JUMLAH]]*NOTA[[#This Row],[DISC 1]])</f>
        <v>400000</v>
      </c>
      <c r="Y663" s="36">
        <f>IF(NOTA[[#This Row],[JUMLAH]]="","",(NOTA[[#This Row],[JUMLAH]]-NOTA[[#This Row],[DISC 1-]])*NOTA[[#This Row],[DISC 2]])</f>
        <v>140000</v>
      </c>
      <c r="Z663" s="36">
        <f>IF(NOTA[[#This Row],[JUMLAH]]="","",NOTA[[#This Row],[DISC 1-]]+NOTA[[#This Row],[DISC 2-]])</f>
        <v>540000</v>
      </c>
      <c r="AA663" s="36">
        <f>IF(NOTA[[#This Row],[JUMLAH]]="","",NOTA[[#This Row],[JUMLAH]]-NOTA[[#This Row],[DISC]])</f>
        <v>2660000</v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E663" s="36">
        <f>IF(OR(NOTA[[#This Row],[QTY]]="",NOTA[[#This Row],[HARGA SATUAN]]="",),"",NOTA[[#This Row],[QTY]]*NOTA[[#This Row],[HARGA SATUAN]])</f>
        <v>3200000</v>
      </c>
      <c r="AF663" s="33">
        <f ca="1">IF(NOTA[ID_H]="","",INDEX(NOTA[TANGGAL],MATCH(,INDIRECT(ADDRESS(ROW(NOTA[TANGGAL]),COLUMN(NOTA[TANGGAL]))&amp;":"&amp;ADDRESS(ROW(),COLUMN(NOTA[TANGGAL]))),-1)))</f>
        <v>44950</v>
      </c>
      <c r="AG663" s="28" t="str">
        <f ca="1">IF(NOTA[[#This Row],[NAMA BARANG]]="","",INDEX(NOTA[SUPPLIER],MATCH(,INDIRECT(ADDRESS(ROW(NOTA[ID]),COLUMN(NOTA[ID]))&amp;":"&amp;ADDRESS(ROW(),COLUMN(NOTA[ID]))),-1)))</f>
        <v>ATALI MAKMUR</v>
      </c>
      <c r="AH663" s="28" t="str">
        <f ca="1">IF(NOTA[[#This Row],[ID_H]]="","",IF(NOTA[[#This Row],[FAKTUR]]="",INDIRECT(ADDRESS(ROW()-1,COLUMN())),NOTA[[#This Row],[FAKTUR]]))</f>
        <v>ARTO MORO</v>
      </c>
      <c r="AI663" s="38" t="str">
        <f ca="1">IF(NOTA[[#This Row],[ID]]="","",COUNTIF(NOTA[ID_H],NOTA[[#This Row],[ID_H]]))</f>
        <v/>
      </c>
      <c r="AJ663" s="38">
        <f ca="1">IF(NOTA[[#This Row],[TGL.NOTA]]="",IF(NOTA[[#This Row],[SUPPLIER_H]]="","",AJ662),MONTH(NOTA[[#This Row],[TGL.NOTA]]))</f>
        <v>1</v>
      </c>
      <c r="AK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>cashboxcb21ajk32000000.1250.05</v>
      </c>
      <c r="AM663" s="193">
        <f>IF(NOTA[[#This Row],[CONCAT1]]="","",MATCH(NOTA[[#This Row],[CONCAT1]],[2]!db[NB NOTA_C],0)+1)</f>
        <v>2172</v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>
        <f ca="1">IF(NOTA[[#This Row],[NAMA BARANG]]="","",INDEX(NOTA[ID],MATCH(,INDIRECT(ADDRESS(ROW(NOTA[ID]),COLUMN(NOTA[ID]))&amp;":"&amp;ADDRESS(ROW(),COLUMN(NOTA[ID]))),-1)))</f>
        <v>126</v>
      </c>
      <c r="E664" s="30"/>
      <c r="F664" s="32"/>
      <c r="G664" s="32"/>
      <c r="H664" s="55"/>
      <c r="I664" s="26"/>
      <c r="J664" s="33"/>
      <c r="K664" s="32"/>
      <c r="L664" s="26" t="s">
        <v>810</v>
      </c>
      <c r="M664" s="34">
        <v>1</v>
      </c>
      <c r="N664" s="32">
        <v>16</v>
      </c>
      <c r="O664" s="26" t="s">
        <v>104</v>
      </c>
      <c r="P664" s="28">
        <v>187000</v>
      </c>
      <c r="Q664" s="46"/>
      <c r="R664" s="39" t="s">
        <v>811</v>
      </c>
      <c r="S664" s="35">
        <v>0.125</v>
      </c>
      <c r="T664" s="35">
        <v>0.05</v>
      </c>
      <c r="U664" s="36"/>
      <c r="V664" s="37"/>
      <c r="W664" s="36">
        <f>IF(NOTA[[#This Row],[HARGA/ CTN]]="",NOTA[[#This Row],[JUMLAH_H]],NOTA[[#This Row],[HARGA/ CTN]]*IF(NOTA[[#This Row],[C]]="",0,NOTA[[#This Row],[C]]))</f>
        <v>2992000</v>
      </c>
      <c r="X664" s="36">
        <f>IF(NOTA[[#This Row],[JUMLAH]]="","",NOTA[[#This Row],[JUMLAH]]*NOTA[[#This Row],[DISC 1]])</f>
        <v>374000</v>
      </c>
      <c r="Y664" s="36">
        <f>IF(NOTA[[#This Row],[JUMLAH]]="","",(NOTA[[#This Row],[JUMLAH]]-NOTA[[#This Row],[DISC 1-]])*NOTA[[#This Row],[DISC 2]])</f>
        <v>130900</v>
      </c>
      <c r="Z664" s="36">
        <f>IF(NOTA[[#This Row],[JUMLAH]]="","",NOTA[[#This Row],[DISC 1-]]+NOTA[[#This Row],[DISC 2-]])</f>
        <v>504900</v>
      </c>
      <c r="AA664" s="36">
        <f>IF(NOTA[[#This Row],[JUMLAH]]="","",NOTA[[#This Row],[JUMLAH]]-NOTA[[#This Row],[DISC]])</f>
        <v>2487100</v>
      </c>
      <c r="AB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D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E664" s="36">
        <f>IF(OR(NOTA[[#This Row],[QTY]]="",NOTA[[#This Row],[HARGA SATUAN]]="",),"",NOTA[[#This Row],[QTY]]*NOTA[[#This Row],[HARGA SATUAN]])</f>
        <v>2992000</v>
      </c>
      <c r="AF664" s="33">
        <f ca="1">IF(NOTA[ID_H]="","",INDEX(NOTA[TANGGAL],MATCH(,INDIRECT(ADDRESS(ROW(NOTA[TANGGAL]),COLUMN(NOTA[TANGGAL]))&amp;":"&amp;ADDRESS(ROW(),COLUMN(NOTA[TANGGAL]))),-1)))</f>
        <v>44950</v>
      </c>
      <c r="AG664" s="28" t="str">
        <f ca="1">IF(NOTA[[#This Row],[NAMA BARANG]]="","",INDEX(NOTA[SUPPLIER],MATCH(,INDIRECT(ADDRESS(ROW(NOTA[ID]),COLUMN(NOTA[ID]))&amp;":"&amp;ADDRESS(ROW(),COLUMN(NOTA[ID]))),-1)))</f>
        <v>ATALI MAKMUR</v>
      </c>
      <c r="AH664" s="28" t="str">
        <f ca="1">IF(NOTA[[#This Row],[ID_H]]="","",IF(NOTA[[#This Row],[FAKTUR]]="",INDIRECT(ADDRESS(ROW()-1,COLUMN())),NOTA[[#This Row],[FAKTUR]]))</f>
        <v>ARTO MORO</v>
      </c>
      <c r="AI664" s="38" t="str">
        <f ca="1">IF(NOTA[[#This Row],[ID]]="","",COUNTIF(NOTA[ID_H],NOTA[[#This Row],[ID_H]]))</f>
        <v/>
      </c>
      <c r="AJ664" s="38">
        <f ca="1">IF(NOTA[[#This Row],[TGL.NOTA]]="",IF(NOTA[[#This Row],[SUPPLIER_H]]="","",AJ663),MONTH(NOTA[[#This Row],[TGL.NOTA]]))</f>
        <v>1</v>
      </c>
      <c r="AK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>cashboxcb26ajk29920000.1250.05</v>
      </c>
      <c r="AM664" s="193">
        <f>IF(NOTA[[#This Row],[CONCAT1]]="","",MATCH(NOTA[[#This Row],[CONCAT1]],[2]!db[NB NOTA_C],0)+1)</f>
        <v>2173</v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93" t="str">
        <f>IF(NOTA[[#This Row],[CONCAT1]]="","",MATCH(NOTA[[#This Row],[CONCAT1]],[2]!db[NB NOTA_C],0)+1)</f>
        <v/>
      </c>
    </row>
    <row r="666" spans="1:39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e">
        <f ca="1">IF(NOTA[[#This Row],[ID_P]]="","",MATCH(NOTA[[#This Row],[ID_P]],[1]!B_MSK[N_ID],0))</f>
        <v>#REF!</v>
      </c>
      <c r="D666" s="29">
        <f ca="1">IF(NOTA[[#This Row],[NAMA BARANG]]="","",INDEX(NOTA[ID],MATCH(,INDIRECT(ADDRESS(ROW(NOTA[ID]),COLUMN(NOTA[ID]))&amp;":"&amp;ADDRESS(ROW(),COLUMN(NOTA[ID]))),-1)))</f>
        <v>127</v>
      </c>
      <c r="E666" s="30">
        <v>44950</v>
      </c>
      <c r="F666" s="26" t="s">
        <v>776</v>
      </c>
      <c r="G666" s="26" t="s">
        <v>87</v>
      </c>
      <c r="H666" s="31" t="s">
        <v>814</v>
      </c>
      <c r="I666" s="32"/>
      <c r="J666" s="33">
        <v>44940</v>
      </c>
      <c r="K666" s="32"/>
      <c r="L666" s="26" t="s">
        <v>815</v>
      </c>
      <c r="M666" s="34">
        <v>50</v>
      </c>
      <c r="N666" s="32"/>
      <c r="O666" s="26"/>
      <c r="P666" s="28"/>
      <c r="Q666" s="46">
        <v>1250000</v>
      </c>
      <c r="R666" s="39">
        <v>25</v>
      </c>
      <c r="S666" s="35"/>
      <c r="T666" s="35"/>
      <c r="U666" s="36"/>
      <c r="V666" s="37"/>
      <c r="W666" s="36">
        <f>IF(NOTA[[#This Row],[HARGA/ CTN]]="",NOTA[[#This Row],[JUMLAH_H]],NOTA[[#This Row],[HARGA/ CTN]]*IF(NOTA[[#This Row],[C]]="",0,NOTA[[#This Row],[C]]))</f>
        <v>62500000</v>
      </c>
      <c r="X666" s="36">
        <f>IF(NOTA[[#This Row],[JUMLAH]]="","",NOTA[[#This Row],[JUMLAH]]*NOTA[[#This Row],[DISC 1]])</f>
        <v>0</v>
      </c>
      <c r="Y666" s="36">
        <f>IF(NOTA[[#This Row],[JUMLAH]]="","",(NOTA[[#This Row],[JUMLAH]]-NOTA[[#This Row],[DISC 1-]])*NOTA[[#This Row],[DISC 2]])</f>
        <v>0</v>
      </c>
      <c r="Z666" s="36">
        <f>IF(NOTA[[#This Row],[JUMLAH]]="","",NOTA[[#This Row],[DISC 1-]]+NOTA[[#This Row],[DISC 2-]])</f>
        <v>0</v>
      </c>
      <c r="AA666" s="36">
        <f>IF(NOTA[[#This Row],[JUMLAH]]="","",NOTA[[#This Row],[JUMLAH]]-NOTA[[#This Row],[DISC]])</f>
        <v>62500000</v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E666" s="36" t="str">
        <f>IF(OR(NOTA[[#This Row],[QTY]]="",NOTA[[#This Row],[HARGA SATUAN]]="",),"",NOTA[[#This Row],[QTY]]*NOTA[[#This Row],[HARGA SATUAN]])</f>
        <v/>
      </c>
      <c r="AF666" s="33">
        <f ca="1">IF(NOTA[ID_H]="","",INDEX(NOTA[TANGGAL],MATCH(,INDIRECT(ADDRESS(ROW(NOTA[TANGGAL]),COLUMN(NOTA[TANGGAL]))&amp;":"&amp;ADDRESS(ROW(),COLUMN(NOTA[TANGGAL]))),-1)))</f>
        <v>44950</v>
      </c>
      <c r="AG666" s="28" t="str">
        <f ca="1">IF(NOTA[[#This Row],[NAMA BARANG]]="","",INDEX(NOTA[SUPPLIER],MATCH(,INDIRECT(ADDRESS(ROW(NOTA[ID]),COLUMN(NOTA[ID]))&amp;":"&amp;ADDRESS(ROW(),COLUMN(NOTA[ID]))),-1)))</f>
        <v>WINS SENTOSA</v>
      </c>
      <c r="AH666" s="28" t="str">
        <f ca="1">IF(NOTA[[#This Row],[ID_H]]="","",IF(NOTA[[#This Row],[FAKTUR]]="",INDIRECT(ADDRESS(ROW()-1,COLUMN())),NOTA[[#This Row],[FAKTUR]]))</f>
        <v>UNTANA</v>
      </c>
      <c r="AI666" s="38">
        <f ca="1">IF(NOTA[[#This Row],[ID]]="","",COUNTIF(NOTA[ID_H],NOTA[[#This Row],[ID_H]]))</f>
        <v>10</v>
      </c>
      <c r="AJ666" s="38">
        <f>IF(NOTA[[#This Row],[TGL.NOTA]]="",IF(NOTA[[#This Row],[SUPPLIER_H]]="","",AJ665),MONTH(NOTA[[#This Row],[TGL.NOTA]]))</f>
        <v>1</v>
      </c>
      <c r="AK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>gluestick7x301250000</v>
      </c>
      <c r="AM666" s="193" t="e">
        <f>IF(NOTA[[#This Row],[CONCAT1]]="","",MATCH(NOTA[[#This Row],[CONCAT1]],[2]!db[NB NOTA_C],0)+1)</f>
        <v>#N/A</v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>
        <f ca="1">IF(NOTA[[#This Row],[NAMA BARANG]]="","",INDEX(NOTA[ID],MATCH(,INDIRECT(ADDRESS(ROW(NOTA[ID]),COLUMN(NOTA[ID]))&amp;":"&amp;ADDRESS(ROW(),COLUMN(NOTA[ID]))),-1)))</f>
        <v>127</v>
      </c>
      <c r="E667" s="30"/>
      <c r="F667" s="32"/>
      <c r="G667" s="32"/>
      <c r="H667" s="55"/>
      <c r="I667" s="32"/>
      <c r="J667" s="33"/>
      <c r="K667" s="32"/>
      <c r="L667" s="26" t="s">
        <v>816</v>
      </c>
      <c r="M667" s="34">
        <v>10</v>
      </c>
      <c r="N667" s="32"/>
      <c r="O667" s="26"/>
      <c r="P667" s="28"/>
      <c r="Q667" s="46">
        <v>1250000</v>
      </c>
      <c r="R667" s="39">
        <v>25</v>
      </c>
      <c r="S667" s="35"/>
      <c r="T667" s="35"/>
      <c r="U667" s="36"/>
      <c r="V667" s="37"/>
      <c r="W667" s="36">
        <f>IF(NOTA[[#This Row],[HARGA/ CTN]]="",NOTA[[#This Row],[JUMLAH_H]],NOTA[[#This Row],[HARGA/ CTN]]*IF(NOTA[[#This Row],[C]]="",0,NOTA[[#This Row],[C]]))</f>
        <v>12500000</v>
      </c>
      <c r="X667" s="36">
        <f>IF(NOTA[[#This Row],[JUMLAH]]="","",NOTA[[#This Row],[JUMLAH]]*NOTA[[#This Row],[DISC 1]])</f>
        <v>0</v>
      </c>
      <c r="Y667" s="36">
        <f>IF(NOTA[[#This Row],[JUMLAH]]="","",(NOTA[[#This Row],[JUMLAH]]-NOTA[[#This Row],[DISC 1-]])*NOTA[[#This Row],[DISC 2]])</f>
        <v>0</v>
      </c>
      <c r="Z667" s="36">
        <f>IF(NOTA[[#This Row],[JUMLAH]]="","",NOTA[[#This Row],[DISC 1-]]+NOTA[[#This Row],[DISC 2-]])</f>
        <v>0</v>
      </c>
      <c r="AA667" s="36">
        <f>IF(NOTA[[#This Row],[JUMLAH]]="","",NOTA[[#This Row],[JUMLAH]]-NOTA[[#This Row],[DISC]])</f>
        <v>12500000</v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E667" s="36" t="str">
        <f>IF(OR(NOTA[[#This Row],[QTY]]="",NOTA[[#This Row],[HARGA SATUAN]]="",),"",NOTA[[#This Row],[QTY]]*NOTA[[#This Row],[HARGA SATUAN]])</f>
        <v/>
      </c>
      <c r="AF667" s="33">
        <f ca="1">IF(NOTA[ID_H]="","",INDEX(NOTA[TANGGAL],MATCH(,INDIRECT(ADDRESS(ROW(NOTA[TANGGAL]),COLUMN(NOTA[TANGGAL]))&amp;":"&amp;ADDRESS(ROW(),COLUMN(NOTA[TANGGAL]))),-1)))</f>
        <v>44950</v>
      </c>
      <c r="AG667" s="28" t="str">
        <f ca="1">IF(NOTA[[#This Row],[NAMA BARANG]]="","",INDEX(NOTA[SUPPLIER],MATCH(,INDIRECT(ADDRESS(ROW(NOTA[ID]),COLUMN(NOTA[ID]))&amp;":"&amp;ADDRESS(ROW(),COLUMN(NOTA[ID]))),-1)))</f>
        <v>WINS SENTOSA</v>
      </c>
      <c r="AH667" s="28" t="str">
        <f ca="1">IF(NOTA[[#This Row],[ID_H]]="","",IF(NOTA[[#This Row],[FAKTUR]]="",INDIRECT(ADDRESS(ROW()-1,COLUMN())),NOTA[[#This Row],[FAKTUR]]))</f>
        <v>UNTANA</v>
      </c>
      <c r="AI667" s="38" t="str">
        <f ca="1">IF(NOTA[[#This Row],[ID]]="","",COUNTIF(NOTA[ID_H],NOTA[[#This Row],[ID_H]]))</f>
        <v/>
      </c>
      <c r="AJ667" s="38">
        <f ca="1">IF(NOTA[[#This Row],[TGL.NOTA]]="",IF(NOTA[[#This Row],[SUPPLIER_H]]="","",AJ666),MONTH(NOTA[[#This Row],[TGL.NOTA]]))</f>
        <v>1</v>
      </c>
      <c r="AK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>gluestick11x291250000</v>
      </c>
      <c r="AM667" s="193" t="e">
        <f>IF(NOTA[[#This Row],[CONCAT1]]="","",MATCH(NOTA[[#This Row],[CONCAT1]],[2]!db[NB NOTA_C],0)+1)</f>
        <v>#N/A</v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>
        <f ca="1">IF(NOTA[[#This Row],[NAMA BARANG]]="","",INDEX(NOTA[ID],MATCH(,INDIRECT(ADDRESS(ROW(NOTA[ID]),COLUMN(NOTA[ID]))&amp;":"&amp;ADDRESS(ROW(),COLUMN(NOTA[ID]))),-1)))</f>
        <v>127</v>
      </c>
      <c r="E668" s="30"/>
      <c r="F668" s="32"/>
      <c r="G668" s="32"/>
      <c r="H668" s="55"/>
      <c r="I668" s="32"/>
      <c r="J668" s="33"/>
      <c r="K668" s="32"/>
      <c r="L668" s="26" t="s">
        <v>855</v>
      </c>
      <c r="M668" s="34">
        <v>9</v>
      </c>
      <c r="N668" s="32"/>
      <c r="O668" s="26"/>
      <c r="P668" s="28"/>
      <c r="Q668" s="46">
        <v>2448000</v>
      </c>
      <c r="R668" s="39">
        <v>192</v>
      </c>
      <c r="S668" s="53"/>
      <c r="T668" s="35"/>
      <c r="U668" s="36"/>
      <c r="V668" s="37"/>
      <c r="W668" s="36">
        <f>IF(NOTA[[#This Row],[HARGA/ CTN]]="",NOTA[[#This Row],[JUMLAH_H]],NOTA[[#This Row],[HARGA/ CTN]]*IF(NOTA[[#This Row],[C]]="",0,NOTA[[#This Row],[C]]))</f>
        <v>22032000</v>
      </c>
      <c r="X668" s="36">
        <f>IF(NOTA[[#This Row],[JUMLAH]]="","",NOTA[[#This Row],[JUMLAH]]*NOTA[[#This Row],[DISC 1]])</f>
        <v>0</v>
      </c>
      <c r="Y668" s="36">
        <f>IF(NOTA[[#This Row],[JUMLAH]]="","",(NOTA[[#This Row],[JUMLAH]]-NOTA[[#This Row],[DISC 1-]])*NOTA[[#This Row],[DISC 2]])</f>
        <v>0</v>
      </c>
      <c r="Z668" s="36">
        <f>IF(NOTA[[#This Row],[JUMLAH]]="","",NOTA[[#This Row],[DISC 1-]]+NOTA[[#This Row],[DISC 2-]])</f>
        <v>0</v>
      </c>
      <c r="AA668" s="36">
        <f>IF(NOTA[[#This Row],[JUMLAH]]="","",NOTA[[#This Row],[JUMLAH]]-NOTA[[#This Row],[DISC]])</f>
        <v>22032000</v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668" s="36" t="str">
        <f>IF(OR(NOTA[[#This Row],[QTY]]="",NOTA[[#This Row],[HARGA SATUAN]]="",),"",NOTA[[#This Row],[QTY]]*NOTA[[#This Row],[HARGA SATUAN]])</f>
        <v/>
      </c>
      <c r="AF668" s="33">
        <f ca="1">IF(NOTA[ID_H]="","",INDEX(NOTA[TANGGAL],MATCH(,INDIRECT(ADDRESS(ROW(NOTA[TANGGAL]),COLUMN(NOTA[TANGGAL]))&amp;":"&amp;ADDRESS(ROW(),COLUMN(NOTA[TANGGAL]))),-1)))</f>
        <v>44950</v>
      </c>
      <c r="AG668" s="28" t="str">
        <f ca="1">IF(NOTA[[#This Row],[NAMA BARANG]]="","",INDEX(NOTA[SUPPLIER],MATCH(,INDIRECT(ADDRESS(ROW(NOTA[ID]),COLUMN(NOTA[ID]))&amp;":"&amp;ADDRESS(ROW(),COLUMN(NOTA[ID]))),-1)))</f>
        <v>WINS SENTOSA</v>
      </c>
      <c r="AH668" s="28" t="str">
        <f ca="1">IF(NOTA[[#This Row],[ID_H]]="","",IF(NOTA[[#This Row],[FAKTUR]]="",INDIRECT(ADDRESS(ROW()-1,COLUMN())),NOTA[[#This Row],[FAKTUR]]))</f>
        <v>UNTANA</v>
      </c>
      <c r="AI668" s="38" t="str">
        <f ca="1">IF(NOTA[[#This Row],[ID]]="","",COUNTIF(NOTA[ID_H],NOTA[[#This Row],[ID_H]]))</f>
        <v/>
      </c>
      <c r="AJ668" s="38">
        <f ca="1">IF(NOTA[[#This Row],[TGL.NOTA]]="",IF(NOTA[[#This Row],[SUPPLIER_H]]="","",AJ667),MONTH(NOTA[[#This Row],[TGL.NOTA]]))</f>
        <v>1</v>
      </c>
      <c r="AK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>crayon101212wrnmixwomy2448000</v>
      </c>
      <c r="AM668" s="193" t="e">
        <f>IF(NOTA[[#This Row],[CONCAT1]]="","",MATCH(NOTA[[#This Row],[CONCAT1]],[2]!db[NB NOTA_C],0)+1)</f>
        <v>#N/A</v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>
        <f ca="1">IF(NOTA[[#This Row],[NAMA BARANG]]="","",INDEX(NOTA[ID],MATCH(,INDIRECT(ADDRESS(ROW(NOTA[ID]),COLUMN(NOTA[ID]))&amp;":"&amp;ADDRESS(ROW(),COLUMN(NOTA[ID]))),-1)))</f>
        <v>127</v>
      </c>
      <c r="E669" s="30"/>
      <c r="F669" s="26"/>
      <c r="G669" s="26"/>
      <c r="H669" s="31"/>
      <c r="I669" s="32"/>
      <c r="J669" s="51"/>
      <c r="K669" s="32"/>
      <c r="L669" s="26" t="s">
        <v>822</v>
      </c>
      <c r="M669" s="34">
        <v>5</v>
      </c>
      <c r="N669" s="32"/>
      <c r="O669" s="26"/>
      <c r="P669" s="28"/>
      <c r="Q669" s="46">
        <v>2100000</v>
      </c>
      <c r="R669" s="39">
        <v>700</v>
      </c>
      <c r="S669" s="35"/>
      <c r="T669" s="35"/>
      <c r="U669" s="36"/>
      <c r="V669" s="37"/>
      <c r="W669" s="36">
        <f>IF(NOTA[[#This Row],[HARGA/ CTN]]="",NOTA[[#This Row],[JUMLAH_H]],NOTA[[#This Row],[HARGA/ CTN]]*IF(NOTA[[#This Row],[C]]="",0,NOTA[[#This Row],[C]]))</f>
        <v>10500000</v>
      </c>
      <c r="X669" s="36">
        <f>IF(NOTA[[#This Row],[JUMLAH]]="","",NOTA[[#This Row],[JUMLAH]]*NOTA[[#This Row],[DISC 1]])</f>
        <v>0</v>
      </c>
      <c r="Y669" s="36">
        <f>IF(NOTA[[#This Row],[JUMLAH]]="","",(NOTA[[#This Row],[JUMLAH]]-NOTA[[#This Row],[DISC 1-]])*NOTA[[#This Row],[DISC 2]])</f>
        <v>0</v>
      </c>
      <c r="Z669" s="36">
        <f>IF(NOTA[[#This Row],[JUMLAH]]="","",NOTA[[#This Row],[DISC 1-]]+NOTA[[#This Row],[DISC 2-]])</f>
        <v>0</v>
      </c>
      <c r="AA669" s="36">
        <f>IF(NOTA[[#This Row],[JUMLAH]]="","",NOTA[[#This Row],[JUMLAH]]-NOTA[[#This Row],[DISC]])</f>
        <v>10500000</v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669" s="36" t="str">
        <f>IF(OR(NOTA[[#This Row],[QTY]]="",NOTA[[#This Row],[HARGA SATUAN]]="",),"",NOTA[[#This Row],[QTY]]*NOTA[[#This Row],[HARGA SATUAN]])</f>
        <v/>
      </c>
      <c r="AF669" s="33">
        <f ca="1">IF(NOTA[ID_H]="","",INDEX(NOTA[TANGGAL],MATCH(,INDIRECT(ADDRESS(ROW(NOTA[TANGGAL]),COLUMN(NOTA[TANGGAL]))&amp;":"&amp;ADDRESS(ROW(),COLUMN(NOTA[TANGGAL]))),-1)))</f>
        <v>44950</v>
      </c>
      <c r="AG669" s="28" t="str">
        <f ca="1">IF(NOTA[[#This Row],[NAMA BARANG]]="","",INDEX(NOTA[SUPPLIER],MATCH(,INDIRECT(ADDRESS(ROW(NOTA[ID]),COLUMN(NOTA[ID]))&amp;":"&amp;ADDRESS(ROW(),COLUMN(NOTA[ID]))),-1)))</f>
        <v>WINS SENTOSA</v>
      </c>
      <c r="AH669" s="28" t="str">
        <f ca="1">IF(NOTA[[#This Row],[ID_H]]="","",IF(NOTA[[#This Row],[FAKTUR]]="",INDIRECT(ADDRESS(ROW()-1,COLUMN())),NOTA[[#This Row],[FAKTUR]]))</f>
        <v>UNTANA</v>
      </c>
      <c r="AI669" s="38" t="str">
        <f ca="1">IF(NOTA[[#This Row],[ID]]="","",COUNTIF(NOTA[ID_H],NOTA[[#This Row],[ID_H]]))</f>
        <v/>
      </c>
      <c r="AJ669" s="38">
        <f ca="1">IF(NOTA[[#This Row],[TGL.NOTA]]="",IF(NOTA[[#This Row],[SUPPLIER_H]]="","",AJ668),MONTH(NOTA[[#This Row],[TGL.NOTA]]))</f>
        <v>1</v>
      </c>
      <c r="AK669" s="38" t="str">
        <f>LOWER(SUBSTITUTE(SUBSTITUTE(SUBSTITUTE(SUBSTITUTE(SUBSTITUTE(SUBSTITUTE(SUBSTITUTE(SUBSTITUTE(SUBSTITUTE(NOTA[NAMA BARANG]," ",),".",""),"-",""),"(",""),")",""),",",""),"/",""),"""",""),"+",""))</f>
        <v>opp18x36</v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>opp18x362100000</v>
      </c>
      <c r="AM669" s="193">
        <f>IF(NOTA[[#This Row],[CONCAT1]]="","",MATCH(NOTA[[#This Row],[CONCAT1]],[2]!db[NB NOTA_C],0)+1)</f>
        <v>1553</v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>
        <f ca="1">IF(NOTA[[#This Row],[NAMA BARANG]]="","",INDEX(NOTA[ID],MATCH(,INDIRECT(ADDRESS(ROW(NOTA[ID]),COLUMN(NOTA[ID]))&amp;":"&amp;ADDRESS(ROW(),COLUMN(NOTA[ID]))),-1)))</f>
        <v>127</v>
      </c>
      <c r="E670" s="30"/>
      <c r="F670" s="26"/>
      <c r="G670" s="26"/>
      <c r="H670" s="31"/>
      <c r="I670" s="32"/>
      <c r="J670" s="33"/>
      <c r="K670" s="32"/>
      <c r="L670" s="26" t="s">
        <v>817</v>
      </c>
      <c r="M670" s="34">
        <v>5</v>
      </c>
      <c r="N670" s="32"/>
      <c r="O670" s="26"/>
      <c r="P670" s="28"/>
      <c r="Q670" s="46">
        <v>2250000</v>
      </c>
      <c r="R670" s="39">
        <v>20</v>
      </c>
      <c r="S670" s="35"/>
      <c r="T670" s="35"/>
      <c r="U670" s="36"/>
      <c r="V670" s="37"/>
      <c r="W670" s="36">
        <f>IF(NOTA[[#This Row],[HARGA/ CTN]]="",NOTA[[#This Row],[JUMLAH_H]],NOTA[[#This Row],[HARGA/ CTN]]*IF(NOTA[[#This Row],[C]]="",0,NOTA[[#This Row],[C]]))</f>
        <v>11250000</v>
      </c>
      <c r="X670" s="36">
        <f>IF(NOTA[[#This Row],[JUMLAH]]="","",NOTA[[#This Row],[JUMLAH]]*NOTA[[#This Row],[DISC 1]])</f>
        <v>0</v>
      </c>
      <c r="Y670" s="36">
        <f>IF(NOTA[[#This Row],[JUMLAH]]="","",(NOTA[[#This Row],[JUMLAH]]-NOTA[[#This Row],[DISC 1-]])*NOTA[[#This Row],[DISC 2]])</f>
        <v>0</v>
      </c>
      <c r="Z670" s="36">
        <f>IF(NOTA[[#This Row],[JUMLAH]]="","",NOTA[[#This Row],[DISC 1-]]+NOTA[[#This Row],[DISC 2-]])</f>
        <v>0</v>
      </c>
      <c r="AA670" s="36">
        <f>IF(NOTA[[#This Row],[JUMLAH]]="","",NOTA[[#This Row],[JUMLAH]]-NOTA[[#This Row],[DISC]])</f>
        <v>11250000</v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670" s="36" t="str">
        <f>IF(OR(NOTA[[#This Row],[QTY]]="",NOTA[[#This Row],[HARGA SATUAN]]="",),"",NOTA[[#This Row],[QTY]]*NOTA[[#This Row],[HARGA SATUAN]])</f>
        <v/>
      </c>
      <c r="AF670" s="33">
        <f ca="1">IF(NOTA[ID_H]="","",INDEX(NOTA[TANGGAL],MATCH(,INDIRECT(ADDRESS(ROW(NOTA[TANGGAL]),COLUMN(NOTA[TANGGAL]))&amp;":"&amp;ADDRESS(ROW(),COLUMN(NOTA[TANGGAL]))),-1)))</f>
        <v>44950</v>
      </c>
      <c r="AG670" s="28" t="str">
        <f ca="1">IF(NOTA[[#This Row],[NAMA BARANG]]="","",INDEX(NOTA[SUPPLIER],MATCH(,INDIRECT(ADDRESS(ROW(NOTA[ID]),COLUMN(NOTA[ID]))&amp;":"&amp;ADDRESS(ROW(),COLUMN(NOTA[ID]))),-1)))</f>
        <v>WINS SENTOSA</v>
      </c>
      <c r="AH670" s="28" t="str">
        <f ca="1">IF(NOTA[[#This Row],[ID_H]]="","",IF(NOTA[[#This Row],[FAKTUR]]="",INDIRECT(ADDRESS(ROW()-1,COLUMN())),NOTA[[#This Row],[FAKTUR]]))</f>
        <v>UNTANA</v>
      </c>
      <c r="AI670" s="38" t="str">
        <f ca="1">IF(NOTA[[#This Row],[ID]]="","",COUNTIF(NOTA[ID_H],NOTA[[#This Row],[ID_H]]))</f>
        <v/>
      </c>
      <c r="AJ670" s="38">
        <f ca="1">IF(NOTA[[#This Row],[TGL.NOTA]]="",IF(NOTA[[#This Row],[SUPPLIER_H]]="","",AJ669),MONTH(NOTA[[#This Row],[TGL.NOTA]]))</f>
        <v>1</v>
      </c>
      <c r="AK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>taskarung70x702250000</v>
      </c>
      <c r="AM670" s="193" t="e">
        <f>IF(NOTA[[#This Row],[CONCAT1]]="","",MATCH(NOTA[[#This Row],[CONCAT1]],[2]!db[NB NOTA_C],0)+1)</f>
        <v>#N/A</v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>
        <f ca="1">IF(NOTA[[#This Row],[NAMA BARANG]]="","",INDEX(NOTA[ID],MATCH(,INDIRECT(ADDRESS(ROW(NOTA[ID]),COLUMN(NOTA[ID]))&amp;":"&amp;ADDRESS(ROW(),COLUMN(NOTA[ID]))),-1)))</f>
        <v>127</v>
      </c>
      <c r="E671" s="30"/>
      <c r="F671" s="32"/>
      <c r="G671" s="32"/>
      <c r="H671" s="55"/>
      <c r="I671" s="32"/>
      <c r="J671" s="33"/>
      <c r="K671" s="32"/>
      <c r="L671" s="26" t="s">
        <v>818</v>
      </c>
      <c r="M671" s="34">
        <v>6</v>
      </c>
      <c r="N671" s="32"/>
      <c r="O671" s="26"/>
      <c r="P671" s="28"/>
      <c r="Q671" s="46">
        <v>2050000</v>
      </c>
      <c r="R671" s="39">
        <v>120</v>
      </c>
      <c r="S671" s="35"/>
      <c r="T671" s="35"/>
      <c r="U671" s="36"/>
      <c r="V671" s="37"/>
      <c r="W671" s="36">
        <f>IF(NOTA[[#This Row],[HARGA/ CTN]]="",NOTA[[#This Row],[JUMLAH_H]],NOTA[[#This Row],[HARGA/ CTN]]*IF(NOTA[[#This Row],[C]]="",0,NOTA[[#This Row],[C]]))</f>
        <v>12300000</v>
      </c>
      <c r="X671" s="36">
        <f>IF(NOTA[[#This Row],[JUMLAH]]="","",NOTA[[#This Row],[JUMLAH]]*NOTA[[#This Row],[DISC 1]])</f>
        <v>0</v>
      </c>
      <c r="Y671" s="36">
        <f>IF(NOTA[[#This Row],[JUMLAH]]="","",(NOTA[[#This Row],[JUMLAH]]-NOTA[[#This Row],[DISC 1-]])*NOTA[[#This Row],[DISC 2]])</f>
        <v>0</v>
      </c>
      <c r="Z671" s="36">
        <f>IF(NOTA[[#This Row],[JUMLAH]]="","",NOTA[[#This Row],[DISC 1-]]+NOTA[[#This Row],[DISC 2-]])</f>
        <v>0</v>
      </c>
      <c r="AA671" s="36">
        <f>IF(NOTA[[#This Row],[JUMLAH]]="","",NOTA[[#This Row],[JUMLAH]]-NOTA[[#This Row],[DISC]])</f>
        <v>12300000</v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71" s="36" t="str">
        <f>IF(OR(NOTA[[#This Row],[QTY]]="",NOTA[[#This Row],[HARGA SATUAN]]="",),"",NOTA[[#This Row],[QTY]]*NOTA[[#This Row],[HARGA SATUAN]])</f>
        <v/>
      </c>
      <c r="AF671" s="33">
        <f ca="1">IF(NOTA[ID_H]="","",INDEX(NOTA[TANGGAL],MATCH(,INDIRECT(ADDRESS(ROW(NOTA[TANGGAL]),COLUMN(NOTA[TANGGAL]))&amp;":"&amp;ADDRESS(ROW(),COLUMN(NOTA[TANGGAL]))),-1)))</f>
        <v>44950</v>
      </c>
      <c r="AG671" s="28" t="str">
        <f ca="1">IF(NOTA[[#This Row],[NAMA BARANG]]="","",INDEX(NOTA[SUPPLIER],MATCH(,INDIRECT(ADDRESS(ROW(NOTA[ID]),COLUMN(NOTA[ID]))&amp;":"&amp;ADDRESS(ROW(),COLUMN(NOTA[ID]))),-1)))</f>
        <v>WINS SENTOSA</v>
      </c>
      <c r="AH671" s="28" t="str">
        <f ca="1">IF(NOTA[[#This Row],[ID_H]]="","",IF(NOTA[[#This Row],[FAKTUR]]="",INDIRECT(ADDRESS(ROW()-1,COLUMN())),NOTA[[#This Row],[FAKTUR]]))</f>
        <v>UNTANA</v>
      </c>
      <c r="AI671" s="38" t="str">
        <f ca="1">IF(NOTA[[#This Row],[ID]]="","",COUNTIF(NOTA[ID_H],NOTA[[#This Row],[ID_H]]))</f>
        <v/>
      </c>
      <c r="AJ671" s="38">
        <f ca="1">IF(NOTA[[#This Row],[TGL.NOTA]]="",IF(NOTA[[#This Row],[SUPPLIER_H]]="","",AJ670),MONTH(NOTA[[#This Row],[TGL.NOTA]]))</f>
        <v>1</v>
      </c>
      <c r="AK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>taskarung55x65x252050000</v>
      </c>
      <c r="AM671" s="193" t="e">
        <f>IF(NOTA[[#This Row],[CONCAT1]]="","",MATCH(NOTA[[#This Row],[CONCAT1]],[2]!db[NB NOTA_C],0)+1)</f>
        <v>#N/A</v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>
        <f ca="1">IF(NOTA[[#This Row],[NAMA BARANG]]="","",INDEX(NOTA[ID],MATCH(,INDIRECT(ADDRESS(ROW(NOTA[ID]),COLUMN(NOTA[ID]))&amp;":"&amp;ADDRESS(ROW(),COLUMN(NOTA[ID]))),-1)))</f>
        <v>127</v>
      </c>
      <c r="E672" s="23"/>
      <c r="F672" s="26"/>
      <c r="G672" s="26"/>
      <c r="H672" s="31"/>
      <c r="I672" s="26"/>
      <c r="J672" s="51"/>
      <c r="K672" s="26"/>
      <c r="L672" s="26" t="s">
        <v>818</v>
      </c>
      <c r="M672" s="39">
        <v>5</v>
      </c>
      <c r="N672" s="26"/>
      <c r="O672" s="26"/>
      <c r="P672" s="28"/>
      <c r="Q672" s="52">
        <v>2050000</v>
      </c>
      <c r="R672" s="39">
        <v>120</v>
      </c>
      <c r="S672" s="35"/>
      <c r="T672" s="35"/>
      <c r="U672" s="54"/>
      <c r="V672" s="37"/>
      <c r="W672" s="54">
        <f>IF(NOTA[[#This Row],[HARGA/ CTN]]="",NOTA[[#This Row],[JUMLAH_H]],NOTA[[#This Row],[HARGA/ CTN]]*IF(NOTA[[#This Row],[C]]="",0,NOTA[[#This Row],[C]]))</f>
        <v>10250000</v>
      </c>
      <c r="X672" s="54">
        <f>IF(NOTA[[#This Row],[JUMLAH]]="","",NOTA[[#This Row],[JUMLAH]]*NOTA[[#This Row],[DISC 1]])</f>
        <v>0</v>
      </c>
      <c r="Y672" s="54">
        <f>IF(NOTA[[#This Row],[JUMLAH]]="","",(NOTA[[#This Row],[JUMLAH]]-NOTA[[#This Row],[DISC 1-]])*NOTA[[#This Row],[DISC 2]])</f>
        <v>0</v>
      </c>
      <c r="Z672" s="54">
        <f>IF(NOTA[[#This Row],[JUMLAH]]="","",NOTA[[#This Row],[DISC 1-]]+NOTA[[#This Row],[DISC 2-]])</f>
        <v>0</v>
      </c>
      <c r="AA672" s="54">
        <f>IF(NOTA[[#This Row],[JUMLAH]]="","",NOTA[[#This Row],[JUMLAH]]-NOTA[[#This Row],[DISC]])</f>
        <v>10250000</v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72" s="54" t="str">
        <f>IF(OR(NOTA[[#This Row],[QTY]]="",NOTA[[#This Row],[HARGA SATUAN]]="",),"",NOTA[[#This Row],[QTY]]*NOTA[[#This Row],[HARGA SATUAN]])</f>
        <v/>
      </c>
      <c r="AF672" s="51">
        <f ca="1">IF(NOTA[ID_H]="","",INDEX(NOTA[TANGGAL],MATCH(,INDIRECT(ADDRESS(ROW(NOTA[TANGGAL]),COLUMN(NOTA[TANGGAL]))&amp;":"&amp;ADDRESS(ROW(),COLUMN(NOTA[TANGGAL]))),-1)))</f>
        <v>44950</v>
      </c>
      <c r="AG672" s="49" t="str">
        <f ca="1">IF(NOTA[[#This Row],[NAMA BARANG]]="","",INDEX(NOTA[SUPPLIER],MATCH(,INDIRECT(ADDRESS(ROW(NOTA[ID]),COLUMN(NOTA[ID]))&amp;":"&amp;ADDRESS(ROW(),COLUMN(NOTA[ID]))),-1)))</f>
        <v>WINS SENTOSA</v>
      </c>
      <c r="AH672" s="49" t="str">
        <f ca="1">IF(NOTA[[#This Row],[ID_H]]="","",IF(NOTA[[#This Row],[FAKTUR]]="",INDIRECT(ADDRESS(ROW()-1,COLUMN())),NOTA[[#This Row],[FAKTUR]]))</f>
        <v>UNTANA</v>
      </c>
      <c r="AI672" s="38" t="str">
        <f ca="1">IF(NOTA[[#This Row],[ID]]="","",COUNTIF(NOTA[ID_H],NOTA[[#This Row],[ID_H]]))</f>
        <v/>
      </c>
      <c r="AJ672" s="38">
        <f ca="1">IF(NOTA[[#This Row],[TGL.NOTA]]="",IF(NOTA[[#This Row],[SUPPLIER_H]]="","",AJ671),MONTH(NOTA[[#This Row],[TGL.NOTA]]))</f>
        <v>1</v>
      </c>
      <c r="AK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>taskarung55x65x252050000</v>
      </c>
      <c r="AM672" s="193" t="e">
        <f>IF(NOTA[[#This Row],[CONCAT1]]="","",MATCH(NOTA[[#This Row],[CONCAT1]],[2]!db[NB NOTA_C],0)+1)</f>
        <v>#N/A</v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>
        <f ca="1">IF(NOTA[[#This Row],[NAMA BARANG]]="","",INDEX(NOTA[ID],MATCH(,INDIRECT(ADDRESS(ROW(NOTA[ID]),COLUMN(NOTA[ID]))&amp;":"&amp;ADDRESS(ROW(),COLUMN(NOTA[ID]))),-1)))</f>
        <v>127</v>
      </c>
      <c r="E673" s="23"/>
      <c r="F673" s="26"/>
      <c r="G673" s="26"/>
      <c r="H673" s="31"/>
      <c r="I673" s="26"/>
      <c r="J673" s="51"/>
      <c r="K673" s="26"/>
      <c r="L673" s="26" t="s">
        <v>819</v>
      </c>
      <c r="M673" s="39">
        <v>10</v>
      </c>
      <c r="N673" s="26"/>
      <c r="O673" s="26"/>
      <c r="P673" s="28"/>
      <c r="Q673" s="52">
        <v>1700000</v>
      </c>
      <c r="R673" s="39">
        <v>120</v>
      </c>
      <c r="S673" s="35"/>
      <c r="T673" s="35"/>
      <c r="U673" s="54"/>
      <c r="V673" s="37"/>
      <c r="W673" s="54">
        <f>IF(NOTA[[#This Row],[HARGA/ CTN]]="",NOTA[[#This Row],[JUMLAH_H]],NOTA[[#This Row],[HARGA/ CTN]]*IF(NOTA[[#This Row],[C]]="",0,NOTA[[#This Row],[C]]))</f>
        <v>17000000</v>
      </c>
      <c r="X673" s="54">
        <f>IF(NOTA[[#This Row],[JUMLAH]]="","",NOTA[[#This Row],[JUMLAH]]*NOTA[[#This Row],[DISC 1]])</f>
        <v>0</v>
      </c>
      <c r="Y673" s="54">
        <f>IF(NOTA[[#This Row],[JUMLAH]]="","",(NOTA[[#This Row],[JUMLAH]]-NOTA[[#This Row],[DISC 1-]])*NOTA[[#This Row],[DISC 2]])</f>
        <v>0</v>
      </c>
      <c r="Z673" s="54">
        <f>IF(NOTA[[#This Row],[JUMLAH]]="","",NOTA[[#This Row],[DISC 1-]]+NOTA[[#This Row],[DISC 2-]])</f>
        <v>0</v>
      </c>
      <c r="AA673" s="54">
        <f>IF(NOTA[[#This Row],[JUMLAH]]="","",NOTA[[#This Row],[JUMLAH]]-NOTA[[#This Row],[DISC]])</f>
        <v>17000000</v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E673" s="54" t="str">
        <f>IF(OR(NOTA[[#This Row],[QTY]]="",NOTA[[#This Row],[HARGA SATUAN]]="",),"",NOTA[[#This Row],[QTY]]*NOTA[[#This Row],[HARGA SATUAN]])</f>
        <v/>
      </c>
      <c r="AF673" s="51">
        <f ca="1">IF(NOTA[ID_H]="","",INDEX(NOTA[TANGGAL],MATCH(,INDIRECT(ADDRESS(ROW(NOTA[TANGGAL]),COLUMN(NOTA[TANGGAL]))&amp;":"&amp;ADDRESS(ROW(),COLUMN(NOTA[TANGGAL]))),-1)))</f>
        <v>44950</v>
      </c>
      <c r="AG673" s="49" t="str">
        <f ca="1">IF(NOTA[[#This Row],[NAMA BARANG]]="","",INDEX(NOTA[SUPPLIER],MATCH(,INDIRECT(ADDRESS(ROW(NOTA[ID]),COLUMN(NOTA[ID]))&amp;":"&amp;ADDRESS(ROW(),COLUMN(NOTA[ID]))),-1)))</f>
        <v>WINS SENTOSA</v>
      </c>
      <c r="AH673" s="49" t="str">
        <f ca="1">IF(NOTA[[#This Row],[ID_H]]="","",IF(NOTA[[#This Row],[FAKTUR]]="",INDIRECT(ADDRESS(ROW()-1,COLUMN())),NOTA[[#This Row],[FAKTUR]]))</f>
        <v>UNTANA</v>
      </c>
      <c r="AI673" s="38" t="str">
        <f ca="1">IF(NOTA[[#This Row],[ID]]="","",COUNTIF(NOTA[ID_H],NOTA[[#This Row],[ID_H]]))</f>
        <v/>
      </c>
      <c r="AJ673" s="38">
        <f ca="1">IF(NOTA[[#This Row],[TGL.NOTA]]="",IF(NOTA[[#This Row],[SUPPLIER_H]]="","",AJ672),MONTH(NOTA[[#This Row],[TGL.NOTA]]))</f>
        <v>1</v>
      </c>
      <c r="AK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>taskarung50x551700000</v>
      </c>
      <c r="AM673" s="193" t="e">
        <f>IF(NOTA[[#This Row],[CONCAT1]]="","",MATCH(NOTA[[#This Row],[CONCAT1]],[2]!db[NB NOTA_C],0)+1)</f>
        <v>#N/A</v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>
        <f ca="1">IF(NOTA[[#This Row],[NAMA BARANG]]="","",INDEX(NOTA[ID],MATCH(,INDIRECT(ADDRESS(ROW(NOTA[ID]),COLUMN(NOTA[ID]))&amp;":"&amp;ADDRESS(ROW(),COLUMN(NOTA[ID]))),-1)))</f>
        <v>127</v>
      </c>
      <c r="E674" s="61"/>
      <c r="F674" s="62"/>
      <c r="G674" s="62"/>
      <c r="H674" s="107"/>
      <c r="I674" s="62"/>
      <c r="J674" s="60"/>
      <c r="K674" s="62"/>
      <c r="L674" s="26" t="s">
        <v>820</v>
      </c>
      <c r="M674" s="63">
        <v>9</v>
      </c>
      <c r="N674" s="62"/>
      <c r="O674" s="26"/>
      <c r="P674" s="28"/>
      <c r="Q674" s="64">
        <v>1450000</v>
      </c>
      <c r="R674" s="39">
        <v>120</v>
      </c>
      <c r="S674" s="35"/>
      <c r="T674" s="35"/>
      <c r="U674" s="59"/>
      <c r="V674" s="37"/>
      <c r="W674" s="59">
        <f>IF(NOTA[[#This Row],[HARGA/ CTN]]="",NOTA[[#This Row],[JUMLAH_H]],NOTA[[#This Row],[HARGA/ CTN]]*IF(NOTA[[#This Row],[C]]="",0,NOTA[[#This Row],[C]]))</f>
        <v>13050000</v>
      </c>
      <c r="X674" s="59">
        <f>IF(NOTA[[#This Row],[JUMLAH]]="","",NOTA[[#This Row],[JUMLAH]]*NOTA[[#This Row],[DISC 1]])</f>
        <v>0</v>
      </c>
      <c r="Y674" s="59">
        <f>IF(NOTA[[#This Row],[JUMLAH]]="","",(NOTA[[#This Row],[JUMLAH]]-NOTA[[#This Row],[DISC 1-]])*NOTA[[#This Row],[DISC 2]])</f>
        <v>0</v>
      </c>
      <c r="Z674" s="59">
        <f>IF(NOTA[[#This Row],[JUMLAH]]="","",NOTA[[#This Row],[DISC 1-]]+NOTA[[#This Row],[DISC 2-]])</f>
        <v>0</v>
      </c>
      <c r="AA674" s="59">
        <f>IF(NOTA[[#This Row],[JUMLAH]]="","",NOTA[[#This Row],[JUMLAH]]-NOTA[[#This Row],[DISC]])</f>
        <v>13050000</v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E674" s="59" t="str">
        <f>IF(OR(NOTA[[#This Row],[QTY]]="",NOTA[[#This Row],[HARGA SATUAN]]="",),"",NOTA[[#This Row],[QTY]]*NOTA[[#This Row],[HARGA SATUAN]])</f>
        <v/>
      </c>
      <c r="AF674" s="60">
        <f ca="1">IF(NOTA[ID_H]="","",INDEX(NOTA[TANGGAL],MATCH(,INDIRECT(ADDRESS(ROW(NOTA[TANGGAL]),COLUMN(NOTA[TANGGAL]))&amp;":"&amp;ADDRESS(ROW(),COLUMN(NOTA[TANGGAL]))),-1)))</f>
        <v>44950</v>
      </c>
      <c r="AG674" s="57" t="str">
        <f ca="1">IF(NOTA[[#This Row],[NAMA BARANG]]="","",INDEX(NOTA[SUPPLIER],MATCH(,INDIRECT(ADDRESS(ROW(NOTA[ID]),COLUMN(NOTA[ID]))&amp;":"&amp;ADDRESS(ROW(),COLUMN(NOTA[ID]))),-1)))</f>
        <v>WINS SENTOSA</v>
      </c>
      <c r="AH674" s="57" t="str">
        <f ca="1">IF(NOTA[[#This Row],[ID_H]]="","",IF(NOTA[[#This Row],[FAKTUR]]="",INDIRECT(ADDRESS(ROW()-1,COLUMN())),NOTA[[#This Row],[FAKTUR]]))</f>
        <v>UNTANA</v>
      </c>
      <c r="AI674" s="38" t="str">
        <f ca="1">IF(NOTA[[#This Row],[ID]]="","",COUNTIF(NOTA[ID_H],NOTA[[#This Row],[ID_H]]))</f>
        <v/>
      </c>
      <c r="AJ674" s="38">
        <f ca="1">IF(NOTA[[#This Row],[TGL.NOTA]]="",IF(NOTA[[#This Row],[SUPPLIER_H]]="","",AJ673),MONTH(NOTA[[#This Row],[TGL.NOTA]]))</f>
        <v>1</v>
      </c>
      <c r="AK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>taskarung45x501450000</v>
      </c>
      <c r="AM674" s="193" t="e">
        <f>IF(NOTA[[#This Row],[CONCAT1]]="","",MATCH(NOTA[[#This Row],[CONCAT1]],[2]!db[NB NOTA_C],0)+1)</f>
        <v>#N/A</v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>
        <f ca="1">IF(NOTA[[#This Row],[NAMA BARANG]]="","",INDEX(NOTA[ID],MATCH(,INDIRECT(ADDRESS(ROW(NOTA[ID]),COLUMN(NOTA[ID]))&amp;":"&amp;ADDRESS(ROW(),COLUMN(NOTA[ID]))),-1)))</f>
        <v>127</v>
      </c>
      <c r="E675" s="23"/>
      <c r="F675" s="26"/>
      <c r="G675" s="26"/>
      <c r="H675" s="31"/>
      <c r="I675" s="26"/>
      <c r="J675" s="51"/>
      <c r="K675" s="26"/>
      <c r="L675" s="26" t="s">
        <v>821</v>
      </c>
      <c r="M675" s="39">
        <v>18</v>
      </c>
      <c r="N675" s="26"/>
      <c r="O675" s="26"/>
      <c r="P675" s="49"/>
      <c r="Q675" s="52">
        <v>1275000</v>
      </c>
      <c r="R675" s="39">
        <v>120</v>
      </c>
      <c r="S675" s="53"/>
      <c r="T675" s="53"/>
      <c r="U675" s="54"/>
      <c r="V675" s="37"/>
      <c r="W675" s="59">
        <f>IF(NOTA[[#This Row],[HARGA/ CTN]]="",NOTA[[#This Row],[JUMLAH_H]],NOTA[[#This Row],[HARGA/ CTN]]*IF(NOTA[[#This Row],[C]]="",0,NOTA[[#This Row],[C]]))</f>
        <v>22950000</v>
      </c>
      <c r="X675" s="59">
        <f>IF(NOTA[[#This Row],[JUMLAH]]="","",NOTA[[#This Row],[JUMLAH]]*NOTA[[#This Row],[DISC 1]])</f>
        <v>0</v>
      </c>
      <c r="Y675" s="59">
        <f>IF(NOTA[[#This Row],[JUMLAH]]="","",(NOTA[[#This Row],[JUMLAH]]-NOTA[[#This Row],[DISC 1-]])*NOTA[[#This Row],[DISC 2]])</f>
        <v>0</v>
      </c>
      <c r="Z675" s="59">
        <f>IF(NOTA[[#This Row],[JUMLAH]]="","",NOTA[[#This Row],[DISC 1-]]+NOTA[[#This Row],[DISC 2-]])</f>
        <v>0</v>
      </c>
      <c r="AA675" s="59">
        <f>IF(NOTA[[#This Row],[JUMLAH]]="","",NOTA[[#This Row],[JUMLAH]]-NOTA[[#This Row],[DISC]])</f>
        <v>22950000</v>
      </c>
      <c r="AB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D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E675" s="59" t="str">
        <f>IF(OR(NOTA[[#This Row],[QTY]]="",NOTA[[#This Row],[HARGA SATUAN]]="",),"",NOTA[[#This Row],[QTY]]*NOTA[[#This Row],[HARGA SATUAN]])</f>
        <v/>
      </c>
      <c r="AF675" s="60">
        <f ca="1">IF(NOTA[ID_H]="","",INDEX(NOTA[TANGGAL],MATCH(,INDIRECT(ADDRESS(ROW(NOTA[TANGGAL]),COLUMN(NOTA[TANGGAL]))&amp;":"&amp;ADDRESS(ROW(),COLUMN(NOTA[TANGGAL]))),-1)))</f>
        <v>44950</v>
      </c>
      <c r="AG675" s="57" t="str">
        <f ca="1">IF(NOTA[[#This Row],[NAMA BARANG]]="","",INDEX(NOTA[SUPPLIER],MATCH(,INDIRECT(ADDRESS(ROW(NOTA[ID]),COLUMN(NOTA[ID]))&amp;":"&amp;ADDRESS(ROW(),COLUMN(NOTA[ID]))),-1)))</f>
        <v>WINS SENTOSA</v>
      </c>
      <c r="AH675" s="57" t="str">
        <f ca="1">IF(NOTA[[#This Row],[ID_H]]="","",IF(NOTA[[#This Row],[FAKTUR]]="",INDIRECT(ADDRESS(ROW()-1,COLUMN())),NOTA[[#This Row],[FAKTUR]]))</f>
        <v>UNTANA</v>
      </c>
      <c r="AI675" s="38" t="str">
        <f ca="1">IF(NOTA[[#This Row],[ID]]="","",COUNTIF(NOTA[ID_H],NOTA[[#This Row],[ID_H]]))</f>
        <v/>
      </c>
      <c r="AJ675" s="38">
        <f ca="1">IF(NOTA[[#This Row],[TGL.NOTA]]="",IF(NOTA[[#This Row],[SUPPLIER_H]]="","",AJ674),MONTH(NOTA[[#This Row],[TGL.NOTA]]))</f>
        <v>1</v>
      </c>
      <c r="AK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>taskarung40x451275000</v>
      </c>
      <c r="AM675" s="193" t="e">
        <f>IF(NOTA[[#This Row],[CONCAT1]]="","",MATCH(NOTA[[#This Row],[CONCAT1]],[2]!db[NB NOTA_C],0)+1)</f>
        <v>#N/A</v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93" t="str">
        <f>IF(NOTA[[#This Row],[CONCAT1]]="","",MATCH(NOTA[[#This Row],[CONCAT1]],[2]!db[NB NOTA_C],0)+1)</f>
        <v/>
      </c>
    </row>
    <row r="677" spans="1:39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e">
        <f ca="1">IF(NOTA[[#This Row],[ID_P]]="","",MATCH(NOTA[[#This Row],[ID_P]],[1]!B_MSK[N_ID],0))</f>
        <v>#REF!</v>
      </c>
      <c r="D677" s="58">
        <f ca="1">IF(NOTA[[#This Row],[NAMA BARANG]]="","",INDEX(NOTA[ID],MATCH(,INDIRECT(ADDRESS(ROW(NOTA[ID]),COLUMN(NOTA[ID]))&amp;":"&amp;ADDRESS(ROW(),COLUMN(NOTA[ID]))),-1)))</f>
        <v>128</v>
      </c>
      <c r="E677" s="23"/>
      <c r="F677" s="26" t="s">
        <v>101</v>
      </c>
      <c r="G677" s="26" t="s">
        <v>87</v>
      </c>
      <c r="H677" s="31" t="s">
        <v>823</v>
      </c>
      <c r="I677" s="26"/>
      <c r="J677" s="51">
        <v>44944</v>
      </c>
      <c r="K677" s="26"/>
      <c r="L677" s="26" t="s">
        <v>824</v>
      </c>
      <c r="M677" s="39">
        <v>5</v>
      </c>
      <c r="N677" s="26">
        <v>720</v>
      </c>
      <c r="O677" s="26" t="s">
        <v>104</v>
      </c>
      <c r="P677" s="49">
        <v>11575</v>
      </c>
      <c r="Q677" s="52"/>
      <c r="R677" s="39"/>
      <c r="S677" s="53"/>
      <c r="T677" s="53"/>
      <c r="U677" s="54"/>
      <c r="V677" s="37"/>
      <c r="W677" s="59">
        <f>IF(NOTA[[#This Row],[HARGA/ CTN]]="",NOTA[[#This Row],[JUMLAH_H]],NOTA[[#This Row],[HARGA/ CTN]]*IF(NOTA[[#This Row],[C]]="",0,NOTA[[#This Row],[C]]))</f>
        <v>8334000</v>
      </c>
      <c r="X677" s="59">
        <f>IF(NOTA[[#This Row],[JUMLAH]]="","",NOTA[[#This Row],[JUMLAH]]*NOTA[[#This Row],[DISC 1]])</f>
        <v>0</v>
      </c>
      <c r="Y677" s="59">
        <f>IF(NOTA[[#This Row],[JUMLAH]]="","",(NOTA[[#This Row],[JUMLAH]]-NOTA[[#This Row],[DISC 1-]])*NOTA[[#This Row],[DISC 2]])</f>
        <v>0</v>
      </c>
      <c r="Z677" s="59">
        <f>IF(NOTA[[#This Row],[JUMLAH]]="","",NOTA[[#This Row],[DISC 1-]]+NOTA[[#This Row],[DISC 2-]])</f>
        <v>0</v>
      </c>
      <c r="AA677" s="59">
        <f>IF(NOTA[[#This Row],[JUMLAH]]="","",NOTA[[#This Row],[JUMLAH]]-NOTA[[#This Row],[DISC]])</f>
        <v>8334000</v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77" s="59">
        <f>IF(OR(NOTA[[#This Row],[QTY]]="",NOTA[[#This Row],[HARGA SATUAN]]="",),"",NOTA[[#This Row],[QTY]]*NOTA[[#This Row],[HARGA SATUAN]])</f>
        <v>8334000</v>
      </c>
      <c r="AF677" s="60">
        <f ca="1">IF(NOTA[ID_H]="","",INDEX(NOTA[TANGGAL],MATCH(,INDIRECT(ADDRESS(ROW(NOTA[TANGGAL]),COLUMN(NOTA[TANGGAL]))&amp;":"&amp;ADDRESS(ROW(),COLUMN(NOTA[TANGGAL]))),-1)))</f>
        <v>44950</v>
      </c>
      <c r="AG677" s="57" t="str">
        <f ca="1">IF(NOTA[[#This Row],[NAMA BARANG]]="","",INDEX(NOTA[SUPPLIER],MATCH(,INDIRECT(ADDRESS(ROW(NOTA[ID]),COLUMN(NOTA[ID]))&amp;":"&amp;ADDRESS(ROW(),COLUMN(NOTA[ID]))),-1)))</f>
        <v>SBS</v>
      </c>
      <c r="AH677" s="57" t="str">
        <f ca="1">IF(NOTA[[#This Row],[ID_H]]="","",IF(NOTA[[#This Row],[FAKTUR]]="",INDIRECT(ADDRESS(ROW()-1,COLUMN())),NOTA[[#This Row],[FAKTUR]]))</f>
        <v>UNTANA</v>
      </c>
      <c r="AI677" s="38">
        <f ca="1">IF(NOTA[[#This Row],[ID]]="","",COUNTIF(NOTA[ID_H],NOTA[[#This Row],[ID_H]]))</f>
        <v>5</v>
      </c>
      <c r="AJ677" s="38">
        <f>IF(NOTA[[#This Row],[TGL.NOTA]]="",IF(NOTA[[#This Row],[SUPPLIER_H]]="","",AJ676),MONTH(NOTA[[#This Row],[TGL.NOTA]]))</f>
        <v>1</v>
      </c>
      <c r="AK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>pcmgp650718x225puaugltd1666800</v>
      </c>
      <c r="AM677" s="193" t="e">
        <f>IF(NOTA[[#This Row],[CONCAT1]]="","",MATCH(NOTA[[#This Row],[CONCAT1]],[2]!db[NB NOTA_C],0)+1)</f>
        <v>#N/A</v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>
        <f ca="1">IF(NOTA[[#This Row],[NAMA BARANG]]="","",INDEX(NOTA[ID],MATCH(,INDIRECT(ADDRESS(ROW(NOTA[ID]),COLUMN(NOTA[ID]))&amp;":"&amp;ADDRESS(ROW(),COLUMN(NOTA[ID]))),-1)))</f>
        <v>128</v>
      </c>
      <c r="E678" s="23"/>
      <c r="F678" s="26"/>
      <c r="G678" s="26"/>
      <c r="H678" s="31"/>
      <c r="I678" s="26"/>
      <c r="J678" s="51"/>
      <c r="K678" s="26"/>
      <c r="L678" s="26" t="s">
        <v>825</v>
      </c>
      <c r="M678" s="39">
        <v>5</v>
      </c>
      <c r="N678" s="26">
        <v>960</v>
      </c>
      <c r="O678" s="26" t="s">
        <v>104</v>
      </c>
      <c r="P678" s="49">
        <v>10000</v>
      </c>
      <c r="Q678" s="52"/>
      <c r="R678" s="39"/>
      <c r="S678" s="53"/>
      <c r="T678" s="53"/>
      <c r="U678" s="54"/>
      <c r="V678" s="37"/>
      <c r="W678" s="59">
        <f>IF(NOTA[[#This Row],[HARGA/ CTN]]="",NOTA[[#This Row],[JUMLAH_H]],NOTA[[#This Row],[HARGA/ CTN]]*IF(NOTA[[#This Row],[C]]="",0,NOTA[[#This Row],[C]]))</f>
        <v>9600000</v>
      </c>
      <c r="X678" s="59">
        <f>IF(NOTA[[#This Row],[JUMLAH]]="","",NOTA[[#This Row],[JUMLAH]]*NOTA[[#This Row],[DISC 1]])</f>
        <v>0</v>
      </c>
      <c r="Y678" s="59">
        <f>IF(NOTA[[#This Row],[JUMLAH]]="","",(NOTA[[#This Row],[JUMLAH]]-NOTA[[#This Row],[DISC 1-]])*NOTA[[#This Row],[DISC 2]])</f>
        <v>0</v>
      </c>
      <c r="Z678" s="59">
        <f>IF(NOTA[[#This Row],[JUMLAH]]="","",NOTA[[#This Row],[DISC 1-]]+NOTA[[#This Row],[DISC 2-]])</f>
        <v>0</v>
      </c>
      <c r="AA678" s="59">
        <f>IF(NOTA[[#This Row],[JUMLAH]]="","",NOTA[[#This Row],[JUMLAH]]-NOTA[[#This Row],[DISC]])</f>
        <v>9600000</v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678" s="59">
        <f>IF(OR(NOTA[[#This Row],[QTY]]="",NOTA[[#This Row],[HARGA SATUAN]]="",),"",NOTA[[#This Row],[QTY]]*NOTA[[#This Row],[HARGA SATUAN]])</f>
        <v>9600000</v>
      </c>
      <c r="AF678" s="60">
        <f ca="1">IF(NOTA[ID_H]="","",INDEX(NOTA[TANGGAL],MATCH(,INDIRECT(ADDRESS(ROW(NOTA[TANGGAL]),COLUMN(NOTA[TANGGAL]))&amp;":"&amp;ADDRESS(ROW(),COLUMN(NOTA[TANGGAL]))),-1)))</f>
        <v>44950</v>
      </c>
      <c r="AG678" s="57" t="str">
        <f ca="1">IF(NOTA[[#This Row],[NAMA BARANG]]="","",INDEX(NOTA[SUPPLIER],MATCH(,INDIRECT(ADDRESS(ROW(NOTA[ID]),COLUMN(NOTA[ID]))&amp;":"&amp;ADDRESS(ROW(),COLUMN(NOTA[ID]))),-1)))</f>
        <v>SBS</v>
      </c>
      <c r="AH678" s="57" t="str">
        <f ca="1">IF(NOTA[[#This Row],[ID_H]]="","",IF(NOTA[[#This Row],[FAKTUR]]="",INDIRECT(ADDRESS(ROW()-1,COLUMN())),NOTA[[#This Row],[FAKTUR]]))</f>
        <v>UNTANA</v>
      </c>
      <c r="AI678" s="38" t="str">
        <f ca="1">IF(NOTA[[#This Row],[ID]]="","",COUNTIF(NOTA[ID_H],NOTA[[#This Row],[ID_H]]))</f>
        <v/>
      </c>
      <c r="AJ678" s="38">
        <f ca="1">IF(NOTA[[#This Row],[TGL.NOTA]]="",IF(NOTA[[#This Row],[SUPPLIER_H]]="","",AJ677),MONTH(NOTA[[#This Row],[TGL.NOTA]]))</f>
        <v>1</v>
      </c>
      <c r="AK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>pcmgp93638x22puabentukd1920000</v>
      </c>
      <c r="AM678" s="193" t="e">
        <f>IF(NOTA[[#This Row],[CONCAT1]]="","",MATCH(NOTA[[#This Row],[CONCAT1]],[2]!db[NB NOTA_C],0)+1)</f>
        <v>#N/A</v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>
        <f ca="1">IF(NOTA[[#This Row],[NAMA BARANG]]="","",INDEX(NOTA[ID],MATCH(,INDIRECT(ADDRESS(ROW(NOTA[ID]),COLUMN(NOTA[ID]))&amp;":"&amp;ADDRESS(ROW(),COLUMN(NOTA[ID]))),-1)))</f>
        <v>128</v>
      </c>
      <c r="E679" s="23"/>
      <c r="F679" s="26"/>
      <c r="G679" s="26"/>
      <c r="H679" s="31"/>
      <c r="I679" s="26"/>
      <c r="J679" s="51"/>
      <c r="K679" s="26"/>
      <c r="L679" s="26" t="s">
        <v>826</v>
      </c>
      <c r="M679" s="39">
        <v>5</v>
      </c>
      <c r="N679" s="26">
        <v>720</v>
      </c>
      <c r="O679" s="26" t="s">
        <v>104</v>
      </c>
      <c r="P679" s="49">
        <v>11575</v>
      </c>
      <c r="Q679" s="52"/>
      <c r="R679" s="39"/>
      <c r="S679" s="53"/>
      <c r="T679" s="53"/>
      <c r="U679" s="54"/>
      <c r="V679" s="37"/>
      <c r="W679" s="59">
        <f>IF(NOTA[[#This Row],[HARGA/ CTN]]="",NOTA[[#This Row],[JUMLAH_H]],NOTA[[#This Row],[HARGA/ CTN]]*IF(NOTA[[#This Row],[C]]="",0,NOTA[[#This Row],[C]]))</f>
        <v>8334000</v>
      </c>
      <c r="X679" s="59">
        <f>IF(NOTA[[#This Row],[JUMLAH]]="","",NOTA[[#This Row],[JUMLAH]]*NOTA[[#This Row],[DISC 1]])</f>
        <v>0</v>
      </c>
      <c r="Y679" s="59">
        <f>IF(NOTA[[#This Row],[JUMLAH]]="","",(NOTA[[#This Row],[JUMLAH]]-NOTA[[#This Row],[DISC 1-]])*NOTA[[#This Row],[DISC 2]])</f>
        <v>0</v>
      </c>
      <c r="Z679" s="59">
        <f>IF(NOTA[[#This Row],[JUMLAH]]="","",NOTA[[#This Row],[DISC 1-]]+NOTA[[#This Row],[DISC 2-]])</f>
        <v>0</v>
      </c>
      <c r="AA679" s="59">
        <f>IF(NOTA[[#This Row],[JUMLAH]]="","",NOTA[[#This Row],[JUMLAH]]-NOTA[[#This Row],[DISC]])</f>
        <v>8334000</v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79" s="59">
        <f>IF(OR(NOTA[[#This Row],[QTY]]="",NOTA[[#This Row],[HARGA SATUAN]]="",),"",NOTA[[#This Row],[QTY]]*NOTA[[#This Row],[HARGA SATUAN]])</f>
        <v>8334000</v>
      </c>
      <c r="AF679" s="60">
        <f ca="1">IF(NOTA[ID_H]="","",INDEX(NOTA[TANGGAL],MATCH(,INDIRECT(ADDRESS(ROW(NOTA[TANGGAL]),COLUMN(NOTA[TANGGAL]))&amp;":"&amp;ADDRESS(ROW(),COLUMN(NOTA[TANGGAL]))),-1)))</f>
        <v>44950</v>
      </c>
      <c r="AG679" s="57" t="str">
        <f ca="1">IF(NOTA[[#This Row],[NAMA BARANG]]="","",INDEX(NOTA[SUPPLIER],MATCH(,INDIRECT(ADDRESS(ROW(NOTA[ID]),COLUMN(NOTA[ID]))&amp;":"&amp;ADDRESS(ROW(),COLUMN(NOTA[ID]))),-1)))</f>
        <v>SBS</v>
      </c>
      <c r="AH679" s="57" t="str">
        <f ca="1">IF(NOTA[[#This Row],[ID_H]]="","",IF(NOTA[[#This Row],[FAKTUR]]="",INDIRECT(ADDRESS(ROW()-1,COLUMN())),NOTA[[#This Row],[FAKTUR]]))</f>
        <v>UNTANA</v>
      </c>
      <c r="AI679" s="38" t="str">
        <f ca="1">IF(NOTA[[#This Row],[ID]]="","",COUNTIF(NOTA[ID_H],NOTA[[#This Row],[ID_H]]))</f>
        <v/>
      </c>
      <c r="AJ679" s="38">
        <f ca="1">IF(NOTA[[#This Row],[TGL.NOTA]]="",IF(NOTA[[#This Row],[SUPPLIER_H]]="","",AJ678),MONTH(NOTA[[#This Row],[TGL.NOTA]]))</f>
        <v>1</v>
      </c>
      <c r="AK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>pcmkt1118x235puagltbt211666800</v>
      </c>
      <c r="AM679" s="193" t="e">
        <f>IF(NOTA[[#This Row],[CONCAT1]]="","",MATCH(NOTA[[#This Row],[CONCAT1]],[2]!db[NB NOTA_C],0)+1)</f>
        <v>#N/A</v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>
        <f ca="1">IF(NOTA[[#This Row],[NAMA BARANG]]="","",INDEX(NOTA[ID],MATCH(,INDIRECT(ADDRESS(ROW(NOTA[ID]),COLUMN(NOTA[ID]))&amp;":"&amp;ADDRESS(ROW(),COLUMN(NOTA[ID]))),-1)))</f>
        <v>128</v>
      </c>
      <c r="E680" s="23"/>
      <c r="F680" s="26"/>
      <c r="G680" s="26"/>
      <c r="H680" s="31"/>
      <c r="I680" s="26"/>
      <c r="J680" s="51"/>
      <c r="K680" s="26"/>
      <c r="L680" s="26" t="s">
        <v>827</v>
      </c>
      <c r="M680" s="39">
        <v>5</v>
      </c>
      <c r="N680" s="26">
        <v>720</v>
      </c>
      <c r="O680" s="26" t="s">
        <v>104</v>
      </c>
      <c r="P680" s="49">
        <v>11575</v>
      </c>
      <c r="Q680" s="52"/>
      <c r="R680" s="39"/>
      <c r="S680" s="53"/>
      <c r="T680" s="53"/>
      <c r="U680" s="54"/>
      <c r="V680" s="37"/>
      <c r="W680" s="36">
        <f>IF(NOTA[[#This Row],[HARGA/ CTN]]="",NOTA[[#This Row],[JUMLAH_H]],NOTA[[#This Row],[HARGA/ CTN]]*IF(NOTA[[#This Row],[C]]="",0,NOTA[[#This Row],[C]]))</f>
        <v>8334000</v>
      </c>
      <c r="X680" s="36">
        <f>IF(NOTA[[#This Row],[JUMLAH]]="","",NOTA[[#This Row],[JUMLAH]]*NOTA[[#This Row],[DISC 1]])</f>
        <v>0</v>
      </c>
      <c r="Y680" s="36">
        <f>IF(NOTA[[#This Row],[JUMLAH]]="","",(NOTA[[#This Row],[JUMLAH]]-NOTA[[#This Row],[DISC 1-]])*NOTA[[#This Row],[DISC 2]])</f>
        <v>0</v>
      </c>
      <c r="Z680" s="36">
        <f>IF(NOTA[[#This Row],[JUMLAH]]="","",NOTA[[#This Row],[DISC 1-]]+NOTA[[#This Row],[DISC 2-]])</f>
        <v>0</v>
      </c>
      <c r="AA680" s="36">
        <f>IF(NOTA[[#This Row],[JUMLAH]]="","",NOTA[[#This Row],[JUMLAH]]-NOTA[[#This Row],[DISC]])</f>
        <v>8334000</v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80" s="36">
        <f>IF(OR(NOTA[[#This Row],[QTY]]="",NOTA[[#This Row],[HARGA SATUAN]]="",),"",NOTA[[#This Row],[QTY]]*NOTA[[#This Row],[HARGA SATUAN]])</f>
        <v>8334000</v>
      </c>
      <c r="AF680" s="33">
        <f ca="1">IF(NOTA[ID_H]="","",INDEX(NOTA[TANGGAL],MATCH(,INDIRECT(ADDRESS(ROW(NOTA[TANGGAL]),COLUMN(NOTA[TANGGAL]))&amp;":"&amp;ADDRESS(ROW(),COLUMN(NOTA[TANGGAL]))),-1)))</f>
        <v>44950</v>
      </c>
      <c r="AG680" s="28" t="str">
        <f ca="1">IF(NOTA[[#This Row],[NAMA BARANG]]="","",INDEX(NOTA[SUPPLIER],MATCH(,INDIRECT(ADDRESS(ROW(NOTA[ID]),COLUMN(NOTA[ID]))&amp;":"&amp;ADDRESS(ROW(),COLUMN(NOTA[ID]))),-1)))</f>
        <v>SBS</v>
      </c>
      <c r="AH680" s="28" t="str">
        <f ca="1">IF(NOTA[[#This Row],[ID_H]]="","",IF(NOTA[[#This Row],[FAKTUR]]="",INDIRECT(ADDRESS(ROW()-1,COLUMN())),NOTA[[#This Row],[FAKTUR]]))</f>
        <v>UNTANA</v>
      </c>
      <c r="AI680" s="38" t="str">
        <f ca="1">IF(NOTA[[#This Row],[ID]]="","",COUNTIF(NOTA[ID_H],NOTA[[#This Row],[ID_H]]))</f>
        <v/>
      </c>
      <c r="AJ680" s="38">
        <f ca="1">IF(NOTA[[#This Row],[TGL.NOTA]]="",IF(NOTA[[#This Row],[SUPPLIER_H]]="","",AJ679),MONTH(NOTA[[#This Row],[TGL.NOTA]]))</f>
        <v>1</v>
      </c>
      <c r="AK680" s="38" t="str">
        <f>LOWER(SUBSTITUTE(SUBSTITUTE(SUBSTITUTE(SUBSTITUTE(SUBSTITUTE(SUBSTITUTE(SUBSTITUTE(SUBSTITUTE(SUBSTITUTE(NOTA[NAMA BARANG]," ",),".",""),"-",""),"(",""),")",""),",",""),"/",""),"""",""),"+",""))</f>
        <v>pcmkt3878x0225puagltgirl</v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>pcmkt3878x0225puagltgirl1666800</v>
      </c>
      <c r="AM680" s="193" t="e">
        <f>IF(NOTA[[#This Row],[CONCAT1]]="","",MATCH(NOTA[[#This Row],[CONCAT1]],[2]!db[NB NOTA_C],0)+1)</f>
        <v>#N/A</v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>
        <f ca="1">IF(NOTA[[#This Row],[NAMA BARANG]]="","",INDEX(NOTA[ID],MATCH(,INDIRECT(ADDRESS(ROW(NOTA[ID]),COLUMN(NOTA[ID]))&amp;":"&amp;ADDRESS(ROW(),COLUMN(NOTA[ID]))),-1)))</f>
        <v>128</v>
      </c>
      <c r="E681" s="23"/>
      <c r="F681" s="26"/>
      <c r="G681" s="26"/>
      <c r="H681" s="31"/>
      <c r="I681" s="26"/>
      <c r="J681" s="51"/>
      <c r="K681" s="26"/>
      <c r="L681" s="26" t="s">
        <v>828</v>
      </c>
      <c r="M681" s="39">
        <v>5</v>
      </c>
      <c r="N681" s="26">
        <v>600</v>
      </c>
      <c r="O681" s="26" t="s">
        <v>104</v>
      </c>
      <c r="P681" s="49">
        <v>14475</v>
      </c>
      <c r="Q681" s="52"/>
      <c r="R681" s="39"/>
      <c r="S681" s="53"/>
      <c r="T681" s="53"/>
      <c r="U681" s="54"/>
      <c r="V681" s="37"/>
      <c r="W681" s="36">
        <f>IF(NOTA[[#This Row],[HARGA/ CTN]]="",NOTA[[#This Row],[JUMLAH_H]],NOTA[[#This Row],[HARGA/ CTN]]*IF(NOTA[[#This Row],[C]]="",0,NOTA[[#This Row],[C]]))</f>
        <v>8685000</v>
      </c>
      <c r="X681" s="36">
        <f>IF(NOTA[[#This Row],[JUMLAH]]="","",NOTA[[#This Row],[JUMLAH]]*NOTA[[#This Row],[DISC 1]])</f>
        <v>0</v>
      </c>
      <c r="Y681" s="36">
        <f>IF(NOTA[[#This Row],[JUMLAH]]="","",(NOTA[[#This Row],[JUMLAH]]-NOTA[[#This Row],[DISC 1-]])*NOTA[[#This Row],[DISC 2]])</f>
        <v>0</v>
      </c>
      <c r="Z681" s="36">
        <f>IF(NOTA[[#This Row],[JUMLAH]]="","",NOTA[[#This Row],[DISC 1-]]+NOTA[[#This Row],[DISC 2-]])</f>
        <v>0</v>
      </c>
      <c r="AA681" s="36">
        <f>IF(NOTA[[#This Row],[JUMLAH]]="","",NOTA[[#This Row],[JUMLAH]]-NOTA[[#This Row],[DISC]])</f>
        <v>8685000</v>
      </c>
      <c r="AB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D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E681" s="36">
        <f>IF(OR(NOTA[[#This Row],[QTY]]="",NOTA[[#This Row],[HARGA SATUAN]]="",),"",NOTA[[#This Row],[QTY]]*NOTA[[#This Row],[HARGA SATUAN]])</f>
        <v>8685000</v>
      </c>
      <c r="AF681" s="33">
        <f ca="1">IF(NOTA[ID_H]="","",INDEX(NOTA[TANGGAL],MATCH(,INDIRECT(ADDRESS(ROW(NOTA[TANGGAL]),COLUMN(NOTA[TANGGAL]))&amp;":"&amp;ADDRESS(ROW(),COLUMN(NOTA[TANGGAL]))),-1)))</f>
        <v>44950</v>
      </c>
      <c r="AG681" s="28" t="str">
        <f ca="1">IF(NOTA[[#This Row],[NAMA BARANG]]="","",INDEX(NOTA[SUPPLIER],MATCH(,INDIRECT(ADDRESS(ROW(NOTA[ID]),COLUMN(NOTA[ID]))&amp;":"&amp;ADDRESS(ROW(),COLUMN(NOTA[ID]))),-1)))</f>
        <v>SBS</v>
      </c>
      <c r="AH681" s="28" t="str">
        <f ca="1">IF(NOTA[[#This Row],[ID_H]]="","",IF(NOTA[[#This Row],[FAKTUR]]="",INDIRECT(ADDRESS(ROW()-1,COLUMN())),NOTA[[#This Row],[FAKTUR]]))</f>
        <v>UNTANA</v>
      </c>
      <c r="AI681" s="38" t="str">
        <f ca="1">IF(NOTA[[#This Row],[ID]]="","",COUNTIF(NOTA[ID_H],NOTA[[#This Row],[ID_H]]))</f>
        <v/>
      </c>
      <c r="AJ681" s="38">
        <f ca="1">IF(NOTA[[#This Row],[TGL.NOTA]]="",IF(NOTA[[#This Row],[SUPPLIER_H]]="","",AJ680),MONTH(NOTA[[#This Row],[TGL.NOTA]]))</f>
        <v>1</v>
      </c>
      <c r="AK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>pcmxu008012x22pudny1737000</v>
      </c>
      <c r="AM681" s="193" t="e">
        <f>IF(NOTA[[#This Row],[CONCAT1]]="","",MATCH(NOTA[[#This Row],[CONCAT1]],[2]!db[NB NOTA_C],0)+1)</f>
        <v>#N/A</v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93" t="str">
        <f>IF(NOTA[[#This Row],[CONCAT1]]="","",MATCH(NOTA[[#This Row],[CONCAT1]],[2]!db[NB NOTA_C],0)+1)</f>
        <v/>
      </c>
    </row>
    <row r="683" spans="1:39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e">
        <f ca="1">IF(NOTA[[#This Row],[ID_P]]="","",MATCH(NOTA[[#This Row],[ID_P]],[1]!B_MSK[N_ID],0))</f>
        <v>#REF!</v>
      </c>
      <c r="D683" s="29">
        <f ca="1">IF(NOTA[[#This Row],[NAMA BARANG]]="","",INDEX(NOTA[ID],MATCH(,INDIRECT(ADDRESS(ROW(NOTA[ID]),COLUMN(NOTA[ID]))&amp;":"&amp;ADDRESS(ROW(),COLUMN(NOTA[ID]))),-1)))</f>
        <v>129</v>
      </c>
      <c r="E683" s="23"/>
      <c r="F683" s="26" t="s">
        <v>101</v>
      </c>
      <c r="G683" s="26" t="s">
        <v>87</v>
      </c>
      <c r="H683" s="31" t="s">
        <v>829</v>
      </c>
      <c r="I683" s="26"/>
      <c r="J683" s="51">
        <v>44945</v>
      </c>
      <c r="K683" s="26"/>
      <c r="L683" s="26" t="s">
        <v>830</v>
      </c>
      <c r="M683" s="39">
        <v>3</v>
      </c>
      <c r="N683" s="26"/>
      <c r="O683" s="26"/>
      <c r="P683" s="49"/>
      <c r="Q683" s="52"/>
      <c r="R683" s="39"/>
      <c r="S683" s="53"/>
      <c r="T683" s="53"/>
      <c r="U683" s="54"/>
      <c r="V683" s="37" t="s">
        <v>88</v>
      </c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3" s="36" t="str">
        <f>IF(OR(NOTA[[#This Row],[QTY]]="",NOTA[[#This Row],[HARGA SATUAN]]="",),"",NOTA[[#This Row],[QTY]]*NOTA[[#This Row],[HARGA SATUAN]])</f>
        <v/>
      </c>
      <c r="AF683" s="33">
        <f ca="1">IF(NOTA[ID_H]="","",INDEX(NOTA[TANGGAL],MATCH(,INDIRECT(ADDRESS(ROW(NOTA[TANGGAL]),COLUMN(NOTA[TANGGAL]))&amp;":"&amp;ADDRESS(ROW(),COLUMN(NOTA[TANGGAL]))),-1)))</f>
        <v>44950</v>
      </c>
      <c r="AG683" s="28" t="str">
        <f ca="1">IF(NOTA[[#This Row],[NAMA BARANG]]="","",INDEX(NOTA[SUPPLIER],MATCH(,INDIRECT(ADDRESS(ROW(NOTA[ID]),COLUMN(NOTA[ID]))&amp;":"&amp;ADDRESS(ROW(),COLUMN(NOTA[ID]))),-1)))</f>
        <v>SBS</v>
      </c>
      <c r="AH683" s="28" t="str">
        <f ca="1">IF(NOTA[[#This Row],[ID_H]]="","",IF(NOTA[[#This Row],[FAKTUR]]="",INDIRECT(ADDRESS(ROW()-1,COLUMN())),NOTA[[#This Row],[FAKTUR]]))</f>
        <v>UNTANA</v>
      </c>
      <c r="AI683" s="38">
        <f ca="1">IF(NOTA[[#This Row],[ID]]="","",COUNTIF(NOTA[ID_H],NOTA[[#This Row],[ID_H]]))</f>
        <v>7</v>
      </c>
      <c r="AJ683" s="38">
        <f>IF(NOTA[[#This Row],[TGL.NOTA]]="",IF(NOTA[[#This Row],[SUPPLIER_H]]="","",AJ682),MONTH(NOTA[[#This Row],[TGL.NOTA]]))</f>
        <v>1</v>
      </c>
      <c r="AK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>hbagluxmy02a0</v>
      </c>
      <c r="AM683" s="193" t="e">
        <f>IF(NOTA[[#This Row],[CONCAT1]]="","",MATCH(NOTA[[#This Row],[CONCAT1]],[2]!db[NB NOTA_C],0)+1)</f>
        <v>#N/A</v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>
        <f ca="1">IF(NOTA[[#This Row],[NAMA BARANG]]="","",INDEX(NOTA[ID],MATCH(,INDIRECT(ADDRESS(ROW(NOTA[ID]),COLUMN(NOTA[ID]))&amp;":"&amp;ADDRESS(ROW(),COLUMN(NOTA[ID]))),-1)))</f>
        <v>129</v>
      </c>
      <c r="E684" s="30"/>
      <c r="F684" s="26"/>
      <c r="G684" s="26"/>
      <c r="H684" s="31"/>
      <c r="I684" s="32"/>
      <c r="J684" s="33"/>
      <c r="K684" s="32"/>
      <c r="L684" s="26" t="s">
        <v>831</v>
      </c>
      <c r="M684" s="34">
        <v>1</v>
      </c>
      <c r="N684" s="32"/>
      <c r="O684" s="26"/>
      <c r="P684" s="28"/>
      <c r="Q684" s="46"/>
      <c r="R684" s="39"/>
      <c r="S684" s="35"/>
      <c r="T684" s="35"/>
      <c r="U684" s="36"/>
      <c r="V684" s="37" t="s">
        <v>88</v>
      </c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4" s="36" t="str">
        <f>IF(OR(NOTA[[#This Row],[QTY]]="",NOTA[[#This Row],[HARGA SATUAN]]="",),"",NOTA[[#This Row],[QTY]]*NOTA[[#This Row],[HARGA SATUAN]])</f>
        <v/>
      </c>
      <c r="AF684" s="33">
        <f ca="1">IF(NOTA[ID_H]="","",INDEX(NOTA[TANGGAL],MATCH(,INDIRECT(ADDRESS(ROW(NOTA[TANGGAL]),COLUMN(NOTA[TANGGAL]))&amp;":"&amp;ADDRESS(ROW(),COLUMN(NOTA[TANGGAL]))),-1)))</f>
        <v>44950</v>
      </c>
      <c r="AG684" s="28" t="str">
        <f ca="1">IF(NOTA[[#This Row],[NAMA BARANG]]="","",INDEX(NOTA[SUPPLIER],MATCH(,INDIRECT(ADDRESS(ROW(NOTA[ID]),COLUMN(NOTA[ID]))&amp;":"&amp;ADDRESS(ROW(),COLUMN(NOTA[ID]))),-1)))</f>
        <v>SBS</v>
      </c>
      <c r="AH684" s="28" t="str">
        <f ca="1">IF(NOTA[[#This Row],[ID_H]]="","",IF(NOTA[[#This Row],[FAKTUR]]="",INDIRECT(ADDRESS(ROW()-1,COLUMN())),NOTA[[#This Row],[FAKTUR]]))</f>
        <v>UNTANA</v>
      </c>
      <c r="AI684" s="38" t="str">
        <f ca="1">IF(NOTA[[#This Row],[ID]]="","",COUNTIF(NOTA[ID_H],NOTA[[#This Row],[ID_H]]))</f>
        <v/>
      </c>
      <c r="AJ684" s="38">
        <f ca="1">IF(NOTA[[#This Row],[TGL.NOTA]]="",IF(NOTA[[#This Row],[SUPPLIER_H]]="","",AJ683),MONTH(NOTA[[#This Row],[TGL.NOTA]]))</f>
        <v>1</v>
      </c>
      <c r="AK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>mapschoolbagkotakhijaumuda0</v>
      </c>
      <c r="AM684" s="193" t="e">
        <f>IF(NOTA[[#This Row],[CONCAT1]]="","",MATCH(NOTA[[#This Row],[CONCAT1]],[2]!db[NB NOTA_C],0)+1)</f>
        <v>#N/A</v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>
        <f ca="1">IF(NOTA[[#This Row],[NAMA BARANG]]="","",INDEX(NOTA[ID],MATCH(,INDIRECT(ADDRESS(ROW(NOTA[ID]),COLUMN(NOTA[ID]))&amp;":"&amp;ADDRESS(ROW(),COLUMN(NOTA[ID]))),-1)))</f>
        <v>129</v>
      </c>
      <c r="E685" s="23"/>
      <c r="F685" s="26"/>
      <c r="G685" s="26"/>
      <c r="H685" s="31"/>
      <c r="I685" s="26"/>
      <c r="J685" s="33"/>
      <c r="K685" s="32"/>
      <c r="L685" s="26" t="s">
        <v>832</v>
      </c>
      <c r="M685" s="34">
        <v>2</v>
      </c>
      <c r="N685" s="32"/>
      <c r="O685" s="26"/>
      <c r="P685" s="28"/>
      <c r="Q685" s="46"/>
      <c r="R685" s="39"/>
      <c r="S685" s="35"/>
      <c r="T685" s="35"/>
      <c r="U685" s="36"/>
      <c r="V685" s="37" t="s">
        <v>88</v>
      </c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5" s="36" t="str">
        <f>IF(OR(NOTA[[#This Row],[QTY]]="",NOTA[[#This Row],[HARGA SATUAN]]="",),"",NOTA[[#This Row],[QTY]]*NOTA[[#This Row],[HARGA SATUAN]])</f>
        <v/>
      </c>
      <c r="AF685" s="33">
        <f ca="1">IF(NOTA[ID_H]="","",INDEX(NOTA[TANGGAL],MATCH(,INDIRECT(ADDRESS(ROW(NOTA[TANGGAL]),COLUMN(NOTA[TANGGAL]))&amp;":"&amp;ADDRESS(ROW(),COLUMN(NOTA[TANGGAL]))),-1)))</f>
        <v>44950</v>
      </c>
      <c r="AG685" s="28" t="str">
        <f ca="1">IF(NOTA[[#This Row],[NAMA BARANG]]="","",INDEX(NOTA[SUPPLIER],MATCH(,INDIRECT(ADDRESS(ROW(NOTA[ID]),COLUMN(NOTA[ID]))&amp;":"&amp;ADDRESS(ROW(),COLUMN(NOTA[ID]))),-1)))</f>
        <v>SBS</v>
      </c>
      <c r="AH685" s="28" t="str">
        <f ca="1">IF(NOTA[[#This Row],[ID_H]]="","",IF(NOTA[[#This Row],[FAKTUR]]="",INDIRECT(ADDRESS(ROW()-1,COLUMN())),NOTA[[#This Row],[FAKTUR]]))</f>
        <v>UNTANA</v>
      </c>
      <c r="AI685" s="38" t="str">
        <f ca="1">IF(NOTA[[#This Row],[ID]]="","",COUNTIF(NOTA[ID_H],NOTA[[#This Row],[ID_H]]))</f>
        <v/>
      </c>
      <c r="AJ685" s="38">
        <f ca="1">IF(NOTA[[#This Row],[TGL.NOTA]]="",IF(NOTA[[#This Row],[SUPPLIER_H]]="","",AJ684),MONTH(NOTA[[#This Row],[TGL.NOTA]]))</f>
        <v>1</v>
      </c>
      <c r="AK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>pcimitasi3850</v>
      </c>
      <c r="AM685" s="193">
        <f>IF(NOTA[[#This Row],[CONCAT1]]="","",MATCH(NOTA[[#This Row],[CONCAT1]],[2]!db[NB NOTA_C],0)+1)</f>
        <v>1618</v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>
        <f ca="1">IF(NOTA[[#This Row],[NAMA BARANG]]="","",INDEX(NOTA[ID],MATCH(,INDIRECT(ADDRESS(ROW(NOTA[ID]),COLUMN(NOTA[ID]))&amp;":"&amp;ADDRESS(ROW(),COLUMN(NOTA[ID]))),-1)))</f>
        <v>129</v>
      </c>
      <c r="E686" s="30"/>
      <c r="F686" s="32"/>
      <c r="G686" s="32"/>
      <c r="H686" s="55"/>
      <c r="I686" s="32"/>
      <c r="J686" s="33"/>
      <c r="K686" s="32"/>
      <c r="L686" s="26" t="s">
        <v>833</v>
      </c>
      <c r="M686" s="34">
        <v>3</v>
      </c>
      <c r="N686" s="32"/>
      <c r="O686" s="26"/>
      <c r="P686" s="28"/>
      <c r="Q686" s="46"/>
      <c r="R686" s="39"/>
      <c r="S686" s="35"/>
      <c r="T686" s="35"/>
      <c r="U686" s="36"/>
      <c r="V686" s="37" t="s">
        <v>88</v>
      </c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6" s="36" t="str">
        <f>IF(OR(NOTA[[#This Row],[QTY]]="",NOTA[[#This Row],[HARGA SATUAN]]="",),"",NOTA[[#This Row],[QTY]]*NOTA[[#This Row],[HARGA SATUAN]])</f>
        <v/>
      </c>
      <c r="AF686" s="33">
        <f ca="1">IF(NOTA[ID_H]="","",INDEX(NOTA[TANGGAL],MATCH(,INDIRECT(ADDRESS(ROW(NOTA[TANGGAL]),COLUMN(NOTA[TANGGAL]))&amp;":"&amp;ADDRESS(ROW(),COLUMN(NOTA[TANGGAL]))),-1)))</f>
        <v>44950</v>
      </c>
      <c r="AG686" s="28" t="str">
        <f ca="1">IF(NOTA[[#This Row],[NAMA BARANG]]="","",INDEX(NOTA[SUPPLIER],MATCH(,INDIRECT(ADDRESS(ROW(NOTA[ID]),COLUMN(NOTA[ID]))&amp;":"&amp;ADDRESS(ROW(),COLUMN(NOTA[ID]))),-1)))</f>
        <v>SBS</v>
      </c>
      <c r="AH686" s="28" t="str">
        <f ca="1">IF(NOTA[[#This Row],[ID_H]]="","",IF(NOTA[[#This Row],[FAKTUR]]="",INDIRECT(ADDRESS(ROW()-1,COLUMN())),NOTA[[#This Row],[FAKTUR]]))</f>
        <v>UNTANA</v>
      </c>
      <c r="AI686" s="38" t="str">
        <f ca="1">IF(NOTA[[#This Row],[ID]]="","",COUNTIF(NOTA[ID_H],NOTA[[#This Row],[ID_H]]))</f>
        <v/>
      </c>
      <c r="AJ686" s="38">
        <f ca="1">IF(NOTA[[#This Row],[TGL.NOTA]]="",IF(NOTA[[#This Row],[SUPPLIER_H]]="","",AJ685),MONTH(NOTA[[#This Row],[TGL.NOTA]]))</f>
        <v>1</v>
      </c>
      <c r="AK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>penggarisgasta07330</v>
      </c>
      <c r="AM686" s="193" t="e">
        <f>IF(NOTA[[#This Row],[CONCAT1]]="","",MATCH(NOTA[[#This Row],[CONCAT1]],[2]!db[NB NOTA_C],0)+1)</f>
        <v>#N/A</v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>
        <f ca="1">IF(NOTA[[#This Row],[NAMA BARANG]]="","",INDEX(NOTA[ID],MATCH(,INDIRECT(ADDRESS(ROW(NOTA[ID]),COLUMN(NOTA[ID]))&amp;":"&amp;ADDRESS(ROW(),COLUMN(NOTA[ID]))),-1)))</f>
        <v>129</v>
      </c>
      <c r="E687" s="30"/>
      <c r="F687" s="32"/>
      <c r="G687" s="32"/>
      <c r="H687" s="55"/>
      <c r="I687" s="32"/>
      <c r="J687" s="33"/>
      <c r="K687" s="32"/>
      <c r="L687" s="26" t="s">
        <v>836</v>
      </c>
      <c r="M687" s="34">
        <v>3</v>
      </c>
      <c r="N687" s="32"/>
      <c r="O687" s="26"/>
      <c r="P687" s="28"/>
      <c r="Q687" s="46"/>
      <c r="R687" s="39"/>
      <c r="S687" s="35"/>
      <c r="T687" s="35"/>
      <c r="U687" s="36"/>
      <c r="V687" s="37" t="s">
        <v>88</v>
      </c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7" s="36" t="str">
        <f>IF(OR(NOTA[[#This Row],[QTY]]="",NOTA[[#This Row],[HARGA SATUAN]]="",),"",NOTA[[#This Row],[QTY]]*NOTA[[#This Row],[HARGA SATUAN]])</f>
        <v/>
      </c>
      <c r="AF687" s="33">
        <f ca="1">IF(NOTA[ID_H]="","",INDEX(NOTA[TANGGAL],MATCH(,INDIRECT(ADDRESS(ROW(NOTA[TANGGAL]),COLUMN(NOTA[TANGGAL]))&amp;":"&amp;ADDRESS(ROW(),COLUMN(NOTA[TANGGAL]))),-1)))</f>
        <v>44950</v>
      </c>
      <c r="AG687" s="28" t="str">
        <f ca="1">IF(NOTA[[#This Row],[NAMA BARANG]]="","",INDEX(NOTA[SUPPLIER],MATCH(,INDIRECT(ADDRESS(ROW(NOTA[ID]),COLUMN(NOTA[ID]))&amp;":"&amp;ADDRESS(ROW(),COLUMN(NOTA[ID]))),-1)))</f>
        <v>SBS</v>
      </c>
      <c r="AH687" s="28" t="str">
        <f ca="1">IF(NOTA[[#This Row],[ID_H]]="","",IF(NOTA[[#This Row],[FAKTUR]]="",INDIRECT(ADDRESS(ROW()-1,COLUMN())),NOTA[[#This Row],[FAKTUR]]))</f>
        <v>UNTANA</v>
      </c>
      <c r="AI687" s="38" t="str">
        <f ca="1">IF(NOTA[[#This Row],[ID]]="","",COUNTIF(NOTA[ID_H],NOTA[[#This Row],[ID_H]]))</f>
        <v/>
      </c>
      <c r="AJ687" s="38">
        <f ca="1">IF(NOTA[[#This Row],[TGL.NOTA]]="",IF(NOTA[[#This Row],[SUPPLIER_H]]="","",AJ686),MONTH(NOTA[[#This Row],[TGL.NOTA]]))</f>
        <v>1</v>
      </c>
      <c r="AK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>penghapuser13180</v>
      </c>
      <c r="AM687" s="193" t="e">
        <f>IF(NOTA[[#This Row],[CONCAT1]]="","",MATCH(NOTA[[#This Row],[CONCAT1]],[2]!db[NB NOTA_C],0)+1)</f>
        <v>#N/A</v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>
        <f ca="1">IF(NOTA[[#This Row],[NAMA BARANG]]="","",INDEX(NOTA[ID],MATCH(,INDIRECT(ADDRESS(ROW(NOTA[ID]),COLUMN(NOTA[ID]))&amp;":"&amp;ADDRESS(ROW(),COLUMN(NOTA[ID]))),-1)))</f>
        <v>129</v>
      </c>
      <c r="E688" s="30"/>
      <c r="F688" s="32"/>
      <c r="G688" s="32"/>
      <c r="H688" s="31"/>
      <c r="I688" s="32"/>
      <c r="J688" s="33"/>
      <c r="K688" s="32"/>
      <c r="L688" s="26" t="s">
        <v>834</v>
      </c>
      <c r="M688" s="34">
        <v>5</v>
      </c>
      <c r="N688" s="32"/>
      <c r="O688" s="32"/>
      <c r="P688" s="28"/>
      <c r="Q688" s="46"/>
      <c r="R688" s="39"/>
      <c r="S688" s="35"/>
      <c r="T688" s="35"/>
      <c r="U688" s="36"/>
      <c r="V688" s="37" t="s">
        <v>88</v>
      </c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8" s="36" t="str">
        <f>IF(OR(NOTA[[#This Row],[QTY]]="",NOTA[[#This Row],[HARGA SATUAN]]="",),"",NOTA[[#This Row],[QTY]]*NOTA[[#This Row],[HARGA SATUAN]])</f>
        <v/>
      </c>
      <c r="AF688" s="33">
        <f ca="1">IF(NOTA[ID_H]="","",INDEX(NOTA[TANGGAL],MATCH(,INDIRECT(ADDRESS(ROW(NOTA[TANGGAL]),COLUMN(NOTA[TANGGAL]))&amp;":"&amp;ADDRESS(ROW(),COLUMN(NOTA[TANGGAL]))),-1)))</f>
        <v>44950</v>
      </c>
      <c r="AG688" s="28" t="str">
        <f ca="1">IF(NOTA[[#This Row],[NAMA BARANG]]="","",INDEX(NOTA[SUPPLIER],MATCH(,INDIRECT(ADDRESS(ROW(NOTA[ID]),COLUMN(NOTA[ID]))&amp;":"&amp;ADDRESS(ROW(),COLUMN(NOTA[ID]))),-1)))</f>
        <v>SBS</v>
      </c>
      <c r="AH688" s="28" t="str">
        <f ca="1">IF(NOTA[[#This Row],[ID_H]]="","",IF(NOTA[[#This Row],[FAKTUR]]="",INDIRECT(ADDRESS(ROW()-1,COLUMN())),NOTA[[#This Row],[FAKTUR]]))</f>
        <v>UNTANA</v>
      </c>
      <c r="AI688" s="38" t="str">
        <f ca="1">IF(NOTA[[#This Row],[ID]]="","",COUNTIF(NOTA[ID_H],NOTA[[#This Row],[ID_H]]))</f>
        <v/>
      </c>
      <c r="AJ688" s="38">
        <f ca="1">IF(NOTA[[#This Row],[TGL.NOTA]]="",IF(NOTA[[#This Row],[SUPPLIER_H]]="","",AJ687),MONTH(NOTA[[#This Row],[TGL.NOTA]]))</f>
        <v>1</v>
      </c>
      <c r="AK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>lettertraybesimtno30</v>
      </c>
      <c r="AM688" s="193" t="e">
        <f>IF(NOTA[[#This Row],[CONCAT1]]="","",MATCH(NOTA[[#This Row],[CONCAT1]],[2]!db[NB NOTA_C],0)+1)</f>
        <v>#N/A</v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>
        <f ca="1">IF(NOTA[[#This Row],[NAMA BARANG]]="","",INDEX(NOTA[ID],MATCH(,INDIRECT(ADDRESS(ROW(NOTA[ID]),COLUMN(NOTA[ID]))&amp;":"&amp;ADDRESS(ROW(),COLUMN(NOTA[ID]))),-1)))</f>
        <v>129</v>
      </c>
      <c r="E689" s="30"/>
      <c r="F689" s="26"/>
      <c r="G689" s="26"/>
      <c r="H689" s="31"/>
      <c r="I689" s="32"/>
      <c r="J689" s="33"/>
      <c r="K689" s="32"/>
      <c r="L689" s="26" t="s">
        <v>835</v>
      </c>
      <c r="M689" s="34">
        <v>5</v>
      </c>
      <c r="N689" s="32"/>
      <c r="O689" s="26"/>
      <c r="P689" s="28"/>
      <c r="Q689" s="46"/>
      <c r="R689" s="39"/>
      <c r="S689" s="35"/>
      <c r="T689" s="35"/>
      <c r="U689" s="36"/>
      <c r="V689" s="37" t="s">
        <v>88</v>
      </c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9" s="36" t="str">
        <f>IF(OR(NOTA[[#This Row],[QTY]]="",NOTA[[#This Row],[HARGA SATUAN]]="",),"",NOTA[[#This Row],[QTY]]*NOTA[[#This Row],[HARGA SATUAN]])</f>
        <v/>
      </c>
      <c r="AF689" s="33">
        <f ca="1">IF(NOTA[ID_H]="","",INDEX(NOTA[TANGGAL],MATCH(,INDIRECT(ADDRESS(ROW(NOTA[TANGGAL]),COLUMN(NOTA[TANGGAL]))&amp;":"&amp;ADDRESS(ROW(),COLUMN(NOTA[TANGGAL]))),-1)))</f>
        <v>44950</v>
      </c>
      <c r="AG689" s="28" t="str">
        <f ca="1">IF(NOTA[[#This Row],[NAMA BARANG]]="","",INDEX(NOTA[SUPPLIER],MATCH(,INDIRECT(ADDRESS(ROW(NOTA[ID]),COLUMN(NOTA[ID]))&amp;":"&amp;ADDRESS(ROW(),COLUMN(NOTA[ID]))),-1)))</f>
        <v>SBS</v>
      </c>
      <c r="AH689" s="28" t="str">
        <f ca="1">IF(NOTA[[#This Row],[ID_H]]="","",IF(NOTA[[#This Row],[FAKTUR]]="",INDIRECT(ADDRESS(ROW()-1,COLUMN())),NOTA[[#This Row],[FAKTUR]]))</f>
        <v>UNTANA</v>
      </c>
      <c r="AI689" s="38" t="str">
        <f ca="1">IF(NOTA[[#This Row],[ID]]="","",COUNTIF(NOTA[ID_H],NOTA[[#This Row],[ID_H]]))</f>
        <v/>
      </c>
      <c r="AJ689" s="38">
        <f ca="1">IF(NOTA[[#This Row],[TGL.NOTA]]="",IF(NOTA[[#This Row],[SUPPLIER_H]]="","",AJ688),MONTH(NOTA[[#This Row],[TGL.NOTA]]))</f>
        <v>1</v>
      </c>
      <c r="AK689" s="38" t="str">
        <f>LOWER(SUBSTITUTE(SUBSTITUTE(SUBSTITUTE(SUBSTITUTE(SUBSTITUTE(SUBSTITUTE(SUBSTITUTE(SUBSTITUTE(SUBSTITUTE(NOTA[NAMA BARANG]," ",),".",""),"-",""),"(",""),")",""),",",""),"/",""),"""",""),"+",""))</f>
        <v>pck195</v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>pck1950</v>
      </c>
      <c r="AM689" s="193" t="e">
        <f>IF(NOTA[[#This Row],[CONCAT1]]="","",MATCH(NOTA[[#This Row],[CONCAT1]],[2]!db[NB NOTA_C],0)+1)</f>
        <v>#N/A</v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93" t="str">
        <f>IF(NOTA[[#This Row],[CONCAT1]]="","",MATCH(NOTA[[#This Row],[CONCAT1]],[2]!db[NB NOTA_C],0)+1)</f>
        <v/>
      </c>
    </row>
    <row r="691" spans="1:39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_2401_007-5</v>
      </c>
      <c r="C691" s="29" t="e">
        <f ca="1">IF(NOTA[[#This Row],[ID_P]]="","",MATCH(NOTA[[#This Row],[ID_P]],[1]!B_MSK[N_ID],0))</f>
        <v>#REF!</v>
      </c>
      <c r="D691" s="29">
        <f ca="1">IF(NOTA[[#This Row],[NAMA BARANG]]="","",INDEX(NOTA[ID],MATCH(,INDIRECT(ADDRESS(ROW(NOTA[ID]),COLUMN(NOTA[ID]))&amp;":"&amp;ADDRESS(ROW(),COLUMN(NOTA[ID]))),-1)))</f>
        <v>130</v>
      </c>
      <c r="E691" s="30"/>
      <c r="F691" s="26"/>
      <c r="G691" s="26" t="s">
        <v>87</v>
      </c>
      <c r="H691" s="31" t="s">
        <v>837</v>
      </c>
      <c r="I691" s="26"/>
      <c r="J691" s="33">
        <v>44949</v>
      </c>
      <c r="K691" s="32"/>
      <c r="L691" s="26" t="s">
        <v>838</v>
      </c>
      <c r="M691" s="34">
        <v>1</v>
      </c>
      <c r="N691" s="32">
        <v>36</v>
      </c>
      <c r="O691" s="26" t="s">
        <v>90</v>
      </c>
      <c r="P691" s="28">
        <v>66000</v>
      </c>
      <c r="Q691" s="46"/>
      <c r="R691" s="39" t="s">
        <v>843</v>
      </c>
      <c r="S691" s="35"/>
      <c r="T691" s="35"/>
      <c r="U691" s="36"/>
      <c r="V691" s="37"/>
      <c r="W691" s="36">
        <f>IF(NOTA[[#This Row],[HARGA/ CTN]]="",NOTA[[#This Row],[JUMLAH_H]],NOTA[[#This Row],[HARGA/ CTN]]*IF(NOTA[[#This Row],[C]]="",0,NOTA[[#This Row],[C]]))</f>
        <v>2376000</v>
      </c>
      <c r="X691" s="36">
        <f>IF(NOTA[[#This Row],[JUMLAH]]="","",NOTA[[#This Row],[JUMLAH]]*NOTA[[#This Row],[DISC 1]])</f>
        <v>0</v>
      </c>
      <c r="Y691" s="36">
        <f>IF(NOTA[[#This Row],[JUMLAH]]="","",(NOTA[[#This Row],[JUMLAH]]-NOTA[[#This Row],[DISC 1-]])*NOTA[[#This Row],[DISC 2]])</f>
        <v>0</v>
      </c>
      <c r="Z691" s="36">
        <f>IF(NOTA[[#This Row],[JUMLAH]]="","",NOTA[[#This Row],[DISC 1-]]+NOTA[[#This Row],[DISC 2-]])</f>
        <v>0</v>
      </c>
      <c r="AA691" s="36">
        <f>IF(NOTA[[#This Row],[JUMLAH]]="","",NOTA[[#This Row],[JUMLAH]]-NOTA[[#This Row],[DISC]])</f>
        <v>2376000</v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691" s="36">
        <f>IF(OR(NOTA[[#This Row],[QTY]]="",NOTA[[#This Row],[HARGA SATUAN]]="",),"",NOTA[[#This Row],[QTY]]*NOTA[[#This Row],[HARGA SATUAN]])</f>
        <v>2376000</v>
      </c>
      <c r="AF691" s="33">
        <f ca="1">IF(NOTA[ID_H]="","",INDEX(NOTA[TANGGAL],MATCH(,INDIRECT(ADDRESS(ROW(NOTA[TANGGAL]),COLUMN(NOTA[TANGGAL]))&amp;":"&amp;ADDRESS(ROW(),COLUMN(NOTA[TANGGAL]))),-1)))</f>
        <v>44950</v>
      </c>
      <c r="AG691" s="28">
        <f ca="1">IF(NOTA[[#This Row],[NAMA BARANG]]="","",INDEX(NOTA[SUPPLIER],MATCH(,INDIRECT(ADDRESS(ROW(NOTA[ID]),COLUMN(NOTA[ID]))&amp;":"&amp;ADDRESS(ROW(),COLUMN(NOTA[ID]))),-1)))</f>
        <v>0</v>
      </c>
      <c r="AH691" s="28" t="str">
        <f ca="1">IF(NOTA[[#This Row],[ID_H]]="","",IF(NOTA[[#This Row],[FAKTUR]]="",INDIRECT(ADDRESS(ROW()-1,COLUMN())),NOTA[[#This Row],[FAKTUR]]))</f>
        <v>UNTANA</v>
      </c>
      <c r="AI691" s="38">
        <f ca="1">IF(NOTA[[#This Row],[ID]]="","",COUNTIF(NOTA[ID_H],NOTA[[#This Row],[ID_H]]))</f>
        <v>5</v>
      </c>
      <c r="AJ691" s="38">
        <f>IF(NOTA[[#This Row],[TGL.NOTA]]="",IF(NOTA[[#This Row],[SUPPLIER_H]]="","",AJ690),MONTH(NOTA[[#This Row],[TGL.NOTA]]))</f>
        <v>1</v>
      </c>
      <c r="AK691" s="38" t="str">
        <f>LOWER(SUBSTITUTE(SUBSTITUTE(SUBSTITUTE(SUBSTITUTE(SUBSTITUTE(SUBSTITUTE(SUBSTITUTE(SUBSTITUTE(SUBSTITUTE(NOTA[NAMA BARANG]," ",),".",""),"-",""),"(",""),")",""),",",""),"/",""),"""",""),"+",""))</f>
        <v>pca838</v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>pca8382376000</v>
      </c>
      <c r="AM691" s="193" t="e">
        <f>IF(NOTA[[#This Row],[CONCAT1]]="","",MATCH(NOTA[[#This Row],[CONCAT1]],[2]!db[NB NOTA_C],0)+1)</f>
        <v>#N/A</v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>
        <f ca="1">IF(NOTA[[#This Row],[NAMA BARANG]]="","",INDEX(NOTA[ID],MATCH(,INDIRECT(ADDRESS(ROW(NOTA[ID]),COLUMN(NOTA[ID]))&amp;":"&amp;ADDRESS(ROW(),COLUMN(NOTA[ID]))),-1)))</f>
        <v>130</v>
      </c>
      <c r="E692" s="30"/>
      <c r="F692" s="32"/>
      <c r="G692" s="32"/>
      <c r="H692" s="55"/>
      <c r="I692" s="26"/>
      <c r="J692" s="33"/>
      <c r="K692" s="32"/>
      <c r="L692" s="26" t="s">
        <v>839</v>
      </c>
      <c r="M692" s="34">
        <v>1</v>
      </c>
      <c r="N692" s="32">
        <v>36</v>
      </c>
      <c r="O692" s="26" t="s">
        <v>90</v>
      </c>
      <c r="P692" s="28">
        <v>62000</v>
      </c>
      <c r="Q692" s="46"/>
      <c r="R692" s="39" t="s">
        <v>843</v>
      </c>
      <c r="S692" s="35"/>
      <c r="T692" s="35"/>
      <c r="U692" s="36"/>
      <c r="V692" s="37"/>
      <c r="W692" s="36">
        <f>IF(NOTA[[#This Row],[HARGA/ CTN]]="",NOTA[[#This Row],[JUMLAH_H]],NOTA[[#This Row],[HARGA/ CTN]]*IF(NOTA[[#This Row],[C]]="",0,NOTA[[#This Row],[C]]))</f>
        <v>2232000</v>
      </c>
      <c r="X692" s="36">
        <f>IF(NOTA[[#This Row],[JUMLAH]]="","",NOTA[[#This Row],[JUMLAH]]*NOTA[[#This Row],[DISC 1]])</f>
        <v>0</v>
      </c>
      <c r="Y692" s="36">
        <f>IF(NOTA[[#This Row],[JUMLAH]]="","",(NOTA[[#This Row],[JUMLAH]]-NOTA[[#This Row],[DISC 1-]])*NOTA[[#This Row],[DISC 2]])</f>
        <v>0</v>
      </c>
      <c r="Z692" s="36">
        <f>IF(NOTA[[#This Row],[JUMLAH]]="","",NOTA[[#This Row],[DISC 1-]]+NOTA[[#This Row],[DISC 2-]])</f>
        <v>0</v>
      </c>
      <c r="AA692" s="36">
        <f>IF(NOTA[[#This Row],[JUMLAH]]="","",NOTA[[#This Row],[JUMLAH]]-NOTA[[#This Row],[DISC]])</f>
        <v>2232000</v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692" s="36">
        <f>IF(OR(NOTA[[#This Row],[QTY]]="",NOTA[[#This Row],[HARGA SATUAN]]="",),"",NOTA[[#This Row],[QTY]]*NOTA[[#This Row],[HARGA SATUAN]])</f>
        <v>2232000</v>
      </c>
      <c r="AF692" s="33">
        <f ca="1">IF(NOTA[ID_H]="","",INDEX(NOTA[TANGGAL],MATCH(,INDIRECT(ADDRESS(ROW(NOTA[TANGGAL]),COLUMN(NOTA[TANGGAL]))&amp;":"&amp;ADDRESS(ROW(),COLUMN(NOTA[TANGGAL]))),-1)))</f>
        <v>44950</v>
      </c>
      <c r="AG692" s="28">
        <f ca="1">IF(NOTA[[#This Row],[NAMA BARANG]]="","",INDEX(NOTA[SUPPLIER],MATCH(,INDIRECT(ADDRESS(ROW(NOTA[ID]),COLUMN(NOTA[ID]))&amp;":"&amp;ADDRESS(ROW(),COLUMN(NOTA[ID]))),-1)))</f>
        <v>0</v>
      </c>
      <c r="AH692" s="28" t="str">
        <f ca="1">IF(NOTA[[#This Row],[ID_H]]="","",IF(NOTA[[#This Row],[FAKTUR]]="",INDIRECT(ADDRESS(ROW()-1,COLUMN())),NOTA[[#This Row],[FAKTUR]]))</f>
        <v>UNTANA</v>
      </c>
      <c r="AI692" s="38" t="str">
        <f ca="1">IF(NOTA[[#This Row],[ID]]="","",COUNTIF(NOTA[ID_H],NOTA[[#This Row],[ID_H]]))</f>
        <v/>
      </c>
      <c r="AJ692" s="38">
        <f ca="1">IF(NOTA[[#This Row],[TGL.NOTA]]="",IF(NOTA[[#This Row],[SUPPLIER_H]]="","",AJ691),MONTH(NOTA[[#This Row],[TGL.NOTA]]))</f>
        <v>1</v>
      </c>
      <c r="AK692" s="38" t="str">
        <f>LOWER(SUBSTITUTE(SUBSTITUTE(SUBSTITUTE(SUBSTITUTE(SUBSTITUTE(SUBSTITUTE(SUBSTITUTE(SUBSTITUTE(SUBSTITUTE(NOTA[NAMA BARANG]," ",),".",""),"-",""),"(",""),")",""),",",""),"/",""),"""",""),"+",""))</f>
        <v>pca792</v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>pca7922232000</v>
      </c>
      <c r="AM692" s="193" t="e">
        <f>IF(NOTA[[#This Row],[CONCAT1]]="","",MATCH(NOTA[[#This Row],[CONCAT1]],[2]!db[NB NOTA_C],0)+1)</f>
        <v>#N/A</v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>
        <f ca="1">IF(NOTA[[#This Row],[NAMA BARANG]]="","",INDEX(NOTA[ID],MATCH(,INDIRECT(ADDRESS(ROW(NOTA[ID]),COLUMN(NOTA[ID]))&amp;":"&amp;ADDRESS(ROW(),COLUMN(NOTA[ID]))),-1)))</f>
        <v>130</v>
      </c>
      <c r="E693" s="30"/>
      <c r="F693" s="26"/>
      <c r="G693" s="26"/>
      <c r="H693" s="31"/>
      <c r="I693" s="32"/>
      <c r="J693" s="33"/>
      <c r="K693" s="32"/>
      <c r="L693" s="26" t="s">
        <v>840</v>
      </c>
      <c r="M693" s="34">
        <v>1</v>
      </c>
      <c r="N693" s="26">
        <v>36</v>
      </c>
      <c r="O693" s="26" t="s">
        <v>90</v>
      </c>
      <c r="P693" s="28">
        <v>52000</v>
      </c>
      <c r="Q693" s="46"/>
      <c r="R693" s="39" t="s">
        <v>843</v>
      </c>
      <c r="S693" s="35"/>
      <c r="T693" s="35"/>
      <c r="U693" s="36"/>
      <c r="V693" s="37"/>
      <c r="W693" s="36">
        <f>IF(NOTA[[#This Row],[HARGA/ CTN]]="",NOTA[[#This Row],[JUMLAH_H]],NOTA[[#This Row],[HARGA/ CTN]]*IF(NOTA[[#This Row],[C]]="",0,NOTA[[#This Row],[C]]))</f>
        <v>1872000</v>
      </c>
      <c r="X693" s="36">
        <f>IF(NOTA[[#This Row],[JUMLAH]]="","",NOTA[[#This Row],[JUMLAH]]*NOTA[[#This Row],[DISC 1]])</f>
        <v>0</v>
      </c>
      <c r="Y693" s="36">
        <f>IF(NOTA[[#This Row],[JUMLAH]]="","",(NOTA[[#This Row],[JUMLAH]]-NOTA[[#This Row],[DISC 1-]])*NOTA[[#This Row],[DISC 2]])</f>
        <v>0</v>
      </c>
      <c r="Z693" s="36">
        <f>IF(NOTA[[#This Row],[JUMLAH]]="","",NOTA[[#This Row],[DISC 1-]]+NOTA[[#This Row],[DISC 2-]])</f>
        <v>0</v>
      </c>
      <c r="AA693" s="36">
        <f>IF(NOTA[[#This Row],[JUMLAH]]="","",NOTA[[#This Row],[JUMLAH]]-NOTA[[#This Row],[DISC]])</f>
        <v>1872000</v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E693" s="36">
        <f>IF(OR(NOTA[[#This Row],[QTY]]="",NOTA[[#This Row],[HARGA SATUAN]]="",),"",NOTA[[#This Row],[QTY]]*NOTA[[#This Row],[HARGA SATUAN]])</f>
        <v>1872000</v>
      </c>
      <c r="AF693" s="33">
        <f ca="1">IF(NOTA[ID_H]="","",INDEX(NOTA[TANGGAL],MATCH(,INDIRECT(ADDRESS(ROW(NOTA[TANGGAL]),COLUMN(NOTA[TANGGAL]))&amp;":"&amp;ADDRESS(ROW(),COLUMN(NOTA[TANGGAL]))),-1)))</f>
        <v>44950</v>
      </c>
      <c r="AG693" s="28">
        <f ca="1">IF(NOTA[[#This Row],[NAMA BARANG]]="","",INDEX(NOTA[SUPPLIER],MATCH(,INDIRECT(ADDRESS(ROW(NOTA[ID]),COLUMN(NOTA[ID]))&amp;":"&amp;ADDRESS(ROW(),COLUMN(NOTA[ID]))),-1)))</f>
        <v>0</v>
      </c>
      <c r="AH693" s="28" t="str">
        <f ca="1">IF(NOTA[[#This Row],[ID_H]]="","",IF(NOTA[[#This Row],[FAKTUR]]="",INDIRECT(ADDRESS(ROW()-1,COLUMN())),NOTA[[#This Row],[FAKTUR]]))</f>
        <v>UNTANA</v>
      </c>
      <c r="AI693" s="38" t="str">
        <f ca="1">IF(NOTA[[#This Row],[ID]]="","",COUNTIF(NOTA[ID_H],NOTA[[#This Row],[ID_H]]))</f>
        <v/>
      </c>
      <c r="AJ693" s="38">
        <f ca="1">IF(NOTA[[#This Row],[TGL.NOTA]]="",IF(NOTA[[#This Row],[SUPPLIER_H]]="","",AJ692),MONTH(NOTA[[#This Row],[TGL.NOTA]]))</f>
        <v>1</v>
      </c>
      <c r="AK693" s="38" t="str">
        <f>LOWER(SUBSTITUTE(SUBSTITUTE(SUBSTITUTE(SUBSTITUTE(SUBSTITUTE(SUBSTITUTE(SUBSTITUTE(SUBSTITUTE(SUBSTITUTE(NOTA[NAMA BARANG]," ",),".",""),"-",""),"(",""),")",""),",",""),"/",""),"""",""),"+",""))</f>
        <v>pch837</v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>pch8371872000</v>
      </c>
      <c r="AM693" s="193" t="e">
        <f>IF(NOTA[[#This Row],[CONCAT1]]="","",MATCH(NOTA[[#This Row],[CONCAT1]],[2]!db[NB NOTA_C],0)+1)</f>
        <v>#N/A</v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>
        <f ca="1">IF(NOTA[[#This Row],[NAMA BARANG]]="","",INDEX(NOTA[ID],MATCH(,INDIRECT(ADDRESS(ROW(NOTA[ID]),COLUMN(NOTA[ID]))&amp;":"&amp;ADDRESS(ROW(),COLUMN(NOTA[ID]))),-1)))</f>
        <v>130</v>
      </c>
      <c r="E694" s="30"/>
      <c r="F694" s="110"/>
      <c r="G694" s="110"/>
      <c r="H694" s="111"/>
      <c r="I694" s="110"/>
      <c r="J694" s="112"/>
      <c r="K694" s="110"/>
      <c r="L694" s="38" t="s">
        <v>841</v>
      </c>
      <c r="M694" s="113">
        <v>1</v>
      </c>
      <c r="N694" s="110">
        <v>36</v>
      </c>
      <c r="O694" s="38" t="s">
        <v>90</v>
      </c>
      <c r="P694" s="114">
        <v>82000</v>
      </c>
      <c r="Q694" s="115"/>
      <c r="R694" s="39" t="s">
        <v>843</v>
      </c>
      <c r="S694" s="116"/>
      <c r="T694" s="35"/>
      <c r="U694" s="36"/>
      <c r="V694" s="37"/>
      <c r="W694" s="36">
        <f>IF(NOTA[[#This Row],[HARGA/ CTN]]="",NOTA[[#This Row],[JUMLAH_H]],NOTA[[#This Row],[HARGA/ CTN]]*IF(NOTA[[#This Row],[C]]="",0,NOTA[[#This Row],[C]]))</f>
        <v>2952000</v>
      </c>
      <c r="X694" s="36">
        <f>IF(NOTA[[#This Row],[JUMLAH]]="","",NOTA[[#This Row],[JUMLAH]]*NOTA[[#This Row],[DISC 1]])</f>
        <v>0</v>
      </c>
      <c r="Y694" s="36">
        <f>IF(NOTA[[#This Row],[JUMLAH]]="","",(NOTA[[#This Row],[JUMLAH]]-NOTA[[#This Row],[DISC 1-]])*NOTA[[#This Row],[DISC 2]])</f>
        <v>0</v>
      </c>
      <c r="Z694" s="36">
        <f>IF(NOTA[[#This Row],[JUMLAH]]="","",NOTA[[#This Row],[DISC 1-]]+NOTA[[#This Row],[DISC 2-]])</f>
        <v>0</v>
      </c>
      <c r="AA694" s="36">
        <f>IF(NOTA[[#This Row],[JUMLAH]]="","",NOTA[[#This Row],[JUMLAH]]-NOTA[[#This Row],[DISC]])</f>
        <v>2952000</v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694" s="36">
        <f>IF(OR(NOTA[[#This Row],[QTY]]="",NOTA[[#This Row],[HARGA SATUAN]]="",),"",NOTA[[#This Row],[QTY]]*NOTA[[#This Row],[HARGA SATUAN]])</f>
        <v>2952000</v>
      </c>
      <c r="AF694" s="33">
        <f ca="1">IF(NOTA[ID_H]="","",INDEX(NOTA[TANGGAL],MATCH(,INDIRECT(ADDRESS(ROW(NOTA[TANGGAL]),COLUMN(NOTA[TANGGAL]))&amp;":"&amp;ADDRESS(ROW(),COLUMN(NOTA[TANGGAL]))),-1)))</f>
        <v>44950</v>
      </c>
      <c r="AG694" s="28">
        <f ca="1">IF(NOTA[[#This Row],[NAMA BARANG]]="","",INDEX(NOTA[SUPPLIER],MATCH(,INDIRECT(ADDRESS(ROW(NOTA[ID]),COLUMN(NOTA[ID]))&amp;":"&amp;ADDRESS(ROW(),COLUMN(NOTA[ID]))),-1)))</f>
        <v>0</v>
      </c>
      <c r="AH694" s="28" t="str">
        <f ca="1">IF(NOTA[[#This Row],[ID_H]]="","",IF(NOTA[[#This Row],[FAKTUR]]="",INDIRECT(ADDRESS(ROW()-1,COLUMN())),NOTA[[#This Row],[FAKTUR]]))</f>
        <v>UNTANA</v>
      </c>
      <c r="AI694" s="38" t="str">
        <f ca="1">IF(NOTA[[#This Row],[ID]]="","",COUNTIF(NOTA[ID_H],NOTA[[#This Row],[ID_H]]))</f>
        <v/>
      </c>
      <c r="AJ694" s="38">
        <f ca="1">IF(NOTA[[#This Row],[TGL.NOTA]]="",IF(NOTA[[#This Row],[SUPPLIER_H]]="","",AJ693),MONTH(NOTA[[#This Row],[TGL.NOTA]]))</f>
        <v>1</v>
      </c>
      <c r="AK694" s="38" t="str">
        <f>LOWER(SUBSTITUTE(SUBSTITUTE(SUBSTITUTE(SUBSTITUTE(SUBSTITUTE(SUBSTITUTE(SUBSTITUTE(SUBSTITUTE(SUBSTITUTE(NOTA[NAMA BARANG]," ",),".",""),"-",""),"(",""),")",""),",",""),"/",""),"""",""),"+",""))</f>
        <v>pch797</v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>pch7972952000</v>
      </c>
      <c r="AM694" s="193" t="e">
        <f>IF(NOTA[[#This Row],[CONCAT1]]="","",MATCH(NOTA[[#This Row],[CONCAT1]],[2]!db[NB NOTA_C],0)+1)</f>
        <v>#N/A</v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>
        <f ca="1">IF(NOTA[[#This Row],[NAMA BARANG]]="","",INDEX(NOTA[ID],MATCH(,INDIRECT(ADDRESS(ROW(NOTA[ID]),COLUMN(NOTA[ID]))&amp;":"&amp;ADDRESS(ROW(),COLUMN(NOTA[ID]))),-1)))</f>
        <v>130</v>
      </c>
      <c r="E695" s="30"/>
      <c r="F695" s="26"/>
      <c r="G695" s="26"/>
      <c r="H695" s="31"/>
      <c r="I695" s="26"/>
      <c r="J695" s="33"/>
      <c r="K695" s="32"/>
      <c r="L695" s="26" t="s">
        <v>842</v>
      </c>
      <c r="M695" s="34">
        <v>1</v>
      </c>
      <c r="N695" s="32">
        <v>32</v>
      </c>
      <c r="O695" s="26" t="s">
        <v>90</v>
      </c>
      <c r="P695" s="28">
        <v>75000</v>
      </c>
      <c r="Q695" s="46"/>
      <c r="R695" s="39" t="s">
        <v>843</v>
      </c>
      <c r="S695" s="35"/>
      <c r="T695" s="35"/>
      <c r="U695" s="36"/>
      <c r="V695" s="37"/>
      <c r="W695" s="36">
        <f>IF(NOTA[[#This Row],[HARGA/ CTN]]="",NOTA[[#This Row],[JUMLAH_H]],NOTA[[#This Row],[HARGA/ CTN]]*IF(NOTA[[#This Row],[C]]="",0,NOTA[[#This Row],[C]]))</f>
        <v>2400000</v>
      </c>
      <c r="X695" s="36">
        <f>IF(NOTA[[#This Row],[JUMLAH]]="","",NOTA[[#This Row],[JUMLAH]]*NOTA[[#This Row],[DISC 1]])</f>
        <v>0</v>
      </c>
      <c r="Y695" s="36">
        <f>IF(NOTA[[#This Row],[JUMLAH]]="","",(NOTA[[#This Row],[JUMLAH]]-NOTA[[#This Row],[DISC 1-]])*NOTA[[#This Row],[DISC 2]])</f>
        <v>0</v>
      </c>
      <c r="Z695" s="36">
        <f>IF(NOTA[[#This Row],[JUMLAH]]="","",NOTA[[#This Row],[DISC 1-]]+NOTA[[#This Row],[DISC 2-]])</f>
        <v>0</v>
      </c>
      <c r="AA695" s="36">
        <f>IF(NOTA[[#This Row],[JUMLAH]]="","",NOTA[[#This Row],[JUMLAH]]-NOTA[[#This Row],[DISC]])</f>
        <v>2400000</v>
      </c>
      <c r="AB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D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695" s="36">
        <f>IF(OR(NOTA[[#This Row],[QTY]]="",NOTA[[#This Row],[HARGA SATUAN]]="",),"",NOTA[[#This Row],[QTY]]*NOTA[[#This Row],[HARGA SATUAN]])</f>
        <v>2400000</v>
      </c>
      <c r="AF695" s="33">
        <f ca="1">IF(NOTA[ID_H]="","",INDEX(NOTA[TANGGAL],MATCH(,INDIRECT(ADDRESS(ROW(NOTA[TANGGAL]),COLUMN(NOTA[TANGGAL]))&amp;":"&amp;ADDRESS(ROW(),COLUMN(NOTA[TANGGAL]))),-1)))</f>
        <v>44950</v>
      </c>
      <c r="AG695" s="28">
        <f ca="1">IF(NOTA[[#This Row],[NAMA BARANG]]="","",INDEX(NOTA[SUPPLIER],MATCH(,INDIRECT(ADDRESS(ROW(NOTA[ID]),COLUMN(NOTA[ID]))&amp;":"&amp;ADDRESS(ROW(),COLUMN(NOTA[ID]))),-1)))</f>
        <v>0</v>
      </c>
      <c r="AH695" s="28" t="str">
        <f ca="1">IF(NOTA[[#This Row],[ID_H]]="","",IF(NOTA[[#This Row],[FAKTUR]]="",INDIRECT(ADDRESS(ROW()-1,COLUMN())),NOTA[[#This Row],[FAKTUR]]))</f>
        <v>UNTANA</v>
      </c>
      <c r="AI695" s="38" t="str">
        <f ca="1">IF(NOTA[[#This Row],[ID]]="","",COUNTIF(NOTA[ID_H],NOTA[[#This Row],[ID_H]]))</f>
        <v/>
      </c>
      <c r="AJ695" s="38">
        <f ca="1">IF(NOTA[[#This Row],[TGL.NOTA]]="",IF(NOTA[[#This Row],[SUPPLIER_H]]="","",AJ694),MONTH(NOTA[[#This Row],[TGL.NOTA]]))</f>
        <v>1</v>
      </c>
      <c r="AK695" s="38" t="str">
        <f>LOWER(SUBSTITUTE(SUBSTITUTE(SUBSTITUTE(SUBSTITUTE(SUBSTITUTE(SUBSTITUTE(SUBSTITUTE(SUBSTITUTE(SUBSTITUTE(NOTA[NAMA BARANG]," ",),".",""),"-",""),"(",""),")",""),",",""),"/",""),"""",""),"+",""))</f>
        <v>pc823</v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>pc8232400000</v>
      </c>
      <c r="AM695" s="193" t="e">
        <f>IF(NOTA[[#This Row],[CONCAT1]]="","",MATCH(NOTA[[#This Row],[CONCAT1]],[2]!db[NB NOTA_C],0)+1)</f>
        <v>#N/A</v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93" t="str">
        <f>IF(NOTA[[#This Row],[CONCAT1]]="","",MATCH(NOTA[[#This Row],[CONCAT1]],[2]!db[NB NOTA_C],0)+1)</f>
        <v/>
      </c>
    </row>
    <row r="697" spans="1:39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e">
        <f ca="1">IF(NOTA[[#This Row],[ID_P]]="","",MATCH(NOTA[[#This Row],[ID_P]],[1]!B_MSK[N_ID],0))</f>
        <v>#REF!</v>
      </c>
      <c r="D697" s="58">
        <f ca="1">IF(NOTA[[#This Row],[NAMA BARANG]]="","",INDEX(NOTA[ID],MATCH(,INDIRECT(ADDRESS(ROW(NOTA[ID]),COLUMN(NOTA[ID]))&amp;":"&amp;ADDRESS(ROW(),COLUMN(NOTA[ID]))),-1)))</f>
        <v>131</v>
      </c>
      <c r="E697" s="61"/>
      <c r="F697" s="26" t="s">
        <v>243</v>
      </c>
      <c r="G697" s="26" t="s">
        <v>87</v>
      </c>
      <c r="H697" s="31" t="s">
        <v>844</v>
      </c>
      <c r="I697" s="62"/>
      <c r="J697" s="60">
        <v>44940</v>
      </c>
      <c r="K697" s="62"/>
      <c r="L697" s="26" t="s">
        <v>846</v>
      </c>
      <c r="M697" s="34">
        <v>5</v>
      </c>
      <c r="N697" s="32">
        <v>1200</v>
      </c>
      <c r="O697" s="26" t="s">
        <v>131</v>
      </c>
      <c r="P697" s="28">
        <v>6000</v>
      </c>
      <c r="Q697" s="46"/>
      <c r="R697" s="39" t="s">
        <v>845</v>
      </c>
      <c r="S697" s="35"/>
      <c r="T697" s="117"/>
      <c r="U697" s="59"/>
      <c r="V697" s="37"/>
      <c r="W697" s="59">
        <f>IF(NOTA[[#This Row],[HARGA/ CTN]]="",NOTA[[#This Row],[JUMLAH_H]],NOTA[[#This Row],[HARGA/ CTN]]*IF(NOTA[[#This Row],[C]]="",0,NOTA[[#This Row],[C]]))</f>
        <v>7200000</v>
      </c>
      <c r="X697" s="59">
        <f>IF(NOTA[[#This Row],[JUMLAH]]="","",NOTA[[#This Row],[JUMLAH]]*NOTA[[#This Row],[DISC 1]])</f>
        <v>0</v>
      </c>
      <c r="Y697" s="59">
        <f>IF(NOTA[[#This Row],[JUMLAH]]="","",(NOTA[[#This Row],[JUMLAH]]-NOTA[[#This Row],[DISC 1-]])*NOTA[[#This Row],[DISC 2]])</f>
        <v>0</v>
      </c>
      <c r="Z697" s="59">
        <f>IF(NOTA[[#This Row],[JUMLAH]]="","",NOTA[[#This Row],[DISC 1-]]+NOTA[[#This Row],[DISC 2-]])</f>
        <v>0</v>
      </c>
      <c r="AA697" s="59">
        <f>IF(NOTA[[#This Row],[JUMLAH]]="","",NOTA[[#This Row],[JUMLAH]]-NOTA[[#This Row],[DISC]])</f>
        <v>7200000</v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7" s="59">
        <f>IF(OR(NOTA[[#This Row],[QTY]]="",NOTA[[#This Row],[HARGA SATUAN]]="",),"",NOTA[[#This Row],[QTY]]*NOTA[[#This Row],[HARGA SATUAN]])</f>
        <v>7200000</v>
      </c>
      <c r="AF697" s="60">
        <f ca="1">IF(NOTA[ID_H]="","",INDEX(NOTA[TANGGAL],MATCH(,INDIRECT(ADDRESS(ROW(NOTA[TANGGAL]),COLUMN(NOTA[TANGGAL]))&amp;":"&amp;ADDRESS(ROW(),COLUMN(NOTA[TANGGAL]))),-1)))</f>
        <v>44950</v>
      </c>
      <c r="AG697" s="57" t="str">
        <f ca="1">IF(NOTA[[#This Row],[NAMA BARANG]]="","",INDEX(NOTA[SUPPLIER],MATCH(,INDIRECT(ADDRESS(ROW(NOTA[ID]),COLUMN(NOTA[ID]))&amp;":"&amp;ADDRESS(ROW(),COLUMN(NOTA[ID]))),-1)))</f>
        <v>SURYA PRATAMA</v>
      </c>
      <c r="AH697" s="57" t="str">
        <f ca="1">IF(NOTA[[#This Row],[ID_H]]="","",IF(NOTA[[#This Row],[FAKTUR]]="",INDIRECT(ADDRESS(ROW()-1,COLUMN())),NOTA[[#This Row],[FAKTUR]]))</f>
        <v>UNTANA</v>
      </c>
      <c r="AI697" s="38">
        <f ca="1">IF(NOTA[[#This Row],[ID]]="","",COUNTIF(NOTA[ID_H],NOTA[[#This Row],[ID_H]]))</f>
        <v>6</v>
      </c>
      <c r="AJ697" s="38">
        <f>IF(NOTA[[#This Row],[TGL.NOTA]]="",IF(NOTA[[#This Row],[SUPPLIER_H]]="","",AJ696),MONTH(NOTA[[#This Row],[TGL.NOTA]]))</f>
        <v>1</v>
      </c>
      <c r="AK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>refillgelfancyvrg2015princess1440000</v>
      </c>
      <c r="AM697" s="193">
        <f>IF(NOTA[[#This Row],[CONCAT1]]="","",MATCH(NOTA[[#This Row],[CONCAT1]],[2]!db[NB NOTA_C],0)+1)</f>
        <v>1859</v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>
        <f ca="1">IF(NOTA[[#This Row],[NAMA BARANG]]="","",INDEX(NOTA[ID],MATCH(,INDIRECT(ADDRESS(ROW(NOTA[ID]),COLUMN(NOTA[ID]))&amp;":"&amp;ADDRESS(ROW(),COLUMN(NOTA[ID]))),-1)))</f>
        <v>131</v>
      </c>
      <c r="E698" s="61"/>
      <c r="F698" s="62"/>
      <c r="G698" s="62"/>
      <c r="H698" s="107"/>
      <c r="I698" s="62"/>
      <c r="J698" s="60"/>
      <c r="K698" s="62"/>
      <c r="L698" s="26" t="s">
        <v>847</v>
      </c>
      <c r="M698" s="63">
        <v>5</v>
      </c>
      <c r="N698" s="62">
        <v>1200</v>
      </c>
      <c r="O698" s="26" t="s">
        <v>131</v>
      </c>
      <c r="P698" s="57">
        <v>6000</v>
      </c>
      <c r="Q698" s="64"/>
      <c r="R698" s="39" t="s">
        <v>845</v>
      </c>
      <c r="S698" s="117"/>
      <c r="T698" s="117"/>
      <c r="U698" s="59"/>
      <c r="V698" s="37"/>
      <c r="W698" s="59">
        <f>IF(NOTA[[#This Row],[HARGA/ CTN]]="",NOTA[[#This Row],[JUMLAH_H]],NOTA[[#This Row],[HARGA/ CTN]]*IF(NOTA[[#This Row],[C]]="",0,NOTA[[#This Row],[C]]))</f>
        <v>7200000</v>
      </c>
      <c r="X698" s="59">
        <f>IF(NOTA[[#This Row],[JUMLAH]]="","",NOTA[[#This Row],[JUMLAH]]*NOTA[[#This Row],[DISC 1]])</f>
        <v>0</v>
      </c>
      <c r="Y698" s="59">
        <f>IF(NOTA[[#This Row],[JUMLAH]]="","",(NOTA[[#This Row],[JUMLAH]]-NOTA[[#This Row],[DISC 1-]])*NOTA[[#This Row],[DISC 2]])</f>
        <v>0</v>
      </c>
      <c r="Z698" s="59">
        <f>IF(NOTA[[#This Row],[JUMLAH]]="","",NOTA[[#This Row],[DISC 1-]]+NOTA[[#This Row],[DISC 2-]])</f>
        <v>0</v>
      </c>
      <c r="AA698" s="59">
        <f>IF(NOTA[[#This Row],[JUMLAH]]="","",NOTA[[#This Row],[JUMLAH]]-NOTA[[#This Row],[DISC]])</f>
        <v>7200000</v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8" s="59">
        <f>IF(OR(NOTA[[#This Row],[QTY]]="",NOTA[[#This Row],[HARGA SATUAN]]="",),"",NOTA[[#This Row],[QTY]]*NOTA[[#This Row],[HARGA SATUAN]])</f>
        <v>7200000</v>
      </c>
      <c r="AF698" s="60">
        <f ca="1">IF(NOTA[ID_H]="","",INDEX(NOTA[TANGGAL],MATCH(,INDIRECT(ADDRESS(ROW(NOTA[TANGGAL]),COLUMN(NOTA[TANGGAL]))&amp;":"&amp;ADDRESS(ROW(),COLUMN(NOTA[TANGGAL]))),-1)))</f>
        <v>44950</v>
      </c>
      <c r="AG698" s="57" t="str">
        <f ca="1">IF(NOTA[[#This Row],[NAMA BARANG]]="","",INDEX(NOTA[SUPPLIER],MATCH(,INDIRECT(ADDRESS(ROW(NOTA[ID]),COLUMN(NOTA[ID]))&amp;":"&amp;ADDRESS(ROW(),COLUMN(NOTA[ID]))),-1)))</f>
        <v>SURYA PRATAMA</v>
      </c>
      <c r="AH698" s="57" t="str">
        <f ca="1">IF(NOTA[[#This Row],[ID_H]]="","",IF(NOTA[[#This Row],[FAKTUR]]="",INDIRECT(ADDRESS(ROW()-1,COLUMN())),NOTA[[#This Row],[FAKTUR]]))</f>
        <v>UNTANA</v>
      </c>
      <c r="AI698" s="38" t="str">
        <f ca="1">IF(NOTA[[#This Row],[ID]]="","",COUNTIF(NOTA[ID_H],NOTA[[#This Row],[ID_H]]))</f>
        <v/>
      </c>
      <c r="AJ698" s="38">
        <f ca="1">IF(NOTA[[#This Row],[TGL.NOTA]]="",IF(NOTA[[#This Row],[SUPPLIER_H]]="","",AJ697),MONTH(NOTA[[#This Row],[TGL.NOTA]]))</f>
        <v>1</v>
      </c>
      <c r="AK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>refillgelfancyvrg2016animalcarnival1440000</v>
      </c>
      <c r="AM698" s="193">
        <f>IF(NOTA[[#This Row],[CONCAT1]]="","",MATCH(NOTA[[#This Row],[CONCAT1]],[2]!db[NB NOTA_C],0)+1)</f>
        <v>1860</v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>
        <f ca="1">IF(NOTA[[#This Row],[NAMA BARANG]]="","",INDEX(NOTA[ID],MATCH(,INDIRECT(ADDRESS(ROW(NOTA[ID]),COLUMN(NOTA[ID]))&amp;":"&amp;ADDRESS(ROW(),COLUMN(NOTA[ID]))),-1)))</f>
        <v>131</v>
      </c>
      <c r="E699" s="61"/>
      <c r="F699" s="62"/>
      <c r="G699" s="62"/>
      <c r="H699" s="107"/>
      <c r="I699" s="62"/>
      <c r="J699" s="60"/>
      <c r="K699" s="62"/>
      <c r="L699" s="26" t="s">
        <v>860</v>
      </c>
      <c r="M699" s="63">
        <v>5</v>
      </c>
      <c r="N699" s="62">
        <v>1200</v>
      </c>
      <c r="O699" s="26" t="s">
        <v>131</v>
      </c>
      <c r="P699" s="57">
        <v>6000</v>
      </c>
      <c r="Q699" s="64"/>
      <c r="R699" s="39" t="s">
        <v>845</v>
      </c>
      <c r="S699" s="117"/>
      <c r="T699" s="117"/>
      <c r="U699" s="59"/>
      <c r="V699" s="37"/>
      <c r="W699" s="59">
        <f>IF(NOTA[[#This Row],[HARGA/ CTN]]="",NOTA[[#This Row],[JUMLAH_H]],NOTA[[#This Row],[HARGA/ CTN]]*IF(NOTA[[#This Row],[C]]="",0,NOTA[[#This Row],[C]]))</f>
        <v>7200000</v>
      </c>
      <c r="X699" s="59">
        <f>IF(NOTA[[#This Row],[JUMLAH]]="","",NOTA[[#This Row],[JUMLAH]]*NOTA[[#This Row],[DISC 1]])</f>
        <v>0</v>
      </c>
      <c r="Y699" s="59">
        <f>IF(NOTA[[#This Row],[JUMLAH]]="","",(NOTA[[#This Row],[JUMLAH]]-NOTA[[#This Row],[DISC 1-]])*NOTA[[#This Row],[DISC 2]])</f>
        <v>0</v>
      </c>
      <c r="Z699" s="59">
        <f>IF(NOTA[[#This Row],[JUMLAH]]="","",NOTA[[#This Row],[DISC 1-]]+NOTA[[#This Row],[DISC 2-]])</f>
        <v>0</v>
      </c>
      <c r="AA699" s="59">
        <f>IF(NOTA[[#This Row],[JUMLAH]]="","",NOTA[[#This Row],[JUMLAH]]-NOTA[[#This Row],[DISC]])</f>
        <v>7200000</v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9" s="59">
        <f>IF(OR(NOTA[[#This Row],[QTY]]="",NOTA[[#This Row],[HARGA SATUAN]]="",),"",NOTA[[#This Row],[QTY]]*NOTA[[#This Row],[HARGA SATUAN]])</f>
        <v>7200000</v>
      </c>
      <c r="AF699" s="60">
        <f ca="1">IF(NOTA[ID_H]="","",INDEX(NOTA[TANGGAL],MATCH(,INDIRECT(ADDRESS(ROW(NOTA[TANGGAL]),COLUMN(NOTA[TANGGAL]))&amp;":"&amp;ADDRESS(ROW(),COLUMN(NOTA[TANGGAL]))),-1)))</f>
        <v>44950</v>
      </c>
      <c r="AG699" s="57" t="str">
        <f ca="1">IF(NOTA[[#This Row],[NAMA BARANG]]="","",INDEX(NOTA[SUPPLIER],MATCH(,INDIRECT(ADDRESS(ROW(NOTA[ID]),COLUMN(NOTA[ID]))&amp;":"&amp;ADDRESS(ROW(),COLUMN(NOTA[ID]))),-1)))</f>
        <v>SURYA PRATAMA</v>
      </c>
      <c r="AH699" s="57" t="str">
        <f ca="1">IF(NOTA[[#This Row],[ID_H]]="","",IF(NOTA[[#This Row],[FAKTUR]]="",INDIRECT(ADDRESS(ROW()-1,COLUMN())),NOTA[[#This Row],[FAKTUR]]))</f>
        <v>UNTANA</v>
      </c>
      <c r="AI699" s="38" t="str">
        <f ca="1">IF(NOTA[[#This Row],[ID]]="","",COUNTIF(NOTA[ID_H],NOTA[[#This Row],[ID_H]]))</f>
        <v/>
      </c>
      <c r="AJ699" s="38">
        <f ca="1">IF(NOTA[[#This Row],[TGL.NOTA]]="",IF(NOTA[[#This Row],[SUPPLIER_H]]="","",AJ698),MONTH(NOTA[[#This Row],[TGL.NOTA]]))</f>
        <v>1</v>
      </c>
      <c r="AK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>refillgelfancyvrg2017superhero1440000</v>
      </c>
      <c r="AM699" s="193">
        <f>IF(NOTA[[#This Row],[CONCAT1]]="","",MATCH(NOTA[[#This Row],[CONCAT1]],[2]!db[NB NOTA_C],0)+1)</f>
        <v>1861</v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>
        <f ca="1">IF(NOTA[[#This Row],[NAMA BARANG]]="","",INDEX(NOTA[ID],MATCH(,INDIRECT(ADDRESS(ROW(NOTA[ID]),COLUMN(NOTA[ID]))&amp;":"&amp;ADDRESS(ROW(),COLUMN(NOTA[ID]))),-1)))</f>
        <v>131</v>
      </c>
      <c r="E700" s="61"/>
      <c r="F700" s="62"/>
      <c r="G700" s="62"/>
      <c r="H700" s="107"/>
      <c r="I700" s="62"/>
      <c r="J700" s="60"/>
      <c r="K700" s="62"/>
      <c r="L700" s="26" t="s">
        <v>848</v>
      </c>
      <c r="M700" s="63">
        <v>5</v>
      </c>
      <c r="N700" s="62">
        <v>1200</v>
      </c>
      <c r="O700" s="26" t="s">
        <v>131</v>
      </c>
      <c r="P700" s="57">
        <v>6000</v>
      </c>
      <c r="Q700" s="64"/>
      <c r="R700" s="39" t="s">
        <v>845</v>
      </c>
      <c r="S700" s="117"/>
      <c r="T700" s="117"/>
      <c r="U700" s="59"/>
      <c r="V700" s="37"/>
      <c r="W700" s="59">
        <f>IF(NOTA[[#This Row],[HARGA/ CTN]]="",NOTA[[#This Row],[JUMLAH_H]],NOTA[[#This Row],[HARGA/ CTN]]*IF(NOTA[[#This Row],[C]]="",0,NOTA[[#This Row],[C]]))</f>
        <v>7200000</v>
      </c>
      <c r="X700" s="59">
        <f>IF(NOTA[[#This Row],[JUMLAH]]="","",NOTA[[#This Row],[JUMLAH]]*NOTA[[#This Row],[DISC 1]])</f>
        <v>0</v>
      </c>
      <c r="Y700" s="59">
        <f>IF(NOTA[[#This Row],[JUMLAH]]="","",(NOTA[[#This Row],[JUMLAH]]-NOTA[[#This Row],[DISC 1-]])*NOTA[[#This Row],[DISC 2]])</f>
        <v>0</v>
      </c>
      <c r="Z700" s="59">
        <f>IF(NOTA[[#This Row],[JUMLAH]]="","",NOTA[[#This Row],[DISC 1-]]+NOTA[[#This Row],[DISC 2-]])</f>
        <v>0</v>
      </c>
      <c r="AA700" s="59">
        <f>IF(NOTA[[#This Row],[JUMLAH]]="","",NOTA[[#This Row],[JUMLAH]]-NOTA[[#This Row],[DISC]])</f>
        <v>7200000</v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0" s="59">
        <f>IF(OR(NOTA[[#This Row],[QTY]]="",NOTA[[#This Row],[HARGA SATUAN]]="",),"",NOTA[[#This Row],[QTY]]*NOTA[[#This Row],[HARGA SATUAN]])</f>
        <v>7200000</v>
      </c>
      <c r="AF700" s="60">
        <f ca="1">IF(NOTA[ID_H]="","",INDEX(NOTA[TANGGAL],MATCH(,INDIRECT(ADDRESS(ROW(NOTA[TANGGAL]),COLUMN(NOTA[TANGGAL]))&amp;":"&amp;ADDRESS(ROW(),COLUMN(NOTA[TANGGAL]))),-1)))</f>
        <v>44950</v>
      </c>
      <c r="AG700" s="57" t="str">
        <f ca="1">IF(NOTA[[#This Row],[NAMA BARANG]]="","",INDEX(NOTA[SUPPLIER],MATCH(,INDIRECT(ADDRESS(ROW(NOTA[ID]),COLUMN(NOTA[ID]))&amp;":"&amp;ADDRESS(ROW(),COLUMN(NOTA[ID]))),-1)))</f>
        <v>SURYA PRATAMA</v>
      </c>
      <c r="AH700" s="57" t="str">
        <f ca="1">IF(NOTA[[#This Row],[ID_H]]="","",IF(NOTA[[#This Row],[FAKTUR]]="",INDIRECT(ADDRESS(ROW()-1,COLUMN())),NOTA[[#This Row],[FAKTUR]]))</f>
        <v>UNTANA</v>
      </c>
      <c r="AI700" s="38" t="str">
        <f ca="1">IF(NOTA[[#This Row],[ID]]="","",COUNTIF(NOTA[ID_H],NOTA[[#This Row],[ID_H]]))</f>
        <v/>
      </c>
      <c r="AJ700" s="38">
        <f ca="1">IF(NOTA[[#This Row],[TGL.NOTA]]="",IF(NOTA[[#This Row],[SUPPLIER_H]]="","",AJ699),MONTH(NOTA[[#This Row],[TGL.NOTA]]))</f>
        <v>1</v>
      </c>
      <c r="AK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>refillgelfancyvrg2018tsumtsum1440000</v>
      </c>
      <c r="AM700" s="193">
        <f>IF(NOTA[[#This Row],[CONCAT1]]="","",MATCH(NOTA[[#This Row],[CONCAT1]],[2]!db[NB NOTA_C],0)+1)</f>
        <v>1862</v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>
        <f ca="1">IF(NOTA[[#This Row],[NAMA BARANG]]="","",INDEX(NOTA[ID],MATCH(,INDIRECT(ADDRESS(ROW(NOTA[ID]),COLUMN(NOTA[ID]))&amp;":"&amp;ADDRESS(ROW(),COLUMN(NOTA[ID]))),-1)))</f>
        <v>131</v>
      </c>
      <c r="E701" s="61"/>
      <c r="F701" s="62"/>
      <c r="G701" s="62"/>
      <c r="H701" s="107"/>
      <c r="I701" s="62"/>
      <c r="J701" s="60"/>
      <c r="K701" s="62"/>
      <c r="L701" s="26" t="s">
        <v>849</v>
      </c>
      <c r="M701" s="63">
        <v>5</v>
      </c>
      <c r="N701" s="62">
        <v>1200</v>
      </c>
      <c r="O701" s="26" t="s">
        <v>131</v>
      </c>
      <c r="P701" s="57">
        <v>6000</v>
      </c>
      <c r="Q701" s="64"/>
      <c r="R701" s="39" t="s">
        <v>845</v>
      </c>
      <c r="S701" s="117"/>
      <c r="T701" s="117"/>
      <c r="U701" s="59"/>
      <c r="V701" s="37"/>
      <c r="W701" s="59">
        <f>IF(NOTA[[#This Row],[HARGA/ CTN]]="",NOTA[[#This Row],[JUMLAH_H]],NOTA[[#This Row],[HARGA/ CTN]]*IF(NOTA[[#This Row],[C]]="",0,NOTA[[#This Row],[C]]))</f>
        <v>7200000</v>
      </c>
      <c r="X701" s="59">
        <f>IF(NOTA[[#This Row],[JUMLAH]]="","",NOTA[[#This Row],[JUMLAH]]*NOTA[[#This Row],[DISC 1]])</f>
        <v>0</v>
      </c>
      <c r="Y701" s="59">
        <f>IF(NOTA[[#This Row],[JUMLAH]]="","",(NOTA[[#This Row],[JUMLAH]]-NOTA[[#This Row],[DISC 1-]])*NOTA[[#This Row],[DISC 2]])</f>
        <v>0</v>
      </c>
      <c r="Z701" s="59">
        <f>IF(NOTA[[#This Row],[JUMLAH]]="","",NOTA[[#This Row],[DISC 1-]]+NOTA[[#This Row],[DISC 2-]])</f>
        <v>0</v>
      </c>
      <c r="AA701" s="59">
        <f>IF(NOTA[[#This Row],[JUMLAH]]="","",NOTA[[#This Row],[JUMLAH]]-NOTA[[#This Row],[DISC]])</f>
        <v>7200000</v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1" s="59">
        <f>IF(OR(NOTA[[#This Row],[QTY]]="",NOTA[[#This Row],[HARGA SATUAN]]="",),"",NOTA[[#This Row],[QTY]]*NOTA[[#This Row],[HARGA SATUAN]])</f>
        <v>7200000</v>
      </c>
      <c r="AF701" s="60">
        <f ca="1">IF(NOTA[ID_H]="","",INDEX(NOTA[TANGGAL],MATCH(,INDIRECT(ADDRESS(ROW(NOTA[TANGGAL]),COLUMN(NOTA[TANGGAL]))&amp;":"&amp;ADDRESS(ROW(),COLUMN(NOTA[TANGGAL]))),-1)))</f>
        <v>44950</v>
      </c>
      <c r="AG701" s="57" t="str">
        <f ca="1">IF(NOTA[[#This Row],[NAMA BARANG]]="","",INDEX(NOTA[SUPPLIER],MATCH(,INDIRECT(ADDRESS(ROW(NOTA[ID]),COLUMN(NOTA[ID]))&amp;":"&amp;ADDRESS(ROW(),COLUMN(NOTA[ID]))),-1)))</f>
        <v>SURYA PRATAMA</v>
      </c>
      <c r="AH701" s="57" t="str">
        <f ca="1">IF(NOTA[[#This Row],[ID_H]]="","",IF(NOTA[[#This Row],[FAKTUR]]="",INDIRECT(ADDRESS(ROW()-1,COLUMN())),NOTA[[#This Row],[FAKTUR]]))</f>
        <v>UNTANA</v>
      </c>
      <c r="AI701" s="38" t="str">
        <f ca="1">IF(NOTA[[#This Row],[ID]]="","",COUNTIF(NOTA[ID_H],NOTA[[#This Row],[ID_H]]))</f>
        <v/>
      </c>
      <c r="AJ701" s="38">
        <f ca="1">IF(NOTA[[#This Row],[TGL.NOTA]]="",IF(NOTA[[#This Row],[SUPPLIER_H]]="","",AJ700),MONTH(NOTA[[#This Row],[TGL.NOTA]]))</f>
        <v>1</v>
      </c>
      <c r="AK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>refillgelfancyvrg2019hellodoraemon1440000</v>
      </c>
      <c r="AM701" s="193">
        <f>IF(NOTA[[#This Row],[CONCAT1]]="","",MATCH(NOTA[[#This Row],[CONCAT1]],[2]!db[NB NOTA_C],0)+1)</f>
        <v>1863</v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>
        <f ca="1">IF(NOTA[[#This Row],[NAMA BARANG]]="","",INDEX(NOTA[ID],MATCH(,INDIRECT(ADDRESS(ROW(NOTA[ID]),COLUMN(NOTA[ID]))&amp;":"&amp;ADDRESS(ROW(),COLUMN(NOTA[ID]))),-1)))</f>
        <v>131</v>
      </c>
      <c r="E702" s="61"/>
      <c r="F702" s="62"/>
      <c r="G702" s="62"/>
      <c r="H702" s="107"/>
      <c r="I702" s="62"/>
      <c r="J702" s="60"/>
      <c r="K702" s="62"/>
      <c r="L702" s="26" t="s">
        <v>850</v>
      </c>
      <c r="M702" s="63">
        <v>5</v>
      </c>
      <c r="N702" s="62">
        <v>1200</v>
      </c>
      <c r="O702" s="26" t="s">
        <v>131</v>
      </c>
      <c r="P702" s="57">
        <v>6000</v>
      </c>
      <c r="Q702" s="64"/>
      <c r="R702" s="39" t="s">
        <v>845</v>
      </c>
      <c r="S702" s="117"/>
      <c r="T702" s="117"/>
      <c r="U702" s="59"/>
      <c r="V702" s="37"/>
      <c r="W702" s="59">
        <f>IF(NOTA[[#This Row],[HARGA/ CTN]]="",NOTA[[#This Row],[JUMLAH_H]],NOTA[[#This Row],[HARGA/ CTN]]*IF(NOTA[[#This Row],[C]]="",0,NOTA[[#This Row],[C]]))</f>
        <v>7200000</v>
      </c>
      <c r="X702" s="59">
        <f>IF(NOTA[[#This Row],[JUMLAH]]="","",NOTA[[#This Row],[JUMLAH]]*NOTA[[#This Row],[DISC 1]])</f>
        <v>0</v>
      </c>
      <c r="Y702" s="59">
        <f>IF(NOTA[[#This Row],[JUMLAH]]="","",(NOTA[[#This Row],[JUMLAH]]-NOTA[[#This Row],[DISC 1-]])*NOTA[[#This Row],[DISC 2]])</f>
        <v>0</v>
      </c>
      <c r="Z702" s="59">
        <f>IF(NOTA[[#This Row],[JUMLAH]]="","",NOTA[[#This Row],[DISC 1-]]+NOTA[[#This Row],[DISC 2-]])</f>
        <v>0</v>
      </c>
      <c r="AA702" s="59">
        <f>IF(NOTA[[#This Row],[JUMLAH]]="","",NOTA[[#This Row],[JUMLAH]]-NOTA[[#This Row],[DISC]])</f>
        <v>7200000</v>
      </c>
      <c r="AB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D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2" s="59">
        <f>IF(OR(NOTA[[#This Row],[QTY]]="",NOTA[[#This Row],[HARGA SATUAN]]="",),"",NOTA[[#This Row],[QTY]]*NOTA[[#This Row],[HARGA SATUAN]])</f>
        <v>7200000</v>
      </c>
      <c r="AF702" s="60">
        <f ca="1">IF(NOTA[ID_H]="","",INDEX(NOTA[TANGGAL],MATCH(,INDIRECT(ADDRESS(ROW(NOTA[TANGGAL]),COLUMN(NOTA[TANGGAL]))&amp;":"&amp;ADDRESS(ROW(),COLUMN(NOTA[TANGGAL]))),-1)))</f>
        <v>44950</v>
      </c>
      <c r="AG702" s="57" t="str">
        <f ca="1">IF(NOTA[[#This Row],[NAMA BARANG]]="","",INDEX(NOTA[SUPPLIER],MATCH(,INDIRECT(ADDRESS(ROW(NOTA[ID]),COLUMN(NOTA[ID]))&amp;":"&amp;ADDRESS(ROW(),COLUMN(NOTA[ID]))),-1)))</f>
        <v>SURYA PRATAMA</v>
      </c>
      <c r="AH702" s="57" t="str">
        <f ca="1">IF(NOTA[[#This Row],[ID_H]]="","",IF(NOTA[[#This Row],[FAKTUR]]="",INDIRECT(ADDRESS(ROW()-1,COLUMN())),NOTA[[#This Row],[FAKTUR]]))</f>
        <v>UNTANA</v>
      </c>
      <c r="AI702" s="38" t="str">
        <f ca="1">IF(NOTA[[#This Row],[ID]]="","",COUNTIF(NOTA[ID_H],NOTA[[#This Row],[ID_H]]))</f>
        <v/>
      </c>
      <c r="AJ702" s="38">
        <f ca="1">IF(NOTA[[#This Row],[TGL.NOTA]]="",IF(NOTA[[#This Row],[SUPPLIER_H]]="","",AJ701),MONTH(NOTA[[#This Row],[TGL.NOTA]]))</f>
        <v>1</v>
      </c>
      <c r="AK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>refillgelfancyvrg2020hijablove1440000</v>
      </c>
      <c r="AM702" s="193">
        <f>IF(NOTA[[#This Row],[CONCAT1]]="","",MATCH(NOTA[[#This Row],[CONCAT1]],[2]!db[NB NOTA_C],0)+1)</f>
        <v>1864</v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93" t="str">
        <f>IF(NOTA[[#This Row],[CONCAT1]]="","",MATCH(NOTA[[#This Row],[CONCAT1]],[2]!db[NB NOTA_C],0)+1)</f>
        <v/>
      </c>
    </row>
    <row r="704" spans="1:39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e">
        <f ca="1">IF(NOTA[[#This Row],[ID_P]]="","",MATCH(NOTA[[#This Row],[ID_P]],[1]!B_MSK[N_ID],0))</f>
        <v>#REF!</v>
      </c>
      <c r="D704" s="58">
        <f ca="1">IF(NOTA[[#This Row],[NAMA BARANG]]="","",INDEX(NOTA[ID],MATCH(,INDIRECT(ADDRESS(ROW(NOTA[ID]),COLUMN(NOTA[ID]))&amp;":"&amp;ADDRESS(ROW(),COLUMN(NOTA[ID]))),-1)))</f>
        <v>132</v>
      </c>
      <c r="E704" s="61"/>
      <c r="F704" s="26" t="s">
        <v>851</v>
      </c>
      <c r="G704" s="26" t="s">
        <v>87</v>
      </c>
      <c r="H704" s="31" t="s">
        <v>852</v>
      </c>
      <c r="I704" s="62"/>
      <c r="J704" s="60">
        <v>44946</v>
      </c>
      <c r="K704" s="62"/>
      <c r="L704" s="26" t="s">
        <v>861</v>
      </c>
      <c r="M704" s="63">
        <v>50</v>
      </c>
      <c r="N704" s="62">
        <f>192*50</f>
        <v>9600</v>
      </c>
      <c r="O704" s="26" t="s">
        <v>104</v>
      </c>
      <c r="P704" s="57">
        <v>17500</v>
      </c>
      <c r="Q704" s="64">
        <v>2400000</v>
      </c>
      <c r="R704" s="39"/>
      <c r="S704" s="117"/>
      <c r="T704" s="117"/>
      <c r="U704" s="59"/>
      <c r="V704" s="37"/>
      <c r="W704" s="59">
        <f>IF(NOTA[[#This Row],[HARGA/ CTN]]="",NOTA[[#This Row],[JUMLAH_H]],NOTA[[#This Row],[HARGA/ CTN]]*IF(NOTA[[#This Row],[C]]="",0,NOTA[[#This Row],[C]]))</f>
        <v>120000000</v>
      </c>
      <c r="X704" s="59">
        <f>IF(NOTA[[#This Row],[JUMLAH]]="","",NOTA[[#This Row],[JUMLAH]]*NOTA[[#This Row],[DISC 1]])</f>
        <v>0</v>
      </c>
      <c r="Y704" s="59">
        <f>IF(NOTA[[#This Row],[JUMLAH]]="","",(NOTA[[#This Row],[JUMLAH]]-NOTA[[#This Row],[DISC 1-]])*NOTA[[#This Row],[DISC 2]])</f>
        <v>0</v>
      </c>
      <c r="Z704" s="59">
        <f>IF(NOTA[[#This Row],[JUMLAH]]="","",NOTA[[#This Row],[DISC 1-]]+NOTA[[#This Row],[DISC 2-]])</f>
        <v>0</v>
      </c>
      <c r="AA704" s="59">
        <f>IF(NOTA[[#This Row],[JUMLAH]]="","",NOTA[[#This Row],[JUMLAH]]-NOTA[[#This Row],[DISC]])</f>
        <v>120000000</v>
      </c>
      <c r="AB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D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E704" s="59">
        <f>IF(OR(NOTA[[#This Row],[QTY]]="",NOTA[[#This Row],[HARGA SATUAN]]="",),"",NOTA[[#This Row],[QTY]]*NOTA[[#This Row],[HARGA SATUAN]])</f>
        <v>168000000</v>
      </c>
      <c r="AF704" s="60">
        <f ca="1">IF(NOTA[ID_H]="","",INDEX(NOTA[TANGGAL],MATCH(,INDIRECT(ADDRESS(ROW(NOTA[TANGGAL]),COLUMN(NOTA[TANGGAL]))&amp;":"&amp;ADDRESS(ROW(),COLUMN(NOTA[TANGGAL]))),-1)))</f>
        <v>44950</v>
      </c>
      <c r="AG704" s="57" t="str">
        <f ca="1">IF(NOTA[[#This Row],[NAMA BARANG]]="","",INDEX(NOTA[SUPPLIER],MATCH(,INDIRECT(ADDRESS(ROW(NOTA[ID]),COLUMN(NOTA[ID]))&amp;":"&amp;ADDRESS(ROW(),COLUMN(NOTA[ID]))),-1)))</f>
        <v>BINTANG JAYA</v>
      </c>
      <c r="AH704" s="57" t="str">
        <f ca="1">IF(NOTA[[#This Row],[ID_H]]="","",IF(NOTA[[#This Row],[FAKTUR]]="",INDIRECT(ADDRESS(ROW()-1,COLUMN())),NOTA[[#This Row],[FAKTUR]]))</f>
        <v>UNTANA</v>
      </c>
      <c r="AI704" s="38">
        <f ca="1">IF(NOTA[[#This Row],[ID]]="","",COUNTIF(NOTA[ID_H],NOTA[[#This Row],[ID_H]]))</f>
        <v>1</v>
      </c>
      <c r="AJ704" s="38">
        <f>IF(NOTA[[#This Row],[TGL.NOTA]]="",IF(NOTA[[#This Row],[SUPPLIER_H]]="","",AJ703),MONTH(NOTA[[#This Row],[TGL.NOTA]]))</f>
        <v>1</v>
      </c>
      <c r="AK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>cpsq12lcrayonputarpanjang3360000</v>
      </c>
      <c r="AM704" s="193">
        <f>IF(NOTA[[#This Row],[CONCAT1]]="","",MATCH(NOTA[[#This Row],[CONCAT1]],[2]!db[NB NOTA_C],0)+1)</f>
        <v>544</v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93" t="str">
        <f>IF(NOTA[[#This Row],[CONCAT1]]="","",MATCH(NOTA[[#This Row],[CONCAT1]],[2]!db[NB NOTA_C],0)+1)</f>
        <v/>
      </c>
    </row>
    <row r="706" spans="1:39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e">
        <f ca="1">IF(NOTA[[#This Row],[ID_P]]="","",MATCH(NOTA[[#This Row],[ID_P]],[1]!B_MSK[N_ID],0))</f>
        <v>#REF!</v>
      </c>
      <c r="D706" s="58">
        <f ca="1">IF(NOTA[[#This Row],[NAMA BARANG]]="","",INDEX(NOTA[ID],MATCH(,INDIRECT(ADDRESS(ROW(NOTA[ID]),COLUMN(NOTA[ID]))&amp;":"&amp;ADDRESS(ROW(),COLUMN(NOTA[ID]))),-1)))</f>
        <v>133</v>
      </c>
      <c r="E706" s="61">
        <v>44951</v>
      </c>
      <c r="F706" s="26" t="s">
        <v>215</v>
      </c>
      <c r="G706" s="26" t="s">
        <v>87</v>
      </c>
      <c r="H706" s="31" t="s">
        <v>856</v>
      </c>
      <c r="I706" s="26"/>
      <c r="J706" s="60">
        <v>44951</v>
      </c>
      <c r="K706" s="62"/>
      <c r="L706" s="26" t="s">
        <v>217</v>
      </c>
      <c r="M706" s="63"/>
      <c r="N706" s="62">
        <v>7</v>
      </c>
      <c r="O706" s="26" t="s">
        <v>90</v>
      </c>
      <c r="P706" s="57">
        <v>161000</v>
      </c>
      <c r="Q706" s="64"/>
      <c r="R706" s="39"/>
      <c r="S706" s="117"/>
      <c r="T706" s="117"/>
      <c r="U706" s="59">
        <v>57000</v>
      </c>
      <c r="V706" s="37" t="s">
        <v>858</v>
      </c>
      <c r="W706" s="59">
        <f>IF(NOTA[[#This Row],[HARGA/ CTN]]="",NOTA[[#This Row],[JUMLAH_H]],NOTA[[#This Row],[HARGA/ CTN]]*IF(NOTA[[#This Row],[C]]="",0,NOTA[[#This Row],[C]]))</f>
        <v>1127000</v>
      </c>
      <c r="X706" s="59">
        <f>IF(NOTA[[#This Row],[JUMLAH]]="","",NOTA[[#This Row],[JUMLAH]]*NOTA[[#This Row],[DISC 1]])</f>
        <v>0</v>
      </c>
      <c r="Y706" s="59">
        <f>IF(NOTA[[#This Row],[JUMLAH]]="","",(NOTA[[#This Row],[JUMLAH]]-NOTA[[#This Row],[DISC 1-]])*NOTA[[#This Row],[DISC 2]])</f>
        <v>0</v>
      </c>
      <c r="Z706" s="59">
        <f>IF(NOTA[[#This Row],[JUMLAH]]="","",NOTA[[#This Row],[DISC 1-]]+NOTA[[#This Row],[DISC 2-]])</f>
        <v>0</v>
      </c>
      <c r="AA706" s="59">
        <f>IF(NOTA[[#This Row],[JUMLAH]]="","",NOTA[[#This Row],[JUMLAH]]-NOTA[[#This Row],[DISC]])</f>
        <v>1127000</v>
      </c>
      <c r="AB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D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706" s="59">
        <f>IF(OR(NOTA[[#This Row],[QTY]]="",NOTA[[#This Row],[HARGA SATUAN]]="",),"",NOTA[[#This Row],[QTY]]*NOTA[[#This Row],[HARGA SATUAN]])</f>
        <v>1127000</v>
      </c>
      <c r="AF706" s="60">
        <f ca="1">IF(NOTA[ID_H]="","",INDEX(NOTA[TANGGAL],MATCH(,INDIRECT(ADDRESS(ROW(NOTA[TANGGAL]),COLUMN(NOTA[TANGGAL]))&amp;":"&amp;ADDRESS(ROW(),COLUMN(NOTA[TANGGAL]))),-1)))</f>
        <v>44951</v>
      </c>
      <c r="AG706" s="57" t="str">
        <f ca="1">IF(NOTA[[#This Row],[NAMA BARANG]]="","",INDEX(NOTA[SUPPLIER],MATCH(,INDIRECT(ADDRESS(ROW(NOTA[ID]),COLUMN(NOTA[ID]))&amp;":"&amp;ADDRESS(ROW(),COLUMN(NOTA[ID]))),-1)))</f>
        <v>GLORY</v>
      </c>
      <c r="AH706" s="57" t="str">
        <f ca="1">IF(NOTA[[#This Row],[ID_H]]="","",IF(NOTA[[#This Row],[FAKTUR]]="",INDIRECT(ADDRESS(ROW()-1,COLUMN())),NOTA[[#This Row],[FAKTUR]]))</f>
        <v>UNTANA</v>
      </c>
      <c r="AI706" s="38">
        <f ca="1">IF(NOTA[[#This Row],[ID]]="","",COUNTIF(NOTA[ID_H],NOTA[[#This Row],[ID_H]]))</f>
        <v>1</v>
      </c>
      <c r="AJ706" s="38">
        <f>IF(NOTA[[#This Row],[TGL.NOTA]]="",IF(NOTA[[#This Row],[SUPPLIER_H]]="","",AJ705),MONTH(NOTA[[#This Row],[TGL.NOTA]]))</f>
        <v>1</v>
      </c>
      <c r="AK706" s="38" t="str">
        <f>LOWER(SUBSTITUTE(SUBSTITUTE(SUBSTITUTE(SUBSTITUTE(SUBSTITUTE(SUBSTITUTE(SUBSTITUTE(SUBSTITUTE(SUBSTITUTE(NOTA[NAMA BARANG]," ",),".",""),"-",""),"(",""),")",""),",",""),"/",""),"""",""),"+",""))</f>
        <v>btbatik</v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706" s="193">
        <f>IF(NOTA[[#This Row],[CONCAT1]]="","",MATCH(NOTA[[#This Row],[CONCAT1]],[2]!db[NB NOTA_C],0)+1)</f>
        <v>335</v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93" t="str">
        <f>IF(NOTA[[#This Row],[CONCAT1]]="","",MATCH(NOTA[[#This Row],[CONCAT1]],[2]!db[NB NOTA_C],0)+1)</f>
        <v/>
      </c>
    </row>
    <row r="708" spans="1:39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e">
        <f ca="1">IF(NOTA[[#This Row],[ID_P]]="","",MATCH(NOTA[[#This Row],[ID_P]],[1]!B_MSK[N_ID],0))</f>
        <v>#REF!</v>
      </c>
      <c r="D708" s="50">
        <f ca="1">IF(NOTA[[#This Row],[NAMA BARANG]]="","",INDEX(NOTA[ID],MATCH(,INDIRECT(ADDRESS(ROW(NOTA[ID]),COLUMN(NOTA[ID]))&amp;":"&amp;ADDRESS(ROW(),COLUMN(NOTA[ID]))),-1)))</f>
        <v>134</v>
      </c>
      <c r="E708" s="23">
        <v>44952</v>
      </c>
      <c r="F708" s="26" t="s">
        <v>215</v>
      </c>
      <c r="G708" s="26" t="s">
        <v>87</v>
      </c>
      <c r="H708" s="31" t="s">
        <v>857</v>
      </c>
      <c r="I708" s="26"/>
      <c r="J708" s="51">
        <v>44952</v>
      </c>
      <c r="K708" s="26"/>
      <c r="L708" s="26" t="s">
        <v>218</v>
      </c>
      <c r="M708" s="39"/>
      <c r="N708" s="26">
        <v>120</v>
      </c>
      <c r="O708" s="26" t="s">
        <v>104</v>
      </c>
      <c r="P708" s="49">
        <v>13000</v>
      </c>
      <c r="Q708" s="52"/>
      <c r="R708" s="39"/>
      <c r="S708" s="53"/>
      <c r="T708" s="53"/>
      <c r="U708" s="54"/>
      <c r="V708" s="37"/>
      <c r="W708" s="54">
        <f>IF(NOTA[[#This Row],[HARGA/ CTN]]="",NOTA[[#This Row],[JUMLAH_H]],NOTA[[#This Row],[HARGA/ CTN]]*IF(NOTA[[#This Row],[C]]="",0,NOTA[[#This Row],[C]]))</f>
        <v>1560000</v>
      </c>
      <c r="X708" s="54">
        <f>IF(NOTA[[#This Row],[JUMLAH]]="","",NOTA[[#This Row],[JUMLAH]]*NOTA[[#This Row],[DISC 1]])</f>
        <v>0</v>
      </c>
      <c r="Y708" s="54">
        <f>IF(NOTA[[#This Row],[JUMLAH]]="","",(NOTA[[#This Row],[JUMLAH]]-NOTA[[#This Row],[DISC 1-]])*NOTA[[#This Row],[DISC 2]])</f>
        <v>0</v>
      </c>
      <c r="Z708" s="54">
        <f>IF(NOTA[[#This Row],[JUMLAH]]="","",NOTA[[#This Row],[DISC 1-]]+NOTA[[#This Row],[DISC 2-]])</f>
        <v>0</v>
      </c>
      <c r="AA708" s="54">
        <f>IF(NOTA[[#This Row],[JUMLAH]]="","",NOTA[[#This Row],[JUMLAH]]-NOTA[[#This Row],[DISC]])</f>
        <v>1560000</v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708" s="54">
        <f>IF(OR(NOTA[[#This Row],[QTY]]="",NOTA[[#This Row],[HARGA SATUAN]]="",),"",NOTA[[#This Row],[QTY]]*NOTA[[#This Row],[HARGA SATUAN]])</f>
        <v>1560000</v>
      </c>
      <c r="AF708" s="51">
        <f ca="1">IF(NOTA[ID_H]="","",INDEX(NOTA[TANGGAL],MATCH(,INDIRECT(ADDRESS(ROW(NOTA[TANGGAL]),COLUMN(NOTA[TANGGAL]))&amp;":"&amp;ADDRESS(ROW(),COLUMN(NOTA[TANGGAL]))),-1)))</f>
        <v>44952</v>
      </c>
      <c r="AG708" s="49" t="str">
        <f ca="1">IF(NOTA[[#This Row],[NAMA BARANG]]="","",INDEX(NOTA[SUPPLIER],MATCH(,INDIRECT(ADDRESS(ROW(NOTA[ID]),COLUMN(NOTA[ID]))&amp;":"&amp;ADDRESS(ROW(),COLUMN(NOTA[ID]))),-1)))</f>
        <v>GLORY</v>
      </c>
      <c r="AH708" s="49" t="str">
        <f ca="1">IF(NOTA[[#This Row],[ID_H]]="","",IF(NOTA[[#This Row],[FAKTUR]]="",INDIRECT(ADDRESS(ROW()-1,COLUMN())),NOTA[[#This Row],[FAKTUR]]))</f>
        <v>UNTANA</v>
      </c>
      <c r="AI708" s="38">
        <f ca="1">IF(NOTA[[#This Row],[ID]]="","",COUNTIF(NOTA[ID_H],NOTA[[#This Row],[ID_H]]))</f>
        <v>2</v>
      </c>
      <c r="AJ708" s="38">
        <f>IF(NOTA[[#This Row],[TGL.NOTA]]="",IF(NOTA[[#This Row],[SUPPLIER_H]]="","",AJ707),MONTH(NOTA[[#This Row],[TGL.NOTA]]))</f>
        <v>1</v>
      </c>
      <c r="AK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>agckpolos13000</v>
      </c>
      <c r="AM708" s="193">
        <f>IF(NOTA[[#This Row],[CONCAT1]]="","",MATCH(NOTA[[#This Row],[CONCAT1]],[2]!db[NB NOTA_C],0)+1)</f>
        <v>39</v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>
        <f ca="1">IF(NOTA[[#This Row],[NAMA BARANG]]="","",INDEX(NOTA[ID],MATCH(,INDIRECT(ADDRESS(ROW(NOTA[ID]),COLUMN(NOTA[ID]))&amp;":"&amp;ADDRESS(ROW(),COLUMN(NOTA[ID]))),-1)))</f>
        <v>134</v>
      </c>
      <c r="E709" s="23"/>
      <c r="F709" s="26"/>
      <c r="G709" s="26"/>
      <c r="H709" s="31"/>
      <c r="I709" s="26"/>
      <c r="J709" s="51"/>
      <c r="K709" s="26"/>
      <c r="L709" s="26" t="s">
        <v>217</v>
      </c>
      <c r="M709" s="39"/>
      <c r="N709" s="26">
        <v>7</v>
      </c>
      <c r="O709" s="26" t="s">
        <v>90</v>
      </c>
      <c r="P709" s="49">
        <v>161000</v>
      </c>
      <c r="Q709" s="52"/>
      <c r="R709" s="39"/>
      <c r="S709" s="53"/>
      <c r="T709" s="53"/>
      <c r="U709" s="54">
        <v>134500</v>
      </c>
      <c r="V709" s="37" t="s">
        <v>859</v>
      </c>
      <c r="W709" s="54">
        <f>IF(NOTA[[#This Row],[HARGA/ CTN]]="",NOTA[[#This Row],[JUMLAH_H]],NOTA[[#This Row],[HARGA/ CTN]]*IF(NOTA[[#This Row],[C]]="",0,NOTA[[#This Row],[C]]))</f>
        <v>1127000</v>
      </c>
      <c r="X709" s="54">
        <f>IF(NOTA[[#This Row],[JUMLAH]]="","",NOTA[[#This Row],[JUMLAH]]*NOTA[[#This Row],[DISC 1]])</f>
        <v>0</v>
      </c>
      <c r="Y709" s="54">
        <f>IF(NOTA[[#This Row],[JUMLAH]]="","",(NOTA[[#This Row],[JUMLAH]]-NOTA[[#This Row],[DISC 1-]])*NOTA[[#This Row],[DISC 2]])</f>
        <v>0</v>
      </c>
      <c r="Z709" s="54">
        <f>IF(NOTA[[#This Row],[JUMLAH]]="","",NOTA[[#This Row],[DISC 1-]]+NOTA[[#This Row],[DISC 2-]])</f>
        <v>0</v>
      </c>
      <c r="AA709" s="54">
        <f>IF(NOTA[[#This Row],[JUMLAH]]="","",NOTA[[#This Row],[JUMLAH]]-NOTA[[#This Row],[DISC]])</f>
        <v>1127000</v>
      </c>
      <c r="AB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D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709" s="54">
        <f>IF(OR(NOTA[[#This Row],[QTY]]="",NOTA[[#This Row],[HARGA SATUAN]]="",),"",NOTA[[#This Row],[QTY]]*NOTA[[#This Row],[HARGA SATUAN]])</f>
        <v>1127000</v>
      </c>
      <c r="AF709" s="51">
        <f ca="1">IF(NOTA[ID_H]="","",INDEX(NOTA[TANGGAL],MATCH(,INDIRECT(ADDRESS(ROW(NOTA[TANGGAL]),COLUMN(NOTA[TANGGAL]))&amp;":"&amp;ADDRESS(ROW(),COLUMN(NOTA[TANGGAL]))),-1)))</f>
        <v>44952</v>
      </c>
      <c r="AG709" s="49" t="str">
        <f ca="1">IF(NOTA[[#This Row],[NAMA BARANG]]="","",INDEX(NOTA[SUPPLIER],MATCH(,INDIRECT(ADDRESS(ROW(NOTA[ID]),COLUMN(NOTA[ID]))&amp;":"&amp;ADDRESS(ROW(),COLUMN(NOTA[ID]))),-1)))</f>
        <v>GLORY</v>
      </c>
      <c r="AH709" s="49" t="str">
        <f ca="1">IF(NOTA[[#This Row],[ID_H]]="","",IF(NOTA[[#This Row],[FAKTUR]]="",INDIRECT(ADDRESS(ROW()-1,COLUMN())),NOTA[[#This Row],[FAKTUR]]))</f>
        <v>UNTANA</v>
      </c>
      <c r="AI709" s="38" t="str">
        <f ca="1">IF(NOTA[[#This Row],[ID]]="","",COUNTIF(NOTA[ID_H],NOTA[[#This Row],[ID_H]]))</f>
        <v/>
      </c>
      <c r="AJ709" s="38">
        <f ca="1">IF(NOTA[[#This Row],[TGL.NOTA]]="",IF(NOTA[[#This Row],[SUPPLIER_H]]="","",AJ708),MONTH(NOTA[[#This Row],[TGL.NOTA]]))</f>
        <v>1</v>
      </c>
      <c r="AK709" s="38" t="str">
        <f>LOWER(SUBSTITUTE(SUBSTITUTE(SUBSTITUTE(SUBSTITUTE(SUBSTITUTE(SUBSTITUTE(SUBSTITUTE(SUBSTITUTE(SUBSTITUTE(NOTA[NAMA BARANG]," ",),".",""),"-",""),"(",""),")",""),",",""),"/",""),"""",""),"+",""))</f>
        <v>btbatik</v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709" s="193">
        <f>IF(NOTA[[#This Row],[CONCAT1]]="","",MATCH(NOTA[[#This Row],[CONCAT1]],[2]!db[NB NOTA_C],0)+1)</f>
        <v>335</v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93" t="str">
        <f>IF(NOTA[[#This Row],[CONCAT1]]="","",MATCH(NOTA[[#This Row],[CONCAT1]],[2]!db[NB NOTA_C],0)+1)</f>
        <v/>
      </c>
    </row>
    <row r="711" spans="1:39" ht="20.100000000000001" customHeight="1" x14ac:dyDescent="0.25">
      <c r="A711" s="49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11" s="50" t="e">
        <f ca="1">IF(NOTA[[#This Row],[ID_P]]="","",MATCH(NOTA[[#This Row],[ID_P]],[1]!B_MSK[N_ID],0))</f>
        <v>#REF!</v>
      </c>
      <c r="D711" s="50">
        <f ca="1">IF(NOTA[[#This Row],[NAMA BARANG]]="","",INDEX(NOTA[ID],MATCH(,INDIRECT(ADDRESS(ROW(NOTA[ID]),COLUMN(NOTA[ID]))&amp;":"&amp;ADDRESS(ROW(),COLUMN(NOTA[ID]))),-1)))</f>
        <v>135</v>
      </c>
      <c r="E711" s="23">
        <v>44953</v>
      </c>
      <c r="F711" s="26" t="s">
        <v>57</v>
      </c>
      <c r="G711" s="26" t="s">
        <v>24</v>
      </c>
      <c r="H711" s="31" t="s">
        <v>862</v>
      </c>
      <c r="I711" s="26"/>
      <c r="J711" s="51">
        <v>44940</v>
      </c>
      <c r="K711" s="26"/>
      <c r="L711" s="26" t="s">
        <v>863</v>
      </c>
      <c r="M711" s="39">
        <v>3</v>
      </c>
      <c r="N711" s="26">
        <v>576</v>
      </c>
      <c r="O711" s="26" t="s">
        <v>104</v>
      </c>
      <c r="P711" s="49">
        <v>9500</v>
      </c>
      <c r="Q711" s="52"/>
      <c r="R711" s="39" t="s">
        <v>106</v>
      </c>
      <c r="S711" s="53">
        <v>0.05</v>
      </c>
      <c r="T711" s="53"/>
      <c r="U711" s="54"/>
      <c r="V711" s="37"/>
      <c r="W711" s="54">
        <f>IF(NOTA[[#This Row],[HARGA/ CTN]]="",NOTA[[#This Row],[JUMLAH_H]],NOTA[[#This Row],[HARGA/ CTN]]*IF(NOTA[[#This Row],[C]]="",0,NOTA[[#This Row],[C]]))</f>
        <v>5472000</v>
      </c>
      <c r="X711" s="54">
        <f>IF(NOTA[[#This Row],[JUMLAH]]="","",NOTA[[#This Row],[JUMLAH]]*NOTA[[#This Row],[DISC 1]])</f>
        <v>273600</v>
      </c>
      <c r="Y711" s="54">
        <f>IF(NOTA[[#This Row],[JUMLAH]]="","",(NOTA[[#This Row],[JUMLAH]]-NOTA[[#This Row],[DISC 1-]])*NOTA[[#This Row],[DISC 2]])</f>
        <v>0</v>
      </c>
      <c r="Z711" s="54">
        <f>IF(NOTA[[#This Row],[JUMLAH]]="","",NOTA[[#This Row],[DISC 1-]]+NOTA[[#This Row],[DISC 2-]])</f>
        <v>273600</v>
      </c>
      <c r="AA711" s="54">
        <f>IF(NOTA[[#This Row],[JUMLAH]]="","",NOTA[[#This Row],[JUMLAH]]-NOTA[[#This Row],[DISC]])</f>
        <v>5198400</v>
      </c>
      <c r="AB7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C7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D711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711" s="54">
        <f>IF(OR(NOTA[[#This Row],[QTY]]="",NOTA[[#This Row],[HARGA SATUAN]]="",),"",NOTA[[#This Row],[QTY]]*NOTA[[#This Row],[HARGA SATUAN]])</f>
        <v>5472000</v>
      </c>
      <c r="AF711" s="51">
        <f ca="1">IF(NOTA[ID_H]="","",INDEX(NOTA[TANGGAL],MATCH(,INDIRECT(ADDRESS(ROW(NOTA[TANGGAL]),COLUMN(NOTA[TANGGAL]))&amp;":"&amp;ADDRESS(ROW(),COLUMN(NOTA[TANGGAL]))),-1)))</f>
        <v>44953</v>
      </c>
      <c r="AG711" s="49" t="str">
        <f ca="1">IF(NOTA[[#This Row],[NAMA BARANG]]="","",INDEX(NOTA[SUPPLIER],MATCH(,INDIRECT(ADDRESS(ROW(NOTA[ID]),COLUMN(NOTA[ID]))&amp;":"&amp;ADDRESS(ROW(),COLUMN(NOTA[ID]))),-1)))</f>
        <v>SAMUDERA ANGKASA JAYA</v>
      </c>
      <c r="AH711" s="49" t="str">
        <f ca="1">IF(NOTA[[#This Row],[ID_H]]="","",IF(NOTA[[#This Row],[FAKTUR]]="",INDIRECT(ADDRESS(ROW()-1,COLUMN())),NOTA[[#This Row],[FAKTUR]]))</f>
        <v>ARTO MORO</v>
      </c>
      <c r="AI711" s="38">
        <f ca="1">IF(NOTA[[#This Row],[ID]]="","",COUNTIF(NOTA[ID_H],NOTA[[#This Row],[ID_H]]))</f>
        <v>1</v>
      </c>
      <c r="AJ711" s="38">
        <f>IF(NOTA[[#This Row],[TGL.NOTA]]="",IF(NOTA[[#This Row],[SUPPLIER_H]]="","",AJ710),MONTH(NOTA[[#This Row],[TGL.NOTA]]))</f>
        <v>1</v>
      </c>
      <c r="AK711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>pcmagc175822*7518240000.05</v>
      </c>
      <c r="AM711" s="193">
        <f>IF(NOTA[[#This Row],[CONCAT1]]="","",MATCH(NOTA[[#This Row],[CONCAT1]],[2]!db[NB NOTA_C],0)+1)</f>
        <v>1589</v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93" t="str">
        <f>IF(NOTA[[#This Row],[CONCAT1]]="","",MATCH(NOTA[[#This Row],[CONCAT1]],[2]!db[NB NOTA_C],0)+1)</f>
        <v/>
      </c>
    </row>
    <row r="713" spans="1:39" ht="20.100000000000001" customHeight="1" x14ac:dyDescent="0.25">
      <c r="A713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13" s="50" t="e">
        <f ca="1">IF(NOTA[[#This Row],[ID_P]]="","",MATCH(NOTA[[#This Row],[ID_P]],[1]!B_MSK[N_ID],0))</f>
        <v>#REF!</v>
      </c>
      <c r="D713" s="50">
        <f ca="1">IF(NOTA[[#This Row],[NAMA BARANG]]="","",INDEX(NOTA[ID],MATCH(,INDIRECT(ADDRESS(ROW(NOTA[ID]),COLUMN(NOTA[ID]))&amp;":"&amp;ADDRESS(ROW(),COLUMN(NOTA[ID]))),-1)))</f>
        <v>136</v>
      </c>
      <c r="E713" s="23"/>
      <c r="F713" s="26" t="s">
        <v>901</v>
      </c>
      <c r="G713" s="26" t="s">
        <v>87</v>
      </c>
      <c r="H713" s="31" t="s">
        <v>867</v>
      </c>
      <c r="I713" s="26"/>
      <c r="J713" s="51">
        <v>44942</v>
      </c>
      <c r="K713" s="26"/>
      <c r="L713" s="26" t="s">
        <v>868</v>
      </c>
      <c r="M713" s="39">
        <v>3</v>
      </c>
      <c r="N713" s="26">
        <v>1500</v>
      </c>
      <c r="O713" s="26" t="s">
        <v>104</v>
      </c>
      <c r="P713" s="49">
        <v>28500</v>
      </c>
      <c r="Q713" s="52"/>
      <c r="R713" s="39"/>
      <c r="S713" s="53"/>
      <c r="T713" s="53"/>
      <c r="U713" s="54"/>
      <c r="V713" s="37"/>
      <c r="W713" s="54">
        <f>IF(NOTA[[#This Row],[HARGA/ CTN]]="",NOTA[[#This Row],[JUMLAH_H]],NOTA[[#This Row],[HARGA/ CTN]]*IF(NOTA[[#This Row],[C]]="",0,NOTA[[#This Row],[C]]))</f>
        <v>42750000</v>
      </c>
      <c r="X713" s="54">
        <f>IF(NOTA[[#This Row],[JUMLAH]]="","",NOTA[[#This Row],[JUMLAH]]*NOTA[[#This Row],[DISC 1]])</f>
        <v>0</v>
      </c>
      <c r="Y713" s="54">
        <f>IF(NOTA[[#This Row],[JUMLAH]]="","",(NOTA[[#This Row],[JUMLAH]]-NOTA[[#This Row],[DISC 1-]])*NOTA[[#This Row],[DISC 2]])</f>
        <v>0</v>
      </c>
      <c r="Z713" s="54">
        <f>IF(NOTA[[#This Row],[JUMLAH]]="","",NOTA[[#This Row],[DISC 1-]]+NOTA[[#This Row],[DISC 2-]])</f>
        <v>0</v>
      </c>
      <c r="AA713" s="54">
        <f>IF(NOTA[[#This Row],[JUMLAH]]="","",NOTA[[#This Row],[JUMLAH]]-NOTA[[#This Row],[DISC]])</f>
        <v>42750000</v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>
        <f>IF(NOTA[[#This Row],[NAMA BARANG]]="","",IF(NOTA[[#This Row],[JUMLAH_H]]="",NOTA[[#This Row],[HARGA/ CTN]],NOTA[[#This Row],[QTY]]*NOTA[[#This Row],[HARGA SATUAN]]/IF(ISNUMBER(NOTA[[#This Row],[C]]),NOTA[[#This Row],[C]],1)))</f>
        <v>14250000</v>
      </c>
      <c r="AE713" s="54">
        <f>IF(OR(NOTA[[#This Row],[QTY]]="",NOTA[[#This Row],[HARGA SATUAN]]="",),"",NOTA[[#This Row],[QTY]]*NOTA[[#This Row],[HARGA SATUAN]])</f>
        <v>42750000</v>
      </c>
      <c r="AF713" s="51">
        <f ca="1">IF(NOTA[ID_H]="","",INDEX(NOTA[TANGGAL],MATCH(,INDIRECT(ADDRESS(ROW(NOTA[TANGGAL]),COLUMN(NOTA[TANGGAL]))&amp;":"&amp;ADDRESS(ROW(),COLUMN(NOTA[TANGGAL]))),-1)))</f>
        <v>44953</v>
      </c>
      <c r="AG713" s="49" t="str">
        <f ca="1">IF(NOTA[[#This Row],[NAMA BARANG]]="","",INDEX(NOTA[SUPPLIER],MATCH(,INDIRECT(ADDRESS(ROW(NOTA[ID]),COLUMN(NOTA[ID]))&amp;":"&amp;ADDRESS(ROW(),COLUMN(NOTA[ID]))),-1)))</f>
        <v>SALIKAH</v>
      </c>
      <c r="AH713" s="49" t="str">
        <f ca="1">IF(NOTA[[#This Row],[ID_H]]="","",IF(NOTA[[#This Row],[FAKTUR]]="",INDIRECT(ADDRESS(ROW()-1,COLUMN())),NOTA[[#This Row],[FAKTUR]]))</f>
        <v>UNTANA</v>
      </c>
      <c r="AI713" s="38">
        <f ca="1">IF(NOTA[[#This Row],[ID]]="","",COUNTIF(NOTA[ID_H],NOTA[[#This Row],[ID_H]]))</f>
        <v>2</v>
      </c>
      <c r="AJ713" s="38">
        <f>IF(NOTA[[#This Row],[TGL.NOTA]]="",IF(NOTA[[#This Row],[SUPPLIER_H]]="","",AJ741),MONTH(NOTA[[#This Row],[TGL.NOTA]]))</f>
        <v>1</v>
      </c>
      <c r="AK713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>sulingyamaha14250000</v>
      </c>
      <c r="AM713" s="193">
        <f>IF(NOTA[[#This Row],[CONCAT1]]="","",MATCH(NOTA[[#This Row],[CONCAT1]],[2]!db[NB NOTA_C],0)+1)</f>
        <v>1956</v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>
        <f ca="1">IF(NOTA[[#This Row],[NAMA BARANG]]="","",INDEX(NOTA[ID],MATCH(,INDIRECT(ADDRESS(ROW(NOTA[ID]),COLUMN(NOTA[ID]))&amp;":"&amp;ADDRESS(ROW(),COLUMN(NOTA[ID]))),-1)))</f>
        <v>136</v>
      </c>
      <c r="E714" s="23"/>
      <c r="F714" s="26"/>
      <c r="G714" s="26"/>
      <c r="H714" s="31"/>
      <c r="I714" s="26"/>
      <c r="J714" s="51"/>
      <c r="K714" s="26"/>
      <c r="L714" s="26" t="s">
        <v>869</v>
      </c>
      <c r="M714" s="39">
        <v>10</v>
      </c>
      <c r="N714" s="26">
        <v>100</v>
      </c>
      <c r="O714" s="26" t="s">
        <v>104</v>
      </c>
      <c r="P714" s="49">
        <v>115000</v>
      </c>
      <c r="Q714" s="52"/>
      <c r="R714" s="39"/>
      <c r="S714" s="53"/>
      <c r="T714" s="53"/>
      <c r="U714" s="54"/>
      <c r="V714" s="37"/>
      <c r="W714" s="54">
        <f>IF(NOTA[[#This Row],[HARGA/ CTN]]="",NOTA[[#This Row],[JUMLAH_H]],NOTA[[#This Row],[HARGA/ CTN]]*IF(NOTA[[#This Row],[C]]="",0,NOTA[[#This Row],[C]]))</f>
        <v>11500000</v>
      </c>
      <c r="X714" s="54">
        <f>IF(NOTA[[#This Row],[JUMLAH]]="","",NOTA[[#This Row],[JUMLAH]]*NOTA[[#This Row],[DISC 1]])</f>
        <v>0</v>
      </c>
      <c r="Y714" s="54">
        <f>IF(NOTA[[#This Row],[JUMLAH]]="","",(NOTA[[#This Row],[JUMLAH]]-NOTA[[#This Row],[DISC 1-]])*NOTA[[#This Row],[DISC 2]])</f>
        <v>0</v>
      </c>
      <c r="Z714" s="54">
        <f>IF(NOTA[[#This Row],[JUMLAH]]="","",NOTA[[#This Row],[DISC 1-]]+NOTA[[#This Row],[DISC 2-]])</f>
        <v>0</v>
      </c>
      <c r="AA714" s="54">
        <f>IF(NOTA[[#This Row],[JUMLAH]]="","",NOTA[[#This Row],[JUMLAH]]-NOTA[[#This Row],[DISC]])</f>
        <v>11500000</v>
      </c>
      <c r="AB7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D714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4" s="54">
        <f>IF(OR(NOTA[[#This Row],[QTY]]="",NOTA[[#This Row],[HARGA SATUAN]]="",),"",NOTA[[#This Row],[QTY]]*NOTA[[#This Row],[HARGA SATUAN]])</f>
        <v>11500000</v>
      </c>
      <c r="AF714" s="51">
        <f ca="1">IF(NOTA[ID_H]="","",INDEX(NOTA[TANGGAL],MATCH(,INDIRECT(ADDRESS(ROW(NOTA[TANGGAL]),COLUMN(NOTA[TANGGAL]))&amp;":"&amp;ADDRESS(ROW(),COLUMN(NOTA[TANGGAL]))),-1)))</f>
        <v>44953</v>
      </c>
      <c r="AG714" s="49" t="str">
        <f ca="1">IF(NOTA[[#This Row],[NAMA BARANG]]="","",INDEX(NOTA[SUPPLIER],MATCH(,INDIRECT(ADDRESS(ROW(NOTA[ID]),COLUMN(NOTA[ID]))&amp;":"&amp;ADDRESS(ROW(),COLUMN(NOTA[ID]))),-1)))</f>
        <v>SALIKAH</v>
      </c>
      <c r="AH714" s="49" t="str">
        <f ca="1">IF(NOTA[[#This Row],[ID_H]]="","",IF(NOTA[[#This Row],[FAKTUR]]="",INDIRECT(ADDRESS(ROW()-1,COLUMN())),NOTA[[#This Row],[FAKTUR]]))</f>
        <v>UNTANA</v>
      </c>
      <c r="AI714" s="38" t="str">
        <f ca="1">IF(NOTA[[#This Row],[ID]]="","",COUNTIF(NOTA[ID_H],NOTA[[#This Row],[ID_H]]))</f>
        <v/>
      </c>
      <c r="AJ714" s="38">
        <f ca="1">IF(NOTA[[#This Row],[TGL.NOTA]]="",IF(NOTA[[#This Row],[SUPPLIER_H]]="","",AJ713),MONTH(NOTA[[#This Row],[TGL.NOTA]]))</f>
        <v>1</v>
      </c>
      <c r="AK714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714" s="193" t="e">
        <f>IF(NOTA[[#This Row],[CONCAT1]]="","",MATCH(NOTA[[#This Row],[CONCAT1]],[2]!db[NB NOTA_C],0)+1)</f>
        <v>#N/A</v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93" t="str">
        <f>IF(NOTA[[#This Row],[CONCAT1]]="","",MATCH(NOTA[[#This Row],[CONCAT1]],[2]!db[NB NOTA_C],0)+1)</f>
        <v/>
      </c>
    </row>
    <row r="716" spans="1:39" ht="20.100000000000001" customHeight="1" x14ac:dyDescent="0.25">
      <c r="A716" s="57">
        <f ca="1">IF(INDIRECT(ADDRESS(ROW()-1,COLUMN(NOTA[[#Headers],[ID]])))="ID",1,IF(NOTA[[#This Row],[FAKTUR]]="","",COUNT(INDIRECT(ADDRESS(ROW(NOTA[ID]),COLUMN(NOTA[ID]))&amp;":"&amp;ADDRESS(ROW()-1,COLUMN(NOTA[ID]))))+1))</f>
        <v>137</v>
      </c>
      <c r="B71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16" s="58" t="e">
        <f ca="1">IF(NOTA[[#This Row],[ID_P]]="","",MATCH(NOTA[[#This Row],[ID_P]],[1]!B_MSK[N_ID],0))</f>
        <v>#REF!</v>
      </c>
      <c r="D716" s="58">
        <f ca="1">IF(NOTA[[#This Row],[NAMA BARANG]]="","",INDEX(NOTA[ID],MATCH(,INDIRECT(ADDRESS(ROW(NOTA[ID]),COLUMN(NOTA[ID]))&amp;":"&amp;ADDRESS(ROW(),COLUMN(NOTA[ID]))),-1)))</f>
        <v>137</v>
      </c>
      <c r="E716" s="61"/>
      <c r="F716" s="26" t="s">
        <v>599</v>
      </c>
      <c r="G716" s="26" t="s">
        <v>87</v>
      </c>
      <c r="H716" s="31" t="s">
        <v>870</v>
      </c>
      <c r="I716" s="62"/>
      <c r="J716" s="60">
        <v>44950</v>
      </c>
      <c r="K716" s="62"/>
      <c r="L716" s="26" t="s">
        <v>872</v>
      </c>
      <c r="M716" s="63">
        <v>1</v>
      </c>
      <c r="N716" s="62">
        <v>12</v>
      </c>
      <c r="O716" s="26" t="s">
        <v>90</v>
      </c>
      <c r="P716" s="57">
        <v>216000</v>
      </c>
      <c r="Q716" s="64"/>
      <c r="R716" s="39"/>
      <c r="S716" s="117">
        <v>0.05</v>
      </c>
      <c r="T716" s="117">
        <v>0.1</v>
      </c>
      <c r="U716" s="59"/>
      <c r="V716" s="37"/>
      <c r="W716" s="59">
        <f>IF(NOTA[[#This Row],[HARGA/ CTN]]="",NOTA[[#This Row],[JUMLAH_H]],NOTA[[#This Row],[HARGA/ CTN]]*IF(NOTA[[#This Row],[C]]="",0,NOTA[[#This Row],[C]]))</f>
        <v>2592000</v>
      </c>
      <c r="X716" s="59">
        <f>IF(NOTA[[#This Row],[JUMLAH]]="","",NOTA[[#This Row],[JUMLAH]]*NOTA[[#This Row],[DISC 1]])</f>
        <v>129600</v>
      </c>
      <c r="Y716" s="59">
        <f>IF(NOTA[[#This Row],[JUMLAH]]="","",(NOTA[[#This Row],[JUMLAH]]-NOTA[[#This Row],[DISC 1-]])*NOTA[[#This Row],[DISC 2]])</f>
        <v>246240</v>
      </c>
      <c r="Z716" s="59">
        <f>IF(NOTA[[#This Row],[JUMLAH]]="","",NOTA[[#This Row],[DISC 1-]]+NOTA[[#This Row],[DISC 2-]])</f>
        <v>375840</v>
      </c>
      <c r="AA716" s="59">
        <f>IF(NOTA[[#This Row],[JUMLAH]]="","",NOTA[[#This Row],[JUMLAH]]-NOTA[[#This Row],[DISC]])</f>
        <v>2216160</v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716" s="59">
        <f>IF(OR(NOTA[[#This Row],[QTY]]="",NOTA[[#This Row],[HARGA SATUAN]]="",),"",NOTA[[#This Row],[QTY]]*NOTA[[#This Row],[HARGA SATUAN]])</f>
        <v>2592000</v>
      </c>
      <c r="AF716" s="60">
        <f ca="1">IF(NOTA[ID_H]="","",INDEX(NOTA[TANGGAL],MATCH(,INDIRECT(ADDRESS(ROW(NOTA[TANGGAL]),COLUMN(NOTA[TANGGAL]))&amp;":"&amp;ADDRESS(ROW(),COLUMN(NOTA[TANGGAL]))),-1)))</f>
        <v>44953</v>
      </c>
      <c r="AG716" s="57" t="str">
        <f ca="1">IF(NOTA[[#This Row],[NAMA BARANG]]="","",INDEX(NOTA[SUPPLIER],MATCH(,INDIRECT(ADDRESS(ROW(NOTA[ID]),COLUMN(NOTA[ID]))&amp;":"&amp;ADDRESS(ROW(),COLUMN(NOTA[ID]))),-1)))</f>
        <v>GUNINDO</v>
      </c>
      <c r="AH716" s="57" t="str">
        <f ca="1">IF(NOTA[[#This Row],[ID_H]]="","",IF(NOTA[[#This Row],[FAKTUR]]="",INDIRECT(ADDRESS(ROW()-1,COLUMN())),NOTA[[#This Row],[FAKTUR]]))</f>
        <v>UNTANA</v>
      </c>
      <c r="AI716" s="38">
        <f ca="1">IF(NOTA[[#This Row],[ID]]="","",COUNTIF(NOTA[ID_H],NOTA[[#This Row],[ID_H]]))</f>
        <v>4</v>
      </c>
      <c r="AJ716" s="38">
        <f>IF(NOTA[[#This Row],[TGL.NOTA]]="",IF(NOTA[[#This Row],[SUPPLIER_H]]="","",AJ715),MONTH(NOTA[[#This Row],[TGL.NOTA]]))</f>
        <v>1</v>
      </c>
      <c r="AK716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>sulinggds23solid25920000.050.1</v>
      </c>
      <c r="AM716" s="193" t="e">
        <f>IF(NOTA[[#This Row],[CONCAT1]]="","",MATCH(NOTA[[#This Row],[CONCAT1]],[2]!db[NB NOTA_C],0)+1)</f>
        <v>#N/A</v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>
        <f ca="1">IF(NOTA[[#This Row],[NAMA BARANG]]="","",INDEX(NOTA[ID],MATCH(,INDIRECT(ADDRESS(ROW(NOTA[ID]),COLUMN(NOTA[ID]))&amp;":"&amp;ADDRESS(ROW(),COLUMN(NOTA[ID]))),-1)))</f>
        <v>137</v>
      </c>
      <c r="E717" s="61"/>
      <c r="F717" s="62"/>
      <c r="G717" s="62"/>
      <c r="H717" s="107"/>
      <c r="I717" s="62"/>
      <c r="J717" s="60"/>
      <c r="K717" s="62"/>
      <c r="L717" s="26" t="s">
        <v>871</v>
      </c>
      <c r="M717" s="63">
        <v>1</v>
      </c>
      <c r="N717" s="62">
        <v>30</v>
      </c>
      <c r="O717" s="26" t="s">
        <v>90</v>
      </c>
      <c r="P717" s="57">
        <v>70000</v>
      </c>
      <c r="Q717" s="64"/>
      <c r="R717" s="39"/>
      <c r="S717" s="117">
        <v>0.05</v>
      </c>
      <c r="T717" s="117">
        <v>0.1</v>
      </c>
      <c r="U717" s="59"/>
      <c r="V717" s="37"/>
      <c r="W717" s="59">
        <f>IF(NOTA[[#This Row],[HARGA/ CTN]]="",NOTA[[#This Row],[JUMLAH_H]],NOTA[[#This Row],[HARGA/ CTN]]*IF(NOTA[[#This Row],[C]]="",0,NOTA[[#This Row],[C]]))</f>
        <v>2100000</v>
      </c>
      <c r="X717" s="59">
        <f>IF(NOTA[[#This Row],[JUMLAH]]="","",NOTA[[#This Row],[JUMLAH]]*NOTA[[#This Row],[DISC 1]])</f>
        <v>105000</v>
      </c>
      <c r="Y717" s="59">
        <f>IF(NOTA[[#This Row],[JUMLAH]]="","",(NOTA[[#This Row],[JUMLAH]]-NOTA[[#This Row],[DISC 1-]])*NOTA[[#This Row],[DISC 2]])</f>
        <v>199500</v>
      </c>
      <c r="Z717" s="59">
        <f>IF(NOTA[[#This Row],[JUMLAH]]="","",NOTA[[#This Row],[DISC 1-]]+NOTA[[#This Row],[DISC 2-]])</f>
        <v>304500</v>
      </c>
      <c r="AA717" s="59">
        <f>IF(NOTA[[#This Row],[JUMLAH]]="","",NOTA[[#This Row],[JUMLAH]]-NOTA[[#This Row],[DISC]])</f>
        <v>1795500</v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717" s="59">
        <f>IF(OR(NOTA[[#This Row],[QTY]]="",NOTA[[#This Row],[HARGA SATUAN]]="",),"",NOTA[[#This Row],[QTY]]*NOTA[[#This Row],[HARGA SATUAN]])</f>
        <v>2100000</v>
      </c>
      <c r="AF717" s="60">
        <f ca="1">IF(NOTA[ID_H]="","",INDEX(NOTA[TANGGAL],MATCH(,INDIRECT(ADDRESS(ROW(NOTA[TANGGAL]),COLUMN(NOTA[TANGGAL]))&amp;":"&amp;ADDRESS(ROW(),COLUMN(NOTA[TANGGAL]))),-1)))</f>
        <v>44953</v>
      </c>
      <c r="AG717" s="57" t="str">
        <f ca="1">IF(NOTA[[#This Row],[NAMA BARANG]]="","",INDEX(NOTA[SUPPLIER],MATCH(,INDIRECT(ADDRESS(ROW(NOTA[ID]),COLUMN(NOTA[ID]))&amp;":"&amp;ADDRESS(ROW(),COLUMN(NOTA[ID]))),-1)))</f>
        <v>GUNINDO</v>
      </c>
      <c r="AH717" s="57" t="str">
        <f ca="1">IF(NOTA[[#This Row],[ID_H]]="","",IF(NOTA[[#This Row],[FAKTUR]]="",INDIRECT(ADDRESS(ROW()-1,COLUMN())),NOTA[[#This Row],[FAKTUR]]))</f>
        <v>UNTANA</v>
      </c>
      <c r="AI717" s="38" t="str">
        <f ca="1">IF(NOTA[[#This Row],[ID]]="","",COUNTIF(NOTA[ID_H],NOTA[[#This Row],[ID_H]]))</f>
        <v/>
      </c>
      <c r="AJ717" s="38">
        <f ca="1">IF(NOTA[[#This Row],[TGL.NOTA]]="",IF(NOTA[[#This Row],[SUPPLIER_H]]="","",AJ716),MONTH(NOTA[[#This Row],[TGL.NOTA]]))</f>
        <v>1</v>
      </c>
      <c r="AK717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717" s="193">
        <f>IF(NOTA[[#This Row],[CONCAT1]]="","",MATCH(NOTA[[#This Row],[CONCAT1]],[2]!db[NB NOTA_C],0)+1)</f>
        <v>950</v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>
        <f ca="1">IF(NOTA[[#This Row],[NAMA BARANG]]="","",INDEX(NOTA[ID],MATCH(,INDIRECT(ADDRESS(ROW(NOTA[ID]),COLUMN(NOTA[ID]))&amp;":"&amp;ADDRESS(ROW(),COLUMN(NOTA[ID]))),-1)))</f>
        <v>137</v>
      </c>
      <c r="E718" s="61"/>
      <c r="F718" s="26"/>
      <c r="G718" s="26"/>
      <c r="H718" s="31"/>
      <c r="I718" s="62"/>
      <c r="J718" s="60"/>
      <c r="K718" s="62"/>
      <c r="L718" s="26" t="s">
        <v>873</v>
      </c>
      <c r="M718" s="63">
        <v>2</v>
      </c>
      <c r="N718" s="62">
        <v>120</v>
      </c>
      <c r="O718" s="26" t="s">
        <v>90</v>
      </c>
      <c r="P718" s="57">
        <v>47500</v>
      </c>
      <c r="Q718" s="64"/>
      <c r="R718" s="39"/>
      <c r="S718" s="117">
        <v>0.05</v>
      </c>
      <c r="T718" s="117">
        <v>0.1</v>
      </c>
      <c r="U718" s="59"/>
      <c r="V718" s="37"/>
      <c r="W718" s="59">
        <f>IF(NOTA[[#This Row],[HARGA/ CTN]]="",NOTA[[#This Row],[JUMLAH_H]],NOTA[[#This Row],[HARGA/ CTN]]*IF(NOTA[[#This Row],[C]]="",0,NOTA[[#This Row],[C]]))</f>
        <v>5700000</v>
      </c>
      <c r="X718" s="59">
        <f>IF(NOTA[[#This Row],[JUMLAH]]="","",NOTA[[#This Row],[JUMLAH]]*NOTA[[#This Row],[DISC 1]])</f>
        <v>285000</v>
      </c>
      <c r="Y718" s="59">
        <f>IF(NOTA[[#This Row],[JUMLAH]]="","",(NOTA[[#This Row],[JUMLAH]]-NOTA[[#This Row],[DISC 1-]])*NOTA[[#This Row],[DISC 2]])</f>
        <v>541500</v>
      </c>
      <c r="Z718" s="59">
        <f>IF(NOTA[[#This Row],[JUMLAH]]="","",NOTA[[#This Row],[DISC 1-]]+NOTA[[#This Row],[DISC 2-]])</f>
        <v>826500</v>
      </c>
      <c r="AA718" s="59">
        <f>IF(NOTA[[#This Row],[JUMLAH]]="","",NOTA[[#This Row],[JUMLAH]]-NOTA[[#This Row],[DISC]])</f>
        <v>4873500</v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718" s="59">
        <f>IF(OR(NOTA[[#This Row],[QTY]]="",NOTA[[#This Row],[HARGA SATUAN]]="",),"",NOTA[[#This Row],[QTY]]*NOTA[[#This Row],[HARGA SATUAN]])</f>
        <v>5700000</v>
      </c>
      <c r="AF718" s="60">
        <f ca="1">IF(NOTA[ID_H]="","",INDEX(NOTA[TANGGAL],MATCH(,INDIRECT(ADDRESS(ROW(NOTA[TANGGAL]),COLUMN(NOTA[TANGGAL]))&amp;":"&amp;ADDRESS(ROW(),COLUMN(NOTA[TANGGAL]))),-1)))</f>
        <v>44953</v>
      </c>
      <c r="AG718" s="57" t="str">
        <f ca="1">IF(NOTA[[#This Row],[NAMA BARANG]]="","",INDEX(NOTA[SUPPLIER],MATCH(,INDIRECT(ADDRESS(ROW(NOTA[ID]),COLUMN(NOTA[ID]))&amp;":"&amp;ADDRESS(ROW(),COLUMN(NOTA[ID]))),-1)))</f>
        <v>GUNINDO</v>
      </c>
      <c r="AH718" s="57" t="str">
        <f ca="1">IF(NOTA[[#This Row],[ID_H]]="","",IF(NOTA[[#This Row],[FAKTUR]]="",INDIRECT(ADDRESS(ROW()-1,COLUMN())),NOTA[[#This Row],[FAKTUR]]))</f>
        <v>UNTANA</v>
      </c>
      <c r="AI718" s="38" t="str">
        <f ca="1">IF(NOTA[[#This Row],[ID]]="","",COUNTIF(NOTA[ID_H],NOTA[[#This Row],[ID_H]]))</f>
        <v/>
      </c>
      <c r="AJ718" s="38">
        <f ca="1">IF(NOTA[[#This Row],[TGL.NOTA]]="",IF(NOTA[[#This Row],[SUPPLIER_H]]="","",AJ717),MONTH(NOTA[[#This Row],[TGL.NOTA]]))</f>
        <v>1</v>
      </c>
      <c r="AK718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718" s="193" t="e">
        <f>IF(NOTA[[#This Row],[CONCAT1]]="","",MATCH(NOTA[[#This Row],[CONCAT1]],[2]!db[NB NOTA_C],0)+1)</f>
        <v>#N/A</v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>
        <f ca="1">IF(NOTA[[#This Row],[NAMA BARANG]]="","",INDEX(NOTA[ID],MATCH(,INDIRECT(ADDRESS(ROW(NOTA[ID]),COLUMN(NOTA[ID]))&amp;":"&amp;ADDRESS(ROW(),COLUMN(NOTA[ID]))),-1)))</f>
        <v>137</v>
      </c>
      <c r="E719" s="61"/>
      <c r="F719" s="62"/>
      <c r="G719" s="62"/>
      <c r="H719" s="107"/>
      <c r="I719" s="62"/>
      <c r="J719" s="60"/>
      <c r="K719" s="62"/>
      <c r="L719" s="26" t="s">
        <v>874</v>
      </c>
      <c r="M719" s="63">
        <v>1</v>
      </c>
      <c r="N719" s="62">
        <v>20</v>
      </c>
      <c r="O719" s="26" t="s">
        <v>90</v>
      </c>
      <c r="P719" s="57">
        <v>138600</v>
      </c>
      <c r="Q719" s="64"/>
      <c r="R719" s="39"/>
      <c r="S719" s="117">
        <v>0.05</v>
      </c>
      <c r="T719" s="117">
        <v>0.1</v>
      </c>
      <c r="U719" s="59"/>
      <c r="V719" s="37"/>
      <c r="W719" s="59">
        <f>IF(NOTA[[#This Row],[HARGA/ CTN]]="",NOTA[[#This Row],[JUMLAH_H]],NOTA[[#This Row],[HARGA/ CTN]]*IF(NOTA[[#This Row],[C]]="",0,NOTA[[#This Row],[C]]))</f>
        <v>2772000</v>
      </c>
      <c r="X719" s="59">
        <f>IF(NOTA[[#This Row],[JUMLAH]]="","",NOTA[[#This Row],[JUMLAH]]*NOTA[[#This Row],[DISC 1]])</f>
        <v>138600</v>
      </c>
      <c r="Y719" s="59">
        <f>IF(NOTA[[#This Row],[JUMLAH]]="","",(NOTA[[#This Row],[JUMLAH]]-NOTA[[#This Row],[DISC 1-]])*NOTA[[#This Row],[DISC 2]])</f>
        <v>263340</v>
      </c>
      <c r="Z719" s="59">
        <f>IF(NOTA[[#This Row],[JUMLAH]]="","",NOTA[[#This Row],[DISC 1-]]+NOTA[[#This Row],[DISC 2-]])</f>
        <v>401940</v>
      </c>
      <c r="AA719" s="59">
        <f>IF(NOTA[[#This Row],[JUMLAH]]="","",NOTA[[#This Row],[JUMLAH]]-NOTA[[#This Row],[DISC]])</f>
        <v>2370060</v>
      </c>
      <c r="AB71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C71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D719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719" s="59">
        <f>IF(OR(NOTA[[#This Row],[QTY]]="",NOTA[[#This Row],[HARGA SATUAN]]="",),"",NOTA[[#This Row],[QTY]]*NOTA[[#This Row],[HARGA SATUAN]])</f>
        <v>2772000</v>
      </c>
      <c r="AF719" s="60">
        <f ca="1">IF(NOTA[ID_H]="","",INDEX(NOTA[TANGGAL],MATCH(,INDIRECT(ADDRESS(ROW(NOTA[TANGGAL]),COLUMN(NOTA[TANGGAL]))&amp;":"&amp;ADDRESS(ROW(),COLUMN(NOTA[TANGGAL]))),-1)))</f>
        <v>44953</v>
      </c>
      <c r="AG719" s="57" t="str">
        <f ca="1">IF(NOTA[[#This Row],[NAMA BARANG]]="","",INDEX(NOTA[SUPPLIER],MATCH(,INDIRECT(ADDRESS(ROW(NOTA[ID]),COLUMN(NOTA[ID]))&amp;":"&amp;ADDRESS(ROW(),COLUMN(NOTA[ID]))),-1)))</f>
        <v>GUNINDO</v>
      </c>
      <c r="AH719" s="57" t="str">
        <f ca="1">IF(NOTA[[#This Row],[ID_H]]="","",IF(NOTA[[#This Row],[FAKTUR]]="",INDIRECT(ADDRESS(ROW()-1,COLUMN())),NOTA[[#This Row],[FAKTUR]]))</f>
        <v>UNTANA</v>
      </c>
      <c r="AI719" s="38" t="str">
        <f ca="1">IF(NOTA[[#This Row],[ID]]="","",COUNTIF(NOTA[ID_H],NOTA[[#This Row],[ID_H]]))</f>
        <v/>
      </c>
      <c r="AJ719" s="38">
        <f ca="1">IF(NOTA[[#This Row],[TGL.NOTA]]="",IF(NOTA[[#This Row],[SUPPLIER_H]]="","",AJ718),MONTH(NOTA[[#This Row],[TGL.NOTA]]))</f>
        <v>1</v>
      </c>
      <c r="AK719" s="38" t="str">
        <f>LOWER(SUBSTITUTE(SUBSTITUTE(SUBSTITUTE(SUBSTITUTE(SUBSTITUTE(SUBSTITUTE(SUBSTITUTE(SUBSTITUTE(SUBSTITUTE(NOTA[NAMA BARANG]," ",),".",""),"-",""),"(",""),")",""),",",""),"/",""),"""",""),"+",""))</f>
        <v>hb75gunindo</v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>hb75gunindo27720000.050.1</v>
      </c>
      <c r="AM719" s="193">
        <f>IF(NOTA[[#This Row],[CONCAT1]]="","",MATCH(NOTA[[#This Row],[CONCAT1]],[2]!db[NB NOTA_C],0)+1)</f>
        <v>952</v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93" t="str">
        <f>IF(NOTA[[#This Row],[CONCAT1]]="","",MATCH(NOTA[[#This Row],[CONCAT1]],[2]!db[NB NOTA_C],0)+1)</f>
        <v/>
      </c>
    </row>
    <row r="721" spans="1:39" ht="20.100000000000001" customHeight="1" x14ac:dyDescent="0.25">
      <c r="A721" s="57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1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21" s="58" t="e">
        <f ca="1">IF(NOTA[[#This Row],[ID_P]]="","",MATCH(NOTA[[#This Row],[ID_P]],[1]!B_MSK[N_ID],0))</f>
        <v>#REF!</v>
      </c>
      <c r="D721" s="58">
        <f ca="1">IF(NOTA[[#This Row],[NAMA BARANG]]="","",INDEX(NOTA[ID],MATCH(,INDIRECT(ADDRESS(ROW(NOTA[ID]),COLUMN(NOTA[ID]))&amp;":"&amp;ADDRESS(ROW(),COLUMN(NOTA[ID]))),-1)))</f>
        <v>138</v>
      </c>
      <c r="E721" s="61"/>
      <c r="F721" s="26" t="s">
        <v>285</v>
      </c>
      <c r="G721" s="26" t="s">
        <v>87</v>
      </c>
      <c r="H721" s="31" t="s">
        <v>875</v>
      </c>
      <c r="I721" s="62"/>
      <c r="J721" s="60">
        <v>44953</v>
      </c>
      <c r="K721" s="62"/>
      <c r="L721" s="26" t="s">
        <v>865</v>
      </c>
      <c r="M721" s="63"/>
      <c r="N721" s="62">
        <v>4</v>
      </c>
      <c r="O721" s="26" t="s">
        <v>90</v>
      </c>
      <c r="P721" s="57">
        <v>39000</v>
      </c>
      <c r="Q721" s="64"/>
      <c r="R721" s="39"/>
      <c r="S721" s="117"/>
      <c r="T721" s="117"/>
      <c r="U721" s="59"/>
      <c r="V721" s="37"/>
      <c r="W721" s="59">
        <f>IF(NOTA[[#This Row],[HARGA/ CTN]]="",NOTA[[#This Row],[JUMLAH_H]],NOTA[[#This Row],[HARGA/ CTN]]*IF(NOTA[[#This Row],[C]]="",0,NOTA[[#This Row],[C]]))</f>
        <v>156000</v>
      </c>
      <c r="X721" s="59">
        <f>IF(NOTA[[#This Row],[JUMLAH]]="","",NOTA[[#This Row],[JUMLAH]]*NOTA[[#This Row],[DISC 1]])</f>
        <v>0</v>
      </c>
      <c r="Y721" s="59">
        <f>IF(NOTA[[#This Row],[JUMLAH]]="","",(NOTA[[#This Row],[JUMLAH]]-NOTA[[#This Row],[DISC 1-]])*NOTA[[#This Row],[DISC 2]])</f>
        <v>0</v>
      </c>
      <c r="Z721" s="59">
        <f>IF(NOTA[[#This Row],[JUMLAH]]="","",NOTA[[#This Row],[DISC 1-]]+NOTA[[#This Row],[DISC 2-]])</f>
        <v>0</v>
      </c>
      <c r="AA721" s="59">
        <f>IF(NOTA[[#This Row],[JUMLAH]]="","",NOTA[[#This Row],[JUMLAH]]-NOTA[[#This Row],[DISC]])</f>
        <v>156000</v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E721" s="59">
        <f>IF(OR(NOTA[[#This Row],[QTY]]="",NOTA[[#This Row],[HARGA SATUAN]]="",),"",NOTA[[#This Row],[QTY]]*NOTA[[#This Row],[HARGA SATUAN]])</f>
        <v>156000</v>
      </c>
      <c r="AF721" s="60">
        <f ca="1">IF(NOTA[ID_H]="","",INDEX(NOTA[TANGGAL],MATCH(,INDIRECT(ADDRESS(ROW(NOTA[TANGGAL]),COLUMN(NOTA[TANGGAL]))&amp;":"&amp;ADDRESS(ROW(),COLUMN(NOTA[TANGGAL]))),-1)))</f>
        <v>44953</v>
      </c>
      <c r="AG721" s="57" t="str">
        <f ca="1">IF(NOTA[[#This Row],[NAMA BARANG]]="","",INDEX(NOTA[SUPPLIER],MATCH(,INDIRECT(ADDRESS(ROW(NOTA[ID]),COLUMN(NOTA[ID]))&amp;":"&amp;ADDRESS(ROW(),COLUMN(NOTA[ID]))),-1)))</f>
        <v>HANSA</v>
      </c>
      <c r="AH721" s="57" t="str">
        <f ca="1">IF(NOTA[[#This Row],[ID_H]]="","",IF(NOTA[[#This Row],[FAKTUR]]="",INDIRECT(ADDRESS(ROW()-1,COLUMN())),NOTA[[#This Row],[FAKTUR]]))</f>
        <v>UNTANA</v>
      </c>
      <c r="AI721" s="38">
        <f ca="1">IF(NOTA[[#This Row],[ID]]="","",COUNTIF(NOTA[ID_H],NOTA[[#This Row],[ID_H]]))</f>
        <v>2</v>
      </c>
      <c r="AJ721" s="38">
        <f>IF(NOTA[[#This Row],[TGL.NOTA]]="",IF(NOTA[[#This Row],[SUPPLIER_H]]="","",AJ720),MONTH(NOTA[[#This Row],[TGL.NOTA]]))</f>
        <v>1</v>
      </c>
      <c r="AK721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>lilinshintoeng12btg39000</v>
      </c>
      <c r="AM721" s="193">
        <f>IF(NOTA[[#This Row],[CONCAT1]]="","",MATCH(NOTA[[#This Row],[CONCAT1]],[2]!db[NB NOTA_C],0)+1)</f>
        <v>1383</v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>
        <f ca="1">IF(NOTA[[#This Row],[NAMA BARANG]]="","",INDEX(NOTA[ID],MATCH(,INDIRECT(ADDRESS(ROW(NOTA[ID]),COLUMN(NOTA[ID]))&amp;":"&amp;ADDRESS(ROW(),COLUMN(NOTA[ID]))),-1)))</f>
        <v>138</v>
      </c>
      <c r="E722" s="61"/>
      <c r="F722" s="62"/>
      <c r="G722" s="62"/>
      <c r="H722" s="107"/>
      <c r="I722" s="62"/>
      <c r="J722" s="60"/>
      <c r="K722" s="62"/>
      <c r="L722" s="26" t="s">
        <v>644</v>
      </c>
      <c r="M722" s="63"/>
      <c r="N722" s="62">
        <v>4</v>
      </c>
      <c r="O722" s="26" t="s">
        <v>90</v>
      </c>
      <c r="P722" s="57">
        <v>41000</v>
      </c>
      <c r="Q722" s="64"/>
      <c r="R722" s="39"/>
      <c r="S722" s="117"/>
      <c r="T722" s="117"/>
      <c r="U722" s="59"/>
      <c r="V722" s="37"/>
      <c r="W722" s="59">
        <f>IF(NOTA[[#This Row],[HARGA/ CTN]]="",NOTA[[#This Row],[JUMLAH_H]],NOTA[[#This Row],[HARGA/ CTN]]*IF(NOTA[[#This Row],[C]]="",0,NOTA[[#This Row],[C]]))</f>
        <v>164000</v>
      </c>
      <c r="X722" s="59">
        <f>IF(NOTA[[#This Row],[JUMLAH]]="","",NOTA[[#This Row],[JUMLAH]]*NOTA[[#This Row],[DISC 1]])</f>
        <v>0</v>
      </c>
      <c r="Y722" s="59">
        <f>IF(NOTA[[#This Row],[JUMLAH]]="","",(NOTA[[#This Row],[JUMLAH]]-NOTA[[#This Row],[DISC 1-]])*NOTA[[#This Row],[DISC 2]])</f>
        <v>0</v>
      </c>
      <c r="Z722" s="59">
        <f>IF(NOTA[[#This Row],[JUMLAH]]="","",NOTA[[#This Row],[DISC 1-]]+NOTA[[#This Row],[DISC 2-]])</f>
        <v>0</v>
      </c>
      <c r="AA722" s="59">
        <f>IF(NOTA[[#This Row],[JUMLAH]]="","",NOTA[[#This Row],[JUMLAH]]-NOTA[[#This Row],[DISC]])</f>
        <v>164000</v>
      </c>
      <c r="AB72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2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D722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E722" s="59">
        <f>IF(OR(NOTA[[#This Row],[QTY]]="",NOTA[[#This Row],[HARGA SATUAN]]="",),"",NOTA[[#This Row],[QTY]]*NOTA[[#This Row],[HARGA SATUAN]])</f>
        <v>164000</v>
      </c>
      <c r="AF722" s="60">
        <f ca="1">IF(NOTA[ID_H]="","",INDEX(NOTA[TANGGAL],MATCH(,INDIRECT(ADDRESS(ROW(NOTA[TANGGAL]),COLUMN(NOTA[TANGGAL]))&amp;":"&amp;ADDRESS(ROW(),COLUMN(NOTA[TANGGAL]))),-1)))</f>
        <v>44953</v>
      </c>
      <c r="AG722" s="57" t="str">
        <f ca="1">IF(NOTA[[#This Row],[NAMA BARANG]]="","",INDEX(NOTA[SUPPLIER],MATCH(,INDIRECT(ADDRESS(ROW(NOTA[ID]),COLUMN(NOTA[ID]))&amp;":"&amp;ADDRESS(ROW(),COLUMN(NOTA[ID]))),-1)))</f>
        <v>HANSA</v>
      </c>
      <c r="AH722" s="57" t="str">
        <f ca="1">IF(NOTA[[#This Row],[ID_H]]="","",IF(NOTA[[#This Row],[FAKTUR]]="",INDIRECT(ADDRESS(ROW()-1,COLUMN())),NOTA[[#This Row],[FAKTUR]]))</f>
        <v>UNTANA</v>
      </c>
      <c r="AI722" s="38" t="str">
        <f ca="1">IF(NOTA[[#This Row],[ID]]="","",COUNTIF(NOTA[ID_H],NOTA[[#This Row],[ID_H]]))</f>
        <v/>
      </c>
      <c r="AJ722" s="38">
        <f ca="1">IF(NOTA[[#This Row],[TGL.NOTA]]="",IF(NOTA[[#This Row],[SUPPLIER_H]]="","",AJ721),MONTH(NOTA[[#This Row],[TGL.NOTA]]))</f>
        <v>1</v>
      </c>
      <c r="AK722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722" s="193">
        <f>IF(NOTA[[#This Row],[CONCAT1]]="","",MATCH(NOTA[[#This Row],[CONCAT1]],[2]!db[NB NOTA_C],0)+1)</f>
        <v>1384</v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93" t="str">
        <f>IF(NOTA[[#This Row],[CONCAT1]]="","",MATCH(NOTA[[#This Row],[CONCAT1]],[2]!db[NB NOTA_C],0)+1)</f>
        <v/>
      </c>
    </row>
    <row r="724" spans="1:39" ht="20.100000000000001" customHeight="1" x14ac:dyDescent="0.25">
      <c r="A724" s="57">
        <f ca="1">IF(INDIRECT(ADDRESS(ROW()-1,COLUMN(NOTA[[#Headers],[ID]])))="ID",1,IF(NOTA[[#This Row],[FAKTUR]]="","",COUNT(INDIRECT(ADDRESS(ROW(NOTA[ID]),COLUMN(NOTA[ID]))&amp;":"&amp;ADDRESS(ROW()-1,COLUMN(NOTA[ID]))))+1))</f>
        <v>139</v>
      </c>
      <c r="B72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24" s="58" t="e">
        <f ca="1">IF(NOTA[[#This Row],[ID_P]]="","",MATCH(NOTA[[#This Row],[ID_P]],[1]!B_MSK[N_ID],0))</f>
        <v>#REF!</v>
      </c>
      <c r="D724" s="58">
        <f ca="1">IF(NOTA[[#This Row],[NAMA BARANG]]="","",INDEX(NOTA[ID],MATCH(,INDIRECT(ADDRESS(ROW(NOTA[ID]),COLUMN(NOTA[ID]))&amp;":"&amp;ADDRESS(ROW(),COLUMN(NOTA[ID]))),-1)))</f>
        <v>139</v>
      </c>
      <c r="E724" s="61"/>
      <c r="F724" s="26" t="s">
        <v>285</v>
      </c>
      <c r="G724" s="26" t="s">
        <v>87</v>
      </c>
      <c r="H724" s="31" t="s">
        <v>876</v>
      </c>
      <c r="I724" s="62"/>
      <c r="J724" s="60">
        <v>44953</v>
      </c>
      <c r="K724" s="62"/>
      <c r="L724" s="26" t="s">
        <v>287</v>
      </c>
      <c r="M724" s="63"/>
      <c r="N724" s="62">
        <v>2</v>
      </c>
      <c r="O724" s="26" t="s">
        <v>90</v>
      </c>
      <c r="P724" s="57">
        <v>13000</v>
      </c>
      <c r="Q724" s="64"/>
      <c r="R724" s="39"/>
      <c r="S724" s="117"/>
      <c r="T724" s="117"/>
      <c r="U724" s="59"/>
      <c r="V724" s="37" t="s">
        <v>877</v>
      </c>
      <c r="W724" s="59">
        <f>IF(NOTA[[#This Row],[HARGA/ CTN]]="",NOTA[[#This Row],[JUMLAH_H]],NOTA[[#This Row],[HARGA/ CTN]]*IF(NOTA[[#This Row],[C]]="",0,NOTA[[#This Row],[C]]))</f>
        <v>26000</v>
      </c>
      <c r="X724" s="59">
        <f>IF(NOTA[[#This Row],[JUMLAH]]="","",NOTA[[#This Row],[JUMLAH]]*NOTA[[#This Row],[DISC 1]])</f>
        <v>0</v>
      </c>
      <c r="Y724" s="59">
        <f>IF(NOTA[[#This Row],[JUMLAH]]="","",(NOTA[[#This Row],[JUMLAH]]-NOTA[[#This Row],[DISC 1-]])*NOTA[[#This Row],[DISC 2]])</f>
        <v>0</v>
      </c>
      <c r="Z724" s="59">
        <f>IF(NOTA[[#This Row],[JUMLAH]]="","",NOTA[[#This Row],[DISC 1-]]+NOTA[[#This Row],[DISC 2-]])</f>
        <v>0</v>
      </c>
      <c r="AA724" s="59">
        <f>IF(NOTA[[#This Row],[JUMLAH]]="","",NOTA[[#This Row],[JUMLAH]]-NOTA[[#This Row],[DISC]])</f>
        <v>26000</v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E724" s="59">
        <f>IF(OR(NOTA[[#This Row],[QTY]]="",NOTA[[#This Row],[HARGA SATUAN]]="",),"",NOTA[[#This Row],[QTY]]*NOTA[[#This Row],[HARGA SATUAN]])</f>
        <v>26000</v>
      </c>
      <c r="AF724" s="60">
        <f ca="1">IF(NOTA[ID_H]="","",INDEX(NOTA[TANGGAL],MATCH(,INDIRECT(ADDRESS(ROW(NOTA[TANGGAL]),COLUMN(NOTA[TANGGAL]))&amp;":"&amp;ADDRESS(ROW(),COLUMN(NOTA[TANGGAL]))),-1)))</f>
        <v>44953</v>
      </c>
      <c r="AG724" s="57" t="str">
        <f ca="1">IF(NOTA[[#This Row],[NAMA BARANG]]="","",INDEX(NOTA[SUPPLIER],MATCH(,INDIRECT(ADDRESS(ROW(NOTA[ID]),COLUMN(NOTA[ID]))&amp;":"&amp;ADDRESS(ROW(),COLUMN(NOTA[ID]))),-1)))</f>
        <v>HANSA</v>
      </c>
      <c r="AH724" s="57" t="str">
        <f ca="1">IF(NOTA[[#This Row],[ID_H]]="","",IF(NOTA[[#This Row],[FAKTUR]]="",INDIRECT(ADDRESS(ROW()-1,COLUMN())),NOTA[[#This Row],[FAKTUR]]))</f>
        <v>UNTANA</v>
      </c>
      <c r="AI724" s="38">
        <f ca="1">IF(NOTA[[#This Row],[ID]]="","",COUNTIF(NOTA[ID_H],NOTA[[#This Row],[ID_H]]))</f>
        <v>3</v>
      </c>
      <c r="AJ724" s="38">
        <f>IF(NOTA[[#This Row],[TGL.NOTA]]="",IF(NOTA[[#This Row],[SUPPLIER_H]]="","",AJ723),MONTH(NOTA[[#This Row],[TGL.NOTA]]))</f>
        <v>1</v>
      </c>
      <c r="AK72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4" s="193">
        <f>IF(NOTA[[#This Row],[CONCAT1]]="","",MATCH(NOTA[[#This Row],[CONCAT1]],[2]!db[NB NOTA_C],0)+1)</f>
        <v>1364</v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>
        <f ca="1">IF(NOTA[[#This Row],[NAMA BARANG]]="","",INDEX(NOTA[ID],MATCH(,INDIRECT(ADDRESS(ROW(NOTA[ID]),COLUMN(NOTA[ID]))&amp;":"&amp;ADDRESS(ROW(),COLUMN(NOTA[ID]))),-1)))</f>
        <v>139</v>
      </c>
      <c r="E725" s="61"/>
      <c r="F725" s="62"/>
      <c r="G725" s="62"/>
      <c r="H725" s="107"/>
      <c r="I725" s="62"/>
      <c r="J725" s="60"/>
      <c r="K725" s="62"/>
      <c r="L725" s="26" t="s">
        <v>287</v>
      </c>
      <c r="M725" s="63"/>
      <c r="N725" s="62">
        <v>4</v>
      </c>
      <c r="O725" s="26" t="s">
        <v>90</v>
      </c>
      <c r="P725" s="57">
        <v>13000</v>
      </c>
      <c r="Q725" s="64"/>
      <c r="R725" s="39"/>
      <c r="S725" s="117"/>
      <c r="T725" s="117"/>
      <c r="U725" s="59"/>
      <c r="V725" s="37" t="s">
        <v>878</v>
      </c>
      <c r="W725" s="59">
        <f>IF(NOTA[[#This Row],[HARGA/ CTN]]="",NOTA[[#This Row],[JUMLAH_H]],NOTA[[#This Row],[HARGA/ CTN]]*IF(NOTA[[#This Row],[C]]="",0,NOTA[[#This Row],[C]]))</f>
        <v>52000</v>
      </c>
      <c r="X725" s="59">
        <f>IF(NOTA[[#This Row],[JUMLAH]]="","",NOTA[[#This Row],[JUMLAH]]*NOTA[[#This Row],[DISC 1]])</f>
        <v>0</v>
      </c>
      <c r="Y725" s="59">
        <f>IF(NOTA[[#This Row],[JUMLAH]]="","",(NOTA[[#This Row],[JUMLAH]]-NOTA[[#This Row],[DISC 1-]])*NOTA[[#This Row],[DISC 2]])</f>
        <v>0</v>
      </c>
      <c r="Z725" s="59">
        <f>IF(NOTA[[#This Row],[JUMLAH]]="","",NOTA[[#This Row],[DISC 1-]]+NOTA[[#This Row],[DISC 2-]])</f>
        <v>0</v>
      </c>
      <c r="AA725" s="59">
        <f>IF(NOTA[[#This Row],[JUMLAH]]="","",NOTA[[#This Row],[JUMLAH]]-NOTA[[#This Row],[DISC]])</f>
        <v>52000</v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E725" s="59">
        <f>IF(OR(NOTA[[#This Row],[QTY]]="",NOTA[[#This Row],[HARGA SATUAN]]="",),"",NOTA[[#This Row],[QTY]]*NOTA[[#This Row],[HARGA SATUAN]])</f>
        <v>52000</v>
      </c>
      <c r="AF725" s="60">
        <f ca="1">IF(NOTA[ID_H]="","",INDEX(NOTA[TANGGAL],MATCH(,INDIRECT(ADDRESS(ROW(NOTA[TANGGAL]),COLUMN(NOTA[TANGGAL]))&amp;":"&amp;ADDRESS(ROW(),COLUMN(NOTA[TANGGAL]))),-1)))</f>
        <v>44953</v>
      </c>
      <c r="AG725" s="57" t="str">
        <f ca="1">IF(NOTA[[#This Row],[NAMA BARANG]]="","",INDEX(NOTA[SUPPLIER],MATCH(,INDIRECT(ADDRESS(ROW(NOTA[ID]),COLUMN(NOTA[ID]))&amp;":"&amp;ADDRESS(ROW(),COLUMN(NOTA[ID]))),-1)))</f>
        <v>HANSA</v>
      </c>
      <c r="AH725" s="57" t="str">
        <f ca="1">IF(NOTA[[#This Row],[ID_H]]="","",IF(NOTA[[#This Row],[FAKTUR]]="",INDIRECT(ADDRESS(ROW()-1,COLUMN())),NOTA[[#This Row],[FAKTUR]]))</f>
        <v>UNTANA</v>
      </c>
      <c r="AI725" s="38" t="str">
        <f ca="1">IF(NOTA[[#This Row],[ID]]="","",COUNTIF(NOTA[ID_H],NOTA[[#This Row],[ID_H]]))</f>
        <v/>
      </c>
      <c r="AJ725" s="38">
        <f ca="1">IF(NOTA[[#This Row],[TGL.NOTA]]="",IF(NOTA[[#This Row],[SUPPLIER_H]]="","",AJ724),MONTH(NOTA[[#This Row],[TGL.NOTA]]))</f>
        <v>1</v>
      </c>
      <c r="AK72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5" s="193">
        <f>IF(NOTA[[#This Row],[CONCAT1]]="","",MATCH(NOTA[[#This Row],[CONCAT1]],[2]!db[NB NOTA_C],0)+1)</f>
        <v>1364</v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>
        <f ca="1">IF(NOTA[[#This Row],[NAMA BARANG]]="","",INDEX(NOTA[ID],MATCH(,INDIRECT(ADDRESS(ROW(NOTA[ID]),COLUMN(NOTA[ID]))&amp;":"&amp;ADDRESS(ROW(),COLUMN(NOTA[ID]))),-1)))</f>
        <v>139</v>
      </c>
      <c r="E726" s="61"/>
      <c r="F726" s="62"/>
      <c r="G726" s="62"/>
      <c r="H726" s="107"/>
      <c r="I726" s="62"/>
      <c r="J726" s="60"/>
      <c r="K726" s="62"/>
      <c r="L726" s="26" t="s">
        <v>287</v>
      </c>
      <c r="M726" s="63"/>
      <c r="N726" s="62">
        <v>9</v>
      </c>
      <c r="O726" s="26" t="s">
        <v>90</v>
      </c>
      <c r="P726" s="57">
        <v>13000</v>
      </c>
      <c r="Q726" s="64"/>
      <c r="R726" s="39"/>
      <c r="S726" s="117"/>
      <c r="T726" s="117"/>
      <c r="U726" s="59"/>
      <c r="V726" s="37" t="s">
        <v>879</v>
      </c>
      <c r="W726" s="59">
        <f>IF(NOTA[[#This Row],[HARGA/ CTN]]="",NOTA[[#This Row],[JUMLAH_H]],NOTA[[#This Row],[HARGA/ CTN]]*IF(NOTA[[#This Row],[C]]="",0,NOTA[[#This Row],[C]]))</f>
        <v>117000</v>
      </c>
      <c r="X726" s="59">
        <f>IF(NOTA[[#This Row],[JUMLAH]]="","",NOTA[[#This Row],[JUMLAH]]*NOTA[[#This Row],[DISC 1]])</f>
        <v>0</v>
      </c>
      <c r="Y726" s="59">
        <f>IF(NOTA[[#This Row],[JUMLAH]]="","",(NOTA[[#This Row],[JUMLAH]]-NOTA[[#This Row],[DISC 1-]])*NOTA[[#This Row],[DISC 2]])</f>
        <v>0</v>
      </c>
      <c r="Z726" s="59">
        <f>IF(NOTA[[#This Row],[JUMLAH]]="","",NOTA[[#This Row],[DISC 1-]]+NOTA[[#This Row],[DISC 2-]])</f>
        <v>0</v>
      </c>
      <c r="AA726" s="59">
        <f>IF(NOTA[[#This Row],[JUMLAH]]="","",NOTA[[#This Row],[JUMLAH]]-NOTA[[#This Row],[DISC]])</f>
        <v>117000</v>
      </c>
      <c r="AB72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2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D726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E726" s="59">
        <f>IF(OR(NOTA[[#This Row],[QTY]]="",NOTA[[#This Row],[HARGA SATUAN]]="",),"",NOTA[[#This Row],[QTY]]*NOTA[[#This Row],[HARGA SATUAN]])</f>
        <v>117000</v>
      </c>
      <c r="AF726" s="60">
        <f ca="1">IF(NOTA[ID_H]="","",INDEX(NOTA[TANGGAL],MATCH(,INDIRECT(ADDRESS(ROW(NOTA[TANGGAL]),COLUMN(NOTA[TANGGAL]))&amp;":"&amp;ADDRESS(ROW(),COLUMN(NOTA[TANGGAL]))),-1)))</f>
        <v>44953</v>
      </c>
      <c r="AG726" s="57" t="str">
        <f ca="1">IF(NOTA[[#This Row],[NAMA BARANG]]="","",INDEX(NOTA[SUPPLIER],MATCH(,INDIRECT(ADDRESS(ROW(NOTA[ID]),COLUMN(NOTA[ID]))&amp;":"&amp;ADDRESS(ROW(),COLUMN(NOTA[ID]))),-1)))</f>
        <v>HANSA</v>
      </c>
      <c r="AH726" s="57" t="str">
        <f ca="1">IF(NOTA[[#This Row],[ID_H]]="","",IF(NOTA[[#This Row],[FAKTUR]]="",INDIRECT(ADDRESS(ROW()-1,COLUMN())),NOTA[[#This Row],[FAKTUR]]))</f>
        <v>UNTANA</v>
      </c>
      <c r="AI726" s="38" t="str">
        <f ca="1">IF(NOTA[[#This Row],[ID]]="","",COUNTIF(NOTA[ID_H],NOTA[[#This Row],[ID_H]]))</f>
        <v/>
      </c>
      <c r="AJ726" s="38">
        <f ca="1">IF(NOTA[[#This Row],[TGL.NOTA]]="",IF(NOTA[[#This Row],[SUPPLIER_H]]="","",AJ725),MONTH(NOTA[[#This Row],[TGL.NOTA]]))</f>
        <v>1</v>
      </c>
      <c r="AK726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6" s="193">
        <f>IF(NOTA[[#This Row],[CONCAT1]]="","",MATCH(NOTA[[#This Row],[CONCAT1]],[2]!db[NB NOTA_C],0)+1)</f>
        <v>1364</v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93" t="str">
        <f>IF(NOTA[[#This Row],[CONCAT1]]="","",MATCH(NOTA[[#This Row],[CONCAT1]],[2]!db[NB NOTA_C],0)+1)</f>
        <v/>
      </c>
    </row>
    <row r="728" spans="1:39" ht="20.100000000000001" customHeight="1" x14ac:dyDescent="0.25">
      <c r="A728" s="57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8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28" s="58" t="e">
        <f ca="1">IF(NOTA[[#This Row],[ID_P]]="","",MATCH(NOTA[[#This Row],[ID_P]],[1]!B_MSK[N_ID],0))</f>
        <v>#REF!</v>
      </c>
      <c r="D728" s="58">
        <f ca="1">IF(NOTA[[#This Row],[NAMA BARANG]]="","",INDEX(NOTA[ID],MATCH(,INDIRECT(ADDRESS(ROW(NOTA[ID]),COLUMN(NOTA[ID]))&amp;":"&amp;ADDRESS(ROW(),COLUMN(NOTA[ID]))),-1)))</f>
        <v>140</v>
      </c>
      <c r="E728" s="61"/>
      <c r="F728" s="26" t="s">
        <v>716</v>
      </c>
      <c r="G728" s="26" t="s">
        <v>87</v>
      </c>
      <c r="H728" s="31" t="s">
        <v>880</v>
      </c>
      <c r="I728" s="62"/>
      <c r="J728" s="60">
        <v>44950</v>
      </c>
      <c r="K728" s="62"/>
      <c r="L728" s="26" t="s">
        <v>881</v>
      </c>
      <c r="M728" s="63">
        <v>4</v>
      </c>
      <c r="N728" s="62">
        <v>960</v>
      </c>
      <c r="O728" s="26" t="s">
        <v>104</v>
      </c>
      <c r="P728" s="57">
        <v>12000</v>
      </c>
      <c r="Q728" s="64"/>
      <c r="R728" s="39" t="s">
        <v>769</v>
      </c>
      <c r="S728" s="117"/>
      <c r="T728" s="117"/>
      <c r="U728" s="59"/>
      <c r="V728" s="37"/>
      <c r="W728" s="59">
        <f>IF(NOTA[[#This Row],[HARGA/ CTN]]="",NOTA[[#This Row],[JUMLAH_H]],NOTA[[#This Row],[HARGA/ CTN]]*IF(NOTA[[#This Row],[C]]="",0,NOTA[[#This Row],[C]]))</f>
        <v>11520000</v>
      </c>
      <c r="X728" s="59">
        <f>IF(NOTA[[#This Row],[JUMLAH]]="","",NOTA[[#This Row],[JUMLAH]]*NOTA[[#This Row],[DISC 1]])</f>
        <v>0</v>
      </c>
      <c r="Y728" s="59">
        <f>IF(NOTA[[#This Row],[JUMLAH]]="","",(NOTA[[#This Row],[JUMLAH]]-NOTA[[#This Row],[DISC 1-]])*NOTA[[#This Row],[DISC 2]])</f>
        <v>0</v>
      </c>
      <c r="Z728" s="59">
        <f>IF(NOTA[[#This Row],[JUMLAH]]="","",NOTA[[#This Row],[DISC 1-]]+NOTA[[#This Row],[DISC 2-]])</f>
        <v>0</v>
      </c>
      <c r="AA728" s="59">
        <f>IF(NOTA[[#This Row],[JUMLAH]]="","",NOTA[[#This Row],[JUMLAH]]-NOTA[[#This Row],[DISC]])</f>
        <v>11520000</v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28" s="59">
        <f>IF(OR(NOTA[[#This Row],[QTY]]="",NOTA[[#This Row],[HARGA SATUAN]]="",),"",NOTA[[#This Row],[QTY]]*NOTA[[#This Row],[HARGA SATUAN]])</f>
        <v>11520000</v>
      </c>
      <c r="AF728" s="60">
        <f ca="1">IF(NOTA[ID_H]="","",INDEX(NOTA[TANGGAL],MATCH(,INDIRECT(ADDRESS(ROW(NOTA[TANGGAL]),COLUMN(NOTA[TANGGAL]))&amp;":"&amp;ADDRESS(ROW(),COLUMN(NOTA[TANGGAL]))),-1)))</f>
        <v>44953</v>
      </c>
      <c r="AG728" s="57" t="str">
        <f ca="1">IF(NOTA[[#This Row],[NAMA BARANG]]="","",INDEX(NOTA[SUPPLIER],MATCH(,INDIRECT(ADDRESS(ROW(NOTA[ID]),COLUMN(NOTA[ID]))&amp;":"&amp;ADDRESS(ROW(),COLUMN(NOTA[ID]))),-1)))</f>
        <v>TFS</v>
      </c>
      <c r="AH728" s="57" t="str">
        <f ca="1">IF(NOTA[[#This Row],[ID_H]]="","",IF(NOTA[[#This Row],[FAKTUR]]="",INDIRECT(ADDRESS(ROW()-1,COLUMN())),NOTA[[#This Row],[FAKTUR]]))</f>
        <v>UNTANA</v>
      </c>
      <c r="AI728" s="38">
        <f ca="1">IF(NOTA[[#This Row],[ID]]="","",COUNTIF(NOTA[ID_H],NOTA[[#This Row],[ID_H]]))</f>
        <v>7</v>
      </c>
      <c r="AJ728" s="38">
        <f>IF(NOTA[[#This Row],[TGL.NOTA]]="",IF(NOTA[[#This Row],[SUPPLIER_H]]="","",AJ727),MONTH(NOTA[[#This Row],[TGL.NOTA]]))</f>
        <v>1</v>
      </c>
      <c r="AK728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>zipperfile192btwarnablue2880000</v>
      </c>
      <c r="AM728" s="193" t="e">
        <f>IF(NOTA[[#This Row],[CONCAT1]]="","",MATCH(NOTA[[#This Row],[CONCAT1]],[2]!db[NB NOTA_C],0)+1)</f>
        <v>#N/A</v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>
        <f ca="1">IF(NOTA[[#This Row],[NAMA BARANG]]="","",INDEX(NOTA[ID],MATCH(,INDIRECT(ADDRESS(ROW(NOTA[ID]),COLUMN(NOTA[ID]))&amp;":"&amp;ADDRESS(ROW(),COLUMN(NOTA[ID]))),-1)))</f>
        <v>140</v>
      </c>
      <c r="E729" s="23"/>
      <c r="F729" s="26"/>
      <c r="G729" s="26"/>
      <c r="H729" s="31"/>
      <c r="I729" s="26"/>
      <c r="J729" s="51"/>
      <c r="K729" s="26"/>
      <c r="L729" s="26" t="s">
        <v>882</v>
      </c>
      <c r="M729" s="63">
        <v>4</v>
      </c>
      <c r="N729" s="62">
        <v>960</v>
      </c>
      <c r="O729" s="26" t="s">
        <v>104</v>
      </c>
      <c r="P729" s="57">
        <v>12000</v>
      </c>
      <c r="Q729" s="52"/>
      <c r="R729" s="39" t="s">
        <v>769</v>
      </c>
      <c r="S729" s="53"/>
      <c r="T729" s="53"/>
      <c r="U729" s="54"/>
      <c r="V729" s="37"/>
      <c r="W729" s="54">
        <f>IF(NOTA[[#This Row],[HARGA/ CTN]]="",NOTA[[#This Row],[JUMLAH_H]],NOTA[[#This Row],[HARGA/ CTN]]*IF(NOTA[[#This Row],[C]]="",0,NOTA[[#This Row],[C]]))</f>
        <v>11520000</v>
      </c>
      <c r="X729" s="54">
        <f>IF(NOTA[[#This Row],[JUMLAH]]="","",NOTA[[#This Row],[JUMLAH]]*NOTA[[#This Row],[DISC 1]])</f>
        <v>0</v>
      </c>
      <c r="Y729" s="54">
        <f>IF(NOTA[[#This Row],[JUMLAH]]="","",(NOTA[[#This Row],[JUMLAH]]-NOTA[[#This Row],[DISC 1-]])*NOTA[[#This Row],[DISC 2]])</f>
        <v>0</v>
      </c>
      <c r="Z729" s="54">
        <f>IF(NOTA[[#This Row],[JUMLAH]]="","",NOTA[[#This Row],[DISC 1-]]+NOTA[[#This Row],[DISC 2-]])</f>
        <v>0</v>
      </c>
      <c r="AA729" s="54">
        <f>IF(NOTA[[#This Row],[JUMLAH]]="","",NOTA[[#This Row],[JUMLAH]]-NOTA[[#This Row],[DISC]])</f>
        <v>11520000</v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29" s="54">
        <f>IF(OR(NOTA[[#This Row],[QTY]]="",NOTA[[#This Row],[HARGA SATUAN]]="",),"",NOTA[[#This Row],[QTY]]*NOTA[[#This Row],[HARGA SATUAN]])</f>
        <v>11520000</v>
      </c>
      <c r="AF729" s="51">
        <f ca="1">IF(NOTA[ID_H]="","",INDEX(NOTA[TANGGAL],MATCH(,INDIRECT(ADDRESS(ROW(NOTA[TANGGAL]),COLUMN(NOTA[TANGGAL]))&amp;":"&amp;ADDRESS(ROW(),COLUMN(NOTA[TANGGAL]))),-1)))</f>
        <v>44953</v>
      </c>
      <c r="AG729" s="49" t="str">
        <f ca="1">IF(NOTA[[#This Row],[NAMA BARANG]]="","",INDEX(NOTA[SUPPLIER],MATCH(,INDIRECT(ADDRESS(ROW(NOTA[ID]),COLUMN(NOTA[ID]))&amp;":"&amp;ADDRESS(ROW(),COLUMN(NOTA[ID]))),-1)))</f>
        <v>TFS</v>
      </c>
      <c r="AH729" s="49" t="str">
        <f ca="1">IF(NOTA[[#This Row],[ID_H]]="","",IF(NOTA[[#This Row],[FAKTUR]]="",INDIRECT(ADDRESS(ROW()-1,COLUMN())),NOTA[[#This Row],[FAKTUR]]))</f>
        <v>UNTANA</v>
      </c>
      <c r="AI729" s="38" t="str">
        <f ca="1">IF(NOTA[[#This Row],[ID]]="","",COUNTIF(NOTA[ID_H],NOTA[[#This Row],[ID_H]]))</f>
        <v/>
      </c>
      <c r="AJ729" s="38">
        <f ca="1">IF(NOTA[[#This Row],[TGL.NOTA]]="",IF(NOTA[[#This Row],[SUPPLIER_H]]="","",AJ728),MONTH(NOTA[[#This Row],[TGL.NOTA]]))</f>
        <v>1</v>
      </c>
      <c r="AK729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>zipperfile192btwarnagreen2880000</v>
      </c>
      <c r="AM729" s="193" t="e">
        <f>IF(NOTA[[#This Row],[CONCAT1]]="","",MATCH(NOTA[[#This Row],[CONCAT1]],[2]!db[NB NOTA_C],0)+1)</f>
        <v>#N/A</v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>
        <f ca="1">IF(NOTA[[#This Row],[NAMA BARANG]]="","",INDEX(NOTA[ID],MATCH(,INDIRECT(ADDRESS(ROW(NOTA[ID]),COLUMN(NOTA[ID]))&amp;":"&amp;ADDRESS(ROW(),COLUMN(NOTA[ID]))),-1)))</f>
        <v>140</v>
      </c>
      <c r="E730" s="23"/>
      <c r="F730" s="26"/>
      <c r="G730" s="26"/>
      <c r="H730" s="31"/>
      <c r="I730" s="26"/>
      <c r="J730" s="51"/>
      <c r="K730" s="26"/>
      <c r="L730" s="26" t="s">
        <v>883</v>
      </c>
      <c r="M730" s="63">
        <v>4</v>
      </c>
      <c r="N730" s="62">
        <v>960</v>
      </c>
      <c r="O730" s="26" t="s">
        <v>104</v>
      </c>
      <c r="P730" s="57">
        <v>12000</v>
      </c>
      <c r="Q730" s="52"/>
      <c r="R730" s="39" t="s">
        <v>769</v>
      </c>
      <c r="S730" s="53"/>
      <c r="T730" s="53"/>
      <c r="U730" s="54"/>
      <c r="V730" s="37"/>
      <c r="W730" s="54">
        <f>IF(NOTA[[#This Row],[HARGA/ CTN]]="",NOTA[[#This Row],[JUMLAH_H]],NOTA[[#This Row],[HARGA/ CTN]]*IF(NOTA[[#This Row],[C]]="",0,NOTA[[#This Row],[C]]))</f>
        <v>11520000</v>
      </c>
      <c r="X730" s="54">
        <f>IF(NOTA[[#This Row],[JUMLAH]]="","",NOTA[[#This Row],[JUMLAH]]*NOTA[[#This Row],[DISC 1]])</f>
        <v>0</v>
      </c>
      <c r="Y730" s="54">
        <f>IF(NOTA[[#This Row],[JUMLAH]]="","",(NOTA[[#This Row],[JUMLAH]]-NOTA[[#This Row],[DISC 1-]])*NOTA[[#This Row],[DISC 2]])</f>
        <v>0</v>
      </c>
      <c r="Z730" s="54">
        <f>IF(NOTA[[#This Row],[JUMLAH]]="","",NOTA[[#This Row],[DISC 1-]]+NOTA[[#This Row],[DISC 2-]])</f>
        <v>0</v>
      </c>
      <c r="AA730" s="54">
        <f>IF(NOTA[[#This Row],[JUMLAH]]="","",NOTA[[#This Row],[JUMLAH]]-NOTA[[#This Row],[DISC]])</f>
        <v>11520000</v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0" s="54">
        <f>IF(OR(NOTA[[#This Row],[QTY]]="",NOTA[[#This Row],[HARGA SATUAN]]="",),"",NOTA[[#This Row],[QTY]]*NOTA[[#This Row],[HARGA SATUAN]])</f>
        <v>11520000</v>
      </c>
      <c r="AF730" s="51">
        <f ca="1">IF(NOTA[ID_H]="","",INDEX(NOTA[TANGGAL],MATCH(,INDIRECT(ADDRESS(ROW(NOTA[TANGGAL]),COLUMN(NOTA[TANGGAL]))&amp;":"&amp;ADDRESS(ROW(),COLUMN(NOTA[TANGGAL]))),-1)))</f>
        <v>44953</v>
      </c>
      <c r="AG730" s="49" t="str">
        <f ca="1">IF(NOTA[[#This Row],[NAMA BARANG]]="","",INDEX(NOTA[SUPPLIER],MATCH(,INDIRECT(ADDRESS(ROW(NOTA[ID]),COLUMN(NOTA[ID]))&amp;":"&amp;ADDRESS(ROW(),COLUMN(NOTA[ID]))),-1)))</f>
        <v>TFS</v>
      </c>
      <c r="AH730" s="49" t="str">
        <f ca="1">IF(NOTA[[#This Row],[ID_H]]="","",IF(NOTA[[#This Row],[FAKTUR]]="",INDIRECT(ADDRESS(ROW()-1,COLUMN())),NOTA[[#This Row],[FAKTUR]]))</f>
        <v>UNTANA</v>
      </c>
      <c r="AI730" s="38" t="str">
        <f ca="1">IF(NOTA[[#This Row],[ID]]="","",COUNTIF(NOTA[ID_H],NOTA[[#This Row],[ID_H]]))</f>
        <v/>
      </c>
      <c r="AJ730" s="38">
        <f ca="1">IF(NOTA[[#This Row],[TGL.NOTA]]="",IF(NOTA[[#This Row],[SUPPLIER_H]]="","",AJ729),MONTH(NOTA[[#This Row],[TGL.NOTA]]))</f>
        <v>1</v>
      </c>
      <c r="AK730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>zipperfile192btwarnared2880000</v>
      </c>
      <c r="AM730" s="193" t="e">
        <f>IF(NOTA[[#This Row],[CONCAT1]]="","",MATCH(NOTA[[#This Row],[CONCAT1]],[2]!db[NB NOTA_C],0)+1)</f>
        <v>#N/A</v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>
        <f ca="1">IF(NOTA[[#This Row],[NAMA BARANG]]="","",INDEX(NOTA[ID],MATCH(,INDIRECT(ADDRESS(ROW(NOTA[ID]),COLUMN(NOTA[ID]))&amp;":"&amp;ADDRESS(ROW(),COLUMN(NOTA[ID]))),-1)))</f>
        <v>140</v>
      </c>
      <c r="E731" s="23"/>
      <c r="F731" s="26"/>
      <c r="G731" s="26"/>
      <c r="H731" s="31"/>
      <c r="I731" s="26"/>
      <c r="J731" s="51"/>
      <c r="K731" s="26"/>
      <c r="L731" s="26" t="s">
        <v>884</v>
      </c>
      <c r="M731" s="63">
        <v>3</v>
      </c>
      <c r="N731" s="62">
        <v>720</v>
      </c>
      <c r="O731" s="26" t="s">
        <v>104</v>
      </c>
      <c r="P731" s="57">
        <v>12000</v>
      </c>
      <c r="Q731" s="52"/>
      <c r="R731" s="39" t="s">
        <v>769</v>
      </c>
      <c r="S731" s="53"/>
      <c r="T731" s="53"/>
      <c r="U731" s="54"/>
      <c r="V731" s="37"/>
      <c r="W731" s="54">
        <f>IF(NOTA[[#This Row],[HARGA/ CTN]]="",NOTA[[#This Row],[JUMLAH_H]],NOTA[[#This Row],[HARGA/ CTN]]*IF(NOTA[[#This Row],[C]]="",0,NOTA[[#This Row],[C]]))</f>
        <v>8640000</v>
      </c>
      <c r="X731" s="54">
        <f>IF(NOTA[[#This Row],[JUMLAH]]="","",NOTA[[#This Row],[JUMLAH]]*NOTA[[#This Row],[DISC 1]])</f>
        <v>0</v>
      </c>
      <c r="Y731" s="54">
        <f>IF(NOTA[[#This Row],[JUMLAH]]="","",(NOTA[[#This Row],[JUMLAH]]-NOTA[[#This Row],[DISC 1-]])*NOTA[[#This Row],[DISC 2]])</f>
        <v>0</v>
      </c>
      <c r="Z731" s="54">
        <f>IF(NOTA[[#This Row],[JUMLAH]]="","",NOTA[[#This Row],[DISC 1-]]+NOTA[[#This Row],[DISC 2-]])</f>
        <v>0</v>
      </c>
      <c r="AA731" s="54">
        <f>IF(NOTA[[#This Row],[JUMLAH]]="","",NOTA[[#This Row],[JUMLAH]]-NOTA[[#This Row],[DISC]])</f>
        <v>8640000</v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1" s="54">
        <f>IF(OR(NOTA[[#This Row],[QTY]]="",NOTA[[#This Row],[HARGA SATUAN]]="",),"",NOTA[[#This Row],[QTY]]*NOTA[[#This Row],[HARGA SATUAN]])</f>
        <v>8640000</v>
      </c>
      <c r="AF731" s="51">
        <f ca="1">IF(NOTA[ID_H]="","",INDEX(NOTA[TANGGAL],MATCH(,INDIRECT(ADDRESS(ROW(NOTA[TANGGAL]),COLUMN(NOTA[TANGGAL]))&amp;":"&amp;ADDRESS(ROW(),COLUMN(NOTA[TANGGAL]))),-1)))</f>
        <v>44953</v>
      </c>
      <c r="AG731" s="49" t="str">
        <f ca="1">IF(NOTA[[#This Row],[NAMA BARANG]]="","",INDEX(NOTA[SUPPLIER],MATCH(,INDIRECT(ADDRESS(ROW(NOTA[ID]),COLUMN(NOTA[ID]))&amp;":"&amp;ADDRESS(ROW(),COLUMN(NOTA[ID]))),-1)))</f>
        <v>TFS</v>
      </c>
      <c r="AH731" s="49" t="str">
        <f ca="1">IF(NOTA[[#This Row],[ID_H]]="","",IF(NOTA[[#This Row],[FAKTUR]]="",INDIRECT(ADDRESS(ROW()-1,COLUMN())),NOTA[[#This Row],[FAKTUR]]))</f>
        <v>UNTANA</v>
      </c>
      <c r="AI731" s="38" t="str">
        <f ca="1">IF(NOTA[[#This Row],[ID]]="","",COUNTIF(NOTA[ID_H],NOTA[[#This Row],[ID_H]]))</f>
        <v/>
      </c>
      <c r="AJ731" s="38">
        <f ca="1">IF(NOTA[[#This Row],[TGL.NOTA]]="",IF(NOTA[[#This Row],[SUPPLIER_H]]="","",AJ730),MONTH(NOTA[[#This Row],[TGL.NOTA]]))</f>
        <v>1</v>
      </c>
      <c r="AK731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>zipperfile192btwarnayellow2880000</v>
      </c>
      <c r="AM731" s="193" t="e">
        <f>IF(NOTA[[#This Row],[CONCAT1]]="","",MATCH(NOTA[[#This Row],[CONCAT1]],[2]!db[NB NOTA_C],0)+1)</f>
        <v>#N/A</v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>
        <f ca="1">IF(NOTA[[#This Row],[NAMA BARANG]]="","",INDEX(NOTA[ID],MATCH(,INDIRECT(ADDRESS(ROW(NOTA[ID]),COLUMN(NOTA[ID]))&amp;":"&amp;ADDRESS(ROW(),COLUMN(NOTA[ID]))),-1)))</f>
        <v>140</v>
      </c>
      <c r="E732" s="23"/>
      <c r="F732" s="26"/>
      <c r="G732" s="26"/>
      <c r="H732" s="31"/>
      <c r="I732" s="26"/>
      <c r="J732" s="51"/>
      <c r="K732" s="26"/>
      <c r="L732" s="26" t="s">
        <v>885</v>
      </c>
      <c r="M732" s="63">
        <v>2</v>
      </c>
      <c r="N732" s="62">
        <v>480</v>
      </c>
      <c r="O732" s="26" t="s">
        <v>104</v>
      </c>
      <c r="P732" s="57">
        <v>12000</v>
      </c>
      <c r="Q732" s="52"/>
      <c r="R732" s="39" t="s">
        <v>769</v>
      </c>
      <c r="S732" s="53"/>
      <c r="T732" s="53"/>
      <c r="U732" s="54"/>
      <c r="V732" s="37"/>
      <c r="W732" s="54">
        <f>IF(NOTA[[#This Row],[HARGA/ CTN]]="",NOTA[[#This Row],[JUMLAH_H]],NOTA[[#This Row],[HARGA/ CTN]]*IF(NOTA[[#This Row],[C]]="",0,NOTA[[#This Row],[C]]))</f>
        <v>5760000</v>
      </c>
      <c r="X732" s="54">
        <f>IF(NOTA[[#This Row],[JUMLAH]]="","",NOTA[[#This Row],[JUMLAH]]*NOTA[[#This Row],[DISC 1]])</f>
        <v>0</v>
      </c>
      <c r="Y732" s="54">
        <f>IF(NOTA[[#This Row],[JUMLAH]]="","",(NOTA[[#This Row],[JUMLAH]]-NOTA[[#This Row],[DISC 1-]])*NOTA[[#This Row],[DISC 2]])</f>
        <v>0</v>
      </c>
      <c r="Z732" s="54">
        <f>IF(NOTA[[#This Row],[JUMLAH]]="","",NOTA[[#This Row],[DISC 1-]]+NOTA[[#This Row],[DISC 2-]])</f>
        <v>0</v>
      </c>
      <c r="AA732" s="54">
        <f>IF(NOTA[[#This Row],[JUMLAH]]="","",NOTA[[#This Row],[JUMLAH]]-NOTA[[#This Row],[DISC]])</f>
        <v>5760000</v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2" s="54">
        <f>IF(OR(NOTA[[#This Row],[QTY]]="",NOTA[[#This Row],[HARGA SATUAN]]="",),"",NOTA[[#This Row],[QTY]]*NOTA[[#This Row],[HARGA SATUAN]])</f>
        <v>5760000</v>
      </c>
      <c r="AF732" s="51">
        <f ca="1">IF(NOTA[ID_H]="","",INDEX(NOTA[TANGGAL],MATCH(,INDIRECT(ADDRESS(ROW(NOTA[TANGGAL]),COLUMN(NOTA[TANGGAL]))&amp;":"&amp;ADDRESS(ROW(),COLUMN(NOTA[TANGGAL]))),-1)))</f>
        <v>44953</v>
      </c>
      <c r="AG732" s="49" t="str">
        <f ca="1">IF(NOTA[[#This Row],[NAMA BARANG]]="","",INDEX(NOTA[SUPPLIER],MATCH(,INDIRECT(ADDRESS(ROW(NOTA[ID]),COLUMN(NOTA[ID]))&amp;":"&amp;ADDRESS(ROW(),COLUMN(NOTA[ID]))),-1)))</f>
        <v>TFS</v>
      </c>
      <c r="AH732" s="49" t="str">
        <f ca="1">IF(NOTA[[#This Row],[ID_H]]="","",IF(NOTA[[#This Row],[FAKTUR]]="",INDIRECT(ADDRESS(ROW()-1,COLUMN())),NOTA[[#This Row],[FAKTUR]]))</f>
        <v>UNTANA</v>
      </c>
      <c r="AI732" s="38" t="str">
        <f ca="1">IF(NOTA[[#This Row],[ID]]="","",COUNTIF(NOTA[ID_H],NOTA[[#This Row],[ID_H]]))</f>
        <v/>
      </c>
      <c r="AJ732" s="38">
        <f ca="1">IF(NOTA[[#This Row],[TGL.NOTA]]="",IF(NOTA[[#This Row],[SUPPLIER_H]]="","",AJ731),MONTH(NOTA[[#This Row],[TGL.NOTA]]))</f>
        <v>1</v>
      </c>
      <c r="AK732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>zipperfile192btwarnapurple2880000</v>
      </c>
      <c r="AM732" s="193" t="e">
        <f>IF(NOTA[[#This Row],[CONCAT1]]="","",MATCH(NOTA[[#This Row],[CONCAT1]],[2]!db[NB NOTA_C],0)+1)</f>
        <v>#N/A</v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>
        <f ca="1">IF(NOTA[[#This Row],[NAMA BARANG]]="","",INDEX(NOTA[ID],MATCH(,INDIRECT(ADDRESS(ROW(NOTA[ID]),COLUMN(NOTA[ID]))&amp;":"&amp;ADDRESS(ROW(),COLUMN(NOTA[ID]))),-1)))</f>
        <v>140</v>
      </c>
      <c r="E733" s="23"/>
      <c r="F733" s="26"/>
      <c r="G733" s="26"/>
      <c r="H733" s="31"/>
      <c r="I733" s="26"/>
      <c r="J733" s="51"/>
      <c r="K733" s="26"/>
      <c r="L733" s="26" t="s">
        <v>886</v>
      </c>
      <c r="M733" s="39">
        <v>3</v>
      </c>
      <c r="N733" s="62">
        <v>720</v>
      </c>
      <c r="O733" s="26" t="s">
        <v>104</v>
      </c>
      <c r="P733" s="57">
        <v>12000</v>
      </c>
      <c r="Q733" s="52"/>
      <c r="R733" s="39" t="s">
        <v>769</v>
      </c>
      <c r="S733" s="53"/>
      <c r="T733" s="53"/>
      <c r="U733" s="54"/>
      <c r="V733" s="37"/>
      <c r="W733" s="54">
        <f>IF(NOTA[[#This Row],[HARGA/ CTN]]="",NOTA[[#This Row],[JUMLAH_H]],NOTA[[#This Row],[HARGA/ CTN]]*IF(NOTA[[#This Row],[C]]="",0,NOTA[[#This Row],[C]]))</f>
        <v>8640000</v>
      </c>
      <c r="X733" s="54">
        <f>IF(NOTA[[#This Row],[JUMLAH]]="","",NOTA[[#This Row],[JUMLAH]]*NOTA[[#This Row],[DISC 1]])</f>
        <v>0</v>
      </c>
      <c r="Y733" s="54">
        <f>IF(NOTA[[#This Row],[JUMLAH]]="","",(NOTA[[#This Row],[JUMLAH]]-NOTA[[#This Row],[DISC 1-]])*NOTA[[#This Row],[DISC 2]])</f>
        <v>0</v>
      </c>
      <c r="Z733" s="54">
        <f>IF(NOTA[[#This Row],[JUMLAH]]="","",NOTA[[#This Row],[DISC 1-]]+NOTA[[#This Row],[DISC 2-]])</f>
        <v>0</v>
      </c>
      <c r="AA733" s="54">
        <f>IF(NOTA[[#This Row],[JUMLAH]]="","",NOTA[[#This Row],[JUMLAH]]-NOTA[[#This Row],[DISC]])</f>
        <v>8640000</v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3" s="54">
        <f>IF(OR(NOTA[[#This Row],[QTY]]="",NOTA[[#This Row],[HARGA SATUAN]]="",),"",NOTA[[#This Row],[QTY]]*NOTA[[#This Row],[HARGA SATUAN]])</f>
        <v>8640000</v>
      </c>
      <c r="AF733" s="51">
        <f ca="1">IF(NOTA[ID_H]="","",INDEX(NOTA[TANGGAL],MATCH(,INDIRECT(ADDRESS(ROW(NOTA[TANGGAL]),COLUMN(NOTA[TANGGAL]))&amp;":"&amp;ADDRESS(ROW(),COLUMN(NOTA[TANGGAL]))),-1)))</f>
        <v>44953</v>
      </c>
      <c r="AG733" s="49" t="str">
        <f ca="1">IF(NOTA[[#This Row],[NAMA BARANG]]="","",INDEX(NOTA[SUPPLIER],MATCH(,INDIRECT(ADDRESS(ROW(NOTA[ID]),COLUMN(NOTA[ID]))&amp;":"&amp;ADDRESS(ROW(),COLUMN(NOTA[ID]))),-1)))</f>
        <v>TFS</v>
      </c>
      <c r="AH733" s="49" t="str">
        <f ca="1">IF(NOTA[[#This Row],[ID_H]]="","",IF(NOTA[[#This Row],[FAKTUR]]="",INDIRECT(ADDRESS(ROW()-1,COLUMN())),NOTA[[#This Row],[FAKTUR]]))</f>
        <v>UNTANA</v>
      </c>
      <c r="AI733" s="38" t="str">
        <f ca="1">IF(NOTA[[#This Row],[ID]]="","",COUNTIF(NOTA[ID_H],NOTA[[#This Row],[ID_H]]))</f>
        <v/>
      </c>
      <c r="AJ733" s="38">
        <f ca="1">IF(NOTA[[#This Row],[TGL.NOTA]]="",IF(NOTA[[#This Row],[SUPPLIER_H]]="","",AJ732),MONTH(NOTA[[#This Row],[TGL.NOTA]]))</f>
        <v>1</v>
      </c>
      <c r="AK733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>zipperfile192btwarnaorange2880000</v>
      </c>
      <c r="AM733" s="193" t="e">
        <f>IF(NOTA[[#This Row],[CONCAT1]]="","",MATCH(NOTA[[#This Row],[CONCAT1]],[2]!db[NB NOTA_C],0)+1)</f>
        <v>#N/A</v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>
        <f ca="1">IF(NOTA[[#This Row],[NAMA BARANG]]="","",INDEX(NOTA[ID],MATCH(,INDIRECT(ADDRESS(ROW(NOTA[ID]),COLUMN(NOTA[ID]))&amp;":"&amp;ADDRESS(ROW(),COLUMN(NOTA[ID]))),-1)))</f>
        <v>140</v>
      </c>
      <c r="E734" s="23"/>
      <c r="F734" s="26"/>
      <c r="G734" s="26"/>
      <c r="H734" s="31"/>
      <c r="I734" s="26"/>
      <c r="J734" s="51"/>
      <c r="K734" s="26"/>
      <c r="L734" s="26" t="s">
        <v>884</v>
      </c>
      <c r="M734" s="39">
        <v>1</v>
      </c>
      <c r="N734" s="26">
        <v>240</v>
      </c>
      <c r="O734" s="26" t="s">
        <v>104</v>
      </c>
      <c r="P734" s="49">
        <v>0</v>
      </c>
      <c r="Q734" s="52"/>
      <c r="R734" s="39" t="s">
        <v>769</v>
      </c>
      <c r="S734" s="53"/>
      <c r="T734" s="53"/>
      <c r="U734" s="54"/>
      <c r="V734" s="37"/>
      <c r="W734" s="54">
        <f>IF(NOTA[[#This Row],[HARGA/ CTN]]="",NOTA[[#This Row],[JUMLAH_H]],NOTA[[#This Row],[HARGA/ CTN]]*IF(NOTA[[#This Row],[C]]="",0,NOTA[[#This Row],[C]]))</f>
        <v>0</v>
      </c>
      <c r="X734" s="54">
        <f>IF(NOTA[[#This Row],[JUMLAH]]="","",NOTA[[#This Row],[JUMLAH]]*NOTA[[#This Row],[DISC 1]])</f>
        <v>0</v>
      </c>
      <c r="Y734" s="54">
        <f>IF(NOTA[[#This Row],[JUMLAH]]="","",(NOTA[[#This Row],[JUMLAH]]-NOTA[[#This Row],[DISC 1-]])*NOTA[[#This Row],[DISC 2]])</f>
        <v>0</v>
      </c>
      <c r="Z734" s="54">
        <f>IF(NOTA[[#This Row],[JUMLAH]]="","",NOTA[[#This Row],[DISC 1-]]+NOTA[[#This Row],[DISC 2-]])</f>
        <v>0</v>
      </c>
      <c r="AA734" s="54">
        <f>IF(NOTA[[#This Row],[JUMLAH]]="","",NOTA[[#This Row],[JUMLAH]]-NOTA[[#This Row],[DISC]])</f>
        <v>0</v>
      </c>
      <c r="AB7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D7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34" s="54">
        <f>IF(OR(NOTA[[#This Row],[QTY]]="",NOTA[[#This Row],[HARGA SATUAN]]="",),"",NOTA[[#This Row],[QTY]]*NOTA[[#This Row],[HARGA SATUAN]])</f>
        <v>0</v>
      </c>
      <c r="AF734" s="51">
        <f ca="1">IF(NOTA[ID_H]="","",INDEX(NOTA[TANGGAL],MATCH(,INDIRECT(ADDRESS(ROW(NOTA[TANGGAL]),COLUMN(NOTA[TANGGAL]))&amp;":"&amp;ADDRESS(ROW(),COLUMN(NOTA[TANGGAL]))),-1)))</f>
        <v>44953</v>
      </c>
      <c r="AG734" s="49" t="str">
        <f ca="1">IF(NOTA[[#This Row],[NAMA BARANG]]="","",INDEX(NOTA[SUPPLIER],MATCH(,INDIRECT(ADDRESS(ROW(NOTA[ID]),COLUMN(NOTA[ID]))&amp;":"&amp;ADDRESS(ROW(),COLUMN(NOTA[ID]))),-1)))</f>
        <v>TFS</v>
      </c>
      <c r="AH734" s="49" t="str">
        <f ca="1">IF(NOTA[[#This Row],[ID_H]]="","",IF(NOTA[[#This Row],[FAKTUR]]="",INDIRECT(ADDRESS(ROW()-1,COLUMN())),NOTA[[#This Row],[FAKTUR]]))</f>
        <v>UNTANA</v>
      </c>
      <c r="AI734" s="38" t="str">
        <f ca="1">IF(NOTA[[#This Row],[ID]]="","",COUNTIF(NOTA[ID_H],NOTA[[#This Row],[ID_H]]))</f>
        <v/>
      </c>
      <c r="AJ734" s="38">
        <f ca="1">IF(NOTA[[#This Row],[TGL.NOTA]]="",IF(NOTA[[#This Row],[SUPPLIER_H]]="","",AJ733),MONTH(NOTA[[#This Row],[TGL.NOTA]]))</f>
        <v>1</v>
      </c>
      <c r="AK734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>zipperfile192btwarnayellow0</v>
      </c>
      <c r="AM734" s="193" t="e">
        <f>IF(NOTA[[#This Row],[CONCAT1]]="","",MATCH(NOTA[[#This Row],[CONCAT1]],[2]!db[NB NOTA_C],0)+1)</f>
        <v>#N/A</v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93" t="str">
        <f>IF(NOTA[[#This Row],[CONCAT1]]="","",MATCH(NOTA[[#This Row],[CONCAT1]],[2]!db[NB NOTA_C],0)+1)</f>
        <v/>
      </c>
    </row>
    <row r="736" spans="1:39" ht="20.100000000000001" customHeight="1" x14ac:dyDescent="0.25">
      <c r="A736" s="49">
        <f ca="1">IF(INDIRECT(ADDRESS(ROW()-1,COLUMN(NOTA[[#Headers],[ID]])))="ID",1,IF(NOTA[[#This Row],[FAKTUR]]="","",COUNT(INDIRECT(ADDRESS(ROW(NOTA[ID]),COLUMN(NOTA[ID]))&amp;":"&amp;ADDRESS(ROW()-1,COLUMN(NOTA[ID]))))+1))</f>
        <v>141</v>
      </c>
      <c r="B7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36" s="50" t="e">
        <f ca="1">IF(NOTA[[#This Row],[ID_P]]="","",MATCH(NOTA[[#This Row],[ID_P]],[1]!B_MSK[N_ID],0))</f>
        <v>#REF!</v>
      </c>
      <c r="D736" s="50">
        <f ca="1">IF(NOTA[[#This Row],[NAMA BARANG]]="","",INDEX(NOTA[ID],MATCH(,INDIRECT(ADDRESS(ROW(NOTA[ID]),COLUMN(NOTA[ID]))&amp;":"&amp;ADDRESS(ROW(),COLUMN(NOTA[ID]))),-1)))</f>
        <v>141</v>
      </c>
      <c r="E736" s="23">
        <v>44954</v>
      </c>
      <c r="F736" s="26" t="s">
        <v>889</v>
      </c>
      <c r="G736" s="26" t="s">
        <v>87</v>
      </c>
      <c r="H736" s="31" t="s">
        <v>887</v>
      </c>
      <c r="I736" s="26"/>
      <c r="J736" s="51">
        <v>44954</v>
      </c>
      <c r="K736" s="26"/>
      <c r="L736" s="26" t="s">
        <v>888</v>
      </c>
      <c r="M736" s="39"/>
      <c r="N736" s="26">
        <v>36</v>
      </c>
      <c r="O736" s="26" t="s">
        <v>90</v>
      </c>
      <c r="P736" s="49">
        <v>53000</v>
      </c>
      <c r="Q736" s="52"/>
      <c r="R736" s="39"/>
      <c r="S736" s="53"/>
      <c r="T736" s="53"/>
      <c r="U736" s="54"/>
      <c r="V736" s="37"/>
      <c r="W736" s="54">
        <f>IF(NOTA[[#This Row],[HARGA/ CTN]]="",NOTA[[#This Row],[JUMLAH_H]],NOTA[[#This Row],[HARGA/ CTN]]*IF(NOTA[[#This Row],[C]]="",0,NOTA[[#This Row],[C]]))</f>
        <v>1908000</v>
      </c>
      <c r="X736" s="54">
        <f>IF(NOTA[[#This Row],[JUMLAH]]="","",NOTA[[#This Row],[JUMLAH]]*NOTA[[#This Row],[DISC 1]])</f>
        <v>0</v>
      </c>
      <c r="Y736" s="54">
        <f>IF(NOTA[[#This Row],[JUMLAH]]="","",(NOTA[[#This Row],[JUMLAH]]-NOTA[[#This Row],[DISC 1-]])*NOTA[[#This Row],[DISC 2]])</f>
        <v>0</v>
      </c>
      <c r="Z736" s="54">
        <f>IF(NOTA[[#This Row],[JUMLAH]]="","",NOTA[[#This Row],[DISC 1-]]+NOTA[[#This Row],[DISC 2-]])</f>
        <v>0</v>
      </c>
      <c r="AA736" s="54">
        <f>IF(NOTA[[#This Row],[JUMLAH]]="","",NOTA[[#This Row],[JUMLAH]]-NOTA[[#This Row],[DISC]])</f>
        <v>1908000</v>
      </c>
      <c r="AB7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D7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736" s="54">
        <f>IF(OR(NOTA[[#This Row],[QTY]]="",NOTA[[#This Row],[HARGA SATUAN]]="",),"",NOTA[[#This Row],[QTY]]*NOTA[[#This Row],[HARGA SATUAN]])</f>
        <v>1908000</v>
      </c>
      <c r="AF736" s="51">
        <f ca="1">IF(NOTA[ID_H]="","",INDEX(NOTA[TANGGAL],MATCH(,INDIRECT(ADDRESS(ROW(NOTA[TANGGAL]),COLUMN(NOTA[TANGGAL]))&amp;":"&amp;ADDRESS(ROW(),COLUMN(NOTA[TANGGAL]))),-1)))</f>
        <v>44954</v>
      </c>
      <c r="AG736" s="49" t="str">
        <f ca="1">IF(NOTA[[#This Row],[NAMA BARANG]]="","",INDEX(NOTA[SUPPLIER],MATCH(,INDIRECT(ADDRESS(ROW(NOTA[ID]),COLUMN(NOTA[ID]))&amp;":"&amp;ADDRESS(ROW(),COLUMN(NOTA[ID]))),-1)))</f>
        <v>HONGSIAN</v>
      </c>
      <c r="AH736" s="49" t="str">
        <f ca="1">IF(NOTA[[#This Row],[ID_H]]="","",IF(NOTA[[#This Row],[FAKTUR]]="",INDIRECT(ADDRESS(ROW()-1,COLUMN())),NOTA[[#This Row],[FAKTUR]]))</f>
        <v>UNTANA</v>
      </c>
      <c r="AI736" s="38">
        <f ca="1">IF(NOTA[[#This Row],[ID]]="","",COUNTIF(NOTA[ID_H],NOTA[[#This Row],[ID_H]]))</f>
        <v>1</v>
      </c>
      <c r="AJ736" s="38">
        <f>IF(NOTA[[#This Row],[TGL.NOTA]]="",IF(NOTA[[#This Row],[SUPPLIER_H]]="","",AJ735),MONTH(NOTA[[#This Row],[TGL.NOTA]]))</f>
        <v>1</v>
      </c>
      <c r="AK736" s="38" t="str">
        <f>LOWER(SUBSTITUTE(SUBSTITUTE(SUBSTITUTE(SUBSTITUTE(SUBSTITUTE(SUBSTITUTE(SUBSTITUTE(SUBSTITUTE(SUBSTITUTE(NOTA[NAMA BARANG]," ",),".",""),"-",""),"(",""),")",""),",",""),"/",""),"""",""),"+",""))</f>
        <v>pch769</v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>pch76953000</v>
      </c>
      <c r="AM736" s="193" t="e">
        <f>IF(NOTA[[#This Row],[CONCAT1]]="","",MATCH(NOTA[[#This Row],[CONCAT1]],[2]!db[NB NOTA_C],0)+1)</f>
        <v>#N/A</v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93" t="str">
        <f>IF(NOTA[[#This Row],[CONCAT1]]="","",MATCH(NOTA[[#This Row],[CONCAT1]],[2]!db[NB NOTA_C],0)+1)</f>
        <v/>
      </c>
    </row>
    <row r="738" spans="1:39" ht="20.100000000000001" customHeight="1" x14ac:dyDescent="0.25">
      <c r="A738" s="49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38" s="50" t="e">
        <f ca="1">IF(NOTA[[#This Row],[ID_P]]="","",MATCH(NOTA[[#This Row],[ID_P]],[1]!B_MSK[N_ID],0))</f>
        <v>#REF!</v>
      </c>
      <c r="D738" s="50">
        <f ca="1">IF(NOTA[[#This Row],[NAMA BARANG]]="","",INDEX(NOTA[ID],MATCH(,INDIRECT(ADDRESS(ROW(NOTA[ID]),COLUMN(NOTA[ID]))&amp;":"&amp;ADDRESS(ROW(),COLUMN(NOTA[ID]))),-1)))</f>
        <v>142</v>
      </c>
      <c r="E738" s="23"/>
      <c r="F738" s="26" t="s">
        <v>285</v>
      </c>
      <c r="G738" s="26" t="s">
        <v>87</v>
      </c>
      <c r="H738" s="31" t="s">
        <v>864</v>
      </c>
      <c r="I738" s="26"/>
      <c r="J738" s="51">
        <v>44954</v>
      </c>
      <c r="K738" s="26"/>
      <c r="L738" s="26" t="s">
        <v>865</v>
      </c>
      <c r="M738" s="39"/>
      <c r="N738" s="26">
        <v>2</v>
      </c>
      <c r="O738" s="26" t="s">
        <v>90</v>
      </c>
      <c r="P738" s="118">
        <v>39000</v>
      </c>
      <c r="Q738" s="52"/>
      <c r="R738" s="39"/>
      <c r="S738" s="53"/>
      <c r="T738" s="53"/>
      <c r="U738" s="54"/>
      <c r="V738" s="37"/>
      <c r="W738" s="54">
        <f>IF(NOTA[[#This Row],[HARGA/ CTN]]="",NOTA[[#This Row],[JUMLAH_H]],NOTA[[#This Row],[HARGA/ CTN]]*IF(NOTA[[#This Row],[C]]="",0,NOTA[[#This Row],[C]]))</f>
        <v>78000</v>
      </c>
      <c r="X738" s="54">
        <f>IF(NOTA[[#This Row],[JUMLAH]]="","",NOTA[[#This Row],[JUMLAH]]*NOTA[[#This Row],[DISC 1]])</f>
        <v>0</v>
      </c>
      <c r="Y738" s="54">
        <f>IF(NOTA[[#This Row],[JUMLAH]]="","",(NOTA[[#This Row],[JUMLAH]]-NOTA[[#This Row],[DISC 1-]])*NOTA[[#This Row],[DISC 2]])</f>
        <v>0</v>
      </c>
      <c r="Z738" s="54">
        <f>IF(NOTA[[#This Row],[JUMLAH]]="","",NOTA[[#This Row],[DISC 1-]]+NOTA[[#This Row],[DISC 2-]])</f>
        <v>0</v>
      </c>
      <c r="AA738" s="54">
        <f>IF(NOTA[[#This Row],[JUMLAH]]="","",NOTA[[#This Row],[JUMLAH]]-NOTA[[#This Row],[DISC]])</f>
        <v>78000</v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E738" s="54">
        <f>IF(OR(NOTA[[#This Row],[QTY]]="",NOTA[[#This Row],[HARGA SATUAN]]="",),"",NOTA[[#This Row],[QTY]]*NOTA[[#This Row],[HARGA SATUAN]])</f>
        <v>78000</v>
      </c>
      <c r="AF738" s="51">
        <f ca="1">IF(NOTA[ID_H]="","",INDEX(NOTA[TANGGAL],MATCH(,INDIRECT(ADDRESS(ROW(NOTA[TANGGAL]),COLUMN(NOTA[TANGGAL]))&amp;":"&amp;ADDRESS(ROW(),COLUMN(NOTA[TANGGAL]))),-1)))</f>
        <v>44954</v>
      </c>
      <c r="AG738" s="49" t="str">
        <f ca="1">IF(NOTA[[#This Row],[NAMA BARANG]]="","",INDEX(NOTA[SUPPLIER],MATCH(,INDIRECT(ADDRESS(ROW(NOTA[ID]),COLUMN(NOTA[ID]))&amp;":"&amp;ADDRESS(ROW(),COLUMN(NOTA[ID]))),-1)))</f>
        <v>HANSA</v>
      </c>
      <c r="AH738" s="49" t="str">
        <f ca="1">IF(NOTA[[#This Row],[ID_H]]="","",IF(NOTA[[#This Row],[FAKTUR]]="",INDIRECT(ADDRESS(ROW()-1,COLUMN())),NOTA[[#This Row],[FAKTUR]]))</f>
        <v>UNTANA</v>
      </c>
      <c r="AI738" s="38">
        <f ca="1">IF(NOTA[[#This Row],[ID]]="","",COUNTIF(NOTA[ID_H],NOTA[[#This Row],[ID_H]]))</f>
        <v>3</v>
      </c>
      <c r="AJ738" s="38">
        <f>IF(NOTA[[#This Row],[TGL.NOTA]]="",IF(NOTA[[#This Row],[SUPPLIER_H]]="","",AJ712),MONTH(NOTA[[#This Row],[TGL.NOTA]]))</f>
        <v>1</v>
      </c>
      <c r="AK738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>lilinshintoeng12btg39000</v>
      </c>
      <c r="AM738" s="193">
        <f>IF(NOTA[[#This Row],[CONCAT1]]="","",MATCH(NOTA[[#This Row],[CONCAT1]],[2]!db[NB NOTA_C],0)+1)</f>
        <v>1383</v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>
        <f ca="1">IF(NOTA[[#This Row],[NAMA BARANG]]="","",INDEX(NOTA[ID],MATCH(,INDIRECT(ADDRESS(ROW(NOTA[ID]),COLUMN(NOTA[ID]))&amp;":"&amp;ADDRESS(ROW(),COLUMN(NOTA[ID]))),-1)))</f>
        <v>142</v>
      </c>
      <c r="E739" s="23"/>
      <c r="F739" s="26"/>
      <c r="G739" s="26"/>
      <c r="H739" s="31"/>
      <c r="I739" s="26"/>
      <c r="J739" s="51"/>
      <c r="K739" s="26"/>
      <c r="L739" s="26" t="s">
        <v>644</v>
      </c>
      <c r="M739" s="39"/>
      <c r="N739" s="26">
        <v>2</v>
      </c>
      <c r="O739" s="26" t="s">
        <v>90</v>
      </c>
      <c r="P739" s="49">
        <v>41000</v>
      </c>
      <c r="Q739" s="52"/>
      <c r="R739" s="39"/>
      <c r="S739" s="53"/>
      <c r="T739" s="53"/>
      <c r="U739" s="54"/>
      <c r="V739" s="37"/>
      <c r="W739" s="54">
        <f>IF(NOTA[[#This Row],[HARGA/ CTN]]="",NOTA[[#This Row],[JUMLAH_H]],NOTA[[#This Row],[HARGA/ CTN]]*IF(NOTA[[#This Row],[C]]="",0,NOTA[[#This Row],[C]]))</f>
        <v>82000</v>
      </c>
      <c r="X739" s="54">
        <f>IF(NOTA[[#This Row],[JUMLAH]]="","",NOTA[[#This Row],[JUMLAH]]*NOTA[[#This Row],[DISC 1]])</f>
        <v>0</v>
      </c>
      <c r="Y739" s="54">
        <f>IF(NOTA[[#This Row],[JUMLAH]]="","",(NOTA[[#This Row],[JUMLAH]]-NOTA[[#This Row],[DISC 1-]])*NOTA[[#This Row],[DISC 2]])</f>
        <v>0</v>
      </c>
      <c r="Z739" s="54">
        <f>IF(NOTA[[#This Row],[JUMLAH]]="","",NOTA[[#This Row],[DISC 1-]]+NOTA[[#This Row],[DISC 2-]])</f>
        <v>0</v>
      </c>
      <c r="AA739" s="54">
        <f>IF(NOTA[[#This Row],[JUMLAH]]="","",NOTA[[#This Row],[JUMLAH]]-NOTA[[#This Row],[DISC]])</f>
        <v>82000</v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E739" s="54">
        <f>IF(OR(NOTA[[#This Row],[QTY]]="",NOTA[[#This Row],[HARGA SATUAN]]="",),"",NOTA[[#This Row],[QTY]]*NOTA[[#This Row],[HARGA SATUAN]])</f>
        <v>82000</v>
      </c>
      <c r="AF739" s="51">
        <f ca="1">IF(NOTA[ID_H]="","",INDEX(NOTA[TANGGAL],MATCH(,INDIRECT(ADDRESS(ROW(NOTA[TANGGAL]),COLUMN(NOTA[TANGGAL]))&amp;":"&amp;ADDRESS(ROW(),COLUMN(NOTA[TANGGAL]))),-1)))</f>
        <v>44954</v>
      </c>
      <c r="AG739" s="49" t="str">
        <f ca="1">IF(NOTA[[#This Row],[NAMA BARANG]]="","",INDEX(NOTA[SUPPLIER],MATCH(,INDIRECT(ADDRESS(ROW(NOTA[ID]),COLUMN(NOTA[ID]))&amp;":"&amp;ADDRESS(ROW(),COLUMN(NOTA[ID]))),-1)))</f>
        <v>HANSA</v>
      </c>
      <c r="AH739" s="49" t="str">
        <f ca="1">IF(NOTA[[#This Row],[ID_H]]="","",IF(NOTA[[#This Row],[FAKTUR]]="",INDIRECT(ADDRESS(ROW()-1,COLUMN())),NOTA[[#This Row],[FAKTUR]]))</f>
        <v>UNTANA</v>
      </c>
      <c r="AI739" s="38" t="str">
        <f ca="1">IF(NOTA[[#This Row],[ID]]="","",COUNTIF(NOTA[ID_H],NOTA[[#This Row],[ID_H]]))</f>
        <v/>
      </c>
      <c r="AJ739" s="38">
        <f ca="1">IF(NOTA[[#This Row],[TGL.NOTA]]="",IF(NOTA[[#This Row],[SUPPLIER_H]]="","",AJ738),MONTH(NOTA[[#This Row],[TGL.NOTA]]))</f>
        <v>1</v>
      </c>
      <c r="AK739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739" s="193">
        <f>IF(NOTA[[#This Row],[CONCAT1]]="","",MATCH(NOTA[[#This Row],[CONCAT1]],[2]!db[NB NOTA_C],0)+1)</f>
        <v>1384</v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>
        <f ca="1">IF(NOTA[[#This Row],[NAMA BARANG]]="","",INDEX(NOTA[ID],MATCH(,INDIRECT(ADDRESS(ROW(NOTA[ID]),COLUMN(NOTA[ID]))&amp;":"&amp;ADDRESS(ROW(),COLUMN(NOTA[ID]))),-1)))</f>
        <v>142</v>
      </c>
      <c r="E740" s="23"/>
      <c r="F740" s="26"/>
      <c r="G740" s="26"/>
      <c r="H740" s="31"/>
      <c r="I740" s="26"/>
      <c r="J740" s="51"/>
      <c r="K740" s="26"/>
      <c r="L740" s="26" t="s">
        <v>287</v>
      </c>
      <c r="M740" s="39"/>
      <c r="N740" s="26">
        <v>14</v>
      </c>
      <c r="O740" s="26" t="s">
        <v>90</v>
      </c>
      <c r="P740" s="49">
        <v>13000</v>
      </c>
      <c r="Q740" s="52"/>
      <c r="R740" s="39"/>
      <c r="S740" s="53"/>
      <c r="T740" s="53"/>
      <c r="U740" s="54"/>
      <c r="V740" s="37" t="s">
        <v>866</v>
      </c>
      <c r="W740" s="54">
        <f>IF(NOTA[[#This Row],[HARGA/ CTN]]="",NOTA[[#This Row],[JUMLAH_H]],NOTA[[#This Row],[HARGA/ CTN]]*IF(NOTA[[#This Row],[C]]="",0,NOTA[[#This Row],[C]]))</f>
        <v>182000</v>
      </c>
      <c r="X740" s="54">
        <f>IF(NOTA[[#This Row],[JUMLAH]]="","",NOTA[[#This Row],[JUMLAH]]*NOTA[[#This Row],[DISC 1]])</f>
        <v>0</v>
      </c>
      <c r="Y740" s="54">
        <f>IF(NOTA[[#This Row],[JUMLAH]]="","",(NOTA[[#This Row],[JUMLAH]]-NOTA[[#This Row],[DISC 1-]])*NOTA[[#This Row],[DISC 2]])</f>
        <v>0</v>
      </c>
      <c r="Z740" s="54">
        <f>IF(NOTA[[#This Row],[JUMLAH]]="","",NOTA[[#This Row],[DISC 1-]]+NOTA[[#This Row],[DISC 2-]])</f>
        <v>0</v>
      </c>
      <c r="AA740" s="54">
        <f>IF(NOTA[[#This Row],[JUMLAH]]="","",NOTA[[#This Row],[JUMLAH]]-NOTA[[#This Row],[DISC]])</f>
        <v>182000</v>
      </c>
      <c r="AB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D740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E740" s="54">
        <f>IF(OR(NOTA[[#This Row],[QTY]]="",NOTA[[#This Row],[HARGA SATUAN]]="",),"",NOTA[[#This Row],[QTY]]*NOTA[[#This Row],[HARGA SATUAN]])</f>
        <v>182000</v>
      </c>
      <c r="AF740" s="51">
        <f ca="1">IF(NOTA[ID_H]="","",INDEX(NOTA[TANGGAL],MATCH(,INDIRECT(ADDRESS(ROW(NOTA[TANGGAL]),COLUMN(NOTA[TANGGAL]))&amp;":"&amp;ADDRESS(ROW(),COLUMN(NOTA[TANGGAL]))),-1)))</f>
        <v>44954</v>
      </c>
      <c r="AG740" s="49" t="str">
        <f ca="1">IF(NOTA[[#This Row],[NAMA BARANG]]="","",INDEX(NOTA[SUPPLIER],MATCH(,INDIRECT(ADDRESS(ROW(NOTA[ID]),COLUMN(NOTA[ID]))&amp;":"&amp;ADDRESS(ROW(),COLUMN(NOTA[ID]))),-1)))</f>
        <v>HANSA</v>
      </c>
      <c r="AH740" s="49" t="str">
        <f ca="1">IF(NOTA[[#This Row],[ID_H]]="","",IF(NOTA[[#This Row],[FAKTUR]]="",INDIRECT(ADDRESS(ROW()-1,COLUMN())),NOTA[[#This Row],[FAKTUR]]))</f>
        <v>UNTANA</v>
      </c>
      <c r="AI740" s="38" t="str">
        <f ca="1">IF(NOTA[[#This Row],[ID]]="","",COUNTIF(NOTA[ID_H],NOTA[[#This Row],[ID_H]]))</f>
        <v/>
      </c>
      <c r="AJ740" s="38">
        <f ca="1">IF(NOTA[[#This Row],[TGL.NOTA]]="",IF(NOTA[[#This Row],[SUPPLIER_H]]="","",AJ739),MONTH(NOTA[[#This Row],[TGL.NOTA]]))</f>
        <v>1</v>
      </c>
      <c r="AK740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40" s="193">
        <f>IF(NOTA[[#This Row],[CONCAT1]]="","",MATCH(NOTA[[#This Row],[CONCAT1]],[2]!db[NB NOTA_C],0)+1)</f>
        <v>1364</v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93" t="str">
        <f>IF(NOTA[[#This Row],[CONCAT1]]="","",MATCH(NOTA[[#This Row],[CONCAT1]],[2]!db[NB NOTA_C],0)+1)</f>
        <v/>
      </c>
    </row>
    <row r="742" spans="1:39" ht="20.100000000000001" customHeight="1" x14ac:dyDescent="0.25">
      <c r="A742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42" s="50" t="e">
        <f ca="1">IF(NOTA[[#This Row],[ID_P]]="","",MATCH(NOTA[[#This Row],[ID_P]],[1]!B_MSK[N_ID],0))</f>
        <v>#REF!</v>
      </c>
      <c r="D742" s="50">
        <f ca="1">IF(NOTA[[#This Row],[NAMA BARANG]]="","",INDEX(NOTA[ID],MATCH(,INDIRECT(ADDRESS(ROW(NOTA[ID]),COLUMN(NOTA[ID]))&amp;":"&amp;ADDRESS(ROW(),COLUMN(NOTA[ID]))),-1)))</f>
        <v>143</v>
      </c>
      <c r="E742" s="23">
        <v>44952</v>
      </c>
      <c r="F742" s="26" t="s">
        <v>86</v>
      </c>
      <c r="G742" s="26" t="s">
        <v>87</v>
      </c>
      <c r="H742" s="31"/>
      <c r="I742" s="26"/>
      <c r="J742" s="51"/>
      <c r="K742" s="26"/>
      <c r="L742" s="26" t="s">
        <v>891</v>
      </c>
      <c r="M742" s="39">
        <v>20</v>
      </c>
      <c r="N742" s="26">
        <f>50*20</f>
        <v>1000</v>
      </c>
      <c r="O742" s="26" t="s">
        <v>90</v>
      </c>
      <c r="P742" s="49">
        <v>17400</v>
      </c>
      <c r="Q742" s="52"/>
      <c r="R742" s="39" t="s">
        <v>227</v>
      </c>
      <c r="S742" s="53"/>
      <c r="T742" s="53"/>
      <c r="U742" s="54"/>
      <c r="V742" s="37"/>
      <c r="W742" s="54">
        <f>IF(NOTA[[#This Row],[HARGA/ CTN]]="",NOTA[[#This Row],[JUMLAH_H]],NOTA[[#This Row],[HARGA/ CTN]]*IF(NOTA[[#This Row],[C]]="",0,NOTA[[#This Row],[C]]))</f>
        <v>17400000</v>
      </c>
      <c r="X742" s="54">
        <f>IF(NOTA[[#This Row],[JUMLAH]]="","",NOTA[[#This Row],[JUMLAH]]*NOTA[[#This Row],[DISC 1]])</f>
        <v>0</v>
      </c>
      <c r="Y742" s="54">
        <f>IF(NOTA[[#This Row],[JUMLAH]]="","",(NOTA[[#This Row],[JUMLAH]]-NOTA[[#This Row],[DISC 1-]])*NOTA[[#This Row],[DISC 2]])</f>
        <v>0</v>
      </c>
      <c r="Z742" s="54">
        <f>IF(NOTA[[#This Row],[JUMLAH]]="","",NOTA[[#This Row],[DISC 1-]]+NOTA[[#This Row],[DISC 2-]])</f>
        <v>0</v>
      </c>
      <c r="AA742" s="54">
        <f>IF(NOTA[[#This Row],[JUMLAH]]="","",NOTA[[#This Row],[JUMLAH]]-NOTA[[#This Row],[DISC]])</f>
        <v>17400000</v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2" s="54">
        <f>IF(OR(NOTA[[#This Row],[QTY]]="",NOTA[[#This Row],[HARGA SATUAN]]="",),"",NOTA[[#This Row],[QTY]]*NOTA[[#This Row],[HARGA SATUAN]])</f>
        <v>17400000</v>
      </c>
      <c r="AF742" s="51">
        <f ca="1">IF(NOTA[ID_H]="","",INDEX(NOTA[TANGGAL],MATCH(,INDIRECT(ADDRESS(ROW(NOTA[TANGGAL]),COLUMN(NOTA[TANGGAL]))&amp;":"&amp;ADDRESS(ROW(),COLUMN(NOTA[TANGGAL]))),-1)))</f>
        <v>44952</v>
      </c>
      <c r="AG742" s="49" t="str">
        <f ca="1">IF(NOTA[[#This Row],[NAMA BARANG]]="","",INDEX(NOTA[SUPPLIER],MATCH(,INDIRECT(ADDRESS(ROW(NOTA[ID]),COLUMN(NOTA[ID]))&amp;":"&amp;ADDRESS(ROW(),COLUMN(NOTA[ID]))),-1)))</f>
        <v>GRAFINDO</v>
      </c>
      <c r="AH742" s="49" t="str">
        <f ca="1">IF(NOTA[[#This Row],[ID_H]]="","",IF(NOTA[[#This Row],[FAKTUR]]="",INDIRECT(ADDRESS(ROW()-1,COLUMN())),NOTA[[#This Row],[FAKTUR]]))</f>
        <v>UNTANA</v>
      </c>
      <c r="AI742" s="38">
        <f ca="1">IF(NOTA[[#This Row],[ID]]="","",COUNTIF(NOTA[ID_H],NOTA[[#This Row],[ID_H]]))</f>
        <v>3</v>
      </c>
      <c r="AJ742" s="38" t="str">
        <f ca="1">IF(NOTA[[#This Row],[TGL.NOTA]]="",IF(NOTA[[#This Row],[SUPPLIER_H]]="","",AJ737),MONTH(NOTA[[#This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>mapkcgatosbr870000</v>
      </c>
      <c r="AM742" s="193" t="e">
        <f>IF(NOTA[[#This Row],[CONCAT1]]="","",MATCH(NOTA[[#This Row],[CONCAT1]],[2]!db[NB NOTA_C],0)+1)</f>
        <v>#N/A</v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>
        <f ca="1">IF(NOTA[[#This Row],[NAMA BARANG]]="","",INDEX(NOTA[ID],MATCH(,INDIRECT(ADDRESS(ROW(NOTA[ID]),COLUMN(NOTA[ID]))&amp;":"&amp;ADDRESS(ROW(),COLUMN(NOTA[ID]))),-1)))</f>
        <v>143</v>
      </c>
      <c r="E743" s="23"/>
      <c r="F743" s="26"/>
      <c r="G743" s="26"/>
      <c r="H743" s="31"/>
      <c r="I743" s="26"/>
      <c r="J743" s="51"/>
      <c r="K743" s="26"/>
      <c r="L743" s="26" t="s">
        <v>890</v>
      </c>
      <c r="M743" s="39">
        <v>15</v>
      </c>
      <c r="N743" s="26">
        <f>50*15</f>
        <v>750</v>
      </c>
      <c r="O743" s="26" t="s">
        <v>90</v>
      </c>
      <c r="P743" s="49">
        <v>17400</v>
      </c>
      <c r="Q743" s="52"/>
      <c r="R743" s="39" t="s">
        <v>227</v>
      </c>
      <c r="S743" s="53"/>
      <c r="T743" s="53"/>
      <c r="U743" s="54"/>
      <c r="V743" s="37"/>
      <c r="W743" s="54">
        <f>IF(NOTA[[#This Row],[HARGA/ CTN]]="",NOTA[[#This Row],[JUMLAH_H]],NOTA[[#This Row],[HARGA/ CTN]]*IF(NOTA[[#This Row],[C]]="",0,NOTA[[#This Row],[C]]))</f>
        <v>13050000</v>
      </c>
      <c r="X743" s="54">
        <f>IF(NOTA[[#This Row],[JUMLAH]]="","",NOTA[[#This Row],[JUMLAH]]*NOTA[[#This Row],[DISC 1]])</f>
        <v>0</v>
      </c>
      <c r="Y743" s="54">
        <f>IF(NOTA[[#This Row],[JUMLAH]]="","",(NOTA[[#This Row],[JUMLAH]]-NOTA[[#This Row],[DISC 1-]])*NOTA[[#This Row],[DISC 2]])</f>
        <v>0</v>
      </c>
      <c r="Z743" s="54">
        <f>IF(NOTA[[#This Row],[JUMLAH]]="","",NOTA[[#This Row],[DISC 1-]]+NOTA[[#This Row],[DISC 2-]])</f>
        <v>0</v>
      </c>
      <c r="AA743" s="54">
        <f>IF(NOTA[[#This Row],[JUMLAH]]="","",NOTA[[#This Row],[JUMLAH]]-NOTA[[#This Row],[DISC]])</f>
        <v>13050000</v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3" s="54">
        <f>IF(OR(NOTA[[#This Row],[QTY]]="",NOTA[[#This Row],[HARGA SATUAN]]="",),"",NOTA[[#This Row],[QTY]]*NOTA[[#This Row],[HARGA SATUAN]])</f>
        <v>13050000</v>
      </c>
      <c r="AF743" s="51">
        <f ca="1">IF(NOTA[ID_H]="","",INDEX(NOTA[TANGGAL],MATCH(,INDIRECT(ADDRESS(ROW(NOTA[TANGGAL]),COLUMN(NOTA[TANGGAL]))&amp;":"&amp;ADDRESS(ROW(),COLUMN(NOTA[TANGGAL]))),-1)))</f>
        <v>44952</v>
      </c>
      <c r="AG743" s="49" t="str">
        <f ca="1">IF(NOTA[[#This Row],[NAMA BARANG]]="","",INDEX(NOTA[SUPPLIER],MATCH(,INDIRECT(ADDRESS(ROW(NOTA[ID]),COLUMN(NOTA[ID]))&amp;":"&amp;ADDRESS(ROW(),COLUMN(NOTA[ID]))),-1)))</f>
        <v>GRAFINDO</v>
      </c>
      <c r="AH743" s="49" t="str">
        <f ca="1">IF(NOTA[[#This Row],[ID_H]]="","",IF(NOTA[[#This Row],[FAKTUR]]="",INDIRECT(ADDRESS(ROW()-1,COLUMN())),NOTA[[#This Row],[FAKTUR]]))</f>
        <v>UNTANA</v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>mapkcgatosmrh870000</v>
      </c>
      <c r="AM743" s="193" t="e">
        <f>IF(NOTA[[#This Row],[CONCAT1]]="","",MATCH(NOTA[[#This Row],[CONCAT1]],[2]!db[NB NOTA_C],0)+1)</f>
        <v>#N/A</v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>
        <f ca="1">IF(NOTA[[#This Row],[NAMA BARANG]]="","",INDEX(NOTA[ID],MATCH(,INDIRECT(ADDRESS(ROW(NOTA[ID]),COLUMN(NOTA[ID]))&amp;":"&amp;ADDRESS(ROW(),COLUMN(NOTA[ID]))),-1)))</f>
        <v>143</v>
      </c>
      <c r="E744" s="23"/>
      <c r="F744" s="26"/>
      <c r="G744" s="26"/>
      <c r="H744" s="31"/>
      <c r="I744" s="26"/>
      <c r="J744" s="51"/>
      <c r="K744" s="26"/>
      <c r="L744" s="26" t="s">
        <v>892</v>
      </c>
      <c r="M744" s="39">
        <v>5</v>
      </c>
      <c r="N744" s="26">
        <v>250</v>
      </c>
      <c r="O744" s="26" t="s">
        <v>90</v>
      </c>
      <c r="P744" s="49">
        <v>17400</v>
      </c>
      <c r="Q744" s="52"/>
      <c r="R744" s="39" t="s">
        <v>227</v>
      </c>
      <c r="S744" s="53"/>
      <c r="T744" s="53"/>
      <c r="U744" s="54"/>
      <c r="V744" s="37"/>
      <c r="W744" s="54">
        <f>IF(NOTA[[#This Row],[HARGA/ CTN]]="",NOTA[[#This Row],[JUMLAH_H]],NOTA[[#This Row],[HARGA/ CTN]]*IF(NOTA[[#This Row],[C]]="",0,NOTA[[#This Row],[C]]))</f>
        <v>4350000</v>
      </c>
      <c r="X744" s="54">
        <f>IF(NOTA[[#This Row],[JUMLAH]]="","",NOTA[[#This Row],[JUMLAH]]*NOTA[[#This Row],[DISC 1]])</f>
        <v>0</v>
      </c>
      <c r="Y744" s="54">
        <f>IF(NOTA[[#This Row],[JUMLAH]]="","",(NOTA[[#This Row],[JUMLAH]]-NOTA[[#This Row],[DISC 1-]])*NOTA[[#This Row],[DISC 2]])</f>
        <v>0</v>
      </c>
      <c r="Z744" s="54">
        <f>IF(NOTA[[#This Row],[JUMLAH]]="","",NOTA[[#This Row],[DISC 1-]]+NOTA[[#This Row],[DISC 2-]])</f>
        <v>0</v>
      </c>
      <c r="AA744" s="54">
        <f>IF(NOTA[[#This Row],[JUMLAH]]="","",NOTA[[#This Row],[JUMLAH]]-NOTA[[#This Row],[DISC]])</f>
        <v>4350000</v>
      </c>
      <c r="AB7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D744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4" s="54">
        <f>IF(OR(NOTA[[#This Row],[QTY]]="",NOTA[[#This Row],[HARGA SATUAN]]="",),"",NOTA[[#This Row],[QTY]]*NOTA[[#This Row],[HARGA SATUAN]])</f>
        <v>4350000</v>
      </c>
      <c r="AF744" s="51">
        <f ca="1">IF(NOTA[ID_H]="","",INDEX(NOTA[TANGGAL],MATCH(,INDIRECT(ADDRESS(ROW(NOTA[TANGGAL]),COLUMN(NOTA[TANGGAL]))&amp;":"&amp;ADDRESS(ROW(),COLUMN(NOTA[TANGGAL]))),-1)))</f>
        <v>44952</v>
      </c>
      <c r="AG744" s="49" t="str">
        <f ca="1">IF(NOTA[[#This Row],[NAMA BARANG]]="","",INDEX(NOTA[SUPPLIER],MATCH(,INDIRECT(ADDRESS(ROW(NOTA[ID]),COLUMN(NOTA[ID]))&amp;":"&amp;ADDRESS(ROW(),COLUMN(NOTA[ID]))),-1)))</f>
        <v>GRAFINDO</v>
      </c>
      <c r="AH744" s="49" t="str">
        <f ca="1">IF(NOTA[[#This Row],[ID_H]]="","",IF(NOTA[[#This Row],[FAKTUR]]="",INDIRECT(ADDRESS(ROW()-1,COLUMN())),NOTA[[#This Row],[FAKTUR]]))</f>
        <v>UNTANA</v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>mapkcgkng</v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>mapkcgkng870000</v>
      </c>
      <c r="AM744" s="193" t="e">
        <f>IF(NOTA[[#This Row],[CONCAT1]]="","",MATCH(NOTA[[#This Row],[CONCAT1]],[2]!db[NB NOTA_C],0)+1)</f>
        <v>#N/A</v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93" t="str">
        <f>IF(NOTA[[#This Row],[CONCAT1]]="","",MATCH(NOTA[[#This Row],[CONCAT1]],[2]!db[NB NOTA_C],0)+1)</f>
        <v/>
      </c>
    </row>
    <row r="746" spans="1:39" ht="20.100000000000001" customHeight="1" x14ac:dyDescent="0.25">
      <c r="A746" s="49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ATA_2601_-5</v>
      </c>
      <c r="C746" s="50" t="e">
        <f ca="1">IF(NOTA[[#This Row],[ID_P]]="","",MATCH(NOTA[[#This Row],[ID_P]],[1]!B_MSK[N_ID],0))</f>
        <v>#REF!</v>
      </c>
      <c r="D746" s="50">
        <f ca="1">IF(NOTA[[#This Row],[NAMA BARANG]]="","",INDEX(NOTA[ID],MATCH(,INDIRECT(ADDRESS(ROW(NOTA[ID]),COLUMN(NOTA[ID]))&amp;":"&amp;ADDRESS(ROW(),COLUMN(NOTA[ID]))),-1)))</f>
        <v>144</v>
      </c>
      <c r="E746" s="23"/>
      <c r="F746" s="26" t="s">
        <v>25</v>
      </c>
      <c r="G746" s="26" t="s">
        <v>24</v>
      </c>
      <c r="H746" s="31"/>
      <c r="I746" s="26"/>
      <c r="J746" s="51"/>
      <c r="K746" s="26"/>
      <c r="L746" s="26" t="s">
        <v>893</v>
      </c>
      <c r="M746" s="39">
        <v>1</v>
      </c>
      <c r="N746" s="26">
        <v>120</v>
      </c>
      <c r="O746" s="26" t="s">
        <v>104</v>
      </c>
      <c r="P746" s="49">
        <v>12950</v>
      </c>
      <c r="Q746" s="52"/>
      <c r="R746" s="39" t="s">
        <v>246</v>
      </c>
      <c r="S746" s="53">
        <v>0.125</v>
      </c>
      <c r="T746" s="53">
        <v>0.05</v>
      </c>
      <c r="U746" s="54"/>
      <c r="V746" s="37"/>
      <c r="W746" s="54">
        <f>IF(NOTA[[#This Row],[HARGA/ CTN]]="",NOTA[[#This Row],[JUMLAH_H]],NOTA[[#This Row],[HARGA/ CTN]]*IF(NOTA[[#This Row],[C]]="",0,NOTA[[#This Row],[C]]))</f>
        <v>1554000</v>
      </c>
      <c r="X746" s="54">
        <f>IF(NOTA[[#This Row],[JUMLAH]]="","",NOTA[[#This Row],[JUMLAH]]*NOTA[[#This Row],[DISC 1]])</f>
        <v>194250</v>
      </c>
      <c r="Y746" s="54">
        <f>IF(NOTA[[#This Row],[JUMLAH]]="","",(NOTA[[#This Row],[JUMLAH]]-NOTA[[#This Row],[DISC 1-]])*NOTA[[#This Row],[DISC 2]])</f>
        <v>67987.5</v>
      </c>
      <c r="Z746" s="54">
        <f>IF(NOTA[[#This Row],[JUMLAH]]="","",NOTA[[#This Row],[DISC 1-]]+NOTA[[#This Row],[DISC 2-]])</f>
        <v>262237.5</v>
      </c>
      <c r="AA746" s="54">
        <f>IF(NOTA[[#This Row],[JUMLAH]]="","",NOTA[[#This Row],[JUMLAH]]-NOTA[[#This Row],[DISC]])</f>
        <v>1291762.5</v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746" s="54">
        <f>IF(OR(NOTA[[#This Row],[QTY]]="",NOTA[[#This Row],[HARGA SATUAN]]="",),"",NOTA[[#This Row],[QTY]]*NOTA[[#This Row],[HARGA SATUAN]])</f>
        <v>1554000</v>
      </c>
      <c r="AF746" s="51">
        <f ca="1">IF(NOTA[ID_H]="","",INDEX(NOTA[TANGGAL],MATCH(,INDIRECT(ADDRESS(ROW(NOTA[TANGGAL]),COLUMN(NOTA[TANGGAL]))&amp;":"&amp;ADDRESS(ROW(),COLUMN(NOTA[TANGGAL]))),-1)))</f>
        <v>44952</v>
      </c>
      <c r="AG746" s="49" t="str">
        <f ca="1">IF(NOTA[[#This Row],[NAMA BARANG]]="","",INDEX(NOTA[SUPPLIER],MATCH(,INDIRECT(ADDRESS(ROW(NOTA[ID]),COLUMN(NOTA[ID]))&amp;":"&amp;ADDRESS(ROW(),COLUMN(NOTA[ID]))),-1)))</f>
        <v>ATALI MAKMUR</v>
      </c>
      <c r="AH746" s="49" t="str">
        <f ca="1">IF(NOTA[[#This Row],[ID_H]]="","",IF(NOTA[[#This Row],[FAKTUR]]="",INDIRECT(ADDRESS(ROW()-1,COLUMN())),NOTA[[#This Row],[FAKTUR]]))</f>
        <v>ARTO MORO</v>
      </c>
      <c r="AI746" s="38">
        <f ca="1">IF(NOTA[[#This Row],[ID]]="","",COUNTIF(NOTA[ID_H],NOTA[[#This Row],[ID_H]]))</f>
        <v>5</v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>punch30xljk15540000.1250.05</v>
      </c>
      <c r="AM746" s="193">
        <f>IF(NOTA[[#This Row],[CONCAT1]]="","",MATCH(NOTA[[#This Row],[CONCAT1]],[2]!db[NB NOTA_C],0)+1)</f>
        <v>1844</v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>
        <f ca="1">IF(NOTA[[#This Row],[NAMA BARANG]]="","",INDEX(NOTA[ID],MATCH(,INDIRECT(ADDRESS(ROW(NOTA[ID]),COLUMN(NOTA[ID]))&amp;":"&amp;ADDRESS(ROW(),COLUMN(NOTA[ID]))),-1)))</f>
        <v>144</v>
      </c>
      <c r="E747" s="23"/>
      <c r="F747" s="164"/>
      <c r="G747" s="164"/>
      <c r="H747" s="165"/>
      <c r="I747" s="164"/>
      <c r="J747" s="166"/>
      <c r="K747" s="164"/>
      <c r="L747" s="26" t="s">
        <v>894</v>
      </c>
      <c r="M747" s="167">
        <v>2</v>
      </c>
      <c r="N747" s="164">
        <v>40</v>
      </c>
      <c r="O747" s="26" t="s">
        <v>104</v>
      </c>
      <c r="P747" s="168">
        <v>40500</v>
      </c>
      <c r="Q747" s="169"/>
      <c r="R747" s="39" t="s">
        <v>489</v>
      </c>
      <c r="S747" s="53">
        <v>0.125</v>
      </c>
      <c r="T747" s="53">
        <v>0.05</v>
      </c>
      <c r="U747" s="54"/>
      <c r="V747" s="37"/>
      <c r="W747" s="54">
        <f>IF(NOTA[[#This Row],[HARGA/ CTN]]="",NOTA[[#This Row],[JUMLAH_H]],NOTA[[#This Row],[HARGA/ CTN]]*IF(NOTA[[#This Row],[C]]="",0,NOTA[[#This Row],[C]]))</f>
        <v>1620000</v>
      </c>
      <c r="X747" s="54">
        <f>IF(NOTA[[#This Row],[JUMLAH]]="","",NOTA[[#This Row],[JUMLAH]]*NOTA[[#This Row],[DISC 1]])</f>
        <v>202500</v>
      </c>
      <c r="Y747" s="54">
        <f>IF(NOTA[[#This Row],[JUMLAH]]="","",(NOTA[[#This Row],[JUMLAH]]-NOTA[[#This Row],[DISC 1-]])*NOTA[[#This Row],[DISC 2]])</f>
        <v>70875</v>
      </c>
      <c r="Z747" s="54">
        <f>IF(NOTA[[#This Row],[JUMLAH]]="","",NOTA[[#This Row],[DISC 1-]]+NOTA[[#This Row],[DISC 2-]])</f>
        <v>273375</v>
      </c>
      <c r="AA747" s="54">
        <f>IF(NOTA[[#This Row],[JUMLAH]]="","",NOTA[[#This Row],[JUMLAH]]-NOTA[[#This Row],[DISC]])</f>
        <v>1346625</v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747" s="54">
        <f>IF(OR(NOTA[[#This Row],[QTY]]="",NOTA[[#This Row],[HARGA SATUAN]]="",),"",NOTA[[#This Row],[QTY]]*NOTA[[#This Row],[HARGA SATUAN]])</f>
        <v>1620000</v>
      </c>
      <c r="AF747" s="51">
        <f ca="1">IF(NOTA[ID_H]="","",INDEX(NOTA[TANGGAL],MATCH(,INDIRECT(ADDRESS(ROW(NOTA[TANGGAL]),COLUMN(NOTA[TANGGAL]))&amp;":"&amp;ADDRESS(ROW(),COLUMN(NOTA[TANGGAL]))),-1)))</f>
        <v>44952</v>
      </c>
      <c r="AG747" s="49" t="str">
        <f ca="1">IF(NOTA[[#This Row],[NAMA BARANG]]="","",INDEX(NOTA[SUPPLIER],MATCH(,INDIRECT(ADDRESS(ROW(NOTA[ID]),COLUMN(NOTA[ID]))&amp;":"&amp;ADDRESS(ROW(),COLUMN(NOTA[ID]))),-1)))</f>
        <v>ATALI MAKMUR</v>
      </c>
      <c r="AH747" s="49" t="str">
        <f ca="1">IF(NOTA[[#This Row],[ID_H]]="","",IF(NOTA[[#This Row],[FAKTUR]]="",INDIRECT(ADDRESS(ROW()-1,COLUMN())),NOTA[[#This Row],[FAKTUR]]))</f>
        <v>ARTO MORO</v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>mesinlabelmx5500m</v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>mesinlabelmx5500m8100000.1250.05</v>
      </c>
      <c r="AM747" s="193" t="e">
        <f>IF(NOTA[[#This Row],[CONCAT1]]="","",MATCH(NOTA[[#This Row],[CONCAT1]],[2]!db[NB NOTA_C],0)+1)</f>
        <v>#N/A</v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>
        <f ca="1">IF(NOTA[[#This Row],[NAMA BARANG]]="","",INDEX(NOTA[ID],MATCH(,INDIRECT(ADDRESS(ROW(NOTA[ID]),COLUMN(NOTA[ID]))&amp;":"&amp;ADDRESS(ROW(),COLUMN(NOTA[ID]))),-1)))</f>
        <v>144</v>
      </c>
      <c r="E748" s="23"/>
      <c r="F748" s="26"/>
      <c r="G748" s="26"/>
      <c r="H748" s="31"/>
      <c r="I748" s="26"/>
      <c r="J748" s="51"/>
      <c r="K748" s="26"/>
      <c r="L748" s="26" t="s">
        <v>895</v>
      </c>
      <c r="M748" s="39">
        <v>2</v>
      </c>
      <c r="N748" s="26">
        <v>60</v>
      </c>
      <c r="O748" s="26" t="s">
        <v>274</v>
      </c>
      <c r="P748" s="49">
        <v>96000</v>
      </c>
      <c r="Q748" s="52"/>
      <c r="R748" s="39" t="s">
        <v>371</v>
      </c>
      <c r="S748" s="53">
        <v>0.125</v>
      </c>
      <c r="T748" s="53">
        <v>0.05</v>
      </c>
      <c r="U748" s="54"/>
      <c r="V748" s="37"/>
      <c r="W748" s="54">
        <f>IF(NOTA[[#This Row],[HARGA/ CTN]]="",NOTA[[#This Row],[JUMLAH_H]],NOTA[[#This Row],[HARGA/ CTN]]*IF(NOTA[[#This Row],[C]]="",0,NOTA[[#This Row],[C]]))</f>
        <v>5760000</v>
      </c>
      <c r="X748" s="54">
        <f>IF(NOTA[[#This Row],[JUMLAH]]="","",NOTA[[#This Row],[JUMLAH]]*NOTA[[#This Row],[DISC 1]])</f>
        <v>720000</v>
      </c>
      <c r="Y748" s="54">
        <f>IF(NOTA[[#This Row],[JUMLAH]]="","",(NOTA[[#This Row],[JUMLAH]]-NOTA[[#This Row],[DISC 1-]])*NOTA[[#This Row],[DISC 2]])</f>
        <v>252000</v>
      </c>
      <c r="Z748" s="54">
        <f>IF(NOTA[[#This Row],[JUMLAH]]="","",NOTA[[#This Row],[DISC 1-]]+NOTA[[#This Row],[DISC 2-]])</f>
        <v>972000</v>
      </c>
      <c r="AA748" s="54">
        <f>IF(NOTA[[#This Row],[JUMLAH]]="","",NOTA[[#This Row],[JUMLAH]]-NOTA[[#This Row],[DISC]])</f>
        <v>4788000</v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48" s="54">
        <f>IF(OR(NOTA[[#This Row],[QTY]]="",NOTA[[#This Row],[HARGA SATUAN]]="",),"",NOTA[[#This Row],[QTY]]*NOTA[[#This Row],[HARGA SATUAN]])</f>
        <v>5760000</v>
      </c>
      <c r="AF748" s="51">
        <f ca="1">IF(NOTA[ID_H]="","",INDEX(NOTA[TANGGAL],MATCH(,INDIRECT(ADDRESS(ROW(NOTA[TANGGAL]),COLUMN(NOTA[TANGGAL]))&amp;":"&amp;ADDRESS(ROW(),COLUMN(NOTA[TANGGAL]))),-1)))</f>
        <v>44952</v>
      </c>
      <c r="AG748" s="49" t="str">
        <f ca="1">IF(NOTA[[#This Row],[NAMA BARANG]]="","",INDEX(NOTA[SUPPLIER],MATCH(,INDIRECT(ADDRESS(ROW(NOTA[ID]),COLUMN(NOTA[ID]))&amp;":"&amp;ADDRESS(ROW(),COLUMN(NOTA[ID]))),-1)))</f>
        <v>ATALI MAKMUR</v>
      </c>
      <c r="AH748" s="49" t="str">
        <f ca="1">IF(NOTA[[#This Row],[ID_H]]="","",IF(NOTA[[#This Row],[FAKTUR]]="",INDIRECT(ADDRESS(ROW()-1,COLUMN())),NOTA[[#This Row],[FAKTUR]]))</f>
        <v>ARTO MORO</v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>pensil2bp95jk</v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>pensil2bp95jk28800000.1250.05</v>
      </c>
      <c r="AM748" s="193" t="e">
        <f>IF(NOTA[[#This Row],[CONCAT1]]="","",MATCH(NOTA[[#This Row],[CONCAT1]],[2]!db[NB NOTA_C],0)+1)</f>
        <v>#N/A</v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>
        <f ca="1">IF(NOTA[[#This Row],[NAMA BARANG]]="","",INDEX(NOTA[ID],MATCH(,INDIRECT(ADDRESS(ROW(NOTA[ID]),COLUMN(NOTA[ID]))&amp;":"&amp;ADDRESS(ROW(),COLUMN(NOTA[ID]))),-1)))</f>
        <v>144</v>
      </c>
      <c r="E749" s="23"/>
      <c r="F749" s="26"/>
      <c r="G749" s="26"/>
      <c r="H749" s="31"/>
      <c r="I749" s="26"/>
      <c r="J749" s="51"/>
      <c r="K749" s="26"/>
      <c r="L749" s="26" t="s">
        <v>896</v>
      </c>
      <c r="M749" s="39">
        <v>3</v>
      </c>
      <c r="N749" s="26">
        <f>48*3</f>
        <v>144</v>
      </c>
      <c r="O749" s="26" t="s">
        <v>90</v>
      </c>
      <c r="P749" s="49">
        <v>36000</v>
      </c>
      <c r="Q749" s="52"/>
      <c r="R749" s="39" t="s">
        <v>105</v>
      </c>
      <c r="S749" s="53">
        <v>0.125</v>
      </c>
      <c r="T749" s="53">
        <v>0.05</v>
      </c>
      <c r="U749" s="54"/>
      <c r="V749" s="37"/>
      <c r="W749" s="54">
        <f>IF(NOTA[[#This Row],[HARGA/ CTN]]="",NOTA[[#This Row],[JUMLAH_H]],NOTA[[#This Row],[HARGA/ CTN]]*IF(NOTA[[#This Row],[C]]="",0,NOTA[[#This Row],[C]]))</f>
        <v>5184000</v>
      </c>
      <c r="X749" s="54">
        <f>IF(NOTA[[#This Row],[JUMLAH]]="","",NOTA[[#This Row],[JUMLAH]]*NOTA[[#This Row],[DISC 1]])</f>
        <v>648000</v>
      </c>
      <c r="Y749" s="54">
        <f>IF(NOTA[[#This Row],[JUMLAH]]="","",(NOTA[[#This Row],[JUMLAH]]-NOTA[[#This Row],[DISC 1-]])*NOTA[[#This Row],[DISC 2]])</f>
        <v>226800</v>
      </c>
      <c r="Z749" s="54">
        <f>IF(NOTA[[#This Row],[JUMLAH]]="","",NOTA[[#This Row],[DISC 1-]]+NOTA[[#This Row],[DISC 2-]])</f>
        <v>874800</v>
      </c>
      <c r="AA749" s="54">
        <f>IF(NOTA[[#This Row],[JUMLAH]]="","",NOTA[[#This Row],[JUMLAH]]-NOTA[[#This Row],[DISC]])</f>
        <v>4309200</v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749" s="54">
        <f>IF(OR(NOTA[[#This Row],[QTY]]="",NOTA[[#This Row],[HARGA SATUAN]]="",),"",NOTA[[#This Row],[QTY]]*NOTA[[#This Row],[HARGA SATUAN]])</f>
        <v>5184000</v>
      </c>
      <c r="AF749" s="51">
        <f ca="1">IF(NOTA[ID_H]="","",INDEX(NOTA[TANGGAL],MATCH(,INDIRECT(ADDRESS(ROW(NOTA[TANGGAL]),COLUMN(NOTA[TANGGAL]))&amp;":"&amp;ADDRESS(ROW(),COLUMN(NOTA[TANGGAL]))),-1)))</f>
        <v>44952</v>
      </c>
      <c r="AG749" s="49" t="str">
        <f ca="1">IF(NOTA[[#This Row],[NAMA BARANG]]="","",INDEX(NOTA[SUPPLIER],MATCH(,INDIRECT(ADDRESS(ROW(NOTA[ID]),COLUMN(NOTA[ID]))&amp;":"&amp;ADDRESS(ROW(),COLUMN(NOTA[ID]))),-1)))</f>
        <v>ATALI MAKMUR</v>
      </c>
      <c r="AH749" s="49" t="str">
        <f ca="1">IF(NOTA[[#This Row],[ID_H]]="","",IF(NOTA[[#This Row],[FAKTUR]]="",INDIRECT(ADDRESS(ROW()-1,COLUMN())),NOTA[[#This Row],[FAKTUR]]))</f>
        <v>ARTO MORO</v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>tipe*exjk101jk</v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>tipe*exjk101jk17280000.1250.05</v>
      </c>
      <c r="AM749" s="193" t="e">
        <f>IF(NOTA[[#This Row],[CONCAT1]]="","",MATCH(NOTA[[#This Row],[CONCAT1]],[2]!db[NB NOTA_C],0)+1)</f>
        <v>#N/A</v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>
        <f ca="1">IF(NOTA[[#This Row],[NAMA BARANG]]="","",INDEX(NOTA[ID],MATCH(,INDIRECT(ADDRESS(ROW(NOTA[ID]),COLUMN(NOTA[ID]))&amp;":"&amp;ADDRESS(ROW(),COLUMN(NOTA[ID]))),-1)))</f>
        <v>144</v>
      </c>
      <c r="E750" s="23"/>
      <c r="F750" s="26"/>
      <c r="G750" s="26"/>
      <c r="H750" s="31"/>
      <c r="I750" s="26"/>
      <c r="J750" s="51"/>
      <c r="K750" s="26"/>
      <c r="L750" s="26" t="s">
        <v>897</v>
      </c>
      <c r="M750" s="39"/>
      <c r="N750" s="26">
        <v>36</v>
      </c>
      <c r="O750" s="26" t="s">
        <v>104</v>
      </c>
      <c r="P750" s="49">
        <v>2380</v>
      </c>
      <c r="Q750" s="52"/>
      <c r="R750" s="39" t="s">
        <v>209</v>
      </c>
      <c r="S750" s="53">
        <v>0.1</v>
      </c>
      <c r="T750" s="53">
        <v>0.05</v>
      </c>
      <c r="U750" s="54"/>
      <c r="V750" s="37"/>
      <c r="W750" s="54">
        <f>IF(NOTA[[#This Row],[HARGA/ CTN]]="",NOTA[[#This Row],[JUMLAH_H]],NOTA[[#This Row],[HARGA/ CTN]]*IF(NOTA[[#This Row],[C]]="",0,NOTA[[#This Row],[C]]))</f>
        <v>85680</v>
      </c>
      <c r="X750" s="54">
        <f>IF(NOTA[[#This Row],[JUMLAH]]="","",NOTA[[#This Row],[JUMLAH]]*NOTA[[#This Row],[DISC 1]])</f>
        <v>8568</v>
      </c>
      <c r="Y750" s="54">
        <f>IF(NOTA[[#This Row],[JUMLAH]]="","",(NOTA[[#This Row],[JUMLAH]]-NOTA[[#This Row],[DISC 1-]])*NOTA[[#This Row],[DISC 2]])</f>
        <v>3855.6000000000004</v>
      </c>
      <c r="Z750" s="54">
        <f>IF(NOTA[[#This Row],[JUMLAH]]="","",NOTA[[#This Row],[DISC 1-]]+NOTA[[#This Row],[DISC 2-]])</f>
        <v>12423.6</v>
      </c>
      <c r="AA750" s="54">
        <f>IF(NOTA[[#This Row],[JUMLAH]]="","",NOTA[[#This Row],[JUMLAH]]-NOTA[[#This Row],[DISC]])</f>
        <v>73256.399999999994</v>
      </c>
      <c r="AB7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2394836.1</v>
      </c>
      <c r="AC7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11808843.9</v>
      </c>
      <c r="AD750" s="49">
        <f>IF(NOTA[[#This Row],[NAMA BARANG]]="","",IF(NOTA[[#This Row],[JUMLAH_H]]="",NOTA[[#This Row],[HARGA/ CTN]],NOTA[[#This Row],[QTY]]*NOTA[[#This Row],[HARGA SATUAN]]/IF(ISNUMBER(NOTA[[#This Row],[C]]),NOTA[[#This Row],[C]],1)))</f>
        <v>85680</v>
      </c>
      <c r="AE750" s="54">
        <f>IF(OR(NOTA[[#This Row],[QTY]]="",NOTA[[#This Row],[HARGA SATUAN]]="",),"",NOTA[[#This Row],[QTY]]*NOTA[[#This Row],[HARGA SATUAN]])</f>
        <v>85680</v>
      </c>
      <c r="AF750" s="51">
        <f ca="1">IF(NOTA[ID_H]="","",INDEX(NOTA[TANGGAL],MATCH(,INDIRECT(ADDRESS(ROW(NOTA[TANGGAL]),COLUMN(NOTA[TANGGAL]))&amp;":"&amp;ADDRESS(ROW(),COLUMN(NOTA[TANGGAL]))),-1)))</f>
        <v>44952</v>
      </c>
      <c r="AG750" s="49" t="str">
        <f ca="1">IF(NOTA[[#This Row],[NAMA BARANG]]="","",INDEX(NOTA[SUPPLIER],MATCH(,INDIRECT(ADDRESS(ROW(NOTA[ID]),COLUMN(NOTA[ID]))&amp;":"&amp;ADDRESS(ROW(),COLUMN(NOTA[ID]))),-1)))</f>
        <v>ATALI MAKMUR</v>
      </c>
      <c r="AH750" s="49" t="str">
        <f ca="1">IF(NOTA[[#This Row],[ID_H]]="","",IF(NOTA[[#This Row],[FAKTUR]]="",INDIRECT(ADDRESS(ROW()-1,COLUMN())),NOTA[[#This Row],[FAKTUR]]))</f>
        <v>ARTO MORO</v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>spidolpm34htm</v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>spidolpm34htm2380</v>
      </c>
      <c r="AM750" s="193" t="e">
        <f>IF(NOTA[[#This Row],[CONCAT1]]="","",MATCH(NOTA[[#This Row],[CONCAT1]],[2]!db[NB NOTA_C],0)+1)</f>
        <v>#N/A</v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93" t="str">
        <f>IF(NOTA[[#This Row],[CONCAT1]]="","",MATCH(NOTA[[#This Row],[CONCAT1]],[2]!db[NB NOTA_C],0)+1)</f>
        <v/>
      </c>
    </row>
    <row r="752" spans="1:39" ht="20.100000000000001" customHeight="1" x14ac:dyDescent="0.25">
      <c r="A752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52" s="50" t="e">
        <f ca="1">IF(NOTA[[#This Row],[ID_P]]="","",MATCH(NOTA[[#This Row],[ID_P]],[1]!B_MSK[N_ID],0))</f>
        <v>#REF!</v>
      </c>
      <c r="D752" s="50">
        <f ca="1">IF(NOTA[[#This Row],[NAMA BARANG]]="","",INDEX(NOTA[ID],MATCH(,INDIRECT(ADDRESS(ROW(NOTA[ID]),COLUMN(NOTA[ID]))&amp;":"&amp;ADDRESS(ROW(),COLUMN(NOTA[ID]))),-1)))</f>
        <v>145</v>
      </c>
      <c r="E752" s="23"/>
      <c r="F752" s="26" t="s">
        <v>889</v>
      </c>
      <c r="G752" s="26" t="s">
        <v>87</v>
      </c>
      <c r="H752" s="31"/>
      <c r="I752" s="26"/>
      <c r="J752" s="51"/>
      <c r="K752" s="26"/>
      <c r="L752" s="26" t="s">
        <v>898</v>
      </c>
      <c r="M752" s="39">
        <v>1</v>
      </c>
      <c r="N752" s="26">
        <v>32</v>
      </c>
      <c r="O752" s="26" t="s">
        <v>90</v>
      </c>
      <c r="P752" s="49">
        <v>74000</v>
      </c>
      <c r="Q752" s="52"/>
      <c r="R752" s="39"/>
      <c r="S752" s="53"/>
      <c r="T752" s="53"/>
      <c r="U752" s="54"/>
      <c r="V752" s="37"/>
      <c r="W752" s="54">
        <f>IF(NOTA[[#This Row],[HARGA/ CTN]]="",NOTA[[#This Row],[JUMLAH_H]],NOTA[[#This Row],[HARGA/ CTN]]*IF(NOTA[[#This Row],[C]]="",0,NOTA[[#This Row],[C]]))</f>
        <v>2368000</v>
      </c>
      <c r="X752" s="54">
        <f>IF(NOTA[[#This Row],[JUMLAH]]="","",NOTA[[#This Row],[JUMLAH]]*NOTA[[#This Row],[DISC 1]])</f>
        <v>0</v>
      </c>
      <c r="Y752" s="54">
        <f>IF(NOTA[[#This Row],[JUMLAH]]="","",(NOTA[[#This Row],[JUMLAH]]-NOTA[[#This Row],[DISC 1-]])*NOTA[[#This Row],[DISC 2]])</f>
        <v>0</v>
      </c>
      <c r="Z752" s="54">
        <f>IF(NOTA[[#This Row],[JUMLAH]]="","",NOTA[[#This Row],[DISC 1-]]+NOTA[[#This Row],[DISC 2-]])</f>
        <v>0</v>
      </c>
      <c r="AA752" s="54">
        <f>IF(NOTA[[#This Row],[JUMLAH]]="","",NOTA[[#This Row],[JUMLAH]]-NOTA[[#This Row],[DISC]])</f>
        <v>2368000</v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E752" s="54">
        <f>IF(OR(NOTA[[#This Row],[QTY]]="",NOTA[[#This Row],[HARGA SATUAN]]="",),"",NOTA[[#This Row],[QTY]]*NOTA[[#This Row],[HARGA SATUAN]])</f>
        <v>2368000</v>
      </c>
      <c r="AF752" s="51">
        <f ca="1">IF(NOTA[ID_H]="","",INDEX(NOTA[TANGGAL],MATCH(,INDIRECT(ADDRESS(ROW(NOTA[TANGGAL]),COLUMN(NOTA[TANGGAL]))&amp;":"&amp;ADDRESS(ROW(),COLUMN(NOTA[TANGGAL]))),-1)))</f>
        <v>44952</v>
      </c>
      <c r="AG752" s="49" t="str">
        <f ca="1">IF(NOTA[[#This Row],[NAMA BARANG]]="","",INDEX(NOTA[SUPPLIER],MATCH(,INDIRECT(ADDRESS(ROW(NOTA[ID]),COLUMN(NOTA[ID]))&amp;":"&amp;ADDRESS(ROW(),COLUMN(NOTA[ID]))),-1)))</f>
        <v>HONGSIAN</v>
      </c>
      <c r="AH752" s="49" t="str">
        <f ca="1">IF(NOTA[[#This Row],[ID_H]]="","",IF(NOTA[[#This Row],[FAKTUR]]="",INDIRECT(ADDRESS(ROW()-1,COLUMN())),NOTA[[#This Row],[FAKTUR]]))</f>
        <v>UNTANA</v>
      </c>
      <c r="AI752" s="38">
        <f ca="1">IF(NOTA[[#This Row],[ID]]="","",COUNTIF(NOTA[ID_H],NOTA[[#This Row],[ID_H]]))</f>
        <v>3</v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>pcaseresta7762368000</v>
      </c>
      <c r="AM752" s="193" t="e">
        <f>IF(NOTA[[#This Row],[CONCAT1]]="","",MATCH(NOTA[[#This Row],[CONCAT1]],[2]!db[NB NOTA_C],0)+1)</f>
        <v>#N/A</v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>
        <f ca="1">IF(NOTA[[#This Row],[NAMA BARANG]]="","",INDEX(NOTA[ID],MATCH(,INDIRECT(ADDRESS(ROW(NOTA[ID]),COLUMN(NOTA[ID]))&amp;":"&amp;ADDRESS(ROW(),COLUMN(NOTA[ID]))),-1)))</f>
        <v>145</v>
      </c>
      <c r="E753" s="23"/>
      <c r="F753" s="26"/>
      <c r="G753" s="26"/>
      <c r="H753" s="31"/>
      <c r="I753" s="26"/>
      <c r="J753" s="51"/>
      <c r="K753" s="26"/>
      <c r="L753" s="26" t="s">
        <v>899</v>
      </c>
      <c r="M753" s="39">
        <v>1</v>
      </c>
      <c r="N753" s="26">
        <v>32</v>
      </c>
      <c r="O753" s="26" t="s">
        <v>90</v>
      </c>
      <c r="P753" s="49">
        <v>82500</v>
      </c>
      <c r="Q753" s="52"/>
      <c r="R753" s="39"/>
      <c r="S753" s="53"/>
      <c r="T753" s="53"/>
      <c r="U753" s="54"/>
      <c r="V753" s="37"/>
      <c r="W753" s="54">
        <f>IF(NOTA[[#This Row],[HARGA/ CTN]]="",NOTA[[#This Row],[JUMLAH_H]],NOTA[[#This Row],[HARGA/ CTN]]*IF(NOTA[[#This Row],[C]]="",0,NOTA[[#This Row],[C]]))</f>
        <v>2640000</v>
      </c>
      <c r="X753" s="54">
        <f>IF(NOTA[[#This Row],[JUMLAH]]="","",NOTA[[#This Row],[JUMLAH]]*NOTA[[#This Row],[DISC 1]])</f>
        <v>0</v>
      </c>
      <c r="Y753" s="54">
        <f>IF(NOTA[[#This Row],[JUMLAH]]="","",(NOTA[[#This Row],[JUMLAH]]-NOTA[[#This Row],[DISC 1-]])*NOTA[[#This Row],[DISC 2]])</f>
        <v>0</v>
      </c>
      <c r="Z753" s="54">
        <f>IF(NOTA[[#This Row],[JUMLAH]]="","",NOTA[[#This Row],[DISC 1-]]+NOTA[[#This Row],[DISC 2-]])</f>
        <v>0</v>
      </c>
      <c r="AA753" s="54">
        <f>IF(NOTA[[#This Row],[JUMLAH]]="","",NOTA[[#This Row],[JUMLAH]]-NOTA[[#This Row],[DISC]])</f>
        <v>2640000</v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E753" s="54">
        <f>IF(OR(NOTA[[#This Row],[QTY]]="",NOTA[[#This Row],[HARGA SATUAN]]="",),"",NOTA[[#This Row],[QTY]]*NOTA[[#This Row],[HARGA SATUAN]])</f>
        <v>2640000</v>
      </c>
      <c r="AF753" s="51">
        <f ca="1">IF(NOTA[ID_H]="","",INDEX(NOTA[TANGGAL],MATCH(,INDIRECT(ADDRESS(ROW(NOTA[TANGGAL]),COLUMN(NOTA[TANGGAL]))&amp;":"&amp;ADDRESS(ROW(),COLUMN(NOTA[TANGGAL]))),-1)))</f>
        <v>44952</v>
      </c>
      <c r="AG753" s="49" t="str">
        <f ca="1">IF(NOTA[[#This Row],[NAMA BARANG]]="","",INDEX(NOTA[SUPPLIER],MATCH(,INDIRECT(ADDRESS(ROW(NOTA[ID]),COLUMN(NOTA[ID]))&amp;":"&amp;ADDRESS(ROW(),COLUMN(NOTA[ID]))),-1)))</f>
        <v>HONGSIAN</v>
      </c>
      <c r="AH753" s="49" t="str">
        <f ca="1">IF(NOTA[[#This Row],[ID_H]]="","",IF(NOTA[[#This Row],[FAKTUR]]="",INDIRECT(ADDRESS(ROW()-1,COLUMN())),NOTA[[#This Row],[FAKTUR]]))</f>
        <v>UNTANA</v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>pcaseresth4662640000</v>
      </c>
      <c r="AM753" s="193" t="e">
        <f>IF(NOTA[[#This Row],[CONCAT1]]="","",MATCH(NOTA[[#This Row],[CONCAT1]],[2]!db[NB NOTA_C],0)+1)</f>
        <v>#N/A</v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>
        <f ca="1">IF(NOTA[[#This Row],[NAMA BARANG]]="","",INDEX(NOTA[ID],MATCH(,INDIRECT(ADDRESS(ROW(NOTA[ID]),COLUMN(NOTA[ID]))&amp;":"&amp;ADDRESS(ROW(),COLUMN(NOTA[ID]))),-1)))</f>
        <v>145</v>
      </c>
      <c r="E754" s="23"/>
      <c r="F754" s="26"/>
      <c r="G754" s="26"/>
      <c r="H754" s="31"/>
      <c r="I754" s="26"/>
      <c r="J754" s="51"/>
      <c r="K754" s="26"/>
      <c r="L754" s="26" t="s">
        <v>900</v>
      </c>
      <c r="M754" s="39">
        <v>1</v>
      </c>
      <c r="N754" s="26">
        <v>32</v>
      </c>
      <c r="O754" s="26" t="s">
        <v>90</v>
      </c>
      <c r="P754" s="49">
        <v>75000</v>
      </c>
      <c r="Q754" s="52"/>
      <c r="R754" s="39"/>
      <c r="S754" s="53"/>
      <c r="T754" s="53"/>
      <c r="U754" s="54"/>
      <c r="V754" s="37"/>
      <c r="W754" s="54">
        <f>IF(NOTA[[#This Row],[HARGA/ CTN]]="",NOTA[[#This Row],[JUMLAH_H]],NOTA[[#This Row],[HARGA/ CTN]]*IF(NOTA[[#This Row],[C]]="",0,NOTA[[#This Row],[C]]))</f>
        <v>2400000</v>
      </c>
      <c r="X754" s="54">
        <f>IF(NOTA[[#This Row],[JUMLAH]]="","",NOTA[[#This Row],[JUMLAH]]*NOTA[[#This Row],[DISC 1]])</f>
        <v>0</v>
      </c>
      <c r="Y754" s="54">
        <f>IF(NOTA[[#This Row],[JUMLAH]]="","",(NOTA[[#This Row],[JUMLAH]]-NOTA[[#This Row],[DISC 1-]])*NOTA[[#This Row],[DISC 2]])</f>
        <v>0</v>
      </c>
      <c r="Z754" s="54">
        <f>IF(NOTA[[#This Row],[JUMLAH]]="","",NOTA[[#This Row],[DISC 1-]]+NOTA[[#This Row],[DISC 2-]])</f>
        <v>0</v>
      </c>
      <c r="AA754" s="54">
        <f>IF(NOTA[[#This Row],[JUMLAH]]="","",NOTA[[#This Row],[JUMLAH]]-NOTA[[#This Row],[DISC]])</f>
        <v>2400000</v>
      </c>
      <c r="AB7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D754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54" s="54">
        <f>IF(OR(NOTA[[#This Row],[QTY]]="",NOTA[[#This Row],[HARGA SATUAN]]="",),"",NOTA[[#This Row],[QTY]]*NOTA[[#This Row],[HARGA SATUAN]])</f>
        <v>2400000</v>
      </c>
      <c r="AF754" s="51">
        <f ca="1">IF(NOTA[ID_H]="","",INDEX(NOTA[TANGGAL],MATCH(,INDIRECT(ADDRESS(ROW(NOTA[TANGGAL]),COLUMN(NOTA[TANGGAL]))&amp;":"&amp;ADDRESS(ROW(),COLUMN(NOTA[TANGGAL]))),-1)))</f>
        <v>44952</v>
      </c>
      <c r="AG754" s="49" t="str">
        <f ca="1">IF(NOTA[[#This Row],[NAMA BARANG]]="","",INDEX(NOTA[SUPPLIER],MATCH(,INDIRECT(ADDRESS(ROW(NOTA[ID]),COLUMN(NOTA[ID]))&amp;":"&amp;ADDRESS(ROW(),COLUMN(NOTA[ID]))),-1)))</f>
        <v>HONGSIAN</v>
      </c>
      <c r="AH754" s="49" t="str">
        <f ca="1">IF(NOTA[[#This Row],[ID_H]]="","",IF(NOTA[[#This Row],[FAKTUR]]="",INDIRECT(ADDRESS(ROW()-1,COLUMN())),NOTA[[#This Row],[FAKTUR]]))</f>
        <v>UNTANA</v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>pcaseresth7612400000</v>
      </c>
      <c r="AM754" s="193" t="e">
        <f>IF(NOTA[[#This Row],[CONCAT1]]="","",MATCH(NOTA[[#This Row],[CONCAT1]],[2]!db[NB NOTA_C],0)+1)</f>
        <v>#N/A</v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93" t="str">
        <f>IF(NOTA[[#This Row],[CONCAT1]]="","",MATCH(NOTA[[#This Row],[CONCAT1]],[2]!db[NB NOTA_C],0)+1)</f>
        <v/>
      </c>
    </row>
    <row r="756" spans="1:39" ht="20.100000000000001" customHeight="1" x14ac:dyDescent="0.25">
      <c r="A756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56" s="50" t="e">
        <f ca="1">IF(NOTA[[#This Row],[ID_P]]="","",MATCH(NOTA[[#This Row],[ID_P]],[1]!B_MSK[N_ID],0))</f>
        <v>#REF!</v>
      </c>
      <c r="D756" s="50">
        <f ca="1">IF(NOTA[[#This Row],[NAMA BARANG]]="","",INDEX(NOTA[ID],MATCH(,INDIRECT(ADDRESS(ROW(NOTA[ID]),COLUMN(NOTA[ID]))&amp;":"&amp;ADDRESS(ROW(),COLUMN(NOTA[ID]))),-1)))</f>
        <v>146</v>
      </c>
      <c r="E756" s="23">
        <v>44953</v>
      </c>
      <c r="F756" s="26" t="s">
        <v>902</v>
      </c>
      <c r="G756" s="26" t="s">
        <v>87</v>
      </c>
      <c r="H756" s="31"/>
      <c r="I756" s="26"/>
      <c r="J756" s="51"/>
      <c r="K756" s="26"/>
      <c r="L756" s="26" t="s">
        <v>904</v>
      </c>
      <c r="M756" s="39">
        <v>10</v>
      </c>
      <c r="N756" s="26">
        <f>200</f>
        <v>200</v>
      </c>
      <c r="O756" s="26" t="s">
        <v>90</v>
      </c>
      <c r="P756" s="49">
        <v>71000</v>
      </c>
      <c r="Q756" s="52"/>
      <c r="R756" s="39" t="s">
        <v>910</v>
      </c>
      <c r="S756" s="53">
        <v>0.12</v>
      </c>
      <c r="T756" s="53"/>
      <c r="U756" s="54"/>
      <c r="V756" s="37"/>
      <c r="W756" s="54">
        <f>IF(NOTA[[#This Row],[HARGA/ CTN]]="",NOTA[[#This Row],[JUMLAH_H]],NOTA[[#This Row],[HARGA/ CTN]]*IF(NOTA[[#This Row],[C]]="",0,NOTA[[#This Row],[C]]))</f>
        <v>14200000</v>
      </c>
      <c r="X756" s="54">
        <f>IF(NOTA[[#This Row],[JUMLAH]]="","",NOTA[[#This Row],[JUMLAH]]*NOTA[[#This Row],[DISC 1]])</f>
        <v>1704000</v>
      </c>
      <c r="Y756" s="54">
        <f>IF(NOTA[[#This Row],[JUMLAH]]="","",(NOTA[[#This Row],[JUMLAH]]-NOTA[[#This Row],[DISC 1-]])*NOTA[[#This Row],[DISC 2]])</f>
        <v>0</v>
      </c>
      <c r="Z756" s="54">
        <f>IF(NOTA[[#This Row],[JUMLAH]]="","",NOTA[[#This Row],[DISC 1-]]+NOTA[[#This Row],[DISC 2-]])</f>
        <v>1704000</v>
      </c>
      <c r="AA756" s="54">
        <f>IF(NOTA[[#This Row],[JUMLAH]]="","",NOTA[[#This Row],[JUMLAH]]-NOTA[[#This Row],[DISC]])</f>
        <v>12496000</v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E756" s="54">
        <f>IF(OR(NOTA[[#This Row],[QTY]]="",NOTA[[#This Row],[HARGA SATUAN]]="",),"",NOTA[[#This Row],[QTY]]*NOTA[[#This Row],[HARGA SATUAN]])</f>
        <v>14200000</v>
      </c>
      <c r="AF756" s="51">
        <f ca="1">IF(NOTA[ID_H]="","",INDEX(NOTA[TANGGAL],MATCH(,INDIRECT(ADDRESS(ROW(NOTA[TANGGAL]),COLUMN(NOTA[TANGGAL]))&amp;":"&amp;ADDRESS(ROW(),COLUMN(NOTA[TANGGAL]))),-1)))</f>
        <v>44953</v>
      </c>
      <c r="AG756" s="49" t="str">
        <f ca="1">IF(NOTA[[#This Row],[NAMA BARANG]]="","",INDEX(NOTA[SUPPLIER],MATCH(,INDIRECT(ADDRESS(ROW(NOTA[ID]),COLUMN(NOTA[ID]))&amp;":"&amp;ADDRESS(ROW(),COLUMN(NOTA[ID]))),-1)))</f>
        <v>DR (SS) ORI</v>
      </c>
      <c r="AH756" s="49" t="str">
        <f ca="1">IF(NOTA[[#This Row],[ID_H]]="","",IF(NOTA[[#This Row],[FAKTUR]]="",INDIRECT(ADDRESS(ROW()-1,COLUMN())),NOTA[[#This Row],[FAKTUR]]))</f>
        <v>UNTANA</v>
      </c>
      <c r="AI756" s="38">
        <f ca="1">IF(NOTA[[#This Row],[ID]]="","",COUNTIF(NOTA[ID_H],NOTA[[#This Row],[ID_H]]))</f>
        <v>14</v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>guntingjuniorj500junior14200000.12</v>
      </c>
      <c r="AM756" s="193">
        <f>IF(NOTA[[#This Row],[CONCAT1]]="","",MATCH(NOTA[[#This Row],[CONCAT1]],[2]!db[NB NOTA_C],0)+1)</f>
        <v>945</v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>
        <f ca="1">IF(NOTA[[#This Row],[NAMA BARANG]]="","",INDEX(NOTA[ID],MATCH(,INDIRECT(ADDRESS(ROW(NOTA[ID]),COLUMN(NOTA[ID]))&amp;":"&amp;ADDRESS(ROW(),COLUMN(NOTA[ID]))),-1)))</f>
        <v>146</v>
      </c>
      <c r="E757" s="23"/>
      <c r="F757" s="26"/>
      <c r="G757" s="26"/>
      <c r="H757" s="31"/>
      <c r="I757" s="26"/>
      <c r="J757" s="51"/>
      <c r="K757" s="26"/>
      <c r="L757" s="26" t="s">
        <v>903</v>
      </c>
      <c r="M757" s="39">
        <v>5</v>
      </c>
      <c r="N757" s="26">
        <v>120</v>
      </c>
      <c r="O757" s="26" t="s">
        <v>90</v>
      </c>
      <c r="P757" s="49">
        <v>52000</v>
      </c>
      <c r="Q757" s="52"/>
      <c r="R757" s="39" t="s">
        <v>911</v>
      </c>
      <c r="S757" s="53">
        <v>0.12</v>
      </c>
      <c r="T757" s="53"/>
      <c r="U757" s="54"/>
      <c r="V757" s="37"/>
      <c r="W757" s="54">
        <f>IF(NOTA[[#This Row],[HARGA/ CTN]]="",NOTA[[#This Row],[JUMLAH_H]],NOTA[[#This Row],[HARGA/ CTN]]*IF(NOTA[[#This Row],[C]]="",0,NOTA[[#This Row],[C]]))</f>
        <v>6240000</v>
      </c>
      <c r="X757" s="54">
        <f>IF(NOTA[[#This Row],[JUMLAH]]="","",NOTA[[#This Row],[JUMLAH]]*NOTA[[#This Row],[DISC 1]])</f>
        <v>748800</v>
      </c>
      <c r="Y757" s="54">
        <f>IF(NOTA[[#This Row],[JUMLAH]]="","",(NOTA[[#This Row],[JUMLAH]]-NOTA[[#This Row],[DISC 1-]])*NOTA[[#This Row],[DISC 2]])</f>
        <v>0</v>
      </c>
      <c r="Z757" s="54">
        <f>IF(NOTA[[#This Row],[JUMLAH]]="","",NOTA[[#This Row],[DISC 1-]]+NOTA[[#This Row],[DISC 2-]])</f>
        <v>748800</v>
      </c>
      <c r="AA757" s="54">
        <f>IF(NOTA[[#This Row],[JUMLAH]]="","",NOTA[[#This Row],[JUMLAH]]-NOTA[[#This Row],[DISC]])</f>
        <v>5491200</v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757" s="54">
        <f>IF(OR(NOTA[[#This Row],[QTY]]="",NOTA[[#This Row],[HARGA SATUAN]]="",),"",NOTA[[#This Row],[QTY]]*NOTA[[#This Row],[HARGA SATUAN]])</f>
        <v>6240000</v>
      </c>
      <c r="AF757" s="51">
        <f ca="1">IF(NOTA[ID_H]="","",INDEX(NOTA[TANGGAL],MATCH(,INDIRECT(ADDRESS(ROW(NOTA[TANGGAL]),COLUMN(NOTA[TANGGAL]))&amp;":"&amp;ADDRESS(ROW(),COLUMN(NOTA[TANGGAL]))),-1)))</f>
        <v>44953</v>
      </c>
      <c r="AG757" s="49" t="str">
        <f ca="1">IF(NOTA[[#This Row],[NAMA BARANG]]="","",INDEX(NOTA[SUPPLIER],MATCH(,INDIRECT(ADDRESS(ROW(NOTA[ID]),COLUMN(NOTA[ID]))&amp;":"&amp;ADDRESS(ROW(),COLUMN(NOTA[ID]))),-1)))</f>
        <v>DR (SS) ORI</v>
      </c>
      <c r="AH757" s="49" t="str">
        <f ca="1">IF(NOTA[[#This Row],[ID_H]]="","",IF(NOTA[[#This Row],[FAKTUR]]="",INDIRECT(ADDRESS(ROW()-1,COLUMN())),NOTA[[#This Row],[FAKTUR]]))</f>
        <v>UNTANA</v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>guntingjuniorj400junior12480000.12</v>
      </c>
      <c r="AM757" s="193">
        <f>IF(NOTA[[#This Row],[CONCAT1]]="","",MATCH(NOTA[[#This Row],[CONCAT1]],[2]!db[NB NOTA_C],0)+1)</f>
        <v>944</v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>
        <f ca="1">IF(NOTA[[#This Row],[NAMA BARANG]]="","",INDEX(NOTA[ID],MATCH(,INDIRECT(ADDRESS(ROW(NOTA[ID]),COLUMN(NOTA[ID]))&amp;":"&amp;ADDRESS(ROW(),COLUMN(NOTA[ID]))),-1)))</f>
        <v>146</v>
      </c>
      <c r="E758" s="23"/>
      <c r="F758" s="26"/>
      <c r="G758" s="26"/>
      <c r="H758" s="31"/>
      <c r="I758" s="26"/>
      <c r="J758" s="51"/>
      <c r="K758" s="26"/>
      <c r="L758" s="26" t="s">
        <v>905</v>
      </c>
      <c r="M758" s="39">
        <v>5</v>
      </c>
      <c r="N758" s="26">
        <v>120</v>
      </c>
      <c r="O758" s="26" t="s">
        <v>90</v>
      </c>
      <c r="P758" s="49">
        <v>46000</v>
      </c>
      <c r="Q758" s="52"/>
      <c r="R758" s="39" t="s">
        <v>911</v>
      </c>
      <c r="S758" s="53">
        <v>0.12</v>
      </c>
      <c r="T758" s="53"/>
      <c r="U758" s="54"/>
      <c r="V758" s="37"/>
      <c r="W758" s="54">
        <f>IF(NOTA[[#This Row],[HARGA/ CTN]]="",NOTA[[#This Row],[JUMLAH_H]],NOTA[[#This Row],[HARGA/ CTN]]*IF(NOTA[[#This Row],[C]]="",0,NOTA[[#This Row],[C]]))</f>
        <v>5520000</v>
      </c>
      <c r="X758" s="54">
        <f>IF(NOTA[[#This Row],[JUMLAH]]="","",NOTA[[#This Row],[JUMLAH]]*NOTA[[#This Row],[DISC 1]])</f>
        <v>662400</v>
      </c>
      <c r="Y758" s="54">
        <f>IF(NOTA[[#This Row],[JUMLAH]]="","",(NOTA[[#This Row],[JUMLAH]]-NOTA[[#This Row],[DISC 1-]])*NOTA[[#This Row],[DISC 2]])</f>
        <v>0</v>
      </c>
      <c r="Z758" s="54">
        <f>IF(NOTA[[#This Row],[JUMLAH]]="","",NOTA[[#This Row],[DISC 1-]]+NOTA[[#This Row],[DISC 2-]])</f>
        <v>662400</v>
      </c>
      <c r="AA758" s="54">
        <f>IF(NOTA[[#This Row],[JUMLAH]]="","",NOTA[[#This Row],[JUMLAH]]-NOTA[[#This Row],[DISC]])</f>
        <v>4857600</v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758" s="54">
        <f>IF(OR(NOTA[[#This Row],[QTY]]="",NOTA[[#This Row],[HARGA SATUAN]]="",),"",NOTA[[#This Row],[QTY]]*NOTA[[#This Row],[HARGA SATUAN]])</f>
        <v>5520000</v>
      </c>
      <c r="AF758" s="51">
        <f ca="1">IF(NOTA[ID_H]="","",INDEX(NOTA[TANGGAL],MATCH(,INDIRECT(ADDRESS(ROW(NOTA[TANGGAL]),COLUMN(NOTA[TANGGAL]))&amp;":"&amp;ADDRESS(ROW(),COLUMN(NOTA[TANGGAL]))),-1)))</f>
        <v>44953</v>
      </c>
      <c r="AG758" s="49" t="str">
        <f ca="1">IF(NOTA[[#This Row],[NAMA BARANG]]="","",INDEX(NOTA[SUPPLIER],MATCH(,INDIRECT(ADDRESS(ROW(NOTA[ID]),COLUMN(NOTA[ID]))&amp;":"&amp;ADDRESS(ROW(),COLUMN(NOTA[ID]))),-1)))</f>
        <v>DR (SS) ORI</v>
      </c>
      <c r="AH758" s="49" t="str">
        <f ca="1">IF(NOTA[[#This Row],[ID_H]]="","",IF(NOTA[[#This Row],[FAKTUR]]="",INDIRECT(ADDRESS(ROW()-1,COLUMN())),NOTA[[#This Row],[FAKTUR]]))</f>
        <v>UNTANA</v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>guntingjuniorj300junior11040000.12</v>
      </c>
      <c r="AM758" s="193">
        <f>IF(NOTA[[#This Row],[CONCAT1]]="","",MATCH(NOTA[[#This Row],[CONCAT1]],[2]!db[NB NOTA_C],0)+1)</f>
        <v>943</v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>
        <f ca="1">IF(NOTA[[#This Row],[NAMA BARANG]]="","",INDEX(NOTA[ID],MATCH(,INDIRECT(ADDRESS(ROW(NOTA[ID]),COLUMN(NOTA[ID]))&amp;":"&amp;ADDRESS(ROW(),COLUMN(NOTA[ID]))),-1)))</f>
        <v>146</v>
      </c>
      <c r="E759" s="23"/>
      <c r="F759" s="26"/>
      <c r="G759" s="26"/>
      <c r="H759" s="31"/>
      <c r="I759" s="26"/>
      <c r="J759" s="51"/>
      <c r="K759" s="26"/>
      <c r="L759" s="26" t="s">
        <v>906</v>
      </c>
      <c r="M759" s="39">
        <v>5</v>
      </c>
      <c r="N759" s="26">
        <v>240</v>
      </c>
      <c r="O759" s="26" t="s">
        <v>90</v>
      </c>
      <c r="P759" s="49">
        <v>38000</v>
      </c>
      <c r="Q759" s="52"/>
      <c r="R759" s="39" t="s">
        <v>105</v>
      </c>
      <c r="S759" s="53">
        <v>0.12</v>
      </c>
      <c r="T759" s="53"/>
      <c r="U759" s="54"/>
      <c r="V759" s="37"/>
      <c r="W759" s="54">
        <f>IF(NOTA[[#This Row],[HARGA/ CTN]]="",NOTA[[#This Row],[JUMLAH_H]],NOTA[[#This Row],[HARGA/ CTN]]*IF(NOTA[[#This Row],[C]]="",0,NOTA[[#This Row],[C]]))</f>
        <v>9120000</v>
      </c>
      <c r="X759" s="54">
        <f>IF(NOTA[[#This Row],[JUMLAH]]="","",NOTA[[#This Row],[JUMLAH]]*NOTA[[#This Row],[DISC 1]])</f>
        <v>1094400</v>
      </c>
      <c r="Y759" s="54">
        <f>IF(NOTA[[#This Row],[JUMLAH]]="","",(NOTA[[#This Row],[JUMLAH]]-NOTA[[#This Row],[DISC 1-]])*NOTA[[#This Row],[DISC 2]])</f>
        <v>0</v>
      </c>
      <c r="Z759" s="54">
        <f>IF(NOTA[[#This Row],[JUMLAH]]="","",NOTA[[#This Row],[DISC 1-]]+NOTA[[#This Row],[DISC 2-]])</f>
        <v>1094400</v>
      </c>
      <c r="AA759" s="54">
        <f>IF(NOTA[[#This Row],[JUMLAH]]="","",NOTA[[#This Row],[JUMLAH]]-NOTA[[#This Row],[DISC]])</f>
        <v>8025600</v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759" s="54">
        <f>IF(OR(NOTA[[#This Row],[QTY]]="",NOTA[[#This Row],[HARGA SATUAN]]="",),"",NOTA[[#This Row],[QTY]]*NOTA[[#This Row],[HARGA SATUAN]])</f>
        <v>9120000</v>
      </c>
      <c r="AF759" s="51">
        <f ca="1">IF(NOTA[ID_H]="","",INDEX(NOTA[TANGGAL],MATCH(,INDIRECT(ADDRESS(ROW(NOTA[TANGGAL]),COLUMN(NOTA[TANGGAL]))&amp;":"&amp;ADDRESS(ROW(),COLUMN(NOTA[TANGGAL]))),-1)))</f>
        <v>44953</v>
      </c>
      <c r="AG759" s="49" t="str">
        <f ca="1">IF(NOTA[[#This Row],[NAMA BARANG]]="","",INDEX(NOTA[SUPPLIER],MATCH(,INDIRECT(ADDRESS(ROW(NOTA[ID]),COLUMN(NOTA[ID]))&amp;":"&amp;ADDRESS(ROW(),COLUMN(NOTA[ID]))),-1)))</f>
        <v>DR (SS) ORI</v>
      </c>
      <c r="AH759" s="49" t="str">
        <f ca="1">IF(NOTA[[#This Row],[ID_H]]="","",IF(NOTA[[#This Row],[FAKTUR]]="",INDIRECT(ADDRESS(ROW()-1,COLUMN())),NOTA[[#This Row],[FAKTUR]]))</f>
        <v>UNTANA</v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>guntingjuniorj200junior18240000.12</v>
      </c>
      <c r="AM759" s="193">
        <f>IF(NOTA[[#This Row],[CONCAT1]]="","",MATCH(NOTA[[#This Row],[CONCAT1]],[2]!db[NB NOTA_C],0)+1)</f>
        <v>942</v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>
        <f ca="1">IF(NOTA[[#This Row],[NAMA BARANG]]="","",INDEX(NOTA[ID],MATCH(,INDIRECT(ADDRESS(ROW(NOTA[ID]),COLUMN(NOTA[ID]))&amp;":"&amp;ADDRESS(ROW(),COLUMN(NOTA[ID]))),-1)))</f>
        <v>146</v>
      </c>
      <c r="E760" s="23"/>
      <c r="F760" s="26"/>
      <c r="G760" s="26"/>
      <c r="H760" s="31"/>
      <c r="I760" s="26"/>
      <c r="J760" s="51"/>
      <c r="K760" s="26"/>
      <c r="L760" s="26" t="s">
        <v>907</v>
      </c>
      <c r="M760" s="39">
        <v>10</v>
      </c>
      <c r="N760" s="26">
        <f>240</f>
        <v>240</v>
      </c>
      <c r="O760" s="26" t="s">
        <v>90</v>
      </c>
      <c r="P760" s="49">
        <v>133000</v>
      </c>
      <c r="Q760" s="52"/>
      <c r="R760" s="39" t="s">
        <v>910</v>
      </c>
      <c r="S760" s="53">
        <v>0.12</v>
      </c>
      <c r="T760" s="53">
        <v>0.12</v>
      </c>
      <c r="U760" s="54"/>
      <c r="V760" s="37"/>
      <c r="W760" s="54">
        <f>IF(NOTA[[#This Row],[HARGA/ CTN]]="",NOTA[[#This Row],[JUMLAH_H]],NOTA[[#This Row],[HARGA/ CTN]]*IF(NOTA[[#This Row],[C]]="",0,NOTA[[#This Row],[C]]))</f>
        <v>31920000</v>
      </c>
      <c r="X760" s="54">
        <f>IF(NOTA[[#This Row],[JUMLAH]]="","",NOTA[[#This Row],[JUMLAH]]*NOTA[[#This Row],[DISC 1]])</f>
        <v>3830400</v>
      </c>
      <c r="Y760" s="54">
        <f>IF(NOTA[[#This Row],[JUMLAH]]="","",(NOTA[[#This Row],[JUMLAH]]-NOTA[[#This Row],[DISC 1-]])*NOTA[[#This Row],[DISC 2]])</f>
        <v>3370752</v>
      </c>
      <c r="Z760" s="54">
        <f>IF(NOTA[[#This Row],[JUMLAH]]="","",NOTA[[#This Row],[DISC 1-]]+NOTA[[#This Row],[DISC 2-]])</f>
        <v>7201152</v>
      </c>
      <c r="AA760" s="54">
        <f>IF(NOTA[[#This Row],[JUMLAH]]="","",NOTA[[#This Row],[JUMLAH]]-NOTA[[#This Row],[DISC]])</f>
        <v>24718848</v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E760" s="54">
        <f>IF(OR(NOTA[[#This Row],[QTY]]="",NOTA[[#This Row],[HARGA SATUAN]]="",),"",NOTA[[#This Row],[QTY]]*NOTA[[#This Row],[HARGA SATUAN]])</f>
        <v>31920000</v>
      </c>
      <c r="AF760" s="51">
        <f ca="1">IF(NOTA[ID_H]="","",INDEX(NOTA[TANGGAL],MATCH(,INDIRECT(ADDRESS(ROW(NOTA[TANGGAL]),COLUMN(NOTA[TANGGAL]))&amp;":"&amp;ADDRESS(ROW(),COLUMN(NOTA[TANGGAL]))),-1)))</f>
        <v>44953</v>
      </c>
      <c r="AG760" s="49" t="str">
        <f ca="1">IF(NOTA[[#This Row],[NAMA BARANG]]="","",INDEX(NOTA[SUPPLIER],MATCH(,INDIRECT(ADDRESS(ROW(NOTA[ID]),COLUMN(NOTA[ID]))&amp;":"&amp;ADDRESS(ROW(),COLUMN(NOTA[ID]))),-1)))</f>
        <v>DR (SS) ORI</v>
      </c>
      <c r="AH760" s="49" t="str">
        <f ca="1">IF(NOTA[[#This Row],[ID_H]]="","",IF(NOTA[[#This Row],[FAKTUR]]="",INDIRECT(ADDRESS(ROW()-1,COLUMN())),NOTA[[#This Row],[FAKTUR]]))</f>
        <v>UNTANA</v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>guntingidealk50031920000.120.12</v>
      </c>
      <c r="AM760" s="193" t="e">
        <f>IF(NOTA[[#This Row],[CONCAT1]]="","",MATCH(NOTA[[#This Row],[CONCAT1]],[2]!db[NB NOTA_C],0)+1)</f>
        <v>#N/A</v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>
        <f ca="1">IF(NOTA[[#This Row],[NAMA BARANG]]="","",INDEX(NOTA[ID],MATCH(,INDIRECT(ADDRESS(ROW(NOTA[ID]),COLUMN(NOTA[ID]))&amp;":"&amp;ADDRESS(ROW(),COLUMN(NOTA[ID]))),-1)))</f>
        <v>146</v>
      </c>
      <c r="E761" s="23"/>
      <c r="F761" s="26"/>
      <c r="G761" s="26"/>
      <c r="H761" s="31"/>
      <c r="I761" s="26"/>
      <c r="J761" s="51"/>
      <c r="K761" s="26"/>
      <c r="L761" s="26" t="s">
        <v>908</v>
      </c>
      <c r="M761" s="39">
        <v>12</v>
      </c>
      <c r="N761" s="26">
        <f>24*12</f>
        <v>288</v>
      </c>
      <c r="O761" s="26" t="s">
        <v>90</v>
      </c>
      <c r="P761" s="49">
        <v>87000</v>
      </c>
      <c r="Q761" s="52"/>
      <c r="R761" s="39" t="s">
        <v>911</v>
      </c>
      <c r="S761" s="53">
        <v>0.12</v>
      </c>
      <c r="T761" s="53">
        <v>0.12</v>
      </c>
      <c r="U761" s="54"/>
      <c r="V761" s="37"/>
      <c r="W761" s="54">
        <f>IF(NOTA[[#This Row],[HARGA/ CTN]]="",NOTA[[#This Row],[JUMLAH_H]],NOTA[[#This Row],[HARGA/ CTN]]*IF(NOTA[[#This Row],[C]]="",0,NOTA[[#This Row],[C]]))</f>
        <v>25056000</v>
      </c>
      <c r="X761" s="54">
        <f>IF(NOTA[[#This Row],[JUMLAH]]="","",NOTA[[#This Row],[JUMLAH]]*NOTA[[#This Row],[DISC 1]])</f>
        <v>3006720</v>
      </c>
      <c r="Y761" s="54">
        <f>IF(NOTA[[#This Row],[JUMLAH]]="","",(NOTA[[#This Row],[JUMLAH]]-NOTA[[#This Row],[DISC 1-]])*NOTA[[#This Row],[DISC 2]])</f>
        <v>2645913.6000000001</v>
      </c>
      <c r="Z761" s="54">
        <f>IF(NOTA[[#This Row],[JUMLAH]]="","",NOTA[[#This Row],[DISC 1-]]+NOTA[[#This Row],[DISC 2-]])</f>
        <v>5652633.5999999996</v>
      </c>
      <c r="AA761" s="54">
        <f>IF(NOTA[[#This Row],[JUMLAH]]="","",NOTA[[#This Row],[JUMLAH]]-NOTA[[#This Row],[DISC]])</f>
        <v>19403366.399999999</v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761" s="54">
        <f>IF(OR(NOTA[[#This Row],[QTY]]="",NOTA[[#This Row],[HARGA SATUAN]]="",),"",NOTA[[#This Row],[QTY]]*NOTA[[#This Row],[HARGA SATUAN]])</f>
        <v>25056000</v>
      </c>
      <c r="AF761" s="51">
        <f ca="1">IF(NOTA[ID_H]="","",INDEX(NOTA[TANGGAL],MATCH(,INDIRECT(ADDRESS(ROW(NOTA[TANGGAL]),COLUMN(NOTA[TANGGAL]))&amp;":"&amp;ADDRESS(ROW(),COLUMN(NOTA[TANGGAL]))),-1)))</f>
        <v>44953</v>
      </c>
      <c r="AG761" s="49" t="str">
        <f ca="1">IF(NOTA[[#This Row],[NAMA BARANG]]="","",INDEX(NOTA[SUPPLIER],MATCH(,INDIRECT(ADDRESS(ROW(NOTA[ID]),COLUMN(NOTA[ID]))&amp;":"&amp;ADDRESS(ROW(),COLUMN(NOTA[ID]))),-1)))</f>
        <v>DR (SS) ORI</v>
      </c>
      <c r="AH761" s="49" t="str">
        <f ca="1">IF(NOTA[[#This Row],[ID_H]]="","",IF(NOTA[[#This Row],[FAKTUR]]="",INDIRECT(ADDRESS(ROW()-1,COLUMN())),NOTA[[#This Row],[FAKTUR]]))</f>
        <v>UNTANA</v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>guntingidealk30020880000.120.12</v>
      </c>
      <c r="AM761" s="193" t="e">
        <f>IF(NOTA[[#This Row],[CONCAT1]]="","",MATCH(NOTA[[#This Row],[CONCAT1]],[2]!db[NB NOTA_C],0)+1)</f>
        <v>#N/A</v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>
        <f ca="1">IF(NOTA[[#This Row],[NAMA BARANG]]="","",INDEX(NOTA[ID],MATCH(,INDIRECT(ADDRESS(ROW(NOTA[ID]),COLUMN(NOTA[ID]))&amp;":"&amp;ADDRESS(ROW(),COLUMN(NOTA[ID]))),-1)))</f>
        <v>146</v>
      </c>
      <c r="E762" s="23"/>
      <c r="F762" s="26"/>
      <c r="G762" s="26"/>
      <c r="H762" s="31"/>
      <c r="I762" s="26"/>
      <c r="J762" s="51"/>
      <c r="K762" s="26"/>
      <c r="L762" s="26" t="s">
        <v>909</v>
      </c>
      <c r="M762" s="39">
        <v>1</v>
      </c>
      <c r="N762" s="26">
        <v>60</v>
      </c>
      <c r="O762" s="26" t="s">
        <v>90</v>
      </c>
      <c r="P762" s="49">
        <v>29000</v>
      </c>
      <c r="Q762" s="52"/>
      <c r="R762" s="39" t="s">
        <v>91</v>
      </c>
      <c r="S762" s="53"/>
      <c r="T762" s="53"/>
      <c r="U762" s="54"/>
      <c r="V762" s="37" t="s">
        <v>211</v>
      </c>
      <c r="W762" s="54">
        <f>IF(NOTA[[#This Row],[HARGA/ CTN]]="",NOTA[[#This Row],[JUMLAH_H]],NOTA[[#This Row],[HARGA/ CTN]]*IF(NOTA[[#This Row],[C]]="",0,NOTA[[#This Row],[C]]))</f>
        <v>1740000</v>
      </c>
      <c r="X762" s="54">
        <f>IF(NOTA[[#This Row],[JUMLAH]]="","",NOTA[[#This Row],[JUMLAH]]*NOTA[[#This Row],[DISC 1]])</f>
        <v>0</v>
      </c>
      <c r="Y762" s="54">
        <f>IF(NOTA[[#This Row],[JUMLAH]]="","",(NOTA[[#This Row],[JUMLAH]]-NOTA[[#This Row],[DISC 1-]])*NOTA[[#This Row],[DISC 2]])</f>
        <v>0</v>
      </c>
      <c r="Z762" s="54">
        <f>IF(NOTA[[#This Row],[JUMLAH]]="","",NOTA[[#This Row],[DISC 1-]]+NOTA[[#This Row],[DISC 2-]])</f>
        <v>0</v>
      </c>
      <c r="AA762" s="54">
        <f>IF(NOTA[[#This Row],[JUMLAH]]="","",NOTA[[#This Row],[JUMLAH]]-NOTA[[#This Row],[DISC]])</f>
        <v>1740000</v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762" s="54">
        <f>IF(OR(NOTA[[#This Row],[QTY]]="",NOTA[[#This Row],[HARGA SATUAN]]="",),"",NOTA[[#This Row],[QTY]]*NOTA[[#This Row],[HARGA SATUAN]])</f>
        <v>1740000</v>
      </c>
      <c r="AF762" s="51">
        <f ca="1">IF(NOTA[ID_H]="","",INDEX(NOTA[TANGGAL],MATCH(,INDIRECT(ADDRESS(ROW(NOTA[TANGGAL]),COLUMN(NOTA[TANGGAL]))&amp;":"&amp;ADDRESS(ROW(),COLUMN(NOTA[TANGGAL]))),-1)))</f>
        <v>44953</v>
      </c>
      <c r="AG762" s="49" t="str">
        <f ca="1">IF(NOTA[[#This Row],[NAMA BARANG]]="","",INDEX(NOTA[SUPPLIER],MATCH(,INDIRECT(ADDRESS(ROW(NOTA[ID]),COLUMN(NOTA[ID]))&amp;":"&amp;ADDRESS(ROW(),COLUMN(NOTA[ID]))),-1)))</f>
        <v>DR (SS) ORI</v>
      </c>
      <c r="AH762" s="49" t="str">
        <f ca="1">IF(NOTA[[#This Row],[ID_H]]="","",IF(NOTA[[#This Row],[FAKTUR]]="",INDIRECT(ADDRESS(ROW()-1,COLUMN())),NOTA[[#This Row],[FAKTUR]]))</f>
        <v>UNTANA</v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>guntingtrendss1740000</v>
      </c>
      <c r="AM762" s="193" t="e">
        <f>IF(NOTA[[#This Row],[CONCAT1]]="","",MATCH(NOTA[[#This Row],[CONCAT1]],[2]!db[NB NOTA_C],0)+1)</f>
        <v>#N/A</v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>
        <f ca="1">IF(NOTA[[#This Row],[NAMA BARANG]]="","",INDEX(NOTA[ID],MATCH(,INDIRECT(ADDRESS(ROW(NOTA[ID]),COLUMN(NOTA[ID]))&amp;":"&amp;ADDRESS(ROW(),COLUMN(NOTA[ID]))),-1)))</f>
        <v>146</v>
      </c>
      <c r="E763" s="23"/>
      <c r="F763" s="26"/>
      <c r="G763" s="26"/>
      <c r="H763" s="31"/>
      <c r="I763" s="26"/>
      <c r="J763" s="51"/>
      <c r="K763" s="26"/>
      <c r="L763" s="26" t="s">
        <v>909</v>
      </c>
      <c r="M763" s="39">
        <v>12</v>
      </c>
      <c r="N763" s="26">
        <f>12*60</f>
        <v>720</v>
      </c>
      <c r="O763" s="26" t="s">
        <v>90</v>
      </c>
      <c r="P763" s="49">
        <v>29000</v>
      </c>
      <c r="Q763" s="52"/>
      <c r="R763" s="39" t="s">
        <v>91</v>
      </c>
      <c r="S763" s="53">
        <v>0.12</v>
      </c>
      <c r="T763" s="53">
        <v>0.12</v>
      </c>
      <c r="U763" s="54"/>
      <c r="V763" s="37"/>
      <c r="W763" s="54">
        <f>IF(NOTA[[#This Row],[HARGA/ CTN]]="",NOTA[[#This Row],[JUMLAH_H]],NOTA[[#This Row],[HARGA/ CTN]]*IF(NOTA[[#This Row],[C]]="",0,NOTA[[#This Row],[C]]))</f>
        <v>20880000</v>
      </c>
      <c r="X763" s="54">
        <f>IF(NOTA[[#This Row],[JUMLAH]]="","",NOTA[[#This Row],[JUMLAH]]*NOTA[[#This Row],[DISC 1]])</f>
        <v>2505600</v>
      </c>
      <c r="Y763" s="54">
        <f>IF(NOTA[[#This Row],[JUMLAH]]="","",(NOTA[[#This Row],[JUMLAH]]-NOTA[[#This Row],[DISC 1-]])*NOTA[[#This Row],[DISC 2]])</f>
        <v>2204928</v>
      </c>
      <c r="Z763" s="54">
        <f>IF(NOTA[[#This Row],[JUMLAH]]="","",NOTA[[#This Row],[DISC 1-]]+NOTA[[#This Row],[DISC 2-]])</f>
        <v>4710528</v>
      </c>
      <c r="AA763" s="54">
        <f>IF(NOTA[[#This Row],[JUMLAH]]="","",NOTA[[#This Row],[JUMLAH]]-NOTA[[#This Row],[DISC]])</f>
        <v>16169472</v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763" s="54">
        <f>IF(OR(NOTA[[#This Row],[QTY]]="",NOTA[[#This Row],[HARGA SATUAN]]="",),"",NOTA[[#This Row],[QTY]]*NOTA[[#This Row],[HARGA SATUAN]])</f>
        <v>20880000</v>
      </c>
      <c r="AF763" s="51">
        <f ca="1">IF(NOTA[ID_H]="","",INDEX(NOTA[TANGGAL],MATCH(,INDIRECT(ADDRESS(ROW(NOTA[TANGGAL]),COLUMN(NOTA[TANGGAL]))&amp;":"&amp;ADDRESS(ROW(),COLUMN(NOTA[TANGGAL]))),-1)))</f>
        <v>44953</v>
      </c>
      <c r="AG763" s="49" t="str">
        <f ca="1">IF(NOTA[[#This Row],[NAMA BARANG]]="","",INDEX(NOTA[SUPPLIER],MATCH(,INDIRECT(ADDRESS(ROW(NOTA[ID]),COLUMN(NOTA[ID]))&amp;":"&amp;ADDRESS(ROW(),COLUMN(NOTA[ID]))),-1)))</f>
        <v>DR (SS) ORI</v>
      </c>
      <c r="AH763" s="49" t="str">
        <f ca="1">IF(NOTA[[#This Row],[ID_H]]="","",IF(NOTA[[#This Row],[FAKTUR]]="",INDIRECT(ADDRESS(ROW()-1,COLUMN())),NOTA[[#This Row],[FAKTUR]]))</f>
        <v>UNTANA</v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>guntingtrendss17400000.120.12</v>
      </c>
      <c r="AM763" s="193" t="e">
        <f>IF(NOTA[[#This Row],[CONCAT1]]="","",MATCH(NOTA[[#This Row],[CONCAT1]],[2]!db[NB NOTA_C],0)+1)</f>
        <v>#N/A</v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>
        <f ca="1">IF(NOTA[[#This Row],[NAMA BARANG]]="","",INDEX(NOTA[ID],MATCH(,INDIRECT(ADDRESS(ROW(NOTA[ID]),COLUMN(NOTA[ID]))&amp;":"&amp;ADDRESS(ROW(),COLUMN(NOTA[ID]))),-1)))</f>
        <v>146</v>
      </c>
      <c r="E764" s="23"/>
      <c r="F764" s="26"/>
      <c r="G764" s="26"/>
      <c r="H764" s="31"/>
      <c r="I764" s="26"/>
      <c r="J764" s="51"/>
      <c r="K764" s="26"/>
      <c r="L764" s="26" t="s">
        <v>908</v>
      </c>
      <c r="M764" s="39">
        <v>1</v>
      </c>
      <c r="N764" s="26">
        <v>24</v>
      </c>
      <c r="O764" s="26" t="s">
        <v>90</v>
      </c>
      <c r="P764" s="49">
        <v>87000</v>
      </c>
      <c r="Q764" s="52"/>
      <c r="R764" s="39" t="s">
        <v>911</v>
      </c>
      <c r="S764" s="53"/>
      <c r="T764" s="53"/>
      <c r="U764" s="54"/>
      <c r="V764" s="37" t="s">
        <v>211</v>
      </c>
      <c r="W764" s="54">
        <f>IF(NOTA[[#This Row],[HARGA/ CTN]]="",NOTA[[#This Row],[JUMLAH_H]],NOTA[[#This Row],[HARGA/ CTN]]*IF(NOTA[[#This Row],[C]]="",0,NOTA[[#This Row],[C]]))</f>
        <v>2088000</v>
      </c>
      <c r="X764" s="54">
        <f>IF(NOTA[[#This Row],[JUMLAH]]="","",NOTA[[#This Row],[JUMLAH]]*NOTA[[#This Row],[DISC 1]])</f>
        <v>0</v>
      </c>
      <c r="Y764" s="54">
        <f>IF(NOTA[[#This Row],[JUMLAH]]="","",(NOTA[[#This Row],[JUMLAH]]-NOTA[[#This Row],[DISC 1-]])*NOTA[[#This Row],[DISC 2]])</f>
        <v>0</v>
      </c>
      <c r="Z764" s="54">
        <f>IF(NOTA[[#This Row],[JUMLAH]]="","",NOTA[[#This Row],[DISC 1-]]+NOTA[[#This Row],[DISC 2-]])</f>
        <v>0</v>
      </c>
      <c r="AA764" s="54">
        <f>IF(NOTA[[#This Row],[JUMLAH]]="","",NOTA[[#This Row],[JUMLAH]]-NOTA[[#This Row],[DISC]])</f>
        <v>2088000</v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764" s="54">
        <f>IF(OR(NOTA[[#This Row],[QTY]]="",NOTA[[#This Row],[HARGA SATUAN]]="",),"",NOTA[[#This Row],[QTY]]*NOTA[[#This Row],[HARGA SATUAN]])</f>
        <v>2088000</v>
      </c>
      <c r="AF764" s="51">
        <f ca="1">IF(NOTA[ID_H]="","",INDEX(NOTA[TANGGAL],MATCH(,INDIRECT(ADDRESS(ROW(NOTA[TANGGAL]),COLUMN(NOTA[TANGGAL]))&amp;":"&amp;ADDRESS(ROW(),COLUMN(NOTA[TANGGAL]))),-1)))</f>
        <v>44953</v>
      </c>
      <c r="AG764" s="49" t="str">
        <f ca="1">IF(NOTA[[#This Row],[NAMA BARANG]]="","",INDEX(NOTA[SUPPLIER],MATCH(,INDIRECT(ADDRESS(ROW(NOTA[ID]),COLUMN(NOTA[ID]))&amp;":"&amp;ADDRESS(ROW(),COLUMN(NOTA[ID]))),-1)))</f>
        <v>DR (SS) ORI</v>
      </c>
      <c r="AH764" s="49" t="str">
        <f ca="1">IF(NOTA[[#This Row],[ID_H]]="","",IF(NOTA[[#This Row],[FAKTUR]]="",INDIRECT(ADDRESS(ROW()-1,COLUMN())),NOTA[[#This Row],[FAKTUR]]))</f>
        <v>UNTANA</v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>guntingidealk3002088000</v>
      </c>
      <c r="AM764" s="193" t="e">
        <f>IF(NOTA[[#This Row],[CONCAT1]]="","",MATCH(NOTA[[#This Row],[CONCAT1]],[2]!db[NB NOTA_C],0)+1)</f>
        <v>#N/A</v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>
        <f ca="1">IF(NOTA[[#This Row],[NAMA BARANG]]="","",INDEX(NOTA[ID],MATCH(,INDIRECT(ADDRESS(ROW(NOTA[ID]),COLUMN(NOTA[ID]))&amp;":"&amp;ADDRESS(ROW(),COLUMN(NOTA[ID]))),-1)))</f>
        <v>146</v>
      </c>
      <c r="E765" s="23"/>
      <c r="F765" s="26"/>
      <c r="G765" s="26"/>
      <c r="H765" s="31"/>
      <c r="I765" s="26"/>
      <c r="J765" s="51"/>
      <c r="K765" s="26"/>
      <c r="L765" s="26" t="s">
        <v>907</v>
      </c>
      <c r="M765" s="39">
        <v>1</v>
      </c>
      <c r="N765" s="26">
        <v>20</v>
      </c>
      <c r="O765" s="26" t="s">
        <v>90</v>
      </c>
      <c r="P765" s="49">
        <v>133000</v>
      </c>
      <c r="Q765" s="52"/>
      <c r="R765" s="39" t="s">
        <v>910</v>
      </c>
      <c r="S765" s="53"/>
      <c r="T765" s="53"/>
      <c r="U765" s="54"/>
      <c r="V765" s="37" t="s">
        <v>211</v>
      </c>
      <c r="W765" s="54">
        <f>IF(NOTA[[#This Row],[HARGA/ CTN]]="",NOTA[[#This Row],[JUMLAH_H]],NOTA[[#This Row],[HARGA/ CTN]]*IF(NOTA[[#This Row],[C]]="",0,NOTA[[#This Row],[C]]))</f>
        <v>2660000</v>
      </c>
      <c r="X765" s="54">
        <f>IF(NOTA[[#This Row],[JUMLAH]]="","",NOTA[[#This Row],[JUMLAH]]*NOTA[[#This Row],[DISC 1]])</f>
        <v>0</v>
      </c>
      <c r="Y765" s="54">
        <f>IF(NOTA[[#This Row],[JUMLAH]]="","",(NOTA[[#This Row],[JUMLAH]]-NOTA[[#This Row],[DISC 1-]])*NOTA[[#This Row],[DISC 2]])</f>
        <v>0</v>
      </c>
      <c r="Z765" s="54">
        <f>IF(NOTA[[#This Row],[JUMLAH]]="","",NOTA[[#This Row],[DISC 1-]]+NOTA[[#This Row],[DISC 2-]])</f>
        <v>0</v>
      </c>
      <c r="AA765" s="54">
        <f>IF(NOTA[[#This Row],[JUMLAH]]="","",NOTA[[#This Row],[JUMLAH]]-NOTA[[#This Row],[DISC]])</f>
        <v>2660000</v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E765" s="54">
        <f>IF(OR(NOTA[[#This Row],[QTY]]="",NOTA[[#This Row],[HARGA SATUAN]]="",),"",NOTA[[#This Row],[QTY]]*NOTA[[#This Row],[HARGA SATUAN]])</f>
        <v>2660000</v>
      </c>
      <c r="AF765" s="51">
        <f ca="1">IF(NOTA[ID_H]="","",INDEX(NOTA[TANGGAL],MATCH(,INDIRECT(ADDRESS(ROW(NOTA[TANGGAL]),COLUMN(NOTA[TANGGAL]))&amp;":"&amp;ADDRESS(ROW(),COLUMN(NOTA[TANGGAL]))),-1)))</f>
        <v>44953</v>
      </c>
      <c r="AG765" s="49" t="str">
        <f ca="1">IF(NOTA[[#This Row],[NAMA BARANG]]="","",INDEX(NOTA[SUPPLIER],MATCH(,INDIRECT(ADDRESS(ROW(NOTA[ID]),COLUMN(NOTA[ID]))&amp;":"&amp;ADDRESS(ROW(),COLUMN(NOTA[ID]))),-1)))</f>
        <v>DR (SS) ORI</v>
      </c>
      <c r="AH765" s="49" t="str">
        <f ca="1">IF(NOTA[[#This Row],[ID_H]]="","",IF(NOTA[[#This Row],[FAKTUR]]="",INDIRECT(ADDRESS(ROW()-1,COLUMN())),NOTA[[#This Row],[FAKTUR]]))</f>
        <v>UNTANA</v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>guntingidealk5002660000</v>
      </c>
      <c r="AM765" s="193" t="e">
        <f>IF(NOTA[[#This Row],[CONCAT1]]="","",MATCH(NOTA[[#This Row],[CONCAT1]],[2]!db[NB NOTA_C],0)+1)</f>
        <v>#N/A</v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>
        <f ca="1">IF(NOTA[[#This Row],[NAMA BARANG]]="","",INDEX(NOTA[ID],MATCH(,INDIRECT(ADDRESS(ROW(NOTA[ID]),COLUMN(NOTA[ID]))&amp;":"&amp;ADDRESS(ROW(),COLUMN(NOTA[ID]))),-1)))</f>
        <v>146</v>
      </c>
      <c r="E766" s="23"/>
      <c r="F766" s="26"/>
      <c r="G766" s="26"/>
      <c r="H766" s="31"/>
      <c r="I766" s="26"/>
      <c r="J766" s="51"/>
      <c r="K766" s="26"/>
      <c r="L766" s="26" t="s">
        <v>913</v>
      </c>
      <c r="M766" s="39">
        <v>3</v>
      </c>
      <c r="N766" s="26">
        <v>180</v>
      </c>
      <c r="O766" s="26" t="s">
        <v>90</v>
      </c>
      <c r="P766" s="49">
        <v>33000</v>
      </c>
      <c r="Q766" s="52"/>
      <c r="R766" s="39" t="s">
        <v>91</v>
      </c>
      <c r="S766" s="53"/>
      <c r="T766" s="53"/>
      <c r="U766" s="54"/>
      <c r="V766" s="37" t="s">
        <v>912</v>
      </c>
      <c r="W766" s="54">
        <f>IF(NOTA[[#This Row],[HARGA/ CTN]]="",NOTA[[#This Row],[JUMLAH_H]],NOTA[[#This Row],[HARGA/ CTN]]*IF(NOTA[[#This Row],[C]]="",0,NOTA[[#This Row],[C]]))</f>
        <v>5940000</v>
      </c>
      <c r="X766" s="54">
        <f>IF(NOTA[[#This Row],[JUMLAH]]="","",NOTA[[#This Row],[JUMLAH]]*NOTA[[#This Row],[DISC 1]])</f>
        <v>0</v>
      </c>
      <c r="Y766" s="54">
        <f>IF(NOTA[[#This Row],[JUMLAH]]="","",(NOTA[[#This Row],[JUMLAH]]-NOTA[[#This Row],[DISC 1-]])*NOTA[[#This Row],[DISC 2]])</f>
        <v>0</v>
      </c>
      <c r="Z766" s="54">
        <f>IF(NOTA[[#This Row],[JUMLAH]]="","",NOTA[[#This Row],[DISC 1-]]+NOTA[[#This Row],[DISC 2-]])</f>
        <v>0</v>
      </c>
      <c r="AA766" s="54">
        <f>IF(NOTA[[#This Row],[JUMLAH]]="","",NOTA[[#This Row],[JUMLAH]]-NOTA[[#This Row],[DISC]])</f>
        <v>5940000</v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766" s="54">
        <f>IF(OR(NOTA[[#This Row],[QTY]]="",NOTA[[#This Row],[HARGA SATUAN]]="",),"",NOTA[[#This Row],[QTY]]*NOTA[[#This Row],[HARGA SATUAN]])</f>
        <v>5940000</v>
      </c>
      <c r="AF766" s="51">
        <f ca="1">IF(NOTA[ID_H]="","",INDEX(NOTA[TANGGAL],MATCH(,INDIRECT(ADDRESS(ROW(NOTA[TANGGAL]),COLUMN(NOTA[TANGGAL]))&amp;":"&amp;ADDRESS(ROW(),COLUMN(NOTA[TANGGAL]))),-1)))</f>
        <v>44953</v>
      </c>
      <c r="AG766" s="49" t="str">
        <f ca="1">IF(NOTA[[#This Row],[NAMA BARANG]]="","",INDEX(NOTA[SUPPLIER],MATCH(,INDIRECT(ADDRESS(ROW(NOTA[ID]),COLUMN(NOTA[ID]))&amp;":"&amp;ADDRESS(ROW(),COLUMN(NOTA[ID]))),-1)))</f>
        <v>DR (SS) ORI</v>
      </c>
      <c r="AH766" s="49" t="str">
        <f ca="1">IF(NOTA[[#This Row],[ID_H]]="","",IF(NOTA[[#This Row],[FAKTUR]]="",INDIRECT(ADDRESS(ROW()-1,COLUMN())),NOTA[[#This Row],[FAKTUR]]))</f>
        <v>UNTANA</v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>cuttertacobesar88</v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>cuttertacobesar881980000</v>
      </c>
      <c r="AM766" s="193" t="e">
        <f>IF(NOTA[[#This Row],[CONCAT1]]="","",MATCH(NOTA[[#This Row],[CONCAT1]],[2]!db[NB NOTA_C],0)+1)</f>
        <v>#N/A</v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>
        <f ca="1">IF(NOTA[[#This Row],[NAMA BARANG]]="","",INDEX(NOTA[ID],MATCH(,INDIRECT(ADDRESS(ROW(NOTA[ID]),COLUMN(NOTA[ID]))&amp;":"&amp;ADDRESS(ROW(),COLUMN(NOTA[ID]))),-1)))</f>
        <v>146</v>
      </c>
      <c r="E767" s="23"/>
      <c r="F767" s="26"/>
      <c r="G767" s="26"/>
      <c r="H767" s="31"/>
      <c r="I767" s="26"/>
      <c r="J767" s="51"/>
      <c r="K767" s="26"/>
      <c r="L767" s="26" t="s">
        <v>914</v>
      </c>
      <c r="M767" s="39">
        <v>24</v>
      </c>
      <c r="N767" s="26">
        <f>60*24</f>
        <v>1440</v>
      </c>
      <c r="O767" s="26" t="s">
        <v>90</v>
      </c>
      <c r="P767" s="49">
        <v>33000</v>
      </c>
      <c r="Q767" s="52"/>
      <c r="R767" s="39" t="s">
        <v>91</v>
      </c>
      <c r="S767" s="53">
        <v>0.12</v>
      </c>
      <c r="T767" s="53">
        <v>0.12</v>
      </c>
      <c r="U767" s="54"/>
      <c r="V767" s="37"/>
      <c r="W767" s="54">
        <f>IF(NOTA[[#This Row],[HARGA/ CTN]]="",NOTA[[#This Row],[JUMLAH_H]],NOTA[[#This Row],[HARGA/ CTN]]*IF(NOTA[[#This Row],[C]]="",0,NOTA[[#This Row],[C]]))</f>
        <v>47520000</v>
      </c>
      <c r="X767" s="54">
        <f>IF(NOTA[[#This Row],[JUMLAH]]="","",NOTA[[#This Row],[JUMLAH]]*NOTA[[#This Row],[DISC 1]])</f>
        <v>5702400</v>
      </c>
      <c r="Y767" s="54">
        <f>IF(NOTA[[#This Row],[JUMLAH]]="","",(NOTA[[#This Row],[JUMLAH]]-NOTA[[#This Row],[DISC 1-]])*NOTA[[#This Row],[DISC 2]])</f>
        <v>5018112</v>
      </c>
      <c r="Z767" s="54">
        <f>IF(NOTA[[#This Row],[JUMLAH]]="","",NOTA[[#This Row],[DISC 1-]]+NOTA[[#This Row],[DISC 2-]])</f>
        <v>10720512</v>
      </c>
      <c r="AA767" s="54">
        <f>IF(NOTA[[#This Row],[JUMLAH]]="","",NOTA[[#This Row],[JUMLAH]]-NOTA[[#This Row],[DISC]])</f>
        <v>36799488</v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767" s="54">
        <f>IF(OR(NOTA[[#This Row],[QTY]]="",NOTA[[#This Row],[HARGA SATUAN]]="",),"",NOTA[[#This Row],[QTY]]*NOTA[[#This Row],[HARGA SATUAN]])</f>
        <v>47520000</v>
      </c>
      <c r="AF767" s="51">
        <f ca="1">IF(NOTA[ID_H]="","",INDEX(NOTA[TANGGAL],MATCH(,INDIRECT(ADDRESS(ROW(NOTA[TANGGAL]),COLUMN(NOTA[TANGGAL]))&amp;":"&amp;ADDRESS(ROW(),COLUMN(NOTA[TANGGAL]))),-1)))</f>
        <v>44953</v>
      </c>
      <c r="AG767" s="49" t="str">
        <f ca="1">IF(NOTA[[#This Row],[NAMA BARANG]]="","",INDEX(NOTA[SUPPLIER],MATCH(,INDIRECT(ADDRESS(ROW(NOTA[ID]),COLUMN(NOTA[ID]))&amp;":"&amp;ADDRESS(ROW(),COLUMN(NOTA[ID]))),-1)))</f>
        <v>DR (SS) ORI</v>
      </c>
      <c r="AH767" s="49" t="str">
        <f ca="1">IF(NOTA[[#This Row],[ID_H]]="","",IF(NOTA[[#This Row],[FAKTUR]]="",INDIRECT(ADDRESS(ROW()-1,COLUMN())),NOTA[[#This Row],[FAKTUR]]))</f>
        <v>UNTANA</v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>cuttertacobsr88</v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>cuttertacobsr8819800000.120.12</v>
      </c>
      <c r="AM767" s="193" t="e">
        <f>IF(NOTA[[#This Row],[CONCAT1]]="","",MATCH(NOTA[[#This Row],[CONCAT1]],[2]!db[NB NOTA_C],0)+1)</f>
        <v>#N/A</v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>
        <f ca="1">IF(NOTA[[#This Row],[NAMA BARANG]]="","",INDEX(NOTA[ID],MATCH(,INDIRECT(ADDRESS(ROW(NOTA[ID]),COLUMN(NOTA[ID]))&amp;":"&amp;ADDRESS(ROW(),COLUMN(NOTA[ID]))),-1)))</f>
        <v>146</v>
      </c>
      <c r="E768" s="23"/>
      <c r="F768" s="26"/>
      <c r="G768" s="26"/>
      <c r="H768" s="31"/>
      <c r="I768" s="26"/>
      <c r="J768" s="51"/>
      <c r="K768" s="26"/>
      <c r="L768" s="26" t="s">
        <v>915</v>
      </c>
      <c r="M768" s="39">
        <v>24</v>
      </c>
      <c r="N768" s="26">
        <f>120*24</f>
        <v>2880</v>
      </c>
      <c r="O768" s="26" t="s">
        <v>90</v>
      </c>
      <c r="P768" s="49">
        <v>23000</v>
      </c>
      <c r="Q768" s="52"/>
      <c r="R768" s="39" t="s">
        <v>188</v>
      </c>
      <c r="S768" s="53">
        <v>0.12</v>
      </c>
      <c r="T768" s="53">
        <v>0.12</v>
      </c>
      <c r="U768" s="54"/>
      <c r="V768" s="37"/>
      <c r="W768" s="54">
        <f>IF(NOTA[[#This Row],[HARGA/ CTN]]="",NOTA[[#This Row],[JUMLAH_H]],NOTA[[#This Row],[HARGA/ CTN]]*IF(NOTA[[#This Row],[C]]="",0,NOTA[[#This Row],[C]]))</f>
        <v>66240000</v>
      </c>
      <c r="X768" s="54">
        <f>IF(NOTA[[#This Row],[JUMLAH]]="","",NOTA[[#This Row],[JUMLAH]]*NOTA[[#This Row],[DISC 1]])</f>
        <v>7948800</v>
      </c>
      <c r="Y768" s="54">
        <f>IF(NOTA[[#This Row],[JUMLAH]]="","",(NOTA[[#This Row],[JUMLAH]]-NOTA[[#This Row],[DISC 1-]])*NOTA[[#This Row],[DISC 2]])</f>
        <v>6994944</v>
      </c>
      <c r="Z768" s="54">
        <f>IF(NOTA[[#This Row],[JUMLAH]]="","",NOTA[[#This Row],[DISC 1-]]+NOTA[[#This Row],[DISC 2-]])</f>
        <v>14943744</v>
      </c>
      <c r="AA768" s="54">
        <f>IF(NOTA[[#This Row],[JUMLAH]]="","",NOTA[[#This Row],[JUMLAH]]-NOTA[[#This Row],[DISC]])</f>
        <v>51296256</v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E768" s="54">
        <f>IF(OR(NOTA[[#This Row],[QTY]]="",NOTA[[#This Row],[HARGA SATUAN]]="",),"",NOTA[[#This Row],[QTY]]*NOTA[[#This Row],[HARGA SATUAN]])</f>
        <v>66240000</v>
      </c>
      <c r="AF768" s="51">
        <f ca="1">IF(NOTA[ID_H]="","",INDEX(NOTA[TANGGAL],MATCH(,INDIRECT(ADDRESS(ROW(NOTA[TANGGAL]),COLUMN(NOTA[TANGGAL]))&amp;":"&amp;ADDRESS(ROW(),COLUMN(NOTA[TANGGAL]))),-1)))</f>
        <v>44953</v>
      </c>
      <c r="AG768" s="49" t="str">
        <f ca="1">IF(NOTA[[#This Row],[NAMA BARANG]]="","",INDEX(NOTA[SUPPLIER],MATCH(,INDIRECT(ADDRESS(ROW(NOTA[ID]),COLUMN(NOTA[ID]))&amp;":"&amp;ADDRESS(ROW(),COLUMN(NOTA[ID]))),-1)))</f>
        <v>DR (SS) ORI</v>
      </c>
      <c r="AH768" s="49" t="str">
        <f ca="1">IF(NOTA[[#This Row],[ID_H]]="","",IF(NOTA[[#This Row],[FAKTUR]]="",INDIRECT(ADDRESS(ROW()-1,COLUMN())),NOTA[[#This Row],[FAKTUR]]))</f>
        <v>UNTANA</v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>cuttertacokcl78</v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>cuttertacokcl7827600000.120.12</v>
      </c>
      <c r="AM768" s="193" t="e">
        <f>IF(NOTA[[#This Row],[CONCAT1]]="","",MATCH(NOTA[[#This Row],[CONCAT1]],[2]!db[NB NOTA_C],0)+1)</f>
        <v>#N/A</v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>
        <f ca="1">IF(NOTA[[#This Row],[NAMA BARANG]]="","",INDEX(NOTA[ID],MATCH(,INDIRECT(ADDRESS(ROW(NOTA[ID]),COLUMN(NOTA[ID]))&amp;":"&amp;ADDRESS(ROW(),COLUMN(NOTA[ID]))),-1)))</f>
        <v>146</v>
      </c>
      <c r="E769" s="23"/>
      <c r="F769" s="26"/>
      <c r="G769" s="26"/>
      <c r="H769" s="31"/>
      <c r="I769" s="26"/>
      <c r="J769" s="51"/>
      <c r="K769" s="26"/>
      <c r="L769" s="26" t="s">
        <v>915</v>
      </c>
      <c r="M769" s="39">
        <v>3</v>
      </c>
      <c r="N769" s="26">
        <v>120</v>
      </c>
      <c r="O769" s="26" t="s">
        <v>90</v>
      </c>
      <c r="P769" s="49">
        <v>23000</v>
      </c>
      <c r="Q769" s="52"/>
      <c r="R769" s="39" t="s">
        <v>188</v>
      </c>
      <c r="S769" s="53"/>
      <c r="T769" s="53"/>
      <c r="U769" s="54"/>
      <c r="V769" s="37" t="s">
        <v>211</v>
      </c>
      <c r="W769" s="54">
        <f>IF(NOTA[[#This Row],[HARGA/ CTN]]="",NOTA[[#This Row],[JUMLAH_H]],NOTA[[#This Row],[HARGA/ CTN]]*IF(NOTA[[#This Row],[C]]="",0,NOTA[[#This Row],[C]]))</f>
        <v>2760000</v>
      </c>
      <c r="X769" s="54">
        <f>IF(NOTA[[#This Row],[JUMLAH]]="","",NOTA[[#This Row],[JUMLAH]]*NOTA[[#This Row],[DISC 1]])</f>
        <v>0</v>
      </c>
      <c r="Y769" s="54">
        <f>IF(NOTA[[#This Row],[JUMLAH]]="","",(NOTA[[#This Row],[JUMLAH]]-NOTA[[#This Row],[DISC 1-]])*NOTA[[#This Row],[DISC 2]])</f>
        <v>0</v>
      </c>
      <c r="Z769" s="54">
        <f>IF(NOTA[[#This Row],[JUMLAH]]="","",NOTA[[#This Row],[DISC 1-]]+NOTA[[#This Row],[DISC 2-]])</f>
        <v>0</v>
      </c>
      <c r="AA769" s="54">
        <f>IF(NOTA[[#This Row],[JUMLAH]]="","",NOTA[[#This Row],[JUMLAH]]-NOTA[[#This Row],[DISC]])</f>
        <v>2760000</v>
      </c>
      <c r="AB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D769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769" s="54">
        <f>IF(OR(NOTA[[#This Row],[QTY]]="",NOTA[[#This Row],[HARGA SATUAN]]="",),"",NOTA[[#This Row],[QTY]]*NOTA[[#This Row],[HARGA SATUAN]])</f>
        <v>2760000</v>
      </c>
      <c r="AF769" s="51">
        <f ca="1">IF(NOTA[ID_H]="","",INDEX(NOTA[TANGGAL],MATCH(,INDIRECT(ADDRESS(ROW(NOTA[TANGGAL]),COLUMN(NOTA[TANGGAL]))&amp;":"&amp;ADDRESS(ROW(),COLUMN(NOTA[TANGGAL]))),-1)))</f>
        <v>44953</v>
      </c>
      <c r="AG769" s="49" t="str">
        <f ca="1">IF(NOTA[[#This Row],[NAMA BARANG]]="","",INDEX(NOTA[SUPPLIER],MATCH(,INDIRECT(ADDRESS(ROW(NOTA[ID]),COLUMN(NOTA[ID]))&amp;":"&amp;ADDRESS(ROW(),COLUMN(NOTA[ID]))),-1)))</f>
        <v>DR (SS) ORI</v>
      </c>
      <c r="AH769" s="49" t="str">
        <f ca="1">IF(NOTA[[#This Row],[ID_H]]="","",IF(NOTA[[#This Row],[FAKTUR]]="",INDIRECT(ADDRESS(ROW()-1,COLUMN())),NOTA[[#This Row],[FAKTUR]]))</f>
        <v>UNTANA</v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>cuttertacokcl78</v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>cuttertacokcl78920000</v>
      </c>
      <c r="AM769" s="193" t="e">
        <f>IF(NOTA[[#This Row],[CONCAT1]]="","",MATCH(NOTA[[#This Row],[CONCAT1]],[2]!db[NB NOTA_C],0)+1)</f>
        <v>#N/A</v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93" t="str">
        <f>IF(NOTA[[#This Row],[CONCAT1]]="","",MATCH(NOTA[[#This Row],[CONCAT1]],[2]!db[NB NOTA_C],0)+1)</f>
        <v/>
      </c>
    </row>
    <row r="771" spans="1:39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e">
        <f ca="1">IF(NOTA[[#This Row],[ID_P]]="","",MATCH(NOTA[[#This Row],[ID_P]],[1]!B_MSK[N_ID],0))</f>
        <v>#REF!</v>
      </c>
      <c r="D771" s="50">
        <f ca="1">IF(NOTA[[#This Row],[NAMA BARANG]]="","",INDEX(NOTA[ID],MATCH(,INDIRECT(ADDRESS(ROW(NOTA[ID]),COLUMN(NOTA[ID]))&amp;":"&amp;ADDRESS(ROW(),COLUMN(NOTA[ID]))),-1)))</f>
        <v>147</v>
      </c>
      <c r="E771" s="23">
        <v>44954</v>
      </c>
      <c r="F771" s="26" t="s">
        <v>237</v>
      </c>
      <c r="G771" s="26" t="s">
        <v>87</v>
      </c>
      <c r="H771" s="165"/>
      <c r="I771" s="164"/>
      <c r="J771" s="166"/>
      <c r="K771" s="26"/>
      <c r="L771" s="26" t="s">
        <v>916</v>
      </c>
      <c r="M771" s="167">
        <v>10</v>
      </c>
      <c r="N771" s="164">
        <v>720</v>
      </c>
      <c r="O771" s="26" t="s">
        <v>104</v>
      </c>
      <c r="P771" s="168"/>
      <c r="Q771" s="169"/>
      <c r="R771" s="39" t="s">
        <v>700</v>
      </c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1" s="54" t="str">
        <f>IF(OR(NOTA[[#This Row],[QTY]]="",NOTA[[#This Row],[HARGA SATUAN]]="",),"",NOTA[[#This Row],[QTY]]*NOTA[[#This Row],[HARGA SATUAN]])</f>
        <v/>
      </c>
      <c r="AF771" s="51">
        <f ca="1">IF(NOTA[ID_H]="","",INDEX(NOTA[TANGGAL],MATCH(,INDIRECT(ADDRESS(ROW(NOTA[TANGGAL]),COLUMN(NOTA[TANGGAL]))&amp;":"&amp;ADDRESS(ROW(),COLUMN(NOTA[TANGGAL]))),-1)))</f>
        <v>44954</v>
      </c>
      <c r="AG771" s="49" t="str">
        <f ca="1">IF(NOTA[[#This Row],[NAMA BARANG]]="","",INDEX(NOTA[SUPPLIER],MATCH(,INDIRECT(ADDRESS(ROW(NOTA[ID]),COLUMN(NOTA[ID]))&amp;":"&amp;ADDRESS(ROW(),COLUMN(NOTA[ID]))),-1)))</f>
        <v>DUTA BUANA</v>
      </c>
      <c r="AH771" s="49" t="str">
        <f ca="1">IF(NOTA[[#This Row],[ID_H]]="","",IF(NOTA[[#This Row],[FAKTUR]]="",INDIRECT(ADDRESS(ROW()-1,COLUMN())),NOTA[[#This Row],[FAKTUR]]))</f>
        <v>UNTANA</v>
      </c>
      <c r="AI771" s="38">
        <f ca="1">IF(NOTA[[#This Row],[ID]]="","",COUNTIF(NOTA[ID_H],NOTA[[#This Row],[ID_H]]))</f>
        <v>1</v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>acrylictf001</v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>acrylictf0010</v>
      </c>
      <c r="AM771" s="193" t="e">
        <f>IF(NOTA[[#This Row],[CONCAT1]]="","",MATCH(NOTA[[#This Row],[CONCAT1]],[2]!db[NB NOTA_C],0)+1)</f>
        <v>#N/A</v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64"/>
      <c r="G772" s="164"/>
      <c r="H772" s="165"/>
      <c r="I772" s="164"/>
      <c r="J772" s="166"/>
      <c r="K772" s="164"/>
      <c r="L772" s="164"/>
      <c r="M772" s="167"/>
      <c r="N772" s="164"/>
      <c r="O772" s="164"/>
      <c r="P772" s="168"/>
      <c r="Q772" s="169"/>
      <c r="R772" s="167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93" t="str">
        <f>IF(NOTA[[#This Row],[CONCAT1]]="","",MATCH(NOTA[[#This Row],[CONCAT1]],[2]!db[NB NOTA_C],0)+1)</f>
        <v/>
      </c>
    </row>
    <row r="773" spans="1:39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ATA_2801_-1</v>
      </c>
      <c r="C773" s="50" t="e">
        <f ca="1">IF(NOTA[[#This Row],[ID_P]]="","",MATCH(NOTA[[#This Row],[ID_P]],[1]!B_MSK[N_ID],0))</f>
        <v>#REF!</v>
      </c>
      <c r="D773" s="50">
        <f ca="1">IF(NOTA[[#This Row],[NAMA BARANG]]="","",INDEX(NOTA[ID],MATCH(,INDIRECT(ADDRESS(ROW(NOTA[ID]),COLUMN(NOTA[ID]))&amp;":"&amp;ADDRESS(ROW(),COLUMN(NOTA[ID]))),-1)))</f>
        <v>148</v>
      </c>
      <c r="E773" s="23"/>
      <c r="F773" s="26" t="s">
        <v>25</v>
      </c>
      <c r="G773" s="26" t="s">
        <v>24</v>
      </c>
      <c r="H773" s="31"/>
      <c r="I773" s="26"/>
      <c r="J773" s="51"/>
      <c r="K773" s="26"/>
      <c r="L773" s="26" t="s">
        <v>917</v>
      </c>
      <c r="M773" s="39">
        <v>10</v>
      </c>
      <c r="N773" s="26">
        <v>300</v>
      </c>
      <c r="O773" s="26" t="s">
        <v>274</v>
      </c>
      <c r="P773" s="49">
        <v>104400</v>
      </c>
      <c r="Q773" s="52"/>
      <c r="R773" s="39" t="s">
        <v>371</v>
      </c>
      <c r="S773" s="53">
        <v>0.125</v>
      </c>
      <c r="T773" s="53">
        <v>0.05</v>
      </c>
      <c r="U773" s="54"/>
      <c r="V773" s="37"/>
      <c r="W773" s="54">
        <f>IF(NOTA[[#This Row],[HARGA/ CTN]]="",NOTA[[#This Row],[JUMLAH_H]],NOTA[[#This Row],[HARGA/ CTN]]*IF(NOTA[[#This Row],[C]]="",0,NOTA[[#This Row],[C]]))</f>
        <v>31320000</v>
      </c>
      <c r="X773" s="54">
        <f>IF(NOTA[[#This Row],[JUMLAH]]="","",NOTA[[#This Row],[JUMLAH]]*NOTA[[#This Row],[DISC 1]])</f>
        <v>3915000</v>
      </c>
      <c r="Y773" s="54">
        <f>IF(NOTA[[#This Row],[JUMLAH]]="","",(NOTA[[#This Row],[JUMLAH]]-NOTA[[#This Row],[DISC 1-]])*NOTA[[#This Row],[DISC 2]])</f>
        <v>1370250</v>
      </c>
      <c r="Z773" s="54">
        <f>IF(NOTA[[#This Row],[JUMLAH]]="","",NOTA[[#This Row],[DISC 1-]]+NOTA[[#This Row],[DISC 2-]])</f>
        <v>5285250</v>
      </c>
      <c r="AA773" s="54">
        <f>IF(NOTA[[#This Row],[JUMLAH]]="","",NOTA[[#This Row],[JUMLAH]]-NOTA[[#This Row],[DISC]])</f>
        <v>26034750</v>
      </c>
      <c r="AB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5285250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26034750</v>
      </c>
      <c r="AD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773" s="54">
        <f>IF(OR(NOTA[[#This Row],[QTY]]="",NOTA[[#This Row],[HARGA SATUAN]]="",),"",NOTA[[#This Row],[QTY]]*NOTA[[#This Row],[HARGA SATUAN]])</f>
        <v>31320000</v>
      </c>
      <c r="AF773" s="51">
        <f ca="1">IF(NOTA[ID_H]="","",INDEX(NOTA[TANGGAL],MATCH(,INDIRECT(ADDRESS(ROW(NOTA[TANGGAL]),COLUMN(NOTA[TANGGAL]))&amp;":"&amp;ADDRESS(ROW(),COLUMN(NOTA[TANGGAL]))),-1)))</f>
        <v>44954</v>
      </c>
      <c r="AG773" s="49" t="str">
        <f ca="1">IF(NOTA[[#This Row],[NAMA BARANG]]="","",INDEX(NOTA[SUPPLIER],MATCH(,INDIRECT(ADDRESS(ROW(NOTA[ID]),COLUMN(NOTA[ID]))&amp;":"&amp;ADDRESS(ROW(),COLUMN(NOTA[ID]))),-1)))</f>
        <v>ATALI MAKMUR</v>
      </c>
      <c r="AH773" s="49" t="str">
        <f ca="1">IF(NOTA[[#This Row],[ID_H]]="","",IF(NOTA[[#This Row],[FAKTUR]]="",INDIRECT(ADDRESS(ROW()-1,COLUMN())),NOTA[[#This Row],[FAKTUR]]))</f>
        <v>ARTO MORO</v>
      </c>
      <c r="AI773" s="38">
        <f ca="1">IF(NOTA[[#This Row],[ID]]="","",COUNTIF(NOTA[ID_H],NOTA[[#This Row],[ID_H]]))</f>
        <v>1</v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>pensil2bp88jk</v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>pensil2bp88jk31320000.1250.05</v>
      </c>
      <c r="AM773" s="193" t="e">
        <f>IF(NOTA[[#This Row],[CONCAT1]]="","",MATCH(NOTA[[#This Row],[CONCAT1]],[2]!db[NB NOTA_C],0)+1)</f>
        <v>#N/A</v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93" t="str">
        <f>IF(NOTA[[#This Row],[CONCAT1]]="","",MATCH(NOTA[[#This Row],[CONCAT1]],[2]!db[NB NOTA_C],0)+1)</f>
        <v/>
      </c>
    </row>
    <row r="775" spans="1:39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KEN_2801_-6</v>
      </c>
      <c r="C775" s="50" t="e">
        <f ca="1">IF(NOTA[[#This Row],[ID_P]]="","",MATCH(NOTA[[#This Row],[ID_P]],[1]!B_MSK[N_ID],0))</f>
        <v>#REF!</v>
      </c>
      <c r="D775" s="50">
        <f ca="1">IF(NOTA[[#This Row],[NAMA BARANG]]="","",INDEX(NOTA[ID],MATCH(,INDIRECT(ADDRESS(ROW(NOTA[ID]),COLUMN(NOTA[ID]))&amp;":"&amp;ADDRESS(ROW(),COLUMN(NOTA[ID]))),-1)))</f>
        <v>149</v>
      </c>
      <c r="E775" s="23"/>
      <c r="F775" s="26" t="s">
        <v>23</v>
      </c>
      <c r="G775" s="26" t="s">
        <v>24</v>
      </c>
      <c r="H775" s="31"/>
      <c r="I775" s="26"/>
      <c r="J775" s="51"/>
      <c r="K775" s="26"/>
      <c r="L775" s="26" t="s">
        <v>918</v>
      </c>
      <c r="M775" s="39">
        <v>20</v>
      </c>
      <c r="N775" s="26">
        <f>720</f>
        <v>720</v>
      </c>
      <c r="O775" s="26" t="s">
        <v>90</v>
      </c>
      <c r="P775" s="49">
        <v>54300</v>
      </c>
      <c r="Q775" s="52"/>
      <c r="R775" s="39" t="s">
        <v>843</v>
      </c>
      <c r="S775" s="53">
        <v>0.17</v>
      </c>
      <c r="T775" s="53"/>
      <c r="U775" s="54"/>
      <c r="V775" s="37"/>
      <c r="W775" s="54">
        <f>IF(NOTA[[#This Row],[HARGA/ CTN]]="",NOTA[[#This Row],[JUMLAH_H]],NOTA[[#This Row],[HARGA/ CTN]]*IF(NOTA[[#This Row],[C]]="",0,NOTA[[#This Row],[C]]))</f>
        <v>39096000</v>
      </c>
      <c r="X775" s="54">
        <f>IF(NOTA[[#This Row],[JUMLAH]]="","",NOTA[[#This Row],[JUMLAH]]*NOTA[[#This Row],[DISC 1]])</f>
        <v>6646320.0000000009</v>
      </c>
      <c r="Y775" s="54">
        <f>IF(NOTA[[#This Row],[JUMLAH]]="","",(NOTA[[#This Row],[JUMLAH]]-NOTA[[#This Row],[DISC 1-]])*NOTA[[#This Row],[DISC 2]])</f>
        <v>0</v>
      </c>
      <c r="Z775" s="54">
        <f>IF(NOTA[[#This Row],[JUMLAH]]="","",NOTA[[#This Row],[DISC 1-]]+NOTA[[#This Row],[DISC 2-]])</f>
        <v>6646320.0000000009</v>
      </c>
      <c r="AA775" s="54">
        <f>IF(NOTA[[#This Row],[JUMLAH]]="","",NOTA[[#This Row],[JUMLAH]]-NOTA[[#This Row],[DISC]])</f>
        <v>32449680</v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75" s="54">
        <f>IF(OR(NOTA[[#This Row],[QTY]]="",NOTA[[#This Row],[HARGA SATUAN]]="",),"",NOTA[[#This Row],[QTY]]*NOTA[[#This Row],[HARGA SATUAN]])</f>
        <v>39096000</v>
      </c>
      <c r="AF775" s="51">
        <f ca="1">IF(NOTA[ID_H]="","",INDEX(NOTA[TANGGAL],MATCH(,INDIRECT(ADDRESS(ROW(NOTA[TANGGAL]),COLUMN(NOTA[TANGGAL]))&amp;":"&amp;ADDRESS(ROW(),COLUMN(NOTA[TANGGAL]))),-1)))</f>
        <v>44954</v>
      </c>
      <c r="AG775" s="49" t="str">
        <f ca="1">IF(NOTA[[#This Row],[NAMA BARANG]]="","",INDEX(NOTA[SUPPLIER],MATCH(,INDIRECT(ADDRESS(ROW(NOTA[ID]),COLUMN(NOTA[ID]))&amp;":"&amp;ADDRESS(ROW(),COLUMN(NOTA[ID]))),-1)))</f>
        <v>KENKO SINAR INDONESIA</v>
      </c>
      <c r="AH775" s="49" t="str">
        <f ca="1">IF(NOTA[[#This Row],[ID_H]]="","",IF(NOTA[[#This Row],[FAKTUR]]="",INDIRECT(ADDRESS(ROW()-1,COLUMN())),NOTA[[#This Row],[FAKTUR]]))</f>
        <v>ARTO MORO</v>
      </c>
      <c r="AI775" s="38">
        <f ca="1">IF(NOTA[[#This Row],[ID]]="","",COUNTIF(NOTA[ID_H],NOTA[[#This Row],[ID_H]]))</f>
        <v>6</v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>tipexkenkoke01</v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>tipexkenkoke0119548000.17</v>
      </c>
      <c r="AM775" s="193" t="e">
        <f>IF(NOTA[[#This Row],[CONCAT1]]="","",MATCH(NOTA[[#This Row],[CONCAT1]],[2]!db[NB NOTA_C],0)+1)</f>
        <v>#N/A</v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>
        <f ca="1">IF(NOTA[[#This Row],[NAMA BARANG]]="","",INDEX(NOTA[ID],MATCH(,INDIRECT(ADDRESS(ROW(NOTA[ID]),COLUMN(NOTA[ID]))&amp;":"&amp;ADDRESS(ROW(),COLUMN(NOTA[ID]))),-1)))</f>
        <v>149</v>
      </c>
      <c r="E776" s="23"/>
      <c r="F776" s="26"/>
      <c r="G776" s="26"/>
      <c r="H776" s="31"/>
      <c r="I776" s="26"/>
      <c r="J776" s="51"/>
      <c r="K776" s="26"/>
      <c r="L776" s="26" t="s">
        <v>919</v>
      </c>
      <c r="M776" s="39">
        <v>2</v>
      </c>
      <c r="N776" s="26">
        <v>72</v>
      </c>
      <c r="O776" s="26" t="s">
        <v>131</v>
      </c>
      <c r="P776" s="49">
        <v>66000</v>
      </c>
      <c r="Q776" s="52"/>
      <c r="R776" s="39" t="s">
        <v>920</v>
      </c>
      <c r="S776" s="53">
        <v>0.17</v>
      </c>
      <c r="T776" s="53"/>
      <c r="U776" s="54"/>
      <c r="V776" s="37"/>
      <c r="W776" s="54">
        <f>IF(NOTA[[#This Row],[HARGA/ CTN]]="",NOTA[[#This Row],[JUMLAH_H]],NOTA[[#This Row],[HARGA/ CTN]]*IF(NOTA[[#This Row],[C]]="",0,NOTA[[#This Row],[C]]))</f>
        <v>4752000</v>
      </c>
      <c r="X776" s="54">
        <f>IF(NOTA[[#This Row],[JUMLAH]]="","",NOTA[[#This Row],[JUMLAH]]*NOTA[[#This Row],[DISC 1]])</f>
        <v>807840</v>
      </c>
      <c r="Y776" s="54">
        <f>IF(NOTA[[#This Row],[JUMLAH]]="","",(NOTA[[#This Row],[JUMLAH]]-NOTA[[#This Row],[DISC 1-]])*NOTA[[#This Row],[DISC 2]])</f>
        <v>0</v>
      </c>
      <c r="Z776" s="54">
        <f>IF(NOTA[[#This Row],[JUMLAH]]="","",NOTA[[#This Row],[DISC 1-]]+NOTA[[#This Row],[DISC 2-]])</f>
        <v>807840</v>
      </c>
      <c r="AA776" s="54">
        <f>IF(NOTA[[#This Row],[JUMLAH]]="","",NOTA[[#This Row],[JUMLAH]]-NOTA[[#This Row],[DISC]])</f>
        <v>3944160</v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776" s="54">
        <f>IF(OR(NOTA[[#This Row],[QTY]]="",NOTA[[#This Row],[HARGA SATUAN]]="",),"",NOTA[[#This Row],[QTY]]*NOTA[[#This Row],[HARGA SATUAN]])</f>
        <v>4752000</v>
      </c>
      <c r="AF776" s="51">
        <f ca="1">IF(NOTA[ID_H]="","",INDEX(NOTA[TANGGAL],MATCH(,INDIRECT(ADDRESS(ROW(NOTA[TANGGAL]),COLUMN(NOTA[TANGGAL]))&amp;":"&amp;ADDRESS(ROW(),COLUMN(NOTA[TANGGAL]))),-1)))</f>
        <v>44954</v>
      </c>
      <c r="AG776" s="49" t="str">
        <f ca="1">IF(NOTA[[#This Row],[NAMA BARANG]]="","",INDEX(NOTA[SUPPLIER],MATCH(,INDIRECT(ADDRESS(ROW(NOTA[ID]),COLUMN(NOTA[ID]))&amp;":"&amp;ADDRESS(ROW(),COLUMN(NOTA[ID]))),-1)))</f>
        <v>KENKO SINAR INDONESIA</v>
      </c>
      <c r="AH776" s="49" t="str">
        <f ca="1">IF(NOTA[[#This Row],[ID_H]]="","",IF(NOTA[[#This Row],[FAKTUR]]="",INDIRECT(ADDRESS(ROW()-1,COLUMN())),NOTA[[#This Row],[FAKTUR]]))</f>
        <v>ARTO MORO</v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>lemstick8gr</v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>lemstick8gr23760000.17</v>
      </c>
      <c r="AM776" s="193" t="e">
        <f>IF(NOTA[[#This Row],[CONCAT1]]="","",MATCH(NOTA[[#This Row],[CONCAT1]],[2]!db[NB NOTA_C],0)+1)</f>
        <v>#N/A</v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>
        <f ca="1">IF(NOTA[[#This Row],[NAMA BARANG]]="","",INDEX(NOTA[ID],MATCH(,INDIRECT(ADDRESS(ROW(NOTA[ID]),COLUMN(NOTA[ID]))&amp;":"&amp;ADDRESS(ROW(),COLUMN(NOTA[ID]))),-1)))</f>
        <v>149</v>
      </c>
      <c r="E777" s="23"/>
      <c r="F777" s="26"/>
      <c r="G777" s="26"/>
      <c r="H777" s="31"/>
      <c r="I777" s="26"/>
      <c r="J777" s="51"/>
      <c r="K777" s="26"/>
      <c r="L777" s="26" t="s">
        <v>921</v>
      </c>
      <c r="M777" s="39">
        <v>3</v>
      </c>
      <c r="N777" s="26">
        <v>90</v>
      </c>
      <c r="O777" s="26" t="s">
        <v>274</v>
      </c>
      <c r="P777" s="49">
        <v>69000</v>
      </c>
      <c r="Q777" s="52"/>
      <c r="R777" s="39" t="s">
        <v>136</v>
      </c>
      <c r="S777" s="53">
        <v>0.17</v>
      </c>
      <c r="T777" s="53"/>
      <c r="U777" s="54"/>
      <c r="V777" s="37"/>
      <c r="W777" s="54">
        <f>IF(NOTA[[#This Row],[HARGA/ CTN]]="",NOTA[[#This Row],[JUMLAH_H]],NOTA[[#This Row],[HARGA/ CTN]]*IF(NOTA[[#This Row],[C]]="",0,NOTA[[#This Row],[C]]))</f>
        <v>6210000</v>
      </c>
      <c r="X777" s="54">
        <f>IF(NOTA[[#This Row],[JUMLAH]]="","",NOTA[[#This Row],[JUMLAH]]*NOTA[[#This Row],[DISC 1]])</f>
        <v>1055700</v>
      </c>
      <c r="Y777" s="54">
        <f>IF(NOTA[[#This Row],[JUMLAH]]="","",(NOTA[[#This Row],[JUMLAH]]-NOTA[[#This Row],[DISC 1-]])*NOTA[[#This Row],[DISC 2]])</f>
        <v>0</v>
      </c>
      <c r="Z777" s="54">
        <f>IF(NOTA[[#This Row],[JUMLAH]]="","",NOTA[[#This Row],[DISC 1-]]+NOTA[[#This Row],[DISC 2-]])</f>
        <v>1055700</v>
      </c>
      <c r="AA777" s="54">
        <f>IF(NOTA[[#This Row],[JUMLAH]]="","",NOTA[[#This Row],[JUMLAH]]-NOTA[[#This Row],[DISC]])</f>
        <v>5154300</v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E777" s="54">
        <f>IF(OR(NOTA[[#This Row],[QTY]]="",NOTA[[#This Row],[HARGA SATUAN]]="",),"",NOTA[[#This Row],[QTY]]*NOTA[[#This Row],[HARGA SATUAN]])</f>
        <v>6210000</v>
      </c>
      <c r="AF777" s="51">
        <f ca="1">IF(NOTA[ID_H]="","",INDEX(NOTA[TANGGAL],MATCH(,INDIRECT(ADDRESS(ROW(NOTA[TANGGAL]),COLUMN(NOTA[TANGGAL]))&amp;":"&amp;ADDRESS(ROW(),COLUMN(NOTA[TANGGAL]))),-1)))</f>
        <v>44954</v>
      </c>
      <c r="AG777" s="49" t="str">
        <f ca="1">IF(NOTA[[#This Row],[NAMA BARANG]]="","",INDEX(NOTA[SUPPLIER],MATCH(,INDIRECT(ADDRESS(ROW(NOTA[ID]),COLUMN(NOTA[ID]))&amp;":"&amp;ADDRESS(ROW(),COLUMN(NOTA[ID]))),-1)))</f>
        <v>KENKO SINAR INDONESIA</v>
      </c>
      <c r="AH777" s="49" t="str">
        <f ca="1">IF(NOTA[[#This Row],[ID_H]]="","",IF(NOTA[[#This Row],[FAKTUR]]="",INDIRECT(ADDRESS(ROW()-1,COLUMN())),NOTA[[#This Row],[FAKTUR]]))</f>
        <v>ARTO MORO</v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>bclip155</v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>bclip15520700000.17</v>
      </c>
      <c r="AM777" s="193" t="e">
        <f>IF(NOTA[[#This Row],[CONCAT1]]="","",MATCH(NOTA[[#This Row],[CONCAT1]],[2]!db[NB NOTA_C],0)+1)</f>
        <v>#N/A</v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>
        <f ca="1">IF(NOTA[[#This Row],[NAMA BARANG]]="","",INDEX(NOTA[ID],MATCH(,INDIRECT(ADDRESS(ROW(NOTA[ID]),COLUMN(NOTA[ID]))&amp;":"&amp;ADDRESS(ROW(),COLUMN(NOTA[ID]))),-1)))</f>
        <v>149</v>
      </c>
      <c r="E778" s="23"/>
      <c r="F778" s="26"/>
      <c r="G778" s="26"/>
      <c r="H778" s="31"/>
      <c r="I778" s="26"/>
      <c r="J778" s="51"/>
      <c r="K778" s="26"/>
      <c r="L778" s="26" t="s">
        <v>922</v>
      </c>
      <c r="M778" s="39">
        <v>2</v>
      </c>
      <c r="N778" s="26">
        <v>20</v>
      </c>
      <c r="O778" s="26" t="s">
        <v>274</v>
      </c>
      <c r="P778" s="49">
        <v>120000</v>
      </c>
      <c r="Q778" s="52"/>
      <c r="R778" s="39" t="s">
        <v>923</v>
      </c>
      <c r="S778" s="53">
        <v>0.17</v>
      </c>
      <c r="T778" s="53"/>
      <c r="U778" s="54"/>
      <c r="V778" s="37"/>
      <c r="W778" s="54">
        <f>IF(NOTA[[#This Row],[HARGA/ CTN]]="",NOTA[[#This Row],[JUMLAH_H]],NOTA[[#This Row],[HARGA/ CTN]]*IF(NOTA[[#This Row],[C]]="",0,NOTA[[#This Row],[C]]))</f>
        <v>2400000</v>
      </c>
      <c r="X778" s="54">
        <f>IF(NOTA[[#This Row],[JUMLAH]]="","",NOTA[[#This Row],[JUMLAH]]*NOTA[[#This Row],[DISC 1]])</f>
        <v>408000.00000000006</v>
      </c>
      <c r="Y778" s="54">
        <f>IF(NOTA[[#This Row],[JUMLAH]]="","",(NOTA[[#This Row],[JUMLAH]]-NOTA[[#This Row],[DISC 1-]])*NOTA[[#This Row],[DISC 2]])</f>
        <v>0</v>
      </c>
      <c r="Z778" s="54">
        <f>IF(NOTA[[#This Row],[JUMLAH]]="","",NOTA[[#This Row],[DISC 1-]]+NOTA[[#This Row],[DISC 2-]])</f>
        <v>408000.00000000006</v>
      </c>
      <c r="AA778" s="54">
        <f>IF(NOTA[[#This Row],[JUMLAH]]="","",NOTA[[#This Row],[JUMLAH]]-NOTA[[#This Row],[DISC]])</f>
        <v>1992000</v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778" s="54">
        <f>IF(OR(NOTA[[#This Row],[QTY]]="",NOTA[[#This Row],[HARGA SATUAN]]="",),"",NOTA[[#This Row],[QTY]]*NOTA[[#This Row],[HARGA SATUAN]])</f>
        <v>2400000</v>
      </c>
      <c r="AF778" s="51">
        <f ca="1">IF(NOTA[ID_H]="","",INDEX(NOTA[TANGGAL],MATCH(,INDIRECT(ADDRESS(ROW(NOTA[TANGGAL]),COLUMN(NOTA[TANGGAL]))&amp;":"&amp;ADDRESS(ROW(),COLUMN(NOTA[TANGGAL]))),-1)))</f>
        <v>44954</v>
      </c>
      <c r="AG778" s="49" t="str">
        <f ca="1">IF(NOTA[[#This Row],[NAMA BARANG]]="","",INDEX(NOTA[SUPPLIER],MATCH(,INDIRECT(ADDRESS(ROW(NOTA[ID]),COLUMN(NOTA[ID]))&amp;":"&amp;ADDRESS(ROW(),COLUMN(NOTA[ID]))),-1)))</f>
        <v>KENKO SINAR INDONESIA</v>
      </c>
      <c r="AH778" s="49" t="str">
        <f ca="1">IF(NOTA[[#This Row],[ID_H]]="","",IF(NOTA[[#This Row],[FAKTUR]]="",INDIRECT(ADDRESS(ROW()-1,COLUMN())),NOTA[[#This Row],[FAKTUR]]))</f>
        <v>ARTO MORO</v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>bclip200</v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>bclip20012000000.17</v>
      </c>
      <c r="AM778" s="193" t="e">
        <f>IF(NOTA[[#This Row],[CONCAT1]]="","",MATCH(NOTA[[#This Row],[CONCAT1]],[2]!db[NB NOTA_C],0)+1)</f>
        <v>#N/A</v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>
        <f ca="1">IF(NOTA[[#This Row],[NAMA BARANG]]="","",INDEX(NOTA[ID],MATCH(,INDIRECT(ADDRESS(ROW(NOTA[ID]),COLUMN(NOTA[ID]))&amp;":"&amp;ADDRESS(ROW(),COLUMN(NOTA[ID]))),-1)))</f>
        <v>149</v>
      </c>
      <c r="E779" s="23"/>
      <c r="F779" s="26"/>
      <c r="G779" s="26"/>
      <c r="H779" s="31"/>
      <c r="I779" s="26"/>
      <c r="J779" s="51"/>
      <c r="K779" s="26"/>
      <c r="L779" s="26" t="s">
        <v>924</v>
      </c>
      <c r="M779" s="39">
        <v>6</v>
      </c>
      <c r="N779" s="26">
        <v>30</v>
      </c>
      <c r="O779" s="26" t="s">
        <v>274</v>
      </c>
      <c r="P779" s="49">
        <v>180000</v>
      </c>
      <c r="Q779" s="52"/>
      <c r="R779" s="39" t="s">
        <v>412</v>
      </c>
      <c r="S779" s="53">
        <v>0.17</v>
      </c>
      <c r="T779" s="53"/>
      <c r="U779" s="54"/>
      <c r="V779" s="37"/>
      <c r="W779" s="54">
        <f>IF(NOTA[[#This Row],[HARGA/ CTN]]="",NOTA[[#This Row],[JUMLAH_H]],NOTA[[#This Row],[HARGA/ CTN]]*IF(NOTA[[#This Row],[C]]="",0,NOTA[[#This Row],[C]]))</f>
        <v>5400000</v>
      </c>
      <c r="X779" s="54">
        <f>IF(NOTA[[#This Row],[JUMLAH]]="","",NOTA[[#This Row],[JUMLAH]]*NOTA[[#This Row],[DISC 1]])</f>
        <v>918000.00000000012</v>
      </c>
      <c r="Y779" s="54">
        <f>IF(NOTA[[#This Row],[JUMLAH]]="","",(NOTA[[#This Row],[JUMLAH]]-NOTA[[#This Row],[DISC 1-]])*NOTA[[#This Row],[DISC 2]])</f>
        <v>0</v>
      </c>
      <c r="Z779" s="54">
        <f>IF(NOTA[[#This Row],[JUMLAH]]="","",NOTA[[#This Row],[DISC 1-]]+NOTA[[#This Row],[DISC 2-]])</f>
        <v>918000.00000000012</v>
      </c>
      <c r="AA779" s="54">
        <f>IF(NOTA[[#This Row],[JUMLAH]]="","",NOTA[[#This Row],[JUMLAH]]-NOTA[[#This Row],[DISC]])</f>
        <v>4482000</v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779" s="54">
        <f>IF(OR(NOTA[[#This Row],[QTY]]="",NOTA[[#This Row],[HARGA SATUAN]]="",),"",NOTA[[#This Row],[QTY]]*NOTA[[#This Row],[HARGA SATUAN]])</f>
        <v>5400000</v>
      </c>
      <c r="AF779" s="51">
        <f ca="1">IF(NOTA[ID_H]="","",INDEX(NOTA[TANGGAL],MATCH(,INDIRECT(ADDRESS(ROW(NOTA[TANGGAL]),COLUMN(NOTA[TANGGAL]))&amp;":"&amp;ADDRESS(ROW(),COLUMN(NOTA[TANGGAL]))),-1)))</f>
        <v>44954</v>
      </c>
      <c r="AG779" s="49" t="str">
        <f ca="1">IF(NOTA[[#This Row],[NAMA BARANG]]="","",INDEX(NOTA[SUPPLIER],MATCH(,INDIRECT(ADDRESS(ROW(NOTA[ID]),COLUMN(NOTA[ID]))&amp;":"&amp;ADDRESS(ROW(),COLUMN(NOTA[ID]))),-1)))</f>
        <v>KENKO SINAR INDONESIA</v>
      </c>
      <c r="AH779" s="49" t="str">
        <f ca="1">IF(NOTA[[#This Row],[ID_H]]="","",IF(NOTA[[#This Row],[FAKTUR]]="",INDIRECT(ADDRESS(ROW()-1,COLUMN())),NOTA[[#This Row],[FAKTUR]]))</f>
        <v>ARTO MORO</v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>bclip260</v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>bclip2609000000.17</v>
      </c>
      <c r="AM779" s="193" t="e">
        <f>IF(NOTA[[#This Row],[CONCAT1]]="","",MATCH(NOTA[[#This Row],[CONCAT1]],[2]!db[NB NOTA_C],0)+1)</f>
        <v>#N/A</v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>
        <f ca="1">IF(NOTA[[#This Row],[NAMA BARANG]]="","",INDEX(NOTA[ID],MATCH(,INDIRECT(ADDRESS(ROW(NOTA[ID]),COLUMN(NOTA[ID]))&amp;":"&amp;ADDRESS(ROW(),COLUMN(NOTA[ID]))),-1)))</f>
        <v>149</v>
      </c>
      <c r="E780" s="23"/>
      <c r="F780" s="26"/>
      <c r="G780" s="26"/>
      <c r="H780" s="31"/>
      <c r="I780" s="26"/>
      <c r="J780" s="51"/>
      <c r="K780" s="26"/>
      <c r="L780" s="26" t="s">
        <v>925</v>
      </c>
      <c r="M780" s="39">
        <v>1</v>
      </c>
      <c r="N780" s="26">
        <v>48</v>
      </c>
      <c r="O780" s="26" t="s">
        <v>90</v>
      </c>
      <c r="P780" s="49">
        <v>54000</v>
      </c>
      <c r="Q780" s="52"/>
      <c r="R780" s="39" t="s">
        <v>105</v>
      </c>
      <c r="S780" s="53">
        <v>0.17</v>
      </c>
      <c r="T780" s="53"/>
      <c r="U780" s="54"/>
      <c r="V780" s="37"/>
      <c r="W780" s="54">
        <f>IF(NOTA[[#This Row],[HARGA/ CTN]]="",NOTA[[#This Row],[JUMLAH_H]],NOTA[[#This Row],[HARGA/ CTN]]*IF(NOTA[[#This Row],[C]]="",0,NOTA[[#This Row],[C]]))</f>
        <v>2592000</v>
      </c>
      <c r="X780" s="54">
        <f>IF(NOTA[[#This Row],[JUMLAH]]="","",NOTA[[#This Row],[JUMLAH]]*NOTA[[#This Row],[DISC 1]])</f>
        <v>440640.00000000006</v>
      </c>
      <c r="Y780" s="54">
        <f>IF(NOTA[[#This Row],[JUMLAH]]="","",(NOTA[[#This Row],[JUMLAH]]-NOTA[[#This Row],[DISC 1-]])*NOTA[[#This Row],[DISC 2]])</f>
        <v>0</v>
      </c>
      <c r="Z780" s="54">
        <f>IF(NOTA[[#This Row],[JUMLAH]]="","",NOTA[[#This Row],[DISC 1-]]+NOTA[[#This Row],[DISC 2-]])</f>
        <v>440640.00000000006</v>
      </c>
      <c r="AA780" s="54">
        <f>IF(NOTA[[#This Row],[JUMLAH]]="","",NOTA[[#This Row],[JUMLAH]]-NOTA[[#This Row],[DISC]])</f>
        <v>2151360</v>
      </c>
      <c r="AB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10276500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50173500</v>
      </c>
      <c r="AD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780" s="54">
        <f>IF(OR(NOTA[[#This Row],[QTY]]="",NOTA[[#This Row],[HARGA SATUAN]]="",),"",NOTA[[#This Row],[QTY]]*NOTA[[#This Row],[HARGA SATUAN]])</f>
        <v>2592000</v>
      </c>
      <c r="AF780" s="51">
        <f ca="1">IF(NOTA[ID_H]="","",INDEX(NOTA[TANGGAL],MATCH(,INDIRECT(ADDRESS(ROW(NOTA[TANGGAL]),COLUMN(NOTA[TANGGAL]))&amp;":"&amp;ADDRESS(ROW(),COLUMN(NOTA[TANGGAL]))),-1)))</f>
        <v>44954</v>
      </c>
      <c r="AG780" s="49" t="str">
        <f ca="1">IF(NOTA[[#This Row],[NAMA BARANG]]="","",INDEX(NOTA[SUPPLIER],MATCH(,INDIRECT(ADDRESS(ROW(NOTA[ID]),COLUMN(NOTA[ID]))&amp;":"&amp;ADDRESS(ROW(),COLUMN(NOTA[ID]))),-1)))</f>
        <v>KENKO SINAR INDONESIA</v>
      </c>
      <c r="AH780" s="49" t="str">
        <f ca="1">IF(NOTA[[#This Row],[ID_H]]="","",IF(NOTA[[#This Row],[FAKTUR]]="",INDIRECT(ADDRESS(ROW()-1,COLUMN())),NOTA[[#This Row],[FAKTUR]]))</f>
        <v>ARTO MORO</v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>tipex831</v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>tipex83125920000.17</v>
      </c>
      <c r="AM780" s="193" t="e">
        <f>IF(NOTA[[#This Row],[CONCAT1]]="","",MATCH(NOTA[[#This Row],[CONCAT1]],[2]!db[NB NOTA_C],0)+1)</f>
        <v>#N/A</v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93" t="str">
        <f>IF(NOTA[[#This Row],[CONCAT1]]="","",MATCH(NOTA[[#This Row],[CONCAT1]],[2]!db[NB NOTA_C],0)+1)</f>
        <v/>
      </c>
    </row>
    <row r="782" spans="1:39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KEN_2801_-10</v>
      </c>
      <c r="C782" s="50" t="e">
        <f ca="1">IF(NOTA[[#This Row],[ID_P]]="","",MATCH(NOTA[[#This Row],[ID_P]],[1]!B_MSK[N_ID],0))</f>
        <v>#REF!</v>
      </c>
      <c r="D782" s="50">
        <f ca="1">IF(NOTA[[#This Row],[NAMA BARANG]]="","",INDEX(NOTA[ID],MATCH(,INDIRECT(ADDRESS(ROW(NOTA[ID]),COLUMN(NOTA[ID]))&amp;":"&amp;ADDRESS(ROW(),COLUMN(NOTA[ID]))),-1)))</f>
        <v>150</v>
      </c>
      <c r="E782" s="23"/>
      <c r="F782" s="26" t="s">
        <v>23</v>
      </c>
      <c r="G782" s="26" t="s">
        <v>24</v>
      </c>
      <c r="H782" s="31"/>
      <c r="I782" s="26"/>
      <c r="J782" s="51"/>
      <c r="K782" s="26"/>
      <c r="L782" s="26" t="s">
        <v>926</v>
      </c>
      <c r="M782" s="39">
        <v>1</v>
      </c>
      <c r="N782" s="26">
        <v>96</v>
      </c>
      <c r="O782" s="26" t="s">
        <v>95</v>
      </c>
      <c r="P782" s="49">
        <v>8350</v>
      </c>
      <c r="Q782" s="52"/>
      <c r="R782" s="39" t="s">
        <v>927</v>
      </c>
      <c r="S782" s="53">
        <v>0.17</v>
      </c>
      <c r="T782" s="53"/>
      <c r="U782" s="54"/>
      <c r="V782" s="37"/>
      <c r="W782" s="54">
        <f>IF(NOTA[[#This Row],[HARGA/ CTN]]="",NOTA[[#This Row],[JUMLAH_H]],NOTA[[#This Row],[HARGA/ CTN]]*IF(NOTA[[#This Row],[C]]="",0,NOTA[[#This Row],[C]]))</f>
        <v>801600</v>
      </c>
      <c r="X782" s="54">
        <f>IF(NOTA[[#This Row],[JUMLAH]]="","",NOTA[[#This Row],[JUMLAH]]*NOTA[[#This Row],[DISC 1]])</f>
        <v>136272</v>
      </c>
      <c r="Y782" s="54">
        <f>IF(NOTA[[#This Row],[JUMLAH]]="","",(NOTA[[#This Row],[JUMLAH]]-NOTA[[#This Row],[DISC 1-]])*NOTA[[#This Row],[DISC 2]])</f>
        <v>0</v>
      </c>
      <c r="Z782" s="54">
        <f>IF(NOTA[[#This Row],[JUMLAH]]="","",NOTA[[#This Row],[DISC 1-]]+NOTA[[#This Row],[DISC 2-]])</f>
        <v>136272</v>
      </c>
      <c r="AA782" s="54">
        <f>IF(NOTA[[#This Row],[JUMLAH]]="","",NOTA[[#This Row],[JUMLAH]]-NOTA[[#This Row],[DISC]])</f>
        <v>665328</v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782" s="54">
        <f>IF(OR(NOTA[[#This Row],[QTY]]="",NOTA[[#This Row],[HARGA SATUAN]]="",),"",NOTA[[#This Row],[QTY]]*NOTA[[#This Row],[HARGA SATUAN]])</f>
        <v>801600</v>
      </c>
      <c r="AF782" s="51">
        <f ca="1">IF(NOTA[ID_H]="","",INDEX(NOTA[TANGGAL],MATCH(,INDIRECT(ADDRESS(ROW(NOTA[TANGGAL]),COLUMN(NOTA[TANGGAL]))&amp;":"&amp;ADDRESS(ROW(),COLUMN(NOTA[TANGGAL]))),-1)))</f>
        <v>44954</v>
      </c>
      <c r="AG782" s="49" t="str">
        <f ca="1">IF(NOTA[[#This Row],[NAMA BARANG]]="","",INDEX(NOTA[SUPPLIER],MATCH(,INDIRECT(ADDRESS(ROW(NOTA[ID]),COLUMN(NOTA[ID]))&amp;":"&amp;ADDRESS(ROW(),COLUMN(NOTA[ID]))),-1)))</f>
        <v>KENKO SINAR INDONESIA</v>
      </c>
      <c r="AH782" s="49" t="str">
        <f ca="1">IF(NOTA[[#This Row],[ID_H]]="","",IF(NOTA[[#This Row],[FAKTUR]]="",INDIRECT(ADDRESS(ROW()-1,COLUMN())),NOTA[[#This Row],[FAKTUR]]))</f>
        <v>ARTO MORO</v>
      </c>
      <c r="AI782" s="38">
        <f ca="1">IF(NOTA[[#This Row],[ID]]="","",COUNTIF(NOTA[ID_H],NOTA[[#This Row],[ID_H]]))</f>
        <v>10</v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>lla5100</v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>lla51008016000.17</v>
      </c>
      <c r="AM782" s="193" t="e">
        <f>IF(NOTA[[#This Row],[CONCAT1]]="","",MATCH(NOTA[[#This Row],[CONCAT1]],[2]!db[NB NOTA_C],0)+1)</f>
        <v>#N/A</v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>
        <f ca="1">IF(NOTA[[#This Row],[NAMA BARANG]]="","",INDEX(NOTA[ID],MATCH(,INDIRECT(ADDRESS(ROW(NOTA[ID]),COLUMN(NOTA[ID]))&amp;":"&amp;ADDRESS(ROW(),COLUMN(NOTA[ID]))),-1)))</f>
        <v>150</v>
      </c>
      <c r="E783" s="23"/>
      <c r="F783" s="26"/>
      <c r="G783" s="26"/>
      <c r="H783" s="31"/>
      <c r="I783" s="26"/>
      <c r="J783" s="51"/>
      <c r="K783" s="26"/>
      <c r="L783" s="26" t="s">
        <v>928</v>
      </c>
      <c r="M783" s="39">
        <v>1</v>
      </c>
      <c r="N783" s="26">
        <v>144</v>
      </c>
      <c r="O783" s="26" t="s">
        <v>90</v>
      </c>
      <c r="P783" s="49">
        <v>19200</v>
      </c>
      <c r="Q783" s="52"/>
      <c r="R783" s="39" t="s">
        <v>587</v>
      </c>
      <c r="S783" s="53">
        <v>0.17</v>
      </c>
      <c r="T783" s="53"/>
      <c r="U783" s="54"/>
      <c r="V783" s="37"/>
      <c r="W783" s="54">
        <f>IF(NOTA[[#This Row],[HARGA/ CTN]]="",NOTA[[#This Row],[JUMLAH_H]],NOTA[[#This Row],[HARGA/ CTN]]*IF(NOTA[[#This Row],[C]]="",0,NOTA[[#This Row],[C]]))</f>
        <v>2764800</v>
      </c>
      <c r="X783" s="54">
        <f>IF(NOTA[[#This Row],[JUMLAH]]="","",NOTA[[#This Row],[JUMLAH]]*NOTA[[#This Row],[DISC 1]])</f>
        <v>470016.00000000006</v>
      </c>
      <c r="Y783" s="54">
        <f>IF(NOTA[[#This Row],[JUMLAH]]="","",(NOTA[[#This Row],[JUMLAH]]-NOTA[[#This Row],[DISC 1-]])*NOTA[[#This Row],[DISC 2]])</f>
        <v>0</v>
      </c>
      <c r="Z783" s="54">
        <f>IF(NOTA[[#This Row],[JUMLAH]]="","",NOTA[[#This Row],[DISC 1-]]+NOTA[[#This Row],[DISC 2-]])</f>
        <v>470016.00000000006</v>
      </c>
      <c r="AA783" s="54">
        <f>IF(NOTA[[#This Row],[JUMLAH]]="","",NOTA[[#This Row],[JUMLAH]]-NOTA[[#This Row],[DISC]])</f>
        <v>2294784</v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783" s="54">
        <f>IF(OR(NOTA[[#This Row],[QTY]]="",NOTA[[#This Row],[HARGA SATUAN]]="",),"",NOTA[[#This Row],[QTY]]*NOTA[[#This Row],[HARGA SATUAN]])</f>
        <v>2764800</v>
      </c>
      <c r="AF783" s="51">
        <f ca="1">IF(NOTA[ID_H]="","",INDEX(NOTA[TANGGAL],MATCH(,INDIRECT(ADDRESS(ROW(NOTA[TANGGAL]),COLUMN(NOTA[TANGGAL]))&amp;":"&amp;ADDRESS(ROW(),COLUMN(NOTA[TANGGAL]))),-1)))</f>
        <v>44954</v>
      </c>
      <c r="AG783" s="49" t="str">
        <f ca="1">IF(NOTA[[#This Row],[NAMA BARANG]]="","",INDEX(NOTA[SUPPLIER],MATCH(,INDIRECT(ADDRESS(ROW(NOTA[ID]),COLUMN(NOTA[ID]))&amp;":"&amp;ADDRESS(ROW(),COLUMN(NOTA[ID]))),-1)))</f>
        <v>KENKO SINAR INDONESIA</v>
      </c>
      <c r="AH783" s="49" t="str">
        <f ca="1">IF(NOTA[[#This Row],[ID_H]]="","",IF(NOTA[[#This Row],[FAKTUR]]="",INDIRECT(ADDRESS(ROW()-1,COLUMN())),NOTA[[#This Row],[FAKTUR]]))</f>
        <v>ARTO MORO</v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>bpkenkoke100htm</v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>bpkenkoke100htm27648000.17</v>
      </c>
      <c r="AM783" s="193" t="e">
        <f>IF(NOTA[[#This Row],[CONCAT1]]="","",MATCH(NOTA[[#This Row],[CONCAT1]],[2]!db[NB NOTA_C],0)+1)</f>
        <v>#N/A</v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>
        <f ca="1">IF(NOTA[[#This Row],[NAMA BARANG]]="","",INDEX(NOTA[ID],MATCH(,INDIRECT(ADDRESS(ROW(NOTA[ID]),COLUMN(NOTA[ID]))&amp;":"&amp;ADDRESS(ROW(),COLUMN(NOTA[ID]))),-1)))</f>
        <v>150</v>
      </c>
      <c r="E784" s="23"/>
      <c r="F784" s="164"/>
      <c r="G784" s="164"/>
      <c r="H784" s="165"/>
      <c r="I784" s="164"/>
      <c r="J784" s="166"/>
      <c r="K784" s="164"/>
      <c r="L784" s="26" t="s">
        <v>929</v>
      </c>
      <c r="M784" s="167">
        <v>5</v>
      </c>
      <c r="N784" s="164">
        <v>180</v>
      </c>
      <c r="O784" s="26" t="s">
        <v>90</v>
      </c>
      <c r="P784" s="168">
        <v>54300</v>
      </c>
      <c r="Q784" s="169"/>
      <c r="R784" s="39" t="s">
        <v>843</v>
      </c>
      <c r="S784" s="53">
        <v>0.17</v>
      </c>
      <c r="T784" s="53"/>
      <c r="U784" s="54"/>
      <c r="V784" s="37"/>
      <c r="W784" s="54">
        <f>IF(NOTA[[#This Row],[HARGA/ CTN]]="",NOTA[[#This Row],[JUMLAH_H]],NOTA[[#This Row],[HARGA/ CTN]]*IF(NOTA[[#This Row],[C]]="",0,NOTA[[#This Row],[C]]))</f>
        <v>9774000</v>
      </c>
      <c r="X784" s="54">
        <f>IF(NOTA[[#This Row],[JUMLAH]]="","",NOTA[[#This Row],[JUMLAH]]*NOTA[[#This Row],[DISC 1]])</f>
        <v>1661580.0000000002</v>
      </c>
      <c r="Y784" s="54">
        <f>IF(NOTA[[#This Row],[JUMLAH]]="","",(NOTA[[#This Row],[JUMLAH]]-NOTA[[#This Row],[DISC 1-]])*NOTA[[#This Row],[DISC 2]])</f>
        <v>0</v>
      </c>
      <c r="Z784" s="54">
        <f>IF(NOTA[[#This Row],[JUMLAH]]="","",NOTA[[#This Row],[DISC 1-]]+NOTA[[#This Row],[DISC 2-]])</f>
        <v>1661580.0000000002</v>
      </c>
      <c r="AA784" s="54">
        <f>IF(NOTA[[#This Row],[JUMLAH]]="","",NOTA[[#This Row],[JUMLAH]]-NOTA[[#This Row],[DISC]])</f>
        <v>8112420</v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84" s="54">
        <f>IF(OR(NOTA[[#This Row],[QTY]]="",NOTA[[#This Row],[HARGA SATUAN]]="",),"",NOTA[[#This Row],[QTY]]*NOTA[[#This Row],[HARGA SATUAN]])</f>
        <v>9774000</v>
      </c>
      <c r="AF784" s="51">
        <f ca="1">IF(NOTA[ID_H]="","",INDEX(NOTA[TANGGAL],MATCH(,INDIRECT(ADDRESS(ROW(NOTA[TANGGAL]),COLUMN(NOTA[TANGGAL]))&amp;":"&amp;ADDRESS(ROW(),COLUMN(NOTA[TANGGAL]))),-1)))</f>
        <v>44954</v>
      </c>
      <c r="AG784" s="49" t="str">
        <f ca="1">IF(NOTA[[#This Row],[NAMA BARANG]]="","",INDEX(NOTA[SUPPLIER],MATCH(,INDIRECT(ADDRESS(ROW(NOTA[ID]),COLUMN(NOTA[ID]))&amp;":"&amp;ADDRESS(ROW(),COLUMN(NOTA[ID]))),-1)))</f>
        <v>KENKO SINAR INDONESIA</v>
      </c>
      <c r="AH784" s="49" t="str">
        <f ca="1">IF(NOTA[[#This Row],[ID_H]]="","",IF(NOTA[[#This Row],[FAKTUR]]="",INDIRECT(ADDRESS(ROW()-1,COLUMN())),NOTA[[#This Row],[FAKTUR]]))</f>
        <v>ARTO MORO</v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>tipexke01</v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>tipexke0119548000.17</v>
      </c>
      <c r="AM784" s="193" t="e">
        <f>IF(NOTA[[#This Row],[CONCAT1]]="","",MATCH(NOTA[[#This Row],[CONCAT1]],[2]!db[NB NOTA_C],0)+1)</f>
        <v>#N/A</v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>
        <f ca="1">IF(NOTA[[#This Row],[NAMA BARANG]]="","",INDEX(NOTA[ID],MATCH(,INDIRECT(ADDRESS(ROW(NOTA[ID]),COLUMN(NOTA[ID]))&amp;":"&amp;ADDRESS(ROW(),COLUMN(NOTA[ID]))),-1)))</f>
        <v>150</v>
      </c>
      <c r="E785" s="23"/>
      <c r="F785" s="164"/>
      <c r="G785" s="164"/>
      <c r="H785" s="165"/>
      <c r="I785" s="164"/>
      <c r="J785" s="166"/>
      <c r="K785" s="164"/>
      <c r="L785" s="26" t="s">
        <v>930</v>
      </c>
      <c r="M785" s="167">
        <v>1</v>
      </c>
      <c r="N785" s="164">
        <v>24</v>
      </c>
      <c r="O785" s="26" t="s">
        <v>90</v>
      </c>
      <c r="P785" s="168">
        <v>124200</v>
      </c>
      <c r="Q785" s="169"/>
      <c r="R785" s="39" t="s">
        <v>911</v>
      </c>
      <c r="S785" s="53">
        <v>0.17</v>
      </c>
      <c r="T785" s="53"/>
      <c r="U785" s="54"/>
      <c r="V785" s="37"/>
      <c r="W785" s="54">
        <f>IF(NOTA[[#This Row],[HARGA/ CTN]]="",NOTA[[#This Row],[JUMLAH_H]],NOTA[[#This Row],[HARGA/ CTN]]*IF(NOTA[[#This Row],[C]]="",0,NOTA[[#This Row],[C]]))</f>
        <v>2980800</v>
      </c>
      <c r="X785" s="54">
        <f>IF(NOTA[[#This Row],[JUMLAH]]="","",NOTA[[#This Row],[JUMLAH]]*NOTA[[#This Row],[DISC 1]])</f>
        <v>506736.00000000006</v>
      </c>
      <c r="Y785" s="54">
        <f>IF(NOTA[[#This Row],[JUMLAH]]="","",(NOTA[[#This Row],[JUMLAH]]-NOTA[[#This Row],[DISC 1-]])*NOTA[[#This Row],[DISC 2]])</f>
        <v>0</v>
      </c>
      <c r="Z785" s="54">
        <f>IF(NOTA[[#This Row],[JUMLAH]]="","",NOTA[[#This Row],[DISC 1-]]+NOTA[[#This Row],[DISC 2-]])</f>
        <v>506736.00000000006</v>
      </c>
      <c r="AA785" s="54">
        <f>IF(NOTA[[#This Row],[JUMLAH]]="","",NOTA[[#This Row],[JUMLAH]]-NOTA[[#This Row],[DISC]])</f>
        <v>2474064</v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85" s="54">
        <f>IF(OR(NOTA[[#This Row],[QTY]]="",NOTA[[#This Row],[HARGA SATUAN]]="",),"",NOTA[[#This Row],[QTY]]*NOTA[[#This Row],[HARGA SATUAN]])</f>
        <v>2980800</v>
      </c>
      <c r="AF785" s="51">
        <f ca="1">IF(NOTA[ID_H]="","",INDEX(NOTA[TANGGAL],MATCH(,INDIRECT(ADDRESS(ROW(NOTA[TANGGAL]),COLUMN(NOTA[TANGGAL]))&amp;":"&amp;ADDRESS(ROW(),COLUMN(NOTA[TANGGAL]))),-1)))</f>
        <v>44954</v>
      </c>
      <c r="AG785" s="49" t="str">
        <f ca="1">IF(NOTA[[#This Row],[NAMA BARANG]]="","",INDEX(NOTA[SUPPLIER],MATCH(,INDIRECT(ADDRESS(ROW(NOTA[ID]),COLUMN(NOTA[ID]))&amp;":"&amp;ADDRESS(ROW(),COLUMN(NOTA[ID]))),-1)))</f>
        <v>KENKO SINAR INDONESIA</v>
      </c>
      <c r="AH785" s="49" t="str">
        <f ca="1">IF(NOTA[[#This Row],[ID_H]]="","",IF(NOTA[[#This Row],[FAKTUR]]="",INDIRECT(ADDRESS(ROW()-1,COLUMN())),NOTA[[#This Row],[FAKTUR]]))</f>
        <v>ARTO MORO</v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>pw12wkenkopanjang</v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>pw12wkenkopanjang29808000.17</v>
      </c>
      <c r="AM785" s="193" t="e">
        <f>IF(NOTA[[#This Row],[CONCAT1]]="","",MATCH(NOTA[[#This Row],[CONCAT1]],[2]!db[NB NOTA_C],0)+1)</f>
        <v>#N/A</v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>
        <f ca="1">IF(NOTA[[#This Row],[NAMA BARANG]]="","",INDEX(NOTA[ID],MATCH(,INDIRECT(ADDRESS(ROW(NOTA[ID]),COLUMN(NOTA[ID]))&amp;":"&amp;ADDRESS(ROW(),COLUMN(NOTA[ID]))),-1)))</f>
        <v>150</v>
      </c>
      <c r="E786" s="23"/>
      <c r="F786" s="164"/>
      <c r="G786" s="164"/>
      <c r="H786" s="165"/>
      <c r="I786" s="164"/>
      <c r="J786" s="166"/>
      <c r="K786" s="164"/>
      <c r="L786" s="26" t="s">
        <v>931</v>
      </c>
      <c r="M786" s="167">
        <v>2</v>
      </c>
      <c r="N786" s="164">
        <v>48</v>
      </c>
      <c r="O786" s="26" t="s">
        <v>104</v>
      </c>
      <c r="P786" s="168">
        <v>19250</v>
      </c>
      <c r="Q786" s="169"/>
      <c r="R786" s="39" t="s">
        <v>130</v>
      </c>
      <c r="S786" s="53">
        <v>0.17</v>
      </c>
      <c r="T786" s="53"/>
      <c r="U786" s="54"/>
      <c r="V786" s="37"/>
      <c r="W786" s="54">
        <f>IF(NOTA[[#This Row],[HARGA/ CTN]]="",NOTA[[#This Row],[JUMLAH_H]],NOTA[[#This Row],[HARGA/ CTN]]*IF(NOTA[[#This Row],[C]]="",0,NOTA[[#This Row],[C]]))</f>
        <v>924000</v>
      </c>
      <c r="X786" s="54">
        <f>IF(NOTA[[#This Row],[JUMLAH]]="","",NOTA[[#This Row],[JUMLAH]]*NOTA[[#This Row],[DISC 1]])</f>
        <v>157080</v>
      </c>
      <c r="Y786" s="54">
        <f>IF(NOTA[[#This Row],[JUMLAH]]="","",(NOTA[[#This Row],[JUMLAH]]-NOTA[[#This Row],[DISC 1-]])*NOTA[[#This Row],[DISC 2]])</f>
        <v>0</v>
      </c>
      <c r="Z786" s="54">
        <f>IF(NOTA[[#This Row],[JUMLAH]]="","",NOTA[[#This Row],[DISC 1-]]+NOTA[[#This Row],[DISC 2-]])</f>
        <v>157080</v>
      </c>
      <c r="AA786" s="54">
        <f>IF(NOTA[[#This Row],[JUMLAH]]="","",NOTA[[#This Row],[JUMLAH]]-NOTA[[#This Row],[DISC]])</f>
        <v>766920</v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6" s="54">
        <f>IF(OR(NOTA[[#This Row],[QTY]]="",NOTA[[#This Row],[HARGA SATUAN]]="",),"",NOTA[[#This Row],[QTY]]*NOTA[[#This Row],[HARGA SATUAN]])</f>
        <v>924000</v>
      </c>
      <c r="AF786" s="51">
        <f ca="1">IF(NOTA[ID_H]="","",INDEX(NOTA[TANGGAL],MATCH(,INDIRECT(ADDRESS(ROW(NOTA[TANGGAL]),COLUMN(NOTA[TANGGAL]))&amp;":"&amp;ADDRESS(ROW(),COLUMN(NOTA[TANGGAL]))),-1)))</f>
        <v>44954</v>
      </c>
      <c r="AG786" s="49" t="str">
        <f ca="1">IF(NOTA[[#This Row],[NAMA BARANG]]="","",INDEX(NOTA[SUPPLIER],MATCH(,INDIRECT(ADDRESS(ROW(NOTA[ID]),COLUMN(NOTA[ID]))&amp;":"&amp;ADDRESS(ROW(),COLUMN(NOTA[ID]))),-1)))</f>
        <v>KENKO SINAR INDONESIA</v>
      </c>
      <c r="AH786" s="49" t="str">
        <f ca="1">IF(NOTA[[#This Row],[ID_H]]="","",IF(NOTA[[#This Row],[FAKTUR]]="",INDIRECT(ADDRESS(ROW()-1,COLUMN())),NOTA[[#This Row],[FAKTUR]]))</f>
        <v>ARTO MORO</v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>dispensertd323</v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>dispensertd3234620000.17</v>
      </c>
      <c r="AM786" s="193" t="e">
        <f>IF(NOTA[[#This Row],[CONCAT1]]="","",MATCH(NOTA[[#This Row],[CONCAT1]],[2]!db[NB NOTA_C],0)+1)</f>
        <v>#N/A</v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>
        <f ca="1">IF(NOTA[[#This Row],[NAMA BARANG]]="","",INDEX(NOTA[ID],MATCH(,INDIRECT(ADDRESS(ROW(NOTA[ID]),COLUMN(NOTA[ID]))&amp;":"&amp;ADDRESS(ROW(),COLUMN(NOTA[ID]))),-1)))</f>
        <v>150</v>
      </c>
      <c r="E787" s="23"/>
      <c r="F787" s="26"/>
      <c r="G787" s="26"/>
      <c r="H787" s="31"/>
      <c r="I787" s="26"/>
      <c r="J787" s="51"/>
      <c r="K787" s="26"/>
      <c r="L787" s="26" t="s">
        <v>932</v>
      </c>
      <c r="M787" s="39">
        <v>1</v>
      </c>
      <c r="N787" s="26">
        <v>50</v>
      </c>
      <c r="O787" s="26" t="s">
        <v>274</v>
      </c>
      <c r="P787" s="49">
        <v>3100</v>
      </c>
      <c r="Q787" s="52"/>
      <c r="R787" s="39" t="s">
        <v>933</v>
      </c>
      <c r="S787" s="53">
        <v>0.17</v>
      </c>
      <c r="T787" s="53"/>
      <c r="U787" s="54"/>
      <c r="V787" s="37"/>
      <c r="W787" s="54">
        <f>IF(NOTA[[#This Row],[HARGA/ CTN]]="",NOTA[[#This Row],[JUMLAH_H]],NOTA[[#This Row],[HARGA/ CTN]]*IF(NOTA[[#This Row],[C]]="",0,NOTA[[#This Row],[C]]))</f>
        <v>155000</v>
      </c>
      <c r="X787" s="54">
        <f>IF(NOTA[[#This Row],[JUMLAH]]="","",NOTA[[#This Row],[JUMLAH]]*NOTA[[#This Row],[DISC 1]])</f>
        <v>26350.000000000004</v>
      </c>
      <c r="Y787" s="54">
        <f>IF(NOTA[[#This Row],[JUMLAH]]="","",(NOTA[[#This Row],[JUMLAH]]-NOTA[[#This Row],[DISC 1-]])*NOTA[[#This Row],[DISC 2]])</f>
        <v>0</v>
      </c>
      <c r="Z787" s="54">
        <f>IF(NOTA[[#This Row],[JUMLAH]]="","",NOTA[[#This Row],[DISC 1-]]+NOTA[[#This Row],[DISC 2-]])</f>
        <v>26350.000000000004</v>
      </c>
      <c r="AA787" s="54">
        <f>IF(NOTA[[#This Row],[JUMLAH]]="","",NOTA[[#This Row],[JUMLAH]]-NOTA[[#This Row],[DISC]])</f>
        <v>128650</v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>
        <f>IF(NOTA[[#This Row],[NAMA BARANG]]="","",IF(NOTA[[#This Row],[JUMLAH_H]]="",NOTA[[#This Row],[HARGA/ CTN]],NOTA[[#This Row],[QTY]]*NOTA[[#This Row],[HARGA SATUAN]]/IF(ISNUMBER(NOTA[[#This Row],[C]]),NOTA[[#This Row],[C]],1)))</f>
        <v>155000</v>
      </c>
      <c r="AE787" s="54">
        <f>IF(OR(NOTA[[#This Row],[QTY]]="",NOTA[[#This Row],[HARGA SATUAN]]="",),"",NOTA[[#This Row],[QTY]]*NOTA[[#This Row],[HARGA SATUAN]])</f>
        <v>155000</v>
      </c>
      <c r="AF787" s="51">
        <f ca="1">IF(NOTA[ID_H]="","",INDEX(NOTA[TANGGAL],MATCH(,INDIRECT(ADDRESS(ROW(NOTA[TANGGAL]),COLUMN(NOTA[TANGGAL]))&amp;":"&amp;ADDRESS(ROW(),COLUMN(NOTA[TANGGAL]))),-1)))</f>
        <v>44954</v>
      </c>
      <c r="AG787" s="49" t="str">
        <f ca="1">IF(NOTA[[#This Row],[NAMA BARANG]]="","",INDEX(NOTA[SUPPLIER],MATCH(,INDIRECT(ADDRESS(ROW(NOTA[ID]),COLUMN(NOTA[ID]))&amp;":"&amp;ADDRESS(ROW(),COLUMN(NOTA[ID]))),-1)))</f>
        <v>KENKO SINAR INDONESIA</v>
      </c>
      <c r="AH787" s="49" t="str">
        <f ca="1">IF(NOTA[[#This Row],[ID_H]]="","",IF(NOTA[[#This Row],[FAKTUR]]="",INDIRECT(ADDRESS(ROW()-1,COLUMN())),NOTA[[#This Row],[FAKTUR]]))</f>
        <v>ARTO MORO</v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>bclip107kenko</v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>bclip107kenko1550000.17</v>
      </c>
      <c r="AM787" s="193" t="e">
        <f>IF(NOTA[[#This Row],[CONCAT1]]="","",MATCH(NOTA[[#This Row],[CONCAT1]],[2]!db[NB NOTA_C],0)+1)</f>
        <v>#N/A</v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>
        <f ca="1">IF(NOTA[[#This Row],[NAMA BARANG]]="","",INDEX(NOTA[ID],MATCH(,INDIRECT(ADDRESS(ROW(NOTA[ID]),COLUMN(NOTA[ID]))&amp;":"&amp;ADDRESS(ROW(),COLUMN(NOTA[ID]))),-1)))</f>
        <v>150</v>
      </c>
      <c r="E788" s="23"/>
      <c r="F788" s="26"/>
      <c r="G788" s="26"/>
      <c r="H788" s="31"/>
      <c r="I788" s="26"/>
      <c r="J788" s="51"/>
      <c r="K788" s="26"/>
      <c r="L788" s="26" t="s">
        <v>934</v>
      </c>
      <c r="M788" s="39">
        <v>2</v>
      </c>
      <c r="N788" s="26">
        <v>40</v>
      </c>
      <c r="O788" s="26" t="s">
        <v>90</v>
      </c>
      <c r="P788" s="49">
        <v>147600</v>
      </c>
      <c r="Q788" s="52"/>
      <c r="R788" s="39" t="s">
        <v>910</v>
      </c>
      <c r="S788" s="53">
        <v>0.17</v>
      </c>
      <c r="T788" s="53"/>
      <c r="U788" s="54"/>
      <c r="V788" s="37"/>
      <c r="W788" s="54">
        <f>IF(NOTA[[#This Row],[HARGA/ CTN]]="",NOTA[[#This Row],[JUMLAH_H]],NOTA[[#This Row],[HARGA/ CTN]]*IF(NOTA[[#This Row],[C]]="",0,NOTA[[#This Row],[C]]))</f>
        <v>5904000</v>
      </c>
      <c r="X788" s="54">
        <f>IF(NOTA[[#This Row],[JUMLAH]]="","",NOTA[[#This Row],[JUMLAH]]*NOTA[[#This Row],[DISC 1]])</f>
        <v>1003680.0000000001</v>
      </c>
      <c r="Y788" s="54">
        <f>IF(NOTA[[#This Row],[JUMLAH]]="","",(NOTA[[#This Row],[JUMLAH]]-NOTA[[#This Row],[DISC 1-]])*NOTA[[#This Row],[DISC 2]])</f>
        <v>0</v>
      </c>
      <c r="Z788" s="54">
        <f>IF(NOTA[[#This Row],[JUMLAH]]="","",NOTA[[#This Row],[DISC 1-]]+NOTA[[#This Row],[DISC 2-]])</f>
        <v>1003680.0000000001</v>
      </c>
      <c r="AA788" s="54">
        <f>IF(NOTA[[#This Row],[JUMLAH]]="","",NOTA[[#This Row],[JUMLAH]]-NOTA[[#This Row],[DISC]])</f>
        <v>4900320</v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788" s="54">
        <f>IF(OR(NOTA[[#This Row],[QTY]]="",NOTA[[#This Row],[HARGA SATUAN]]="",),"",NOTA[[#This Row],[QTY]]*NOTA[[#This Row],[HARGA SATUAN]])</f>
        <v>5904000</v>
      </c>
      <c r="AF788" s="51">
        <f ca="1">IF(NOTA[ID_H]="","",INDEX(NOTA[TANGGAL],MATCH(,INDIRECT(ADDRESS(ROW(NOTA[TANGGAL]),COLUMN(NOTA[TANGGAL]))&amp;":"&amp;ADDRESS(ROW(),COLUMN(NOTA[TANGGAL]))),-1)))</f>
        <v>44954</v>
      </c>
      <c r="AG788" s="49" t="str">
        <f ca="1">IF(NOTA[[#This Row],[NAMA BARANG]]="","",INDEX(NOTA[SUPPLIER],MATCH(,INDIRECT(ADDRESS(ROW(NOTA[ID]),COLUMN(NOTA[ID]))&amp;":"&amp;ADDRESS(ROW(),COLUMN(NOTA[ID]))),-1)))</f>
        <v>KENKO SINAR INDONESIA</v>
      </c>
      <c r="AH788" s="49" t="str">
        <f ca="1">IF(NOTA[[#This Row],[ID_H]]="","",IF(NOTA[[#This Row],[FAKTUR]]="",INDIRECT(ADDRESS(ROW()-1,COLUMN())),NOTA[[#This Row],[FAKTUR]]))</f>
        <v>ARTO MORO</v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>cutterkenkol500</v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>cutterkenkol50029520000.17</v>
      </c>
      <c r="AM788" s="193" t="e">
        <f>IF(NOTA[[#This Row],[CONCAT1]]="","",MATCH(NOTA[[#This Row],[CONCAT1]],[2]!db[NB NOTA_C],0)+1)</f>
        <v>#N/A</v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>
        <f ca="1">IF(NOTA[[#This Row],[NAMA BARANG]]="","",INDEX(NOTA[ID],MATCH(,INDIRECT(ADDRESS(ROW(NOTA[ID]),COLUMN(NOTA[ID]))&amp;":"&amp;ADDRESS(ROW(),COLUMN(NOTA[ID]))),-1)))</f>
        <v>150</v>
      </c>
      <c r="E789" s="23"/>
      <c r="F789" s="26"/>
      <c r="G789" s="26"/>
      <c r="H789" s="31"/>
      <c r="I789" s="26"/>
      <c r="J789" s="51"/>
      <c r="K789" s="26"/>
      <c r="L789" s="26" t="s">
        <v>935</v>
      </c>
      <c r="M789" s="39">
        <v>3</v>
      </c>
      <c r="N789" s="26">
        <v>600</v>
      </c>
      <c r="O789" s="26" t="s">
        <v>104</v>
      </c>
      <c r="P789" s="49">
        <v>42000</v>
      </c>
      <c r="Q789" s="52"/>
      <c r="R789" s="39" t="s">
        <v>936</v>
      </c>
      <c r="S789" s="53">
        <v>0.17</v>
      </c>
      <c r="T789" s="53"/>
      <c r="U789" s="54"/>
      <c r="V789" s="37"/>
      <c r="W789" s="54">
        <f>IF(NOTA[[#This Row],[HARGA/ CTN]]="",NOTA[[#This Row],[JUMLAH_H]],NOTA[[#This Row],[HARGA/ CTN]]*IF(NOTA[[#This Row],[C]]="",0,NOTA[[#This Row],[C]]))</f>
        <v>25200000</v>
      </c>
      <c r="X789" s="54">
        <f>IF(NOTA[[#This Row],[JUMLAH]]="","",NOTA[[#This Row],[JUMLAH]]*NOTA[[#This Row],[DISC 1]])</f>
        <v>4284000</v>
      </c>
      <c r="Y789" s="54">
        <f>IF(NOTA[[#This Row],[JUMLAH]]="","",(NOTA[[#This Row],[JUMLAH]]-NOTA[[#This Row],[DISC 1-]])*NOTA[[#This Row],[DISC 2]])</f>
        <v>0</v>
      </c>
      <c r="Z789" s="54">
        <f>IF(NOTA[[#This Row],[JUMLAH]]="","",NOTA[[#This Row],[DISC 1-]]+NOTA[[#This Row],[DISC 2-]])</f>
        <v>4284000</v>
      </c>
      <c r="AA789" s="54">
        <f>IF(NOTA[[#This Row],[JUMLAH]]="","",NOTA[[#This Row],[JUMLAH]]-NOTA[[#This Row],[DISC]])</f>
        <v>20916000</v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>
        <f>IF(NOTA[[#This Row],[NAMA BARANG]]="","",IF(NOTA[[#This Row],[JUMLAH_H]]="",NOTA[[#This Row],[HARGA/ CTN]],NOTA[[#This Row],[QTY]]*NOTA[[#This Row],[HARGA SATUAN]]/IF(ISNUMBER(NOTA[[#This Row],[C]]),NOTA[[#This Row],[C]],1)))</f>
        <v>8400000</v>
      </c>
      <c r="AE789" s="54">
        <f>IF(OR(NOTA[[#This Row],[QTY]]="",NOTA[[#This Row],[HARGA SATUAN]]="",),"",NOTA[[#This Row],[QTY]]*NOTA[[#This Row],[HARGA SATUAN]])</f>
        <v>25200000</v>
      </c>
      <c r="AF789" s="51">
        <f ca="1">IF(NOTA[ID_H]="","",INDEX(NOTA[TANGGAL],MATCH(,INDIRECT(ADDRESS(ROW(NOTA[TANGGAL]),COLUMN(NOTA[TANGGAL]))&amp;":"&amp;ADDRESS(ROW(),COLUMN(NOTA[TANGGAL]))),-1)))</f>
        <v>44954</v>
      </c>
      <c r="AG789" s="49" t="str">
        <f ca="1">IF(NOTA[[#This Row],[NAMA BARANG]]="","",INDEX(NOTA[SUPPLIER],MATCH(,INDIRECT(ADDRESS(ROW(NOTA[ID]),COLUMN(NOTA[ID]))&amp;":"&amp;ADDRESS(ROW(),COLUMN(NOTA[ID]))),-1)))</f>
        <v>KENKO SINAR INDONESIA</v>
      </c>
      <c r="AH789" s="49" t="str">
        <f ca="1">IF(NOTA[[#This Row],[ID_H]]="","",IF(NOTA[[#This Row],[FAKTUR]]="",INDIRECT(ADDRESS(ROW()-1,COLUMN())),NOTA[[#This Row],[FAKTUR]]))</f>
        <v>ARTO MORO</v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>isistapler12102310</v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>isistapler1210231084000000.17</v>
      </c>
      <c r="AM789" s="193" t="e">
        <f>IF(NOTA[[#This Row],[CONCAT1]]="","",MATCH(NOTA[[#This Row],[CONCAT1]],[2]!db[NB NOTA_C],0)+1)</f>
        <v>#N/A</v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>
        <f ca="1">IF(NOTA[[#This Row],[NAMA BARANG]]="","",INDEX(NOTA[ID],MATCH(,INDIRECT(ADDRESS(ROW(NOTA[ID]),COLUMN(NOTA[ID]))&amp;":"&amp;ADDRESS(ROW(),COLUMN(NOTA[ID]))),-1)))</f>
        <v>150</v>
      </c>
      <c r="E790" s="23"/>
      <c r="F790" s="26"/>
      <c r="G790" s="26"/>
      <c r="H790" s="31"/>
      <c r="I790" s="26"/>
      <c r="J790" s="51"/>
      <c r="K790" s="26"/>
      <c r="L790" s="26" t="s">
        <v>937</v>
      </c>
      <c r="M790" s="39">
        <v>1</v>
      </c>
      <c r="N790" s="26">
        <v>500</v>
      </c>
      <c r="O790" s="26" t="s">
        <v>131</v>
      </c>
      <c r="P790" s="49">
        <v>1600</v>
      </c>
      <c r="Q790" s="52"/>
      <c r="R790" s="39" t="s">
        <v>481</v>
      </c>
      <c r="S790" s="53">
        <v>0.17</v>
      </c>
      <c r="T790" s="53"/>
      <c r="U790" s="54"/>
      <c r="V790" s="37"/>
      <c r="W790" s="54">
        <f>IF(NOTA[[#This Row],[HARGA/ CTN]]="",NOTA[[#This Row],[JUMLAH_H]],NOTA[[#This Row],[HARGA/ CTN]]*IF(NOTA[[#This Row],[C]]="",0,NOTA[[#This Row],[C]]))</f>
        <v>800000</v>
      </c>
      <c r="X790" s="54">
        <f>IF(NOTA[[#This Row],[JUMLAH]]="","",NOTA[[#This Row],[JUMLAH]]*NOTA[[#This Row],[DISC 1]])</f>
        <v>136000</v>
      </c>
      <c r="Y790" s="54">
        <f>IF(NOTA[[#This Row],[JUMLAH]]="","",(NOTA[[#This Row],[JUMLAH]]-NOTA[[#This Row],[DISC 1-]])*NOTA[[#This Row],[DISC 2]])</f>
        <v>0</v>
      </c>
      <c r="Z790" s="54">
        <f>IF(NOTA[[#This Row],[JUMLAH]]="","",NOTA[[#This Row],[DISC 1-]]+NOTA[[#This Row],[DISC 2-]])</f>
        <v>136000</v>
      </c>
      <c r="AA790" s="54">
        <f>IF(NOTA[[#This Row],[JUMLAH]]="","",NOTA[[#This Row],[JUMLAH]]-NOTA[[#This Row],[DISC]])</f>
        <v>664000</v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790" s="54">
        <f>IF(OR(NOTA[[#This Row],[QTY]]="",NOTA[[#This Row],[HARGA SATUAN]]="",),"",NOTA[[#This Row],[QTY]]*NOTA[[#This Row],[HARGA SATUAN]])</f>
        <v>800000</v>
      </c>
      <c r="AF790" s="51">
        <f ca="1">IF(NOTA[ID_H]="","",INDEX(NOTA[TANGGAL],MATCH(,INDIRECT(ADDRESS(ROW(NOTA[TANGGAL]),COLUMN(NOTA[TANGGAL]))&amp;":"&amp;ADDRESS(ROW(),COLUMN(NOTA[TANGGAL]))),-1)))</f>
        <v>44954</v>
      </c>
      <c r="AG790" s="49" t="str">
        <f ca="1">IF(NOTA[[#This Row],[NAMA BARANG]]="","",INDEX(NOTA[SUPPLIER],MATCH(,INDIRECT(ADDRESS(ROW(NOTA[ID]),COLUMN(NOTA[ID]))&amp;":"&amp;ADDRESS(ROW(),COLUMN(NOTA[ID]))),-1)))</f>
        <v>KENKO SINAR INDONESIA</v>
      </c>
      <c r="AH790" s="49" t="str">
        <f ca="1">IF(NOTA[[#This Row],[ID_H]]="","",IF(NOTA[[#This Row],[FAKTUR]]="",INDIRECT(ADDRESS(ROW()-1,COLUMN())),NOTA[[#This Row],[FAKTUR]]))</f>
        <v>ARTO MORO</v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>clipkenkono3</v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>clipkenkono38000000.17</v>
      </c>
      <c r="AM790" s="193" t="e">
        <f>IF(NOTA[[#This Row],[CONCAT1]]="","",MATCH(NOTA[[#This Row],[CONCAT1]],[2]!db[NB NOTA_C],0)+1)</f>
        <v>#N/A</v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>
        <f ca="1">IF(NOTA[[#This Row],[NAMA BARANG]]="","",INDEX(NOTA[ID],MATCH(,INDIRECT(ADDRESS(ROW(NOTA[ID]),COLUMN(NOTA[ID]))&amp;":"&amp;ADDRESS(ROW(),COLUMN(NOTA[ID]))),-1)))</f>
        <v>150</v>
      </c>
      <c r="E791" s="23"/>
      <c r="F791" s="26"/>
      <c r="G791" s="26"/>
      <c r="H791" s="31"/>
      <c r="I791" s="26"/>
      <c r="J791" s="51"/>
      <c r="K791" s="26"/>
      <c r="L791" s="26" t="s">
        <v>938</v>
      </c>
      <c r="M791" s="39">
        <v>2</v>
      </c>
      <c r="N791" s="26">
        <v>72</v>
      </c>
      <c r="O791" s="26" t="s">
        <v>90</v>
      </c>
      <c r="P791" s="49">
        <v>47100</v>
      </c>
      <c r="Q791" s="52"/>
      <c r="R791" s="39" t="s">
        <v>843</v>
      </c>
      <c r="S791" s="53">
        <v>0.17</v>
      </c>
      <c r="T791" s="53"/>
      <c r="U791" s="54"/>
      <c r="V791" s="37"/>
      <c r="W791" s="54">
        <f>IF(NOTA[[#This Row],[HARGA/ CTN]]="",NOTA[[#This Row],[JUMLAH_H]],NOTA[[#This Row],[HARGA/ CTN]]*IF(NOTA[[#This Row],[C]]="",0,NOTA[[#This Row],[C]]))</f>
        <v>3391200</v>
      </c>
      <c r="X791" s="54">
        <f>IF(NOTA[[#This Row],[JUMLAH]]="","",NOTA[[#This Row],[JUMLAH]]*NOTA[[#This Row],[DISC 1]])</f>
        <v>576504</v>
      </c>
      <c r="Y791" s="54">
        <f>IF(NOTA[[#This Row],[JUMLAH]]="","",(NOTA[[#This Row],[JUMLAH]]-NOTA[[#This Row],[DISC 1-]])*NOTA[[#This Row],[DISC 2]])</f>
        <v>0</v>
      </c>
      <c r="Z791" s="54">
        <f>IF(NOTA[[#This Row],[JUMLAH]]="","",NOTA[[#This Row],[DISC 1-]]+NOTA[[#This Row],[DISC 2-]])</f>
        <v>576504</v>
      </c>
      <c r="AA791" s="54">
        <f>IF(NOTA[[#This Row],[JUMLAH]]="","",NOTA[[#This Row],[JUMLAH]]-NOTA[[#This Row],[DISC]])</f>
        <v>2814696</v>
      </c>
      <c r="AB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8958218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43737182</v>
      </c>
      <c r="AD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791" s="54">
        <f>IF(OR(NOTA[[#This Row],[QTY]]="",NOTA[[#This Row],[HARGA SATUAN]]="",),"",NOTA[[#This Row],[QTY]]*NOTA[[#This Row],[HARGA SATUAN]])</f>
        <v>3391200</v>
      </c>
      <c r="AF791" s="51">
        <f ca="1">IF(NOTA[ID_H]="","",INDEX(NOTA[TANGGAL],MATCH(,INDIRECT(ADDRESS(ROW(NOTA[TANGGAL]),COLUMN(NOTA[TANGGAL]))&amp;":"&amp;ADDRESS(ROW(),COLUMN(NOTA[TANGGAL]))),-1)))</f>
        <v>44954</v>
      </c>
      <c r="AG791" s="49" t="str">
        <f ca="1">IF(NOTA[[#This Row],[NAMA BARANG]]="","",INDEX(NOTA[SUPPLIER],MATCH(,INDIRECT(ADDRESS(ROW(NOTA[ID]),COLUMN(NOTA[ID]))&amp;":"&amp;ADDRESS(ROW(),COLUMN(NOTA[ID]))),-1)))</f>
        <v>KENKO SINAR INDONESIA</v>
      </c>
      <c r="AH791" s="49" t="str">
        <f ca="1">IF(NOTA[[#This Row],[ID_H]]="","",IF(NOTA[[#This Row],[FAKTUR]]="",INDIRECT(ADDRESS(ROW()-1,COLUMN())),NOTA[[#This Row],[FAKTUR]]))</f>
        <v>ARTO MORO</v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>tipkenke108</v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>tipkenke10816956000.17</v>
      </c>
      <c r="AM791" s="193" t="e">
        <f>IF(NOTA[[#This Row],[CONCAT1]]="","",MATCH(NOTA[[#This Row],[CONCAT1]],[2]!db[NB NOTA_C],0)+1)</f>
        <v>#N/A</v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93" t="str">
        <f>IF(NOTA[[#This Row],[CONCAT1]]="","",MATCH(NOTA[[#This Row],[CONCAT1]],[2]!db[NB NOTA_C],0)+1)</f>
        <v/>
      </c>
    </row>
    <row r="793" spans="1:39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93" s="50" t="e">
        <f ca="1">IF(NOTA[[#This Row],[ID_P]]="","",MATCH(NOTA[[#This Row],[ID_P]],[1]!B_MSK[N_ID],0))</f>
        <v>#REF!</v>
      </c>
      <c r="D793" s="50">
        <f ca="1">IF(NOTA[[#This Row],[NAMA BARANG]]="","",INDEX(NOTA[ID],MATCH(,INDIRECT(ADDRESS(ROW(NOTA[ID]),COLUMN(NOTA[ID]))&amp;":"&amp;ADDRESS(ROW(),COLUMN(NOTA[ID]))),-1)))</f>
        <v>151</v>
      </c>
      <c r="E793" s="23">
        <v>44954</v>
      </c>
      <c r="F793" s="26" t="s">
        <v>25</v>
      </c>
      <c r="G793" s="26" t="s">
        <v>24</v>
      </c>
      <c r="H793" s="31" t="s">
        <v>939</v>
      </c>
      <c r="I793" s="26"/>
      <c r="J793" s="51">
        <v>44951</v>
      </c>
      <c r="K793" s="26"/>
      <c r="L793" s="26" t="s">
        <v>429</v>
      </c>
      <c r="M793" s="39">
        <v>8</v>
      </c>
      <c r="N793" s="26">
        <v>240</v>
      </c>
      <c r="O793" s="26" t="s">
        <v>274</v>
      </c>
      <c r="P793" s="49">
        <v>104400</v>
      </c>
      <c r="Q793" s="52"/>
      <c r="R793" s="39" t="s">
        <v>371</v>
      </c>
      <c r="S793" s="53">
        <v>0.125</v>
      </c>
      <c r="T793" s="53">
        <v>0.05</v>
      </c>
      <c r="U793" s="54"/>
      <c r="V793" s="37"/>
      <c r="W793" s="54">
        <f>IF(NOTA[[#This Row],[HARGA/ CTN]]="",NOTA[[#This Row],[JUMLAH_H]],NOTA[[#This Row],[HARGA/ CTN]]*IF(NOTA[[#This Row],[C]]="",0,NOTA[[#This Row],[C]]))</f>
        <v>25056000</v>
      </c>
      <c r="X793" s="54">
        <f>IF(NOTA[[#This Row],[JUMLAH]]="","",NOTA[[#This Row],[JUMLAH]]*NOTA[[#This Row],[DISC 1]])</f>
        <v>3132000</v>
      </c>
      <c r="Y793" s="54">
        <f>IF(NOTA[[#This Row],[JUMLAH]]="","",(NOTA[[#This Row],[JUMLAH]]-NOTA[[#This Row],[DISC 1-]])*NOTA[[#This Row],[DISC 2]])</f>
        <v>1096200</v>
      </c>
      <c r="Z793" s="54">
        <f>IF(NOTA[[#This Row],[JUMLAH]]="","",NOTA[[#This Row],[DISC 1-]]+NOTA[[#This Row],[DISC 2-]])</f>
        <v>4228200</v>
      </c>
      <c r="AA793" s="54">
        <f>IF(NOTA[[#This Row],[JUMLAH]]="","",NOTA[[#This Row],[JUMLAH]]-NOTA[[#This Row],[DISC]])</f>
        <v>20827800</v>
      </c>
      <c r="AB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D79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793" s="54">
        <f>IF(OR(NOTA[[#This Row],[QTY]]="",NOTA[[#This Row],[HARGA SATUAN]]="",),"",NOTA[[#This Row],[QTY]]*NOTA[[#This Row],[HARGA SATUAN]])</f>
        <v>25056000</v>
      </c>
      <c r="AF793" s="51">
        <f ca="1">IF(NOTA[ID_H]="","",INDEX(NOTA[TANGGAL],MATCH(,INDIRECT(ADDRESS(ROW(NOTA[TANGGAL]),COLUMN(NOTA[TANGGAL]))&amp;":"&amp;ADDRESS(ROW(),COLUMN(NOTA[TANGGAL]))),-1)))</f>
        <v>44954</v>
      </c>
      <c r="AG793" s="49" t="str">
        <f ca="1">IF(NOTA[[#This Row],[NAMA BARANG]]="","",INDEX(NOTA[SUPPLIER],MATCH(,INDIRECT(ADDRESS(ROW(NOTA[ID]),COLUMN(NOTA[ID]))&amp;":"&amp;ADDRESS(ROW(),COLUMN(NOTA[ID]))),-1)))</f>
        <v>ATALI MAKMUR</v>
      </c>
      <c r="AH793" s="49" t="str">
        <f ca="1">IF(NOTA[[#This Row],[ID_H]]="","",IF(NOTA[[#This Row],[FAKTUR]]="",INDIRECT(ADDRESS(ROW()-1,COLUMN())),NOTA[[#This Row],[FAKTUR]]))</f>
        <v>ARTO MORO</v>
      </c>
      <c r="AI793" s="38">
        <f ca="1">IF(NOTA[[#This Row],[ID]]="","",COUNTIF(NOTA[ID_H],NOTA[[#This Row],[ID_H]]))</f>
        <v>1</v>
      </c>
      <c r="AJ793" s="38">
        <f>IF(NOTA[[#This Row],[TGL.NOTA]]="",IF(NOTA[[#This Row],[SUPPLIER_H]]="","",AJ792),MONTH(NOTA[[#This Row],[TGL.NOTA]]))</f>
        <v>1</v>
      </c>
      <c r="AK79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793" s="193">
        <f>IF(NOTA[[#This Row],[CONCAT1]]="","",MATCH(NOTA[[#This Row],[CONCAT1]],[2]!db[NB NOTA_C],0)+1)</f>
        <v>1732</v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93" t="str">
        <f>IF(NOTA[[#This Row],[CONCAT1]]="","",MATCH(NOTA[[#This Row],[CONCAT1]],[2]!db[NB NOTA_C],0)+1)</f>
        <v/>
      </c>
    </row>
    <row r="795" spans="1:39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95" s="50" t="e">
        <f ca="1">IF(NOTA[[#This Row],[ID_P]]="","",MATCH(NOTA[[#This Row],[ID_P]],[1]!B_MSK[N_ID],0))</f>
        <v>#REF!</v>
      </c>
      <c r="D795" s="50">
        <f ca="1">IF(NOTA[[#This Row],[NAMA BARANG]]="","",INDEX(NOTA[ID],MATCH(,INDIRECT(ADDRESS(ROW(NOTA[ID]),COLUMN(NOTA[ID]))&amp;":"&amp;ADDRESS(ROW(),COLUMN(NOTA[ID]))),-1)))</f>
        <v>152</v>
      </c>
      <c r="E795" s="23"/>
      <c r="F795" s="26" t="s">
        <v>23</v>
      </c>
      <c r="G795" s="26" t="s">
        <v>24</v>
      </c>
      <c r="H795" s="31" t="s">
        <v>941</v>
      </c>
      <c r="I795" s="26" t="s">
        <v>940</v>
      </c>
      <c r="J795" s="51">
        <v>44952</v>
      </c>
      <c r="K795" s="26"/>
      <c r="L795" s="26" t="s">
        <v>406</v>
      </c>
      <c r="M795" s="39">
        <v>20</v>
      </c>
      <c r="N795" s="26"/>
      <c r="O795" s="26"/>
      <c r="P795" s="49"/>
      <c r="Q795" s="52">
        <v>1954800</v>
      </c>
      <c r="R795" s="39" t="s">
        <v>118</v>
      </c>
      <c r="S795" s="53">
        <v>0.17</v>
      </c>
      <c r="T795" s="53"/>
      <c r="U795" s="54"/>
      <c r="V795" s="37"/>
      <c r="W795" s="54">
        <f>IF(NOTA[[#This Row],[HARGA/ CTN]]="",NOTA[[#This Row],[JUMLAH_H]],NOTA[[#This Row],[HARGA/ CTN]]*IF(NOTA[[#This Row],[C]]="",0,NOTA[[#This Row],[C]]))</f>
        <v>39096000</v>
      </c>
      <c r="X795" s="54">
        <f>IF(NOTA[[#This Row],[JUMLAH]]="","",NOTA[[#This Row],[JUMLAH]]*NOTA[[#This Row],[DISC 1]])</f>
        <v>6646320.0000000009</v>
      </c>
      <c r="Y795" s="54">
        <f>IF(NOTA[[#This Row],[JUMLAH]]="","",(NOTA[[#This Row],[JUMLAH]]-NOTA[[#This Row],[DISC 1-]])*NOTA[[#This Row],[DISC 2]])</f>
        <v>0</v>
      </c>
      <c r="Z795" s="54">
        <f>IF(NOTA[[#This Row],[JUMLAH]]="","",NOTA[[#This Row],[DISC 1-]]+NOTA[[#This Row],[DISC 2-]])</f>
        <v>6646320.0000000009</v>
      </c>
      <c r="AA795" s="54">
        <f>IF(NOTA[[#This Row],[JUMLAH]]="","",NOTA[[#This Row],[JUMLAH]]-NOTA[[#This Row],[DISC]])</f>
        <v>32449680</v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95" s="54" t="str">
        <f>IF(OR(NOTA[[#This Row],[QTY]]="",NOTA[[#This Row],[HARGA SATUAN]]="",),"",NOTA[[#This Row],[QTY]]*NOTA[[#This Row],[HARGA SATUAN]])</f>
        <v/>
      </c>
      <c r="AF795" s="51">
        <f ca="1">IF(NOTA[ID_H]="","",INDEX(NOTA[TANGGAL],MATCH(,INDIRECT(ADDRESS(ROW(NOTA[TANGGAL]),COLUMN(NOTA[TANGGAL]))&amp;":"&amp;ADDRESS(ROW(),COLUMN(NOTA[TANGGAL]))),-1)))</f>
        <v>44954</v>
      </c>
      <c r="AG795" s="49" t="str">
        <f ca="1">IF(NOTA[[#This Row],[NAMA BARANG]]="","",INDEX(NOTA[SUPPLIER],MATCH(,INDIRECT(ADDRESS(ROW(NOTA[ID]),COLUMN(NOTA[ID]))&amp;":"&amp;ADDRESS(ROW(),COLUMN(NOTA[ID]))),-1)))</f>
        <v>KENKO SINAR INDONESIA</v>
      </c>
      <c r="AH795" s="49" t="str">
        <f ca="1">IF(NOTA[[#This Row],[ID_H]]="","",IF(NOTA[[#This Row],[FAKTUR]]="",INDIRECT(ADDRESS(ROW()-1,COLUMN())),NOTA[[#This Row],[FAKTUR]]))</f>
        <v>ARTO MORO</v>
      </c>
      <c r="AI795" s="38">
        <f ca="1">IF(NOTA[[#This Row],[ID]]="","",COUNTIF(NOTA[ID_H],NOTA[[#This Row],[ID_H]]))</f>
        <v>6</v>
      </c>
      <c r="AJ795" s="38">
        <f>IF(NOTA[[#This Row],[TGL.NOTA]]="",IF(NOTA[[#This Row],[SUPPLIER_H]]="","",AJ794),MONTH(NOTA[[#This Row],[TGL.NOTA]]))</f>
        <v>1</v>
      </c>
      <c r="AK79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795" s="193">
        <f>IF(NOTA[[#This Row],[CONCAT1]]="","",MATCH(NOTA[[#This Row],[CONCAT1]],[2]!db[NB NOTA_C],0)+1)</f>
        <v>1089</v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>
        <f ca="1">IF(NOTA[[#This Row],[NAMA BARANG]]="","",INDEX(NOTA[ID],MATCH(,INDIRECT(ADDRESS(ROW(NOTA[ID]),COLUMN(NOTA[ID]))&amp;":"&amp;ADDRESS(ROW(),COLUMN(NOTA[ID]))),-1)))</f>
        <v>152</v>
      </c>
      <c r="E796" s="23"/>
      <c r="F796" s="26"/>
      <c r="G796" s="26"/>
      <c r="H796" s="31"/>
      <c r="I796" s="26"/>
      <c r="J796" s="51"/>
      <c r="K796" s="26"/>
      <c r="L796" s="26" t="s">
        <v>752</v>
      </c>
      <c r="M796" s="39">
        <v>2</v>
      </c>
      <c r="N796" s="26"/>
      <c r="O796" s="26"/>
      <c r="P796" s="49"/>
      <c r="Q796" s="52">
        <v>2376000</v>
      </c>
      <c r="R796" s="39" t="s">
        <v>753</v>
      </c>
      <c r="S796" s="53">
        <v>0.17</v>
      </c>
      <c r="T796" s="53"/>
      <c r="U796" s="54"/>
      <c r="V796" s="37"/>
      <c r="W796" s="54">
        <f>IF(NOTA[[#This Row],[HARGA/ CTN]]="",NOTA[[#This Row],[JUMLAH_H]],NOTA[[#This Row],[HARGA/ CTN]]*IF(NOTA[[#This Row],[C]]="",0,NOTA[[#This Row],[C]]))</f>
        <v>4752000</v>
      </c>
      <c r="X796" s="54">
        <f>IF(NOTA[[#This Row],[JUMLAH]]="","",NOTA[[#This Row],[JUMLAH]]*NOTA[[#This Row],[DISC 1]])</f>
        <v>807840</v>
      </c>
      <c r="Y796" s="54">
        <f>IF(NOTA[[#This Row],[JUMLAH]]="","",(NOTA[[#This Row],[JUMLAH]]-NOTA[[#This Row],[DISC 1-]])*NOTA[[#This Row],[DISC 2]])</f>
        <v>0</v>
      </c>
      <c r="Z796" s="54">
        <f>IF(NOTA[[#This Row],[JUMLAH]]="","",NOTA[[#This Row],[DISC 1-]]+NOTA[[#This Row],[DISC 2-]])</f>
        <v>807840</v>
      </c>
      <c r="AA796" s="54">
        <f>IF(NOTA[[#This Row],[JUMLAH]]="","",NOTA[[#This Row],[JUMLAH]]-NOTA[[#This Row],[DISC]])</f>
        <v>3944160</v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796" s="54" t="str">
        <f>IF(OR(NOTA[[#This Row],[QTY]]="",NOTA[[#This Row],[HARGA SATUAN]]="",),"",NOTA[[#This Row],[QTY]]*NOTA[[#This Row],[HARGA SATUAN]])</f>
        <v/>
      </c>
      <c r="AF796" s="51">
        <f ca="1">IF(NOTA[ID_H]="","",INDEX(NOTA[TANGGAL],MATCH(,INDIRECT(ADDRESS(ROW(NOTA[TANGGAL]),COLUMN(NOTA[TANGGAL]))&amp;":"&amp;ADDRESS(ROW(),COLUMN(NOTA[TANGGAL]))),-1)))</f>
        <v>44954</v>
      </c>
      <c r="AG796" s="49" t="str">
        <f ca="1">IF(NOTA[[#This Row],[NAMA BARANG]]="","",INDEX(NOTA[SUPPLIER],MATCH(,INDIRECT(ADDRESS(ROW(NOTA[ID]),COLUMN(NOTA[ID]))&amp;":"&amp;ADDRESS(ROW(),COLUMN(NOTA[ID]))),-1)))</f>
        <v>KENKO SINAR INDONESIA</v>
      </c>
      <c r="AH796" s="49" t="str">
        <f ca="1">IF(NOTA[[#This Row],[ID_H]]="","",IF(NOTA[[#This Row],[FAKTUR]]="",INDIRECT(ADDRESS(ROW()-1,COLUMN())),NOTA[[#This Row],[FAKTUR]]))</f>
        <v>ARTO MORO</v>
      </c>
      <c r="AI796" s="38" t="str">
        <f ca="1">IF(NOTA[[#This Row],[ID]]="","",COUNTIF(NOTA[ID_H],NOTA[[#This Row],[ID_H]]))</f>
        <v/>
      </c>
      <c r="AJ796" s="38">
        <f ca="1">IF(NOTA[[#This Row],[TGL.NOTA]]="",IF(NOTA[[#This Row],[SUPPLIER_H]]="","",AJ795),MONTH(NOTA[[#This Row],[TGL.NOTA]]))</f>
        <v>1</v>
      </c>
      <c r="AK79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796" s="193">
        <f>IF(NOTA[[#This Row],[CONCAT1]]="","",MATCH(NOTA[[#This Row],[CONCAT1]],[2]!db[NB NOTA_C],0)+1)</f>
        <v>1178</v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>
        <f ca="1">IF(NOTA[[#This Row],[NAMA BARANG]]="","",INDEX(NOTA[ID],MATCH(,INDIRECT(ADDRESS(ROW(NOTA[ID]),COLUMN(NOTA[ID]))&amp;":"&amp;ADDRESS(ROW(),COLUMN(NOTA[ID]))),-1)))</f>
        <v>152</v>
      </c>
      <c r="E797" s="23"/>
      <c r="F797" s="26"/>
      <c r="G797" s="26"/>
      <c r="H797" s="31"/>
      <c r="I797" s="26"/>
      <c r="J797" s="51"/>
      <c r="K797" s="26"/>
      <c r="L797" s="26" t="s">
        <v>942</v>
      </c>
      <c r="M797" s="39">
        <v>3</v>
      </c>
      <c r="N797" s="26"/>
      <c r="O797" s="26"/>
      <c r="P797" s="49"/>
      <c r="Q797" s="52">
        <v>1380000</v>
      </c>
      <c r="R797" s="39" t="s">
        <v>136</v>
      </c>
      <c r="S797" s="53">
        <v>0.17</v>
      </c>
      <c r="T797" s="53"/>
      <c r="U797" s="54"/>
      <c r="V797" s="37"/>
      <c r="W797" s="54">
        <f>IF(NOTA[[#This Row],[HARGA/ CTN]]="",NOTA[[#This Row],[JUMLAH_H]],NOTA[[#This Row],[HARGA/ CTN]]*IF(NOTA[[#This Row],[C]]="",0,NOTA[[#This Row],[C]]))</f>
        <v>4140000</v>
      </c>
      <c r="X797" s="54">
        <f>IF(NOTA[[#This Row],[JUMLAH]]="","",NOTA[[#This Row],[JUMLAH]]*NOTA[[#This Row],[DISC 1]])</f>
        <v>703800</v>
      </c>
      <c r="Y797" s="54">
        <f>IF(NOTA[[#This Row],[JUMLAH]]="","",(NOTA[[#This Row],[JUMLAH]]-NOTA[[#This Row],[DISC 1-]])*NOTA[[#This Row],[DISC 2]])</f>
        <v>0</v>
      </c>
      <c r="Z797" s="54">
        <f>IF(NOTA[[#This Row],[JUMLAH]]="","",NOTA[[#This Row],[DISC 1-]]+NOTA[[#This Row],[DISC 2-]])</f>
        <v>703800</v>
      </c>
      <c r="AA797" s="54">
        <f>IF(NOTA[[#This Row],[JUMLAH]]="","",NOTA[[#This Row],[JUMLAH]]-NOTA[[#This Row],[DISC]])</f>
        <v>3436200</v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797" s="54" t="str">
        <f>IF(OR(NOTA[[#This Row],[QTY]]="",NOTA[[#This Row],[HARGA SATUAN]]="",),"",NOTA[[#This Row],[QTY]]*NOTA[[#This Row],[HARGA SATUAN]])</f>
        <v/>
      </c>
      <c r="AF797" s="51">
        <f ca="1">IF(NOTA[ID_H]="","",INDEX(NOTA[TANGGAL],MATCH(,INDIRECT(ADDRESS(ROW(NOTA[TANGGAL]),COLUMN(NOTA[TANGGAL]))&amp;":"&amp;ADDRESS(ROW(),COLUMN(NOTA[TANGGAL]))),-1)))</f>
        <v>44954</v>
      </c>
      <c r="AG797" s="49" t="str">
        <f ca="1">IF(NOTA[[#This Row],[NAMA BARANG]]="","",INDEX(NOTA[SUPPLIER],MATCH(,INDIRECT(ADDRESS(ROW(NOTA[ID]),COLUMN(NOTA[ID]))&amp;":"&amp;ADDRESS(ROW(),COLUMN(NOTA[ID]))),-1)))</f>
        <v>KENKO SINAR INDONESIA</v>
      </c>
      <c r="AH797" s="49" t="str">
        <f ca="1">IF(NOTA[[#This Row],[ID_H]]="","",IF(NOTA[[#This Row],[FAKTUR]]="",INDIRECT(ADDRESS(ROW()-1,COLUMN())),NOTA[[#This Row],[FAKTUR]]))</f>
        <v>ARTO MORO</v>
      </c>
      <c r="AI797" s="38" t="str">
        <f ca="1">IF(NOTA[[#This Row],[ID]]="","",COUNTIF(NOTA[ID_H],NOTA[[#This Row],[ID_H]]))</f>
        <v/>
      </c>
      <c r="AJ797" s="38">
        <f ca="1">IF(NOTA[[#This Row],[TGL.NOTA]]="",IF(NOTA[[#This Row],[SUPPLIER_H]]="","",AJ796),MONTH(NOTA[[#This Row],[TGL.NOTA]]))</f>
        <v>1</v>
      </c>
      <c r="AK79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797" s="193">
        <f>IF(NOTA[[#This Row],[CONCAT1]]="","",MATCH(NOTA[[#This Row],[CONCAT1]],[2]!db[NB NOTA_C],0)+1)</f>
        <v>1039</v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>
        <f ca="1">IF(NOTA[[#This Row],[NAMA BARANG]]="","",INDEX(NOTA[ID],MATCH(,INDIRECT(ADDRESS(ROW(NOTA[ID]),COLUMN(NOTA[ID]))&amp;":"&amp;ADDRESS(ROW(),COLUMN(NOTA[ID]))),-1)))</f>
        <v>152</v>
      </c>
      <c r="E798" s="23"/>
      <c r="F798" s="26"/>
      <c r="G798" s="26"/>
      <c r="H798" s="31"/>
      <c r="I798" s="26"/>
      <c r="J798" s="51"/>
      <c r="K798" s="26"/>
      <c r="L798" s="26" t="s">
        <v>943</v>
      </c>
      <c r="M798" s="39">
        <v>2</v>
      </c>
      <c r="N798" s="26"/>
      <c r="O798" s="26"/>
      <c r="P798" s="49"/>
      <c r="Q798" s="52">
        <v>1200000</v>
      </c>
      <c r="R798" s="39" t="s">
        <v>923</v>
      </c>
      <c r="S798" s="53">
        <v>0.17</v>
      </c>
      <c r="T798" s="53"/>
      <c r="U798" s="54"/>
      <c r="V798" s="37"/>
      <c r="W798" s="54">
        <f>IF(NOTA[[#This Row],[HARGA/ CTN]]="",NOTA[[#This Row],[JUMLAH_H]],NOTA[[#This Row],[HARGA/ CTN]]*IF(NOTA[[#This Row],[C]]="",0,NOTA[[#This Row],[C]]))</f>
        <v>2400000</v>
      </c>
      <c r="X798" s="54">
        <f>IF(NOTA[[#This Row],[JUMLAH]]="","",NOTA[[#This Row],[JUMLAH]]*NOTA[[#This Row],[DISC 1]])</f>
        <v>408000.00000000006</v>
      </c>
      <c r="Y798" s="54">
        <f>IF(NOTA[[#This Row],[JUMLAH]]="","",(NOTA[[#This Row],[JUMLAH]]-NOTA[[#This Row],[DISC 1-]])*NOTA[[#This Row],[DISC 2]])</f>
        <v>0</v>
      </c>
      <c r="Z798" s="54">
        <f>IF(NOTA[[#This Row],[JUMLAH]]="","",NOTA[[#This Row],[DISC 1-]]+NOTA[[#This Row],[DISC 2-]])</f>
        <v>408000.00000000006</v>
      </c>
      <c r="AA798" s="54">
        <f>IF(NOTA[[#This Row],[JUMLAH]]="","",NOTA[[#This Row],[JUMLAH]]-NOTA[[#This Row],[DISC]])</f>
        <v>1992000</v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798" s="54" t="str">
        <f>IF(OR(NOTA[[#This Row],[QTY]]="",NOTA[[#This Row],[HARGA SATUAN]]="",),"",NOTA[[#This Row],[QTY]]*NOTA[[#This Row],[HARGA SATUAN]])</f>
        <v/>
      </c>
      <c r="AF798" s="51">
        <f ca="1">IF(NOTA[ID_H]="","",INDEX(NOTA[TANGGAL],MATCH(,INDIRECT(ADDRESS(ROW(NOTA[TANGGAL]),COLUMN(NOTA[TANGGAL]))&amp;":"&amp;ADDRESS(ROW(),COLUMN(NOTA[TANGGAL]))),-1)))</f>
        <v>44954</v>
      </c>
      <c r="AG798" s="49" t="str">
        <f ca="1">IF(NOTA[[#This Row],[NAMA BARANG]]="","",INDEX(NOTA[SUPPLIER],MATCH(,INDIRECT(ADDRESS(ROW(NOTA[ID]),COLUMN(NOTA[ID]))&amp;":"&amp;ADDRESS(ROW(),COLUMN(NOTA[ID]))),-1)))</f>
        <v>KENKO SINAR INDONESIA</v>
      </c>
      <c r="AH798" s="49" t="str">
        <f ca="1">IF(NOTA[[#This Row],[ID_H]]="","",IF(NOTA[[#This Row],[FAKTUR]]="",INDIRECT(ADDRESS(ROW()-1,COLUMN())),NOTA[[#This Row],[FAKTUR]]))</f>
        <v>ARTO MORO</v>
      </c>
      <c r="AI798" s="38" t="str">
        <f ca="1">IF(NOTA[[#This Row],[ID]]="","",COUNTIF(NOTA[ID_H],NOTA[[#This Row],[ID_H]]))</f>
        <v/>
      </c>
      <c r="AJ798" s="38">
        <f ca="1">IF(NOTA[[#This Row],[TGL.NOTA]]="",IF(NOTA[[#This Row],[SUPPLIER_H]]="","",AJ797),MONTH(NOTA[[#This Row],[TGL.NOTA]]))</f>
        <v>1</v>
      </c>
      <c r="AK79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798" s="193">
        <f>IF(NOTA[[#This Row],[CONCAT1]]="","",MATCH(NOTA[[#This Row],[CONCAT1]],[2]!db[NB NOTA_C],0)+1)</f>
        <v>1040</v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>
        <f ca="1">IF(NOTA[[#This Row],[NAMA BARANG]]="","",INDEX(NOTA[ID],MATCH(,INDIRECT(ADDRESS(ROW(NOTA[ID]),COLUMN(NOTA[ID]))&amp;":"&amp;ADDRESS(ROW(),COLUMN(NOTA[ID]))),-1)))</f>
        <v>152</v>
      </c>
      <c r="E799" s="23"/>
      <c r="F799" s="26"/>
      <c r="G799" s="26"/>
      <c r="H799" s="31"/>
      <c r="I799" s="26"/>
      <c r="J799" s="51"/>
      <c r="K799" s="26"/>
      <c r="L799" s="26" t="s">
        <v>397</v>
      </c>
      <c r="M799" s="39">
        <v>6</v>
      </c>
      <c r="N799" s="26"/>
      <c r="O799" s="26"/>
      <c r="P799" s="49"/>
      <c r="Q799" s="52">
        <v>900000</v>
      </c>
      <c r="R799" s="39" t="s">
        <v>412</v>
      </c>
      <c r="S799" s="53">
        <v>0.17</v>
      </c>
      <c r="T799" s="53"/>
      <c r="U799" s="54"/>
      <c r="V799" s="37"/>
      <c r="W799" s="54">
        <f>IF(NOTA[[#This Row],[HARGA/ CTN]]="",NOTA[[#This Row],[JUMLAH_H]],NOTA[[#This Row],[HARGA/ CTN]]*IF(NOTA[[#This Row],[C]]="",0,NOTA[[#This Row],[C]]))</f>
        <v>5400000</v>
      </c>
      <c r="X799" s="54">
        <f>IF(NOTA[[#This Row],[JUMLAH]]="","",NOTA[[#This Row],[JUMLAH]]*NOTA[[#This Row],[DISC 1]])</f>
        <v>918000.00000000012</v>
      </c>
      <c r="Y799" s="54">
        <f>IF(NOTA[[#This Row],[JUMLAH]]="","",(NOTA[[#This Row],[JUMLAH]]-NOTA[[#This Row],[DISC 1-]])*NOTA[[#This Row],[DISC 2]])</f>
        <v>0</v>
      </c>
      <c r="Z799" s="54">
        <f>IF(NOTA[[#This Row],[JUMLAH]]="","",NOTA[[#This Row],[DISC 1-]]+NOTA[[#This Row],[DISC 2-]])</f>
        <v>918000.00000000012</v>
      </c>
      <c r="AA799" s="54">
        <f>IF(NOTA[[#This Row],[JUMLAH]]="","",NOTA[[#This Row],[JUMLAH]]-NOTA[[#This Row],[DISC]])</f>
        <v>4482000</v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799" s="54" t="str">
        <f>IF(OR(NOTA[[#This Row],[QTY]]="",NOTA[[#This Row],[HARGA SATUAN]]="",),"",NOTA[[#This Row],[QTY]]*NOTA[[#This Row],[HARGA SATUAN]])</f>
        <v/>
      </c>
      <c r="AF799" s="51">
        <f ca="1">IF(NOTA[ID_H]="","",INDEX(NOTA[TANGGAL],MATCH(,INDIRECT(ADDRESS(ROW(NOTA[TANGGAL]),COLUMN(NOTA[TANGGAL]))&amp;":"&amp;ADDRESS(ROW(),COLUMN(NOTA[TANGGAL]))),-1)))</f>
        <v>44954</v>
      </c>
      <c r="AG799" s="49" t="str">
        <f ca="1">IF(NOTA[[#This Row],[NAMA BARANG]]="","",INDEX(NOTA[SUPPLIER],MATCH(,INDIRECT(ADDRESS(ROW(NOTA[ID]),COLUMN(NOTA[ID]))&amp;":"&amp;ADDRESS(ROW(),COLUMN(NOTA[ID]))),-1)))</f>
        <v>KENKO SINAR INDONESIA</v>
      </c>
      <c r="AH799" s="49" t="str">
        <f ca="1">IF(NOTA[[#This Row],[ID_H]]="","",IF(NOTA[[#This Row],[FAKTUR]]="",INDIRECT(ADDRESS(ROW()-1,COLUMN())),NOTA[[#This Row],[FAKTUR]]))</f>
        <v>ARTO MORO</v>
      </c>
      <c r="AI799" s="38" t="str">
        <f ca="1">IF(NOTA[[#This Row],[ID]]="","",COUNTIF(NOTA[ID_H],NOTA[[#This Row],[ID_H]]))</f>
        <v/>
      </c>
      <c r="AJ799" s="38">
        <f ca="1">IF(NOTA[[#This Row],[TGL.NOTA]]="",IF(NOTA[[#This Row],[SUPPLIER_H]]="","",AJ798),MONTH(NOTA[[#This Row],[TGL.NOTA]]))</f>
        <v>1</v>
      </c>
      <c r="AK79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799" s="193">
        <f>IF(NOTA[[#This Row],[CONCAT1]]="","",MATCH(NOTA[[#This Row],[CONCAT1]],[2]!db[NB NOTA_C],0)+1)</f>
        <v>1041</v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>
        <f ca="1">IF(NOTA[[#This Row],[NAMA BARANG]]="","",INDEX(NOTA[ID],MATCH(,INDIRECT(ADDRESS(ROW(NOTA[ID]),COLUMN(NOTA[ID]))&amp;":"&amp;ADDRESS(ROW(),COLUMN(NOTA[ID]))),-1)))</f>
        <v>152</v>
      </c>
      <c r="E800" s="23"/>
      <c r="F800" s="26"/>
      <c r="G800" s="26"/>
      <c r="H800" s="31"/>
      <c r="I800" s="26" t="s">
        <v>945</v>
      </c>
      <c r="J800" s="51"/>
      <c r="K800" s="26"/>
      <c r="L800" s="26" t="s">
        <v>944</v>
      </c>
      <c r="M800" s="39">
        <v>1</v>
      </c>
      <c r="N800" s="26"/>
      <c r="O800" s="26"/>
      <c r="P800" s="49"/>
      <c r="Q800" s="52">
        <v>2592000</v>
      </c>
      <c r="R800" s="39" t="s">
        <v>121</v>
      </c>
      <c r="S800" s="53">
        <v>0.17</v>
      </c>
      <c r="T800" s="53"/>
      <c r="U800" s="54"/>
      <c r="V800" s="37"/>
      <c r="W800" s="54">
        <f>IF(NOTA[[#This Row],[HARGA/ CTN]]="",NOTA[[#This Row],[JUMLAH_H]],NOTA[[#This Row],[HARGA/ CTN]]*IF(NOTA[[#This Row],[C]]="",0,NOTA[[#This Row],[C]]))</f>
        <v>2592000</v>
      </c>
      <c r="X800" s="54">
        <f>IF(NOTA[[#This Row],[JUMLAH]]="","",NOTA[[#This Row],[JUMLAH]]*NOTA[[#This Row],[DISC 1]])</f>
        <v>440640.00000000006</v>
      </c>
      <c r="Y800" s="54">
        <f>IF(NOTA[[#This Row],[JUMLAH]]="","",(NOTA[[#This Row],[JUMLAH]]-NOTA[[#This Row],[DISC 1-]])*NOTA[[#This Row],[DISC 2]])</f>
        <v>0</v>
      </c>
      <c r="Z800" s="54">
        <f>IF(NOTA[[#This Row],[JUMLAH]]="","",NOTA[[#This Row],[DISC 1-]]+NOTA[[#This Row],[DISC 2-]])</f>
        <v>440640.00000000006</v>
      </c>
      <c r="AA800" s="54">
        <f>IF(NOTA[[#This Row],[JUMLAH]]="","",NOTA[[#This Row],[JUMLAH]]-NOTA[[#This Row],[DISC]])</f>
        <v>2151360</v>
      </c>
      <c r="AB8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C8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D8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800" s="54" t="str">
        <f>IF(OR(NOTA[[#This Row],[QTY]]="",NOTA[[#This Row],[HARGA SATUAN]]="",),"",NOTA[[#This Row],[QTY]]*NOTA[[#This Row],[HARGA SATUAN]])</f>
        <v/>
      </c>
      <c r="AF800" s="51">
        <f ca="1">IF(NOTA[ID_H]="","",INDEX(NOTA[TANGGAL],MATCH(,INDIRECT(ADDRESS(ROW(NOTA[TANGGAL]),COLUMN(NOTA[TANGGAL]))&amp;":"&amp;ADDRESS(ROW(),COLUMN(NOTA[TANGGAL]))),-1)))</f>
        <v>44954</v>
      </c>
      <c r="AG800" s="49" t="str">
        <f ca="1">IF(NOTA[[#This Row],[NAMA BARANG]]="","",INDEX(NOTA[SUPPLIER],MATCH(,INDIRECT(ADDRESS(ROW(NOTA[ID]),COLUMN(NOTA[ID]))&amp;":"&amp;ADDRESS(ROW(),COLUMN(NOTA[ID]))),-1)))</f>
        <v>KENKO SINAR INDONESIA</v>
      </c>
      <c r="AH800" s="49" t="str">
        <f ca="1">IF(NOTA[[#This Row],[ID_H]]="","",IF(NOTA[[#This Row],[FAKTUR]]="",INDIRECT(ADDRESS(ROW()-1,COLUMN())),NOTA[[#This Row],[FAKTUR]]))</f>
        <v>ARTO MORO</v>
      </c>
      <c r="AI800" s="38" t="str">
        <f ca="1">IF(NOTA[[#This Row],[ID]]="","",COUNTIF(NOTA[ID_H],NOTA[[#This Row],[ID_H]]))</f>
        <v/>
      </c>
      <c r="AJ800" s="38">
        <f ca="1">IF(NOTA[[#This Row],[TGL.NOTA]]="",IF(NOTA[[#This Row],[SUPPLIER_H]]="","",AJ799),MONTH(NOTA[[#This Row],[TGL.NOTA]]))</f>
        <v>1</v>
      </c>
      <c r="AK80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>kenkocorrectiontapect831*8mx5mm25920000.17</v>
      </c>
      <c r="AM800" s="193">
        <f>IF(NOTA[[#This Row],[CONCAT1]]="","",MATCH(NOTA[[#This Row],[CONCAT1]],[2]!db[NB NOTA_C],0)+1)</f>
        <v>1109</v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93" t="str">
        <f>IF(NOTA[[#This Row],[CONCAT1]]="","",MATCH(NOTA[[#This Row],[CONCAT1]],[2]!db[NB NOTA_C],0)+1)</f>
        <v/>
      </c>
    </row>
    <row r="802" spans="1:39" ht="20.100000000000001" customHeight="1" x14ac:dyDescent="0.25">
      <c r="A802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802" s="50" t="e">
        <f ca="1">IF(NOTA[[#This Row],[ID_P]]="","",MATCH(NOTA[[#This Row],[ID_P]],[1]!B_MSK[N_ID],0))</f>
        <v>#REF!</v>
      </c>
      <c r="D802" s="50">
        <f ca="1">IF(NOTA[[#This Row],[NAMA BARANG]]="","",INDEX(NOTA[ID],MATCH(,INDIRECT(ADDRESS(ROW(NOTA[ID]),COLUMN(NOTA[ID]))&amp;":"&amp;ADDRESS(ROW(),COLUMN(NOTA[ID]))),-1)))</f>
        <v>153</v>
      </c>
      <c r="E802" s="23"/>
      <c r="F802" s="26" t="s">
        <v>23</v>
      </c>
      <c r="G802" s="26" t="s">
        <v>24</v>
      </c>
      <c r="H802" s="31" t="s">
        <v>946</v>
      </c>
      <c r="I802" s="26" t="s">
        <v>947</v>
      </c>
      <c r="J802" s="51">
        <v>44952</v>
      </c>
      <c r="K802" s="26"/>
      <c r="L802" s="26" t="s">
        <v>948</v>
      </c>
      <c r="M802" s="39">
        <v>1</v>
      </c>
      <c r="N802" s="26"/>
      <c r="O802" s="26"/>
      <c r="P802" s="49"/>
      <c r="Q802" s="52">
        <v>801600</v>
      </c>
      <c r="R802" s="39" t="s">
        <v>703</v>
      </c>
      <c r="S802" s="53">
        <v>0.17</v>
      </c>
      <c r="T802" s="53"/>
      <c r="U802" s="54"/>
      <c r="V802" s="37"/>
      <c r="W802" s="54">
        <f>IF(NOTA[[#This Row],[HARGA/ CTN]]="",NOTA[[#This Row],[JUMLAH_H]],NOTA[[#This Row],[HARGA/ CTN]]*IF(NOTA[[#This Row],[C]]="",0,NOTA[[#This Row],[C]]))</f>
        <v>801600</v>
      </c>
      <c r="X802" s="54">
        <f>IF(NOTA[[#This Row],[JUMLAH]]="","",NOTA[[#This Row],[JUMLAH]]*NOTA[[#This Row],[DISC 1]])</f>
        <v>136272</v>
      </c>
      <c r="Y802" s="54">
        <f>IF(NOTA[[#This Row],[JUMLAH]]="","",(NOTA[[#This Row],[JUMLAH]]-NOTA[[#This Row],[DISC 1-]])*NOTA[[#This Row],[DISC 2]])</f>
        <v>0</v>
      </c>
      <c r="Z802" s="54">
        <f>IF(NOTA[[#This Row],[JUMLAH]]="","",NOTA[[#This Row],[DISC 1-]]+NOTA[[#This Row],[DISC 2-]])</f>
        <v>136272</v>
      </c>
      <c r="AA802" s="54">
        <f>IF(NOTA[[#This Row],[JUMLAH]]="","",NOTA[[#This Row],[JUMLAH]]-NOTA[[#This Row],[DISC]])</f>
        <v>665328</v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802" s="54" t="str">
        <f>IF(OR(NOTA[[#This Row],[QTY]]="",NOTA[[#This Row],[HARGA SATUAN]]="",),"",NOTA[[#This Row],[QTY]]*NOTA[[#This Row],[HARGA SATUAN]])</f>
        <v/>
      </c>
      <c r="AF802" s="51">
        <f ca="1">IF(NOTA[ID_H]="","",INDEX(NOTA[TANGGAL],MATCH(,INDIRECT(ADDRESS(ROW(NOTA[TANGGAL]),COLUMN(NOTA[TANGGAL]))&amp;":"&amp;ADDRESS(ROW(),COLUMN(NOTA[TANGGAL]))),-1)))</f>
        <v>44954</v>
      </c>
      <c r="AG802" s="49" t="str">
        <f ca="1">IF(NOTA[[#This Row],[NAMA BARANG]]="","",INDEX(NOTA[SUPPLIER],MATCH(,INDIRECT(ADDRESS(ROW(NOTA[ID]),COLUMN(NOTA[ID]))&amp;":"&amp;ADDRESS(ROW(),COLUMN(NOTA[ID]))),-1)))</f>
        <v>KENKO SINAR INDONESIA</v>
      </c>
      <c r="AH802" s="49" t="str">
        <f ca="1">IF(NOTA[[#This Row],[ID_H]]="","",IF(NOTA[[#This Row],[FAKTUR]]="",INDIRECT(ADDRESS(ROW()-1,COLUMN())),NOTA[[#This Row],[FAKTUR]]))</f>
        <v>ARTO MORO</v>
      </c>
      <c r="AI802" s="38">
        <f ca="1">IF(NOTA[[#This Row],[ID]]="","",COUNTIF(NOTA[ID_H],NOTA[[#This Row],[ID_H]]))</f>
        <v>10</v>
      </c>
      <c r="AJ802" s="38">
        <f>IF(NOTA[[#This Row],[TGL.NOTA]]="",IF(NOTA[[#This Row],[SUPPLIER_H]]="","",AJ801),MONTH(NOTA[[#This Row],[TGL.NOTA]]))</f>
        <v>1</v>
      </c>
      <c r="AK8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>kenkolooseleafa5ll10020708016000.17</v>
      </c>
      <c r="AM802" s="193">
        <f>IF(NOTA[[#This Row],[CONCAT1]]="","",MATCH(NOTA[[#This Row],[CONCAT1]],[2]!db[NB NOTA_C],0)+1)</f>
        <v>1202</v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>
        <f ca="1">IF(NOTA[[#This Row],[NAMA BARANG]]="","",INDEX(NOTA[ID],MATCH(,INDIRECT(ADDRESS(ROW(NOTA[ID]),COLUMN(NOTA[ID]))&amp;":"&amp;ADDRESS(ROW(),COLUMN(NOTA[ID]))),-1)))</f>
        <v>153</v>
      </c>
      <c r="E803" s="23"/>
      <c r="F803" s="26"/>
      <c r="G803" s="26"/>
      <c r="H803" s="31"/>
      <c r="I803" s="26"/>
      <c r="J803" s="51"/>
      <c r="K803" s="26"/>
      <c r="L803" s="26" t="s">
        <v>951</v>
      </c>
      <c r="M803" s="39">
        <v>1</v>
      </c>
      <c r="N803" s="26"/>
      <c r="O803" s="26"/>
      <c r="P803" s="49"/>
      <c r="Q803" s="52">
        <v>2764800</v>
      </c>
      <c r="R803" s="39" t="s">
        <v>117</v>
      </c>
      <c r="S803" s="53">
        <v>0.17</v>
      </c>
      <c r="T803" s="53"/>
      <c r="U803" s="54"/>
      <c r="V803" s="37"/>
      <c r="W803" s="54">
        <f>IF(NOTA[[#This Row],[HARGA/ CTN]]="",NOTA[[#This Row],[JUMLAH_H]],NOTA[[#This Row],[HARGA/ CTN]]*IF(NOTA[[#This Row],[C]]="",0,NOTA[[#This Row],[C]]))</f>
        <v>2764800</v>
      </c>
      <c r="X803" s="54">
        <f>IF(NOTA[[#This Row],[JUMLAH]]="","",NOTA[[#This Row],[JUMLAH]]*NOTA[[#This Row],[DISC 1]])</f>
        <v>470016.00000000006</v>
      </c>
      <c r="Y803" s="54">
        <f>IF(NOTA[[#This Row],[JUMLAH]]="","",(NOTA[[#This Row],[JUMLAH]]-NOTA[[#This Row],[DISC 1-]])*NOTA[[#This Row],[DISC 2]])</f>
        <v>0</v>
      </c>
      <c r="Z803" s="54">
        <f>IF(NOTA[[#This Row],[JUMLAH]]="","",NOTA[[#This Row],[DISC 1-]]+NOTA[[#This Row],[DISC 2-]])</f>
        <v>470016.00000000006</v>
      </c>
      <c r="AA803" s="54">
        <f>IF(NOTA[[#This Row],[JUMLAH]]="","",NOTA[[#This Row],[JUMLAH]]-NOTA[[#This Row],[DISC]])</f>
        <v>2294784</v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803" s="54" t="str">
        <f>IF(OR(NOTA[[#This Row],[QTY]]="",NOTA[[#This Row],[HARGA SATUAN]]="",),"",NOTA[[#This Row],[QTY]]*NOTA[[#This Row],[HARGA SATUAN]])</f>
        <v/>
      </c>
      <c r="AF803" s="51">
        <f ca="1">IF(NOTA[ID_H]="","",INDEX(NOTA[TANGGAL],MATCH(,INDIRECT(ADDRESS(ROW(NOTA[TANGGAL]),COLUMN(NOTA[TANGGAL]))&amp;":"&amp;ADDRESS(ROW(),COLUMN(NOTA[TANGGAL]))),-1)))</f>
        <v>44954</v>
      </c>
      <c r="AG803" s="49" t="str">
        <f ca="1">IF(NOTA[[#This Row],[NAMA BARANG]]="","",INDEX(NOTA[SUPPLIER],MATCH(,INDIRECT(ADDRESS(ROW(NOTA[ID]),COLUMN(NOTA[ID]))&amp;":"&amp;ADDRESS(ROW(),COLUMN(NOTA[ID]))),-1)))</f>
        <v>KENKO SINAR INDONESIA</v>
      </c>
      <c r="AH803" s="49" t="str">
        <f ca="1">IF(NOTA[[#This Row],[ID_H]]="","",IF(NOTA[[#This Row],[FAKTUR]]="",INDIRECT(ADDRESS(ROW()-1,COLUMN())),NOTA[[#This Row],[FAKTUR]]))</f>
        <v>ARTO MORO</v>
      </c>
      <c r="AI803" s="38" t="str">
        <f ca="1">IF(NOTA[[#This Row],[ID]]="","",COUNTIF(NOTA[ID_H],NOTA[[#This Row],[ID_H]]))</f>
        <v/>
      </c>
      <c r="AJ803" s="38">
        <f ca="1">IF(NOTA[[#This Row],[TGL.NOTA]]="",IF(NOTA[[#This Row],[SUPPLIER_H]]="","",AJ802),MONTH(NOTA[[#This Row],[TGL.NOTA]]))</f>
        <v>1</v>
      </c>
      <c r="AK80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803" s="193">
        <f>IF(NOTA[[#This Row],[CONCAT1]]="","",MATCH(NOTA[[#This Row],[CONCAT1]],[2]!db[NB NOTA_C],0)+1)</f>
        <v>1156</v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>
        <f ca="1">IF(NOTA[[#This Row],[NAMA BARANG]]="","",INDEX(NOTA[ID],MATCH(,INDIRECT(ADDRESS(ROW(NOTA[ID]),COLUMN(NOTA[ID]))&amp;":"&amp;ADDRESS(ROW(),COLUMN(NOTA[ID]))),-1)))</f>
        <v>153</v>
      </c>
      <c r="E804" s="23"/>
      <c r="F804" s="26"/>
      <c r="G804" s="26"/>
      <c r="H804" s="31"/>
      <c r="I804" s="26"/>
      <c r="J804" s="51"/>
      <c r="K804" s="26"/>
      <c r="L804" s="26" t="s">
        <v>406</v>
      </c>
      <c r="M804" s="39">
        <v>5</v>
      </c>
      <c r="N804" s="26"/>
      <c r="O804" s="26"/>
      <c r="P804" s="49"/>
      <c r="Q804" s="52">
        <v>1954800</v>
      </c>
      <c r="R804" s="39" t="s">
        <v>118</v>
      </c>
      <c r="S804" s="53">
        <v>0.17</v>
      </c>
      <c r="T804" s="53"/>
      <c r="U804" s="54"/>
      <c r="V804" s="37"/>
      <c r="W804" s="54">
        <f>IF(NOTA[[#This Row],[HARGA/ CTN]]="",NOTA[[#This Row],[JUMLAH_H]],NOTA[[#This Row],[HARGA/ CTN]]*IF(NOTA[[#This Row],[C]]="",0,NOTA[[#This Row],[C]]))</f>
        <v>9774000</v>
      </c>
      <c r="X804" s="54">
        <f>IF(NOTA[[#This Row],[JUMLAH]]="","",NOTA[[#This Row],[JUMLAH]]*NOTA[[#This Row],[DISC 1]])</f>
        <v>1661580.0000000002</v>
      </c>
      <c r="Y804" s="54">
        <f>IF(NOTA[[#This Row],[JUMLAH]]="","",(NOTA[[#This Row],[JUMLAH]]-NOTA[[#This Row],[DISC 1-]])*NOTA[[#This Row],[DISC 2]])</f>
        <v>0</v>
      </c>
      <c r="Z804" s="54">
        <f>IF(NOTA[[#This Row],[JUMLAH]]="","",NOTA[[#This Row],[DISC 1-]]+NOTA[[#This Row],[DISC 2-]])</f>
        <v>1661580.0000000002</v>
      </c>
      <c r="AA804" s="54">
        <f>IF(NOTA[[#This Row],[JUMLAH]]="","",NOTA[[#This Row],[JUMLAH]]-NOTA[[#This Row],[DISC]])</f>
        <v>8112420</v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04" s="54" t="str">
        <f>IF(OR(NOTA[[#This Row],[QTY]]="",NOTA[[#This Row],[HARGA SATUAN]]="",),"",NOTA[[#This Row],[QTY]]*NOTA[[#This Row],[HARGA SATUAN]])</f>
        <v/>
      </c>
      <c r="AF804" s="51">
        <f ca="1">IF(NOTA[ID_H]="","",INDEX(NOTA[TANGGAL],MATCH(,INDIRECT(ADDRESS(ROW(NOTA[TANGGAL]),COLUMN(NOTA[TANGGAL]))&amp;":"&amp;ADDRESS(ROW(),COLUMN(NOTA[TANGGAL]))),-1)))</f>
        <v>44954</v>
      </c>
      <c r="AG804" s="49" t="str">
        <f ca="1">IF(NOTA[[#This Row],[NAMA BARANG]]="","",INDEX(NOTA[SUPPLIER],MATCH(,INDIRECT(ADDRESS(ROW(NOTA[ID]),COLUMN(NOTA[ID]))&amp;":"&amp;ADDRESS(ROW(),COLUMN(NOTA[ID]))),-1)))</f>
        <v>KENKO SINAR INDONESIA</v>
      </c>
      <c r="AH804" s="49" t="str">
        <f ca="1">IF(NOTA[[#This Row],[ID_H]]="","",IF(NOTA[[#This Row],[FAKTUR]]="",INDIRECT(ADDRESS(ROW()-1,COLUMN())),NOTA[[#This Row],[FAKTUR]]))</f>
        <v>ARTO MORO</v>
      </c>
      <c r="AI804" s="38" t="str">
        <f ca="1">IF(NOTA[[#This Row],[ID]]="","",COUNTIF(NOTA[ID_H],NOTA[[#This Row],[ID_H]]))</f>
        <v/>
      </c>
      <c r="AJ804" s="38">
        <f ca="1">IF(NOTA[[#This Row],[TGL.NOTA]]="",IF(NOTA[[#This Row],[SUPPLIER_H]]="","",AJ803),MONTH(NOTA[[#This Row],[TGL.NOTA]]))</f>
        <v>1</v>
      </c>
      <c r="AK80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04" s="193">
        <f>IF(NOTA[[#This Row],[CONCAT1]]="","",MATCH(NOTA[[#This Row],[CONCAT1]],[2]!db[NB NOTA_C],0)+1)</f>
        <v>1089</v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>
        <f ca="1">IF(NOTA[[#This Row],[NAMA BARANG]]="","",INDEX(NOTA[ID],MATCH(,INDIRECT(ADDRESS(ROW(NOTA[ID]),COLUMN(NOTA[ID]))&amp;":"&amp;ADDRESS(ROW(),COLUMN(NOTA[ID]))),-1)))</f>
        <v>153</v>
      </c>
      <c r="E805" s="23"/>
      <c r="F805" s="26"/>
      <c r="G805" s="26"/>
      <c r="H805" s="31"/>
      <c r="I805" s="26"/>
      <c r="J805" s="51"/>
      <c r="K805" s="26"/>
      <c r="L805" s="26" t="s">
        <v>134</v>
      </c>
      <c r="M805" s="39">
        <v>1</v>
      </c>
      <c r="N805" s="26"/>
      <c r="O805" s="26"/>
      <c r="P805" s="49"/>
      <c r="Q805" s="52">
        <v>2980800</v>
      </c>
      <c r="R805" s="39" t="s">
        <v>124</v>
      </c>
      <c r="S805" s="53">
        <v>0.17</v>
      </c>
      <c r="T805" s="53"/>
      <c r="U805" s="54"/>
      <c r="V805" s="37"/>
      <c r="W805" s="54">
        <f>IF(NOTA[[#This Row],[HARGA/ CTN]]="",NOTA[[#This Row],[JUMLAH_H]],NOTA[[#This Row],[HARGA/ CTN]]*IF(NOTA[[#This Row],[C]]="",0,NOTA[[#This Row],[C]]))</f>
        <v>2980800</v>
      </c>
      <c r="X805" s="54">
        <f>IF(NOTA[[#This Row],[JUMLAH]]="","",NOTA[[#This Row],[JUMLAH]]*NOTA[[#This Row],[DISC 1]])</f>
        <v>506736.00000000006</v>
      </c>
      <c r="Y805" s="54">
        <f>IF(NOTA[[#This Row],[JUMLAH]]="","",(NOTA[[#This Row],[JUMLAH]]-NOTA[[#This Row],[DISC 1-]])*NOTA[[#This Row],[DISC 2]])</f>
        <v>0</v>
      </c>
      <c r="Z805" s="54">
        <f>IF(NOTA[[#This Row],[JUMLAH]]="","",NOTA[[#This Row],[DISC 1-]]+NOTA[[#This Row],[DISC 2-]])</f>
        <v>506736.00000000006</v>
      </c>
      <c r="AA805" s="54">
        <f>IF(NOTA[[#This Row],[JUMLAH]]="","",NOTA[[#This Row],[JUMLAH]]-NOTA[[#This Row],[DISC]])</f>
        <v>2474064</v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805" s="54" t="str">
        <f>IF(OR(NOTA[[#This Row],[QTY]]="",NOTA[[#This Row],[HARGA SATUAN]]="",),"",NOTA[[#This Row],[QTY]]*NOTA[[#This Row],[HARGA SATUAN]])</f>
        <v/>
      </c>
      <c r="AF805" s="51">
        <f ca="1">IF(NOTA[ID_H]="","",INDEX(NOTA[TANGGAL],MATCH(,INDIRECT(ADDRESS(ROW(NOTA[TANGGAL]),COLUMN(NOTA[TANGGAL]))&amp;":"&amp;ADDRESS(ROW(),COLUMN(NOTA[TANGGAL]))),-1)))</f>
        <v>44954</v>
      </c>
      <c r="AG805" s="49" t="str">
        <f ca="1">IF(NOTA[[#This Row],[NAMA BARANG]]="","",INDEX(NOTA[SUPPLIER],MATCH(,INDIRECT(ADDRESS(ROW(NOTA[ID]),COLUMN(NOTA[ID]))&amp;":"&amp;ADDRESS(ROW(),COLUMN(NOTA[ID]))),-1)))</f>
        <v>KENKO SINAR INDONESIA</v>
      </c>
      <c r="AH805" s="49" t="str">
        <f ca="1">IF(NOTA[[#This Row],[ID_H]]="","",IF(NOTA[[#This Row],[FAKTUR]]="",INDIRECT(ADDRESS(ROW()-1,COLUMN())),NOTA[[#This Row],[FAKTUR]]))</f>
        <v>ARTO MORO</v>
      </c>
      <c r="AI805" s="38" t="str">
        <f ca="1">IF(NOTA[[#This Row],[ID]]="","",COUNTIF(NOTA[ID_H],NOTA[[#This Row],[ID_H]]))</f>
        <v/>
      </c>
      <c r="AJ805" s="38">
        <f ca="1">IF(NOTA[[#This Row],[TGL.NOTA]]="",IF(NOTA[[#This Row],[SUPPLIER_H]]="","",AJ804),MONTH(NOTA[[#This Row],[TGL.NOTA]]))</f>
        <v>1</v>
      </c>
      <c r="AK80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805" s="193">
        <f>IF(NOTA[[#This Row],[CONCAT1]]="","",MATCH(NOTA[[#This Row],[CONCAT1]],[2]!db[NB NOTA_C],0)+1)</f>
        <v>1022</v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>
        <f ca="1">IF(NOTA[[#This Row],[NAMA BARANG]]="","",INDEX(NOTA[ID],MATCH(,INDIRECT(ADDRESS(ROW(NOTA[ID]),COLUMN(NOTA[ID]))&amp;":"&amp;ADDRESS(ROW(),COLUMN(NOTA[ID]))),-1)))</f>
        <v>153</v>
      </c>
      <c r="E806" s="23"/>
      <c r="F806" s="26"/>
      <c r="G806" s="26"/>
      <c r="H806" s="31"/>
      <c r="I806" s="26"/>
      <c r="J806" s="51"/>
      <c r="K806" s="26"/>
      <c r="L806" s="26" t="s">
        <v>135</v>
      </c>
      <c r="M806" s="39">
        <v>2</v>
      </c>
      <c r="N806" s="26"/>
      <c r="O806" s="26"/>
      <c r="P806" s="49"/>
      <c r="Q806" s="52">
        <v>462000</v>
      </c>
      <c r="R806" s="39" t="s">
        <v>130</v>
      </c>
      <c r="S806" s="53">
        <v>0.17</v>
      </c>
      <c r="T806" s="53"/>
      <c r="U806" s="54"/>
      <c r="V806" s="37"/>
      <c r="W806" s="54">
        <f>IF(NOTA[[#This Row],[HARGA/ CTN]]="",NOTA[[#This Row],[JUMLAH_H]],NOTA[[#This Row],[HARGA/ CTN]]*IF(NOTA[[#This Row],[C]]="",0,NOTA[[#This Row],[C]]))</f>
        <v>924000</v>
      </c>
      <c r="X806" s="54">
        <f>IF(NOTA[[#This Row],[JUMLAH]]="","",NOTA[[#This Row],[JUMLAH]]*NOTA[[#This Row],[DISC 1]])</f>
        <v>157080</v>
      </c>
      <c r="Y806" s="54">
        <f>IF(NOTA[[#This Row],[JUMLAH]]="","",(NOTA[[#This Row],[JUMLAH]]-NOTA[[#This Row],[DISC 1-]])*NOTA[[#This Row],[DISC 2]])</f>
        <v>0</v>
      </c>
      <c r="Z806" s="54">
        <f>IF(NOTA[[#This Row],[JUMLAH]]="","",NOTA[[#This Row],[DISC 1-]]+NOTA[[#This Row],[DISC 2-]])</f>
        <v>157080</v>
      </c>
      <c r="AA806" s="54">
        <f>IF(NOTA[[#This Row],[JUMLAH]]="","",NOTA[[#This Row],[JUMLAH]]-NOTA[[#This Row],[DISC]])</f>
        <v>766920</v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806" s="54" t="str">
        <f>IF(OR(NOTA[[#This Row],[QTY]]="",NOTA[[#This Row],[HARGA SATUAN]]="",),"",NOTA[[#This Row],[QTY]]*NOTA[[#This Row],[HARGA SATUAN]])</f>
        <v/>
      </c>
      <c r="AF806" s="51">
        <f ca="1">IF(NOTA[ID_H]="","",INDEX(NOTA[TANGGAL],MATCH(,INDIRECT(ADDRESS(ROW(NOTA[TANGGAL]),COLUMN(NOTA[TANGGAL]))&amp;":"&amp;ADDRESS(ROW(),COLUMN(NOTA[TANGGAL]))),-1)))</f>
        <v>44954</v>
      </c>
      <c r="AG806" s="49" t="str">
        <f ca="1">IF(NOTA[[#This Row],[NAMA BARANG]]="","",INDEX(NOTA[SUPPLIER],MATCH(,INDIRECT(ADDRESS(ROW(NOTA[ID]),COLUMN(NOTA[ID]))&amp;":"&amp;ADDRESS(ROW(),COLUMN(NOTA[ID]))),-1)))</f>
        <v>KENKO SINAR INDONESIA</v>
      </c>
      <c r="AH806" s="49" t="str">
        <f ca="1">IF(NOTA[[#This Row],[ID_H]]="","",IF(NOTA[[#This Row],[FAKTUR]]="",INDIRECT(ADDRESS(ROW()-1,COLUMN())),NOTA[[#This Row],[FAKTUR]]))</f>
        <v>ARTO MORO</v>
      </c>
      <c r="AI806" s="38" t="str">
        <f ca="1">IF(NOTA[[#This Row],[ID]]="","",COUNTIF(NOTA[ID_H],NOTA[[#This Row],[ID_H]]))</f>
        <v/>
      </c>
      <c r="AJ806" s="38">
        <f ca="1">IF(NOTA[[#This Row],[TGL.NOTA]]="",IF(NOTA[[#This Row],[SUPPLIER_H]]="","",AJ805),MONTH(NOTA[[#This Row],[TGL.NOTA]]))</f>
        <v>1</v>
      </c>
      <c r="AK80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806" s="193">
        <f>IF(NOTA[[#This Row],[CONCAT1]]="","",MATCH(NOTA[[#This Row],[CONCAT1]],[2]!db[NB NOTA_C],0)+1)</f>
        <v>1296</v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>
        <f ca="1">IF(NOTA[[#This Row],[NAMA BARANG]]="","",INDEX(NOTA[ID],MATCH(,INDIRECT(ADDRESS(ROW(NOTA[ID]),COLUMN(NOTA[ID]))&amp;":"&amp;ADDRESS(ROW(),COLUMN(NOTA[ID]))),-1)))</f>
        <v>153</v>
      </c>
      <c r="E807" s="23"/>
      <c r="F807" s="26"/>
      <c r="G807" s="26"/>
      <c r="H807" s="31"/>
      <c r="I807" s="26"/>
      <c r="J807" s="51"/>
      <c r="K807" s="26"/>
      <c r="L807" s="26" t="s">
        <v>949</v>
      </c>
      <c r="M807" s="39">
        <v>1</v>
      </c>
      <c r="N807" s="26"/>
      <c r="O807" s="26"/>
      <c r="P807" s="49"/>
      <c r="Q807" s="52">
        <v>1590000</v>
      </c>
      <c r="R807" s="39" t="s">
        <v>933</v>
      </c>
      <c r="S807" s="53">
        <v>0.17</v>
      </c>
      <c r="T807" s="53"/>
      <c r="U807" s="54"/>
      <c r="V807" s="37"/>
      <c r="W807" s="54">
        <f>IF(NOTA[[#This Row],[HARGA/ CTN]]="",NOTA[[#This Row],[JUMLAH_H]],NOTA[[#This Row],[HARGA/ CTN]]*IF(NOTA[[#This Row],[C]]="",0,NOTA[[#This Row],[C]]))</f>
        <v>1590000</v>
      </c>
      <c r="X807" s="54">
        <f>IF(NOTA[[#This Row],[JUMLAH]]="","",NOTA[[#This Row],[JUMLAH]]*NOTA[[#This Row],[DISC 1]])</f>
        <v>270300</v>
      </c>
      <c r="Y807" s="54">
        <f>IF(NOTA[[#This Row],[JUMLAH]]="","",(NOTA[[#This Row],[JUMLAH]]-NOTA[[#This Row],[DISC 1-]])*NOTA[[#This Row],[DISC 2]])</f>
        <v>0</v>
      </c>
      <c r="Z807" s="54">
        <f>IF(NOTA[[#This Row],[JUMLAH]]="","",NOTA[[#This Row],[DISC 1-]]+NOTA[[#This Row],[DISC 2-]])</f>
        <v>270300</v>
      </c>
      <c r="AA807" s="54">
        <f>IF(NOTA[[#This Row],[JUMLAH]]="","",NOTA[[#This Row],[JUMLAH]]-NOTA[[#This Row],[DISC]])</f>
        <v>1319700</v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807" s="54" t="str">
        <f>IF(OR(NOTA[[#This Row],[QTY]]="",NOTA[[#This Row],[HARGA SATUAN]]="",),"",NOTA[[#This Row],[QTY]]*NOTA[[#This Row],[HARGA SATUAN]])</f>
        <v/>
      </c>
      <c r="AF807" s="51">
        <f ca="1">IF(NOTA[ID_H]="","",INDEX(NOTA[TANGGAL],MATCH(,INDIRECT(ADDRESS(ROW(NOTA[TANGGAL]),COLUMN(NOTA[TANGGAL]))&amp;":"&amp;ADDRESS(ROW(),COLUMN(NOTA[TANGGAL]))),-1)))</f>
        <v>44954</v>
      </c>
      <c r="AG807" s="49" t="str">
        <f ca="1">IF(NOTA[[#This Row],[NAMA BARANG]]="","",INDEX(NOTA[SUPPLIER],MATCH(,INDIRECT(ADDRESS(ROW(NOTA[ID]),COLUMN(NOTA[ID]))&amp;":"&amp;ADDRESS(ROW(),COLUMN(NOTA[ID]))),-1)))</f>
        <v>KENKO SINAR INDONESIA</v>
      </c>
      <c r="AH807" s="49" t="str">
        <f ca="1">IF(NOTA[[#This Row],[ID_H]]="","",IF(NOTA[[#This Row],[FAKTUR]]="",INDIRECT(ADDRESS(ROW()-1,COLUMN())),NOTA[[#This Row],[FAKTUR]]))</f>
        <v>ARTO MORO</v>
      </c>
      <c r="AI807" s="38" t="str">
        <f ca="1">IF(NOTA[[#This Row],[ID]]="","",COUNTIF(NOTA[ID_H],NOTA[[#This Row],[ID_H]]))</f>
        <v/>
      </c>
      <c r="AJ807" s="38">
        <f ca="1">IF(NOTA[[#This Row],[TGL.NOTA]]="",IF(NOTA[[#This Row],[SUPPLIER_H]]="","",AJ806),MONTH(NOTA[[#This Row],[TGL.NOTA]]))</f>
        <v>1</v>
      </c>
      <c r="AK80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807" s="193">
        <f>IF(NOTA[[#This Row],[CONCAT1]]="","",MATCH(NOTA[[#This Row],[CONCAT1]],[2]!db[NB NOTA_C],0)+1)</f>
        <v>1037</v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>
        <f ca="1">IF(NOTA[[#This Row],[NAMA BARANG]]="","",INDEX(NOTA[ID],MATCH(,INDIRECT(ADDRESS(ROW(NOTA[ID]),COLUMN(NOTA[ID]))&amp;":"&amp;ADDRESS(ROW(),COLUMN(NOTA[ID]))),-1)))</f>
        <v>153</v>
      </c>
      <c r="E808" s="23"/>
      <c r="F808" s="26"/>
      <c r="G808" s="26"/>
      <c r="H808" s="31"/>
      <c r="I808" s="26"/>
      <c r="J808" s="51"/>
      <c r="K808" s="26"/>
      <c r="L808" s="26" t="s">
        <v>952</v>
      </c>
      <c r="M808" s="39">
        <v>2</v>
      </c>
      <c r="N808" s="26"/>
      <c r="O808" s="26"/>
      <c r="P808" s="49"/>
      <c r="Q808" s="52">
        <v>2952000</v>
      </c>
      <c r="R808" s="39" t="s">
        <v>119</v>
      </c>
      <c r="S808" s="53">
        <v>0.17</v>
      </c>
      <c r="T808" s="53"/>
      <c r="U808" s="54"/>
      <c r="V808" s="37"/>
      <c r="W808" s="54">
        <f>IF(NOTA[[#This Row],[HARGA/ CTN]]="",NOTA[[#This Row],[JUMLAH_H]],NOTA[[#This Row],[HARGA/ CTN]]*IF(NOTA[[#This Row],[C]]="",0,NOTA[[#This Row],[C]]))</f>
        <v>5904000</v>
      </c>
      <c r="X808" s="54">
        <f>IF(NOTA[[#This Row],[JUMLAH]]="","",NOTA[[#This Row],[JUMLAH]]*NOTA[[#This Row],[DISC 1]])</f>
        <v>1003680.0000000001</v>
      </c>
      <c r="Y808" s="54">
        <f>IF(NOTA[[#This Row],[JUMLAH]]="","",(NOTA[[#This Row],[JUMLAH]]-NOTA[[#This Row],[DISC 1-]])*NOTA[[#This Row],[DISC 2]])</f>
        <v>0</v>
      </c>
      <c r="Z808" s="54">
        <f>IF(NOTA[[#This Row],[JUMLAH]]="","",NOTA[[#This Row],[DISC 1-]]+NOTA[[#This Row],[DISC 2-]])</f>
        <v>1003680.0000000001</v>
      </c>
      <c r="AA808" s="54">
        <f>IF(NOTA[[#This Row],[JUMLAH]]="","",NOTA[[#This Row],[JUMLAH]]-NOTA[[#This Row],[DISC]])</f>
        <v>4900320</v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808" s="54" t="str">
        <f>IF(OR(NOTA[[#This Row],[QTY]]="",NOTA[[#This Row],[HARGA SATUAN]]="",),"",NOTA[[#This Row],[QTY]]*NOTA[[#This Row],[HARGA SATUAN]])</f>
        <v/>
      </c>
      <c r="AF808" s="51">
        <f ca="1">IF(NOTA[ID_H]="","",INDEX(NOTA[TANGGAL],MATCH(,INDIRECT(ADDRESS(ROW(NOTA[TANGGAL]),COLUMN(NOTA[TANGGAL]))&amp;":"&amp;ADDRESS(ROW(),COLUMN(NOTA[TANGGAL]))),-1)))</f>
        <v>44954</v>
      </c>
      <c r="AG808" s="49" t="str">
        <f ca="1">IF(NOTA[[#This Row],[NAMA BARANG]]="","",INDEX(NOTA[SUPPLIER],MATCH(,INDIRECT(ADDRESS(ROW(NOTA[ID]),COLUMN(NOTA[ID]))&amp;":"&amp;ADDRESS(ROW(),COLUMN(NOTA[ID]))),-1)))</f>
        <v>KENKO SINAR INDONESIA</v>
      </c>
      <c r="AH808" s="49" t="str">
        <f ca="1">IF(NOTA[[#This Row],[ID_H]]="","",IF(NOTA[[#This Row],[FAKTUR]]="",INDIRECT(ADDRESS(ROW()-1,COLUMN())),NOTA[[#This Row],[FAKTUR]]))</f>
        <v>ARTO MORO</v>
      </c>
      <c r="AI808" s="38" t="str">
        <f ca="1">IF(NOTA[[#This Row],[ID]]="","",COUNTIF(NOTA[ID_H],NOTA[[#This Row],[ID_H]]))</f>
        <v/>
      </c>
      <c r="AJ808" s="38">
        <f ca="1">IF(NOTA[[#This Row],[TGL.NOTA]]="",IF(NOTA[[#This Row],[SUPPLIER_H]]="","",AJ807),MONTH(NOTA[[#This Row],[TGL.NOTA]]))</f>
        <v>1</v>
      </c>
      <c r="AK80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808" s="193">
        <f>IF(NOTA[[#This Row],[CONCAT1]]="","",MATCH(NOTA[[#This Row],[CONCAT1]],[2]!db[NB NOTA_C],0)+1)</f>
        <v>1123</v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>
        <f ca="1">IF(NOTA[[#This Row],[NAMA BARANG]]="","",INDEX(NOTA[ID],MATCH(,INDIRECT(ADDRESS(ROW(NOTA[ID]),COLUMN(NOTA[ID]))&amp;":"&amp;ADDRESS(ROW(),COLUMN(NOTA[ID]))),-1)))</f>
        <v>153</v>
      </c>
      <c r="E809" s="23"/>
      <c r="F809" s="26"/>
      <c r="G809" s="26"/>
      <c r="H809" s="31"/>
      <c r="I809" s="26"/>
      <c r="J809" s="51"/>
      <c r="K809" s="26"/>
      <c r="L809" s="26" t="s">
        <v>398</v>
      </c>
      <c r="M809" s="39">
        <v>3</v>
      </c>
      <c r="N809" s="26"/>
      <c r="O809" s="26"/>
      <c r="P809" s="49"/>
      <c r="Q809" s="52">
        <v>840000</v>
      </c>
      <c r="R809" s="39" t="s">
        <v>950</v>
      </c>
      <c r="S809" s="53">
        <v>0.17</v>
      </c>
      <c r="T809" s="53"/>
      <c r="U809" s="54"/>
      <c r="V809" s="37"/>
      <c r="W809" s="54">
        <f>IF(NOTA[[#This Row],[HARGA/ CTN]]="",NOTA[[#This Row],[JUMLAH_H]],NOTA[[#This Row],[HARGA/ CTN]]*IF(NOTA[[#This Row],[C]]="",0,NOTA[[#This Row],[C]]))</f>
        <v>2520000</v>
      </c>
      <c r="X809" s="54">
        <f>IF(NOTA[[#This Row],[JUMLAH]]="","",NOTA[[#This Row],[JUMLAH]]*NOTA[[#This Row],[DISC 1]])</f>
        <v>428400.00000000006</v>
      </c>
      <c r="Y809" s="54">
        <f>IF(NOTA[[#This Row],[JUMLAH]]="","",(NOTA[[#This Row],[JUMLAH]]-NOTA[[#This Row],[DISC 1-]])*NOTA[[#This Row],[DISC 2]])</f>
        <v>0</v>
      </c>
      <c r="Z809" s="54">
        <f>IF(NOTA[[#This Row],[JUMLAH]]="","",NOTA[[#This Row],[DISC 1-]]+NOTA[[#This Row],[DISC 2-]])</f>
        <v>428400.00000000006</v>
      </c>
      <c r="AA809" s="54">
        <f>IF(NOTA[[#This Row],[JUMLAH]]="","",NOTA[[#This Row],[JUMLAH]]-NOTA[[#This Row],[DISC]])</f>
        <v>2091600</v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09" s="54" t="str">
        <f>IF(OR(NOTA[[#This Row],[QTY]]="",NOTA[[#This Row],[HARGA SATUAN]]="",),"",NOTA[[#This Row],[QTY]]*NOTA[[#This Row],[HARGA SATUAN]])</f>
        <v/>
      </c>
      <c r="AF809" s="51">
        <f ca="1">IF(NOTA[ID_H]="","",INDEX(NOTA[TANGGAL],MATCH(,INDIRECT(ADDRESS(ROW(NOTA[TANGGAL]),COLUMN(NOTA[TANGGAL]))&amp;":"&amp;ADDRESS(ROW(),COLUMN(NOTA[TANGGAL]))),-1)))</f>
        <v>44954</v>
      </c>
      <c r="AG809" s="49" t="str">
        <f ca="1">IF(NOTA[[#This Row],[NAMA BARANG]]="","",INDEX(NOTA[SUPPLIER],MATCH(,INDIRECT(ADDRESS(ROW(NOTA[ID]),COLUMN(NOTA[ID]))&amp;":"&amp;ADDRESS(ROW(),COLUMN(NOTA[ID]))),-1)))</f>
        <v>KENKO SINAR INDONESIA</v>
      </c>
      <c r="AH809" s="49" t="str">
        <f ca="1">IF(NOTA[[#This Row],[ID_H]]="","",IF(NOTA[[#This Row],[FAKTUR]]="",INDIRECT(ADDRESS(ROW()-1,COLUMN())),NOTA[[#This Row],[FAKTUR]]))</f>
        <v>ARTO MORO</v>
      </c>
      <c r="AI809" s="38" t="str">
        <f ca="1">IF(NOTA[[#This Row],[ID]]="","",COUNTIF(NOTA[ID_H],NOTA[[#This Row],[ID_H]]))</f>
        <v/>
      </c>
      <c r="AJ809" s="38">
        <f ca="1">IF(NOTA[[#This Row],[TGL.NOTA]]="",IF(NOTA[[#This Row],[SUPPLIER_H]]="","",AJ808),MONTH(NOTA[[#This Row],[TGL.NOTA]]))</f>
        <v>1</v>
      </c>
      <c r="AK80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809" s="193">
        <f>IF(NOTA[[#This Row],[CONCAT1]]="","",MATCH(NOTA[[#This Row],[CONCAT1]],[2]!db[NB NOTA_C],0)+1)</f>
        <v>1291</v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>
        <f ca="1">IF(NOTA[[#This Row],[NAMA BARANG]]="","",INDEX(NOTA[ID],MATCH(,INDIRECT(ADDRESS(ROW(NOTA[ID]),COLUMN(NOTA[ID]))&amp;":"&amp;ADDRESS(ROW(),COLUMN(NOTA[ID]))),-1)))</f>
        <v>153</v>
      </c>
      <c r="E810" s="23"/>
      <c r="F810" s="26"/>
      <c r="G810" s="26"/>
      <c r="H810" s="31"/>
      <c r="I810" s="26"/>
      <c r="J810" s="51"/>
      <c r="K810" s="26"/>
      <c r="L810" s="26" t="s">
        <v>338</v>
      </c>
      <c r="M810" s="39">
        <v>1</v>
      </c>
      <c r="N810" s="26"/>
      <c r="O810" s="26"/>
      <c r="P810" s="49"/>
      <c r="Q810" s="52">
        <v>800000</v>
      </c>
      <c r="R810" s="39" t="s">
        <v>737</v>
      </c>
      <c r="S810" s="53">
        <v>0.17</v>
      </c>
      <c r="T810" s="53"/>
      <c r="U810" s="54"/>
      <c r="V810" s="37"/>
      <c r="W810" s="54">
        <f>IF(NOTA[[#This Row],[HARGA/ CTN]]="",NOTA[[#This Row],[JUMLAH_H]],NOTA[[#This Row],[HARGA/ CTN]]*IF(NOTA[[#This Row],[C]]="",0,NOTA[[#This Row],[C]]))</f>
        <v>800000</v>
      </c>
      <c r="X810" s="54">
        <f>IF(NOTA[[#This Row],[JUMLAH]]="","",NOTA[[#This Row],[JUMLAH]]*NOTA[[#This Row],[DISC 1]])</f>
        <v>136000</v>
      </c>
      <c r="Y810" s="54">
        <f>IF(NOTA[[#This Row],[JUMLAH]]="","",(NOTA[[#This Row],[JUMLAH]]-NOTA[[#This Row],[DISC 1-]])*NOTA[[#This Row],[DISC 2]])</f>
        <v>0</v>
      </c>
      <c r="Z810" s="54">
        <f>IF(NOTA[[#This Row],[JUMLAH]]="","",NOTA[[#This Row],[DISC 1-]]+NOTA[[#This Row],[DISC 2-]])</f>
        <v>136000</v>
      </c>
      <c r="AA810" s="54">
        <f>IF(NOTA[[#This Row],[JUMLAH]]="","",NOTA[[#This Row],[JUMLAH]]-NOTA[[#This Row],[DISC]])</f>
        <v>664000</v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810" s="54" t="str">
        <f>IF(OR(NOTA[[#This Row],[QTY]]="",NOTA[[#This Row],[HARGA SATUAN]]="",),"",NOTA[[#This Row],[QTY]]*NOTA[[#This Row],[HARGA SATUAN]])</f>
        <v/>
      </c>
      <c r="AF810" s="51">
        <f ca="1">IF(NOTA[ID_H]="","",INDEX(NOTA[TANGGAL],MATCH(,INDIRECT(ADDRESS(ROW(NOTA[TANGGAL]),COLUMN(NOTA[TANGGAL]))&amp;":"&amp;ADDRESS(ROW(),COLUMN(NOTA[TANGGAL]))),-1)))</f>
        <v>44954</v>
      </c>
      <c r="AG810" s="49" t="str">
        <f ca="1">IF(NOTA[[#This Row],[NAMA BARANG]]="","",INDEX(NOTA[SUPPLIER],MATCH(,INDIRECT(ADDRESS(ROW(NOTA[ID]),COLUMN(NOTA[ID]))&amp;":"&amp;ADDRESS(ROW(),COLUMN(NOTA[ID]))),-1)))</f>
        <v>KENKO SINAR INDONESIA</v>
      </c>
      <c r="AH810" s="49" t="str">
        <f ca="1">IF(NOTA[[#This Row],[ID_H]]="","",IF(NOTA[[#This Row],[FAKTUR]]="",INDIRECT(ADDRESS(ROW()-1,COLUMN())),NOTA[[#This Row],[FAKTUR]]))</f>
        <v>ARTO MORO</v>
      </c>
      <c r="AI810" s="38" t="str">
        <f ca="1">IF(NOTA[[#This Row],[ID]]="","",COUNTIF(NOTA[ID_H],NOTA[[#This Row],[ID_H]]))</f>
        <v/>
      </c>
      <c r="AJ810" s="38">
        <f ca="1">IF(NOTA[[#This Row],[TGL.NOTA]]="",IF(NOTA[[#This Row],[SUPPLIER_H]]="","",AJ809),MONTH(NOTA[[#This Row],[TGL.NOTA]]))</f>
        <v>1</v>
      </c>
      <c r="AK81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810" s="193">
        <f>IF(NOTA[[#This Row],[CONCAT1]]="","",MATCH(NOTA[[#This Row],[CONCAT1]],[2]!db[NB NOTA_C],0)+1)</f>
        <v>1301</v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>
        <f ca="1">IF(NOTA[[#This Row],[NAMA BARANG]]="","",INDEX(NOTA[ID],MATCH(,INDIRECT(ADDRESS(ROW(NOTA[ID]),COLUMN(NOTA[ID]))&amp;":"&amp;ADDRESS(ROW(),COLUMN(NOTA[ID]))),-1)))</f>
        <v>153</v>
      </c>
      <c r="E811" s="23"/>
      <c r="F811" s="26"/>
      <c r="G811" s="26"/>
      <c r="H811" s="31"/>
      <c r="I811" s="26"/>
      <c r="J811" s="51"/>
      <c r="K811" s="26"/>
      <c r="L811" s="26" t="s">
        <v>138</v>
      </c>
      <c r="M811" s="39">
        <v>2</v>
      </c>
      <c r="N811" s="26"/>
      <c r="O811" s="26"/>
      <c r="P811" s="49"/>
      <c r="Q811" s="52">
        <v>1695600</v>
      </c>
      <c r="R811" s="39" t="s">
        <v>118</v>
      </c>
      <c r="S811" s="53">
        <v>0.17</v>
      </c>
      <c r="T811" s="53"/>
      <c r="U811" s="54"/>
      <c r="V811" s="37"/>
      <c r="W811" s="54">
        <f>IF(NOTA[[#This Row],[HARGA/ CTN]]="",NOTA[[#This Row],[JUMLAH_H]],NOTA[[#This Row],[HARGA/ CTN]]*IF(NOTA[[#This Row],[C]]="",0,NOTA[[#This Row],[C]]))</f>
        <v>3391200</v>
      </c>
      <c r="X811" s="54">
        <f>IF(NOTA[[#This Row],[JUMLAH]]="","",NOTA[[#This Row],[JUMLAH]]*NOTA[[#This Row],[DISC 1]])</f>
        <v>576504</v>
      </c>
      <c r="Y811" s="54">
        <f>IF(NOTA[[#This Row],[JUMLAH]]="","",(NOTA[[#This Row],[JUMLAH]]-NOTA[[#This Row],[DISC 1-]])*NOTA[[#This Row],[DISC 2]])</f>
        <v>0</v>
      </c>
      <c r="Z811" s="54">
        <f>IF(NOTA[[#This Row],[JUMLAH]]="","",NOTA[[#This Row],[DISC 1-]]+NOTA[[#This Row],[DISC 2-]])</f>
        <v>576504</v>
      </c>
      <c r="AA811" s="54">
        <f>IF(NOTA[[#This Row],[JUMLAH]]="","",NOTA[[#This Row],[JUMLAH]]-NOTA[[#This Row],[DISC]])</f>
        <v>2814696</v>
      </c>
      <c r="AB8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C8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D81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811" s="54" t="str">
        <f>IF(OR(NOTA[[#This Row],[QTY]]="",NOTA[[#This Row],[HARGA SATUAN]]="",),"",NOTA[[#This Row],[QTY]]*NOTA[[#This Row],[HARGA SATUAN]])</f>
        <v/>
      </c>
      <c r="AF811" s="51">
        <f ca="1">IF(NOTA[ID_H]="","",INDEX(NOTA[TANGGAL],MATCH(,INDIRECT(ADDRESS(ROW(NOTA[TANGGAL]),COLUMN(NOTA[TANGGAL]))&amp;":"&amp;ADDRESS(ROW(),COLUMN(NOTA[TANGGAL]))),-1)))</f>
        <v>44954</v>
      </c>
      <c r="AG811" s="49" t="str">
        <f ca="1">IF(NOTA[[#This Row],[NAMA BARANG]]="","",INDEX(NOTA[SUPPLIER],MATCH(,INDIRECT(ADDRESS(ROW(NOTA[ID]),COLUMN(NOTA[ID]))&amp;":"&amp;ADDRESS(ROW(),COLUMN(NOTA[ID]))),-1)))</f>
        <v>KENKO SINAR INDONESIA</v>
      </c>
      <c r="AH811" s="49" t="str">
        <f ca="1">IF(NOTA[[#This Row],[ID_H]]="","",IF(NOTA[[#This Row],[FAKTUR]]="",INDIRECT(ADDRESS(ROW()-1,COLUMN())),NOTA[[#This Row],[FAKTUR]]))</f>
        <v>ARTO MORO</v>
      </c>
      <c r="AI811" s="38" t="str">
        <f ca="1">IF(NOTA[[#This Row],[ID]]="","",COUNTIF(NOTA[ID_H],NOTA[[#This Row],[ID_H]]))</f>
        <v/>
      </c>
      <c r="AJ811" s="38">
        <f ca="1">IF(NOTA[[#This Row],[TGL.NOTA]]="",IF(NOTA[[#This Row],[SUPPLIER_H]]="","",AJ810),MONTH(NOTA[[#This Row],[TGL.NOTA]]))</f>
        <v>1</v>
      </c>
      <c r="AK81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811" s="193">
        <f>IF(NOTA[[#This Row],[CONCAT1]]="","",MATCH(NOTA[[#This Row],[CONCAT1]],[2]!db[NB NOTA_C],0)+1)</f>
        <v>1091</v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93" t="str">
        <f>IF(NOTA[[#This Row],[CONCAT1]]="","",MATCH(NOTA[[#This Row],[CONCAT1]],[2]!db[NB NOTA_C],0)+1)</f>
        <v/>
      </c>
    </row>
    <row r="813" spans="1:39" ht="20.100000000000001" customHeight="1" x14ac:dyDescent="0.25">
      <c r="A813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813" s="50" t="e">
        <f ca="1">IF(NOTA[[#This Row],[ID_P]]="","",MATCH(NOTA[[#This Row],[ID_P]],[1]!B_MSK[N_ID],0))</f>
        <v>#REF!</v>
      </c>
      <c r="D813" s="50">
        <f ca="1">IF(NOTA[[#This Row],[NAMA BARANG]]="","",INDEX(NOTA[ID],MATCH(,INDIRECT(ADDRESS(ROW(NOTA[ID]),COLUMN(NOTA[ID]))&amp;":"&amp;ADDRESS(ROW(),COLUMN(NOTA[ID]))),-1)))</f>
        <v>154</v>
      </c>
      <c r="E813" s="23"/>
      <c r="F813" s="26" t="s">
        <v>215</v>
      </c>
      <c r="G813" s="26" t="s">
        <v>87</v>
      </c>
      <c r="H813" s="31" t="s">
        <v>953</v>
      </c>
      <c r="I813" s="26"/>
      <c r="J813" s="51">
        <v>44954</v>
      </c>
      <c r="K813" s="26"/>
      <c r="L813" s="26" t="s">
        <v>954</v>
      </c>
      <c r="M813" s="39"/>
      <c r="N813" s="26">
        <v>120</v>
      </c>
      <c r="O813" s="26" t="s">
        <v>104</v>
      </c>
      <c r="P813" s="49">
        <v>13000</v>
      </c>
      <c r="Q813" s="52"/>
      <c r="R813" s="39"/>
      <c r="S813" s="53"/>
      <c r="T813" s="53"/>
      <c r="U813" s="54">
        <v>78000</v>
      </c>
      <c r="V813" s="37" t="s">
        <v>955</v>
      </c>
      <c r="W813" s="54">
        <f>IF(NOTA[[#This Row],[HARGA/ CTN]]="",NOTA[[#This Row],[JUMLAH_H]],NOTA[[#This Row],[HARGA/ CTN]]*IF(NOTA[[#This Row],[C]]="",0,NOTA[[#This Row],[C]]))</f>
        <v>1560000</v>
      </c>
      <c r="X813" s="54">
        <f>IF(NOTA[[#This Row],[JUMLAH]]="","",NOTA[[#This Row],[JUMLAH]]*NOTA[[#This Row],[DISC 1]])</f>
        <v>0</v>
      </c>
      <c r="Y813" s="54">
        <f>IF(NOTA[[#This Row],[JUMLAH]]="","",(NOTA[[#This Row],[JUMLAH]]-NOTA[[#This Row],[DISC 1-]])*NOTA[[#This Row],[DISC 2]])</f>
        <v>0</v>
      </c>
      <c r="Z813" s="54">
        <f>IF(NOTA[[#This Row],[JUMLAH]]="","",NOTA[[#This Row],[DISC 1-]]+NOTA[[#This Row],[DISC 2-]])</f>
        <v>0</v>
      </c>
      <c r="AA813" s="54">
        <f>IF(NOTA[[#This Row],[JUMLAH]]="","",NOTA[[#This Row],[JUMLAH]]-NOTA[[#This Row],[DISC]])</f>
        <v>1560000</v>
      </c>
      <c r="AB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81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13" s="54">
        <f>IF(OR(NOTA[[#This Row],[QTY]]="",NOTA[[#This Row],[HARGA SATUAN]]="",),"",NOTA[[#This Row],[QTY]]*NOTA[[#This Row],[HARGA SATUAN]])</f>
        <v>1560000</v>
      </c>
      <c r="AF813" s="51">
        <f ca="1">IF(NOTA[ID_H]="","",INDEX(NOTA[TANGGAL],MATCH(,INDIRECT(ADDRESS(ROW(NOTA[TANGGAL]),COLUMN(NOTA[TANGGAL]))&amp;":"&amp;ADDRESS(ROW(),COLUMN(NOTA[TANGGAL]))),-1)))</f>
        <v>44954</v>
      </c>
      <c r="AG813" s="49" t="str">
        <f ca="1">IF(NOTA[[#This Row],[NAMA BARANG]]="","",INDEX(NOTA[SUPPLIER],MATCH(,INDIRECT(ADDRESS(ROW(NOTA[ID]),COLUMN(NOTA[ID]))&amp;":"&amp;ADDRESS(ROW(),COLUMN(NOTA[ID]))),-1)))</f>
        <v>GLORY</v>
      </c>
      <c r="AH813" s="49" t="str">
        <f ca="1">IF(NOTA[[#This Row],[ID_H]]="","",IF(NOTA[[#This Row],[FAKTUR]]="",INDIRECT(ADDRESS(ROW()-1,COLUMN())),NOTA[[#This Row],[FAKTUR]]))</f>
        <v>UNTANA</v>
      </c>
      <c r="AI813" s="38">
        <f ca="1">IF(NOTA[[#This Row],[ID]]="","",COUNTIF(NOTA[ID_H],NOTA[[#This Row],[ID_H]]))</f>
        <v>1</v>
      </c>
      <c r="AJ813" s="38">
        <f>IF(NOTA[[#This Row],[TGL.NOTA]]="",IF(NOTA[[#This Row],[SUPPLIER_H]]="","",AJ812),MONTH(NOTA[[#This Row],[TGL.NOTA]]))</f>
        <v>1</v>
      </c>
      <c r="AK813" s="38" t="str">
        <f>LOWER(SUBSTITUTE(SUBSTITUTE(SUBSTITUTE(SUBSTITUTE(SUBSTITUTE(SUBSTITUTE(SUBSTITUTE(SUBSTITUTE(SUBSTITUTE(NOTA[NAMA BARANG]," ",),".",""),"-",""),"(",""),")",""),",",""),"/",""),"""",""),"+",""))</f>
        <v>agckkombinasib</v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>agckkombinasib13000</v>
      </c>
      <c r="AM813" s="193" t="e">
        <f>IF(NOTA[[#This Row],[CONCAT1]]="","",MATCH(NOTA[[#This Row],[CONCAT1]],[2]!db[NB NOTA_C],0)+1)</f>
        <v>#N/A</v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93" t="str">
        <f>IF(NOTA[[#This Row],[CONCAT1]]="","",MATCH(NOTA[[#This Row],[CONCAT1]],[2]!db[NB NOTA_C],0)+1)</f>
        <v/>
      </c>
    </row>
    <row r="815" spans="1:39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815" s="50" t="e">
        <f ca="1">IF(NOTA[[#This Row],[ID_P]]="","",MATCH(NOTA[[#This Row],[ID_P]],[1]!B_MSK[N_ID],0))</f>
        <v>#REF!</v>
      </c>
      <c r="D815" s="50">
        <f ca="1">IF(NOTA[[#This Row],[NAMA BARANG]]="","",INDEX(NOTA[ID],MATCH(,INDIRECT(ADDRESS(ROW(NOTA[ID]),COLUMN(NOTA[ID]))&amp;":"&amp;ADDRESS(ROW(),COLUMN(NOTA[ID]))),-1)))</f>
        <v>155</v>
      </c>
      <c r="E815" s="23"/>
      <c r="F815" s="26" t="s">
        <v>144</v>
      </c>
      <c r="G815" s="26" t="s">
        <v>87</v>
      </c>
      <c r="H815" s="31" t="s">
        <v>956</v>
      </c>
      <c r="I815" s="26"/>
      <c r="J815" s="51">
        <v>44951</v>
      </c>
      <c r="K815" s="26"/>
      <c r="L815" s="26" t="s">
        <v>957</v>
      </c>
      <c r="M815" s="39">
        <v>10</v>
      </c>
      <c r="N815" s="26">
        <v>2000</v>
      </c>
      <c r="O815" s="26" t="s">
        <v>116</v>
      </c>
      <c r="P815" s="49">
        <v>8750</v>
      </c>
      <c r="Q815" s="52"/>
      <c r="R815" s="39" t="s">
        <v>958</v>
      </c>
      <c r="S815" s="53"/>
      <c r="T815" s="53"/>
      <c r="U815" s="54"/>
      <c r="V815" s="37"/>
      <c r="W815" s="54">
        <f>IF(NOTA[[#This Row],[HARGA/ CTN]]="",NOTA[[#This Row],[JUMLAH_H]],NOTA[[#This Row],[HARGA/ CTN]]*IF(NOTA[[#This Row],[C]]="",0,NOTA[[#This Row],[C]]))</f>
        <v>17500000</v>
      </c>
      <c r="X815" s="54">
        <f>IF(NOTA[[#This Row],[JUMLAH]]="","",NOTA[[#This Row],[JUMLAH]]*NOTA[[#This Row],[DISC 1]])</f>
        <v>0</v>
      </c>
      <c r="Y815" s="54">
        <f>IF(NOTA[[#This Row],[JUMLAH]]="","",(NOTA[[#This Row],[JUMLAH]]-NOTA[[#This Row],[DISC 1-]])*NOTA[[#This Row],[DISC 2]])</f>
        <v>0</v>
      </c>
      <c r="Z815" s="54">
        <f>IF(NOTA[[#This Row],[JUMLAH]]="","",NOTA[[#This Row],[DISC 1-]]+NOTA[[#This Row],[DISC 2-]])</f>
        <v>0</v>
      </c>
      <c r="AA815" s="54">
        <f>IF(NOTA[[#This Row],[JUMLAH]]="","",NOTA[[#This Row],[JUMLAH]]-NOTA[[#This Row],[DISC]])</f>
        <v>17500000</v>
      </c>
      <c r="AB8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81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815" s="54">
        <f>IF(OR(NOTA[[#This Row],[QTY]]="",NOTA[[#This Row],[HARGA SATUAN]]="",),"",NOTA[[#This Row],[QTY]]*NOTA[[#This Row],[HARGA SATUAN]])</f>
        <v>17500000</v>
      </c>
      <c r="AF815" s="51">
        <f ca="1">IF(NOTA[ID_H]="","",INDEX(NOTA[TANGGAL],MATCH(,INDIRECT(ADDRESS(ROW(NOTA[TANGGAL]),COLUMN(NOTA[TANGGAL]))&amp;":"&amp;ADDRESS(ROW(),COLUMN(NOTA[TANGGAL]))),-1)))</f>
        <v>44954</v>
      </c>
      <c r="AG815" s="49" t="str">
        <f ca="1">IF(NOTA[[#This Row],[NAMA BARANG]]="","",INDEX(NOTA[SUPPLIER],MATCH(,INDIRECT(ADDRESS(ROW(NOTA[ID]),COLUMN(NOTA[ID]))&amp;":"&amp;ADDRESS(ROW(),COLUMN(NOTA[ID]))),-1)))</f>
        <v>ETJ</v>
      </c>
      <c r="AH815" s="49" t="str">
        <f ca="1">IF(NOTA[[#This Row],[ID_H]]="","",IF(NOTA[[#This Row],[FAKTUR]]="",INDIRECT(ADDRESS(ROW()-1,COLUMN())),NOTA[[#This Row],[FAKTUR]]))</f>
        <v>UNTANA</v>
      </c>
      <c r="AI815" s="38">
        <f ca="1">IF(NOTA[[#This Row],[ID]]="","",COUNTIF(NOTA[ID_H],NOTA[[#This Row],[ID_H]]))</f>
        <v>1</v>
      </c>
      <c r="AJ815" s="38">
        <f>IF(NOTA[[#This Row],[TGL.NOTA]]="",IF(NOTA[[#This Row],[SUPPLIER_H]]="","",#REF!),MONTH(NOTA[[#This Row],[TGL.NOTA]]))</f>
        <v>1</v>
      </c>
      <c r="AK81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815" s="193">
        <f>IF(NOTA[[#This Row],[CONCAT1]]="","",MATCH(NOTA[[#This Row],[CONCAT1]],[2]!db[NB NOTA_C],0)+1)</f>
        <v>646</v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93" t="str">
        <f>IF(NOTA[[#This Row],[CONCAT1]]="","",MATCH(NOTA[[#This Row],[CONCAT1]],[2]!db[NB NOTA_C],0)+1)</f>
        <v/>
      </c>
    </row>
    <row r="817" spans="1:39" ht="20.100000000000001" customHeight="1" x14ac:dyDescent="0.25">
      <c r="A817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DBS_2801_233-2</v>
      </c>
      <c r="C817" s="50" t="e">
        <f ca="1">IF(NOTA[[#This Row],[ID_P]]="","",MATCH(NOTA[[#This Row],[ID_P]],[1]!B_MSK[N_ID],0))</f>
        <v>#REF!</v>
      </c>
      <c r="D817" s="50">
        <f ca="1">IF(NOTA[[#This Row],[NAMA BARANG]]="","",INDEX(NOTA[ID],MATCH(,INDIRECT(ADDRESS(ROW(NOTA[ID]),COLUMN(NOTA[ID]))&amp;":"&amp;ADDRESS(ROW(),COLUMN(NOTA[ID]))),-1)))</f>
        <v>156</v>
      </c>
      <c r="E817" s="23" t="s">
        <v>959</v>
      </c>
      <c r="F817" s="26" t="s">
        <v>220</v>
      </c>
      <c r="G817" s="26" t="s">
        <v>87</v>
      </c>
      <c r="H817" s="31" t="s">
        <v>960</v>
      </c>
      <c r="I817" s="26"/>
      <c r="J817" s="51">
        <v>44952</v>
      </c>
      <c r="K817" s="26"/>
      <c r="L817" s="26" t="s">
        <v>961</v>
      </c>
      <c r="M817" s="39">
        <v>3</v>
      </c>
      <c r="N817" s="26">
        <v>72</v>
      </c>
      <c r="O817" s="26" t="s">
        <v>104</v>
      </c>
      <c r="P817" s="49">
        <v>106000</v>
      </c>
      <c r="Q817" s="52"/>
      <c r="R817" s="39" t="s">
        <v>130</v>
      </c>
      <c r="S817" s="53"/>
      <c r="T817" s="53"/>
      <c r="U817" s="54"/>
      <c r="V817" s="37"/>
      <c r="W817" s="54">
        <f>IF(NOTA[[#This Row],[HARGA/ CTN]]="",NOTA[[#This Row],[JUMLAH_H]],NOTA[[#This Row],[HARGA/ CTN]]*IF(NOTA[[#This Row],[C]]="",0,NOTA[[#This Row],[C]]))</f>
        <v>7632000</v>
      </c>
      <c r="X817" s="54">
        <f>IF(NOTA[[#This Row],[JUMLAH]]="","",NOTA[[#This Row],[JUMLAH]]*NOTA[[#This Row],[DISC 1]])</f>
        <v>0</v>
      </c>
      <c r="Y817" s="54">
        <f>IF(NOTA[[#This Row],[JUMLAH]]="","",(NOTA[[#This Row],[JUMLAH]]-NOTA[[#This Row],[DISC 1-]])*NOTA[[#This Row],[DISC 2]])</f>
        <v>0</v>
      </c>
      <c r="Z817" s="54">
        <f>IF(NOTA[[#This Row],[JUMLAH]]="","",NOTA[[#This Row],[DISC 1-]]+NOTA[[#This Row],[DISC 2-]])</f>
        <v>0</v>
      </c>
      <c r="AA817" s="54">
        <f>IF(NOTA[[#This Row],[JUMLAH]]="","",NOTA[[#This Row],[JUMLAH]]-NOTA[[#This Row],[DISC]])</f>
        <v>7632000</v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817" s="54">
        <f>IF(OR(NOTA[[#This Row],[QTY]]="",NOTA[[#This Row],[HARGA SATUAN]]="",),"",NOTA[[#This Row],[QTY]]*NOTA[[#This Row],[HARGA SATUAN]])</f>
        <v>7632000</v>
      </c>
      <c r="AF817" s="51">
        <f ca="1">IF(NOTA[ID_H]="","",INDEX(NOTA[TANGGAL],MATCH(,INDIRECT(ADDRESS(ROW(NOTA[TANGGAL]),COLUMN(NOTA[TANGGAL]))&amp;":"&amp;ADDRESS(ROW(),COLUMN(NOTA[TANGGAL]))),-1)))</f>
        <v>44954</v>
      </c>
      <c r="AG817" s="49" t="str">
        <f ca="1">IF(NOTA[[#This Row],[NAMA BARANG]]="","",INDEX(NOTA[SUPPLIER],MATCH(,INDIRECT(ADDRESS(ROW(NOTA[ID]),COLUMN(NOTA[ID]))&amp;":"&amp;ADDRESS(ROW(),COLUMN(NOTA[ID]))),-1)))</f>
        <v>DB STATIONERY</v>
      </c>
      <c r="AH817" s="49" t="str">
        <f ca="1">IF(NOTA[[#This Row],[ID_H]]="","",IF(NOTA[[#This Row],[FAKTUR]]="",INDIRECT(ADDRESS(ROW()-1,COLUMN())),NOTA[[#This Row],[FAKTUR]]))</f>
        <v>UNTANA</v>
      </c>
      <c r="AI817" s="38">
        <f ca="1">IF(NOTA[[#This Row],[ID]]="","",COUNTIF(NOTA[ID_H],NOTA[[#This Row],[ID_H]]))</f>
        <v>2</v>
      </c>
      <c r="AJ817" s="38">
        <f>IF(NOTA[[#This Row],[TGL.NOTA]]="",IF(NOTA[[#This Row],[SUPPLIER_H]]="","",AJ816),MONTH(NOTA[[#This Row],[TGL.NOTA]]))</f>
        <v>1</v>
      </c>
      <c r="AK81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>stabilotizo54pctf6102544000</v>
      </c>
      <c r="AM817" s="193">
        <f>IF(NOTA[[#This Row],[CONCAT1]]="","",MATCH(NOTA[[#This Row],[CONCAT1]],[2]!db[NB NOTA_C],0)+1)</f>
        <v>1933</v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>
        <f ca="1">IF(NOTA[[#This Row],[NAMA BARANG]]="","",INDEX(NOTA[ID],MATCH(,INDIRECT(ADDRESS(ROW(NOTA[ID]),COLUMN(NOTA[ID]))&amp;":"&amp;ADDRESS(ROW(),COLUMN(NOTA[ID]))),-1)))</f>
        <v>156</v>
      </c>
      <c r="E818" s="23"/>
      <c r="F818" s="26"/>
      <c r="G818" s="26"/>
      <c r="H818" s="31"/>
      <c r="I818" s="26"/>
      <c r="J818" s="51"/>
      <c r="K818" s="26"/>
      <c r="L818" s="26" t="s">
        <v>962</v>
      </c>
      <c r="M818" s="39">
        <v>3</v>
      </c>
      <c r="N818" s="26">
        <v>96</v>
      </c>
      <c r="O818" s="26" t="s">
        <v>104</v>
      </c>
      <c r="P818" s="49">
        <v>49500</v>
      </c>
      <c r="Q818" s="52"/>
      <c r="R818" s="39" t="s">
        <v>963</v>
      </c>
      <c r="S818" s="53"/>
      <c r="T818" s="53"/>
      <c r="U818" s="54"/>
      <c r="V818" s="37" t="s">
        <v>964</v>
      </c>
      <c r="W818" s="54">
        <f>IF(NOTA[[#This Row],[HARGA/ CTN]]="",NOTA[[#This Row],[JUMLAH_H]],NOTA[[#This Row],[HARGA/ CTN]]*IF(NOTA[[#This Row],[C]]="",0,NOTA[[#This Row],[C]]))</f>
        <v>4752000</v>
      </c>
      <c r="X818" s="54">
        <f>IF(NOTA[[#This Row],[JUMLAH]]="","",NOTA[[#This Row],[JUMLAH]]*NOTA[[#This Row],[DISC 1]])</f>
        <v>0</v>
      </c>
      <c r="Y818" s="54">
        <f>IF(NOTA[[#This Row],[JUMLAH]]="","",(NOTA[[#This Row],[JUMLAH]]-NOTA[[#This Row],[DISC 1-]])*NOTA[[#This Row],[DISC 2]])</f>
        <v>0</v>
      </c>
      <c r="Z818" s="54">
        <f>IF(NOTA[[#This Row],[JUMLAH]]="","",NOTA[[#This Row],[DISC 1-]]+NOTA[[#This Row],[DISC 2-]])</f>
        <v>0</v>
      </c>
      <c r="AA818" s="54">
        <f>IF(NOTA[[#This Row],[JUMLAH]]="","",NOTA[[#This Row],[JUMLAH]]-NOTA[[#This Row],[DISC]])</f>
        <v>4752000</v>
      </c>
      <c r="AB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D81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818" s="54">
        <f>IF(OR(NOTA[[#This Row],[QTY]]="",NOTA[[#This Row],[HARGA SATUAN]]="",),"",NOTA[[#This Row],[QTY]]*NOTA[[#This Row],[HARGA SATUAN]])</f>
        <v>4752000</v>
      </c>
      <c r="AF818" s="51">
        <f ca="1">IF(NOTA[ID_H]="","",INDEX(NOTA[TANGGAL],MATCH(,INDIRECT(ADDRESS(ROW(NOTA[TANGGAL]),COLUMN(NOTA[TANGGAL]))&amp;":"&amp;ADDRESS(ROW(),COLUMN(NOTA[TANGGAL]))),-1)))</f>
        <v>44954</v>
      </c>
      <c r="AG818" s="49" t="str">
        <f ca="1">IF(NOTA[[#This Row],[NAMA BARANG]]="","",INDEX(NOTA[SUPPLIER],MATCH(,INDIRECT(ADDRESS(ROW(NOTA[ID]),COLUMN(NOTA[ID]))&amp;":"&amp;ADDRESS(ROW(),COLUMN(NOTA[ID]))),-1)))</f>
        <v>DB STATIONERY</v>
      </c>
      <c r="AH818" s="49" t="str">
        <f ca="1">IF(NOTA[[#This Row],[ID_H]]="","",IF(NOTA[[#This Row],[FAKTUR]]="",INDIRECT(ADDRESS(ROW()-1,COLUMN())),NOTA[[#This Row],[FAKTUR]]))</f>
        <v>UNTANA</v>
      </c>
      <c r="AI818" s="38" t="str">
        <f ca="1">IF(NOTA[[#This Row],[ID]]="","",COUNTIF(NOTA[ID_H],NOTA[[#This Row],[ID_H]]))</f>
        <v/>
      </c>
      <c r="AJ818" s="38">
        <f ca="1">IF(NOTA[[#This Row],[TGL.NOTA]]="",IF(NOTA[[#This Row],[SUPPLIER_H]]="","",AJ817),MONTH(NOTA[[#This Row],[TGL.NOTA]]))</f>
        <v>1</v>
      </c>
      <c r="AK81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>highlighter24pcstf6161584000</v>
      </c>
      <c r="AM818" s="193">
        <f>IF(NOTA[[#This Row],[CONCAT1]]="","",MATCH(NOTA[[#This Row],[CONCAT1]],[2]!db[NB NOTA_C],0)+1)</f>
        <v>960</v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93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93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93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93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93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93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93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93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93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93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93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93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93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93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93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93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93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93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93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93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93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93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93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93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93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93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93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93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93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93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119"/>
      <c r="J849" s="120"/>
      <c r="K849" s="119"/>
      <c r="L849" s="26"/>
      <c r="M849" s="121"/>
      <c r="N849" s="119"/>
      <c r="O849" s="26"/>
      <c r="P849" s="122"/>
      <c r="Q849" s="123"/>
      <c r="R849" s="39"/>
      <c r="S849" s="124"/>
      <c r="T849" s="124"/>
      <c r="U849" s="125"/>
      <c r="V849" s="126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93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119"/>
      <c r="G850" s="119"/>
      <c r="H850" s="127"/>
      <c r="I850" s="119"/>
      <c r="J850" s="120"/>
      <c r="K850" s="119"/>
      <c r="L850" s="26"/>
      <c r="M850" s="121"/>
      <c r="N850" s="119"/>
      <c r="O850" s="26"/>
      <c r="P850" s="122"/>
      <c r="Q850" s="123"/>
      <c r="R850" s="39"/>
      <c r="S850" s="124"/>
      <c r="T850" s="124"/>
      <c r="U850" s="125"/>
      <c r="V850" s="126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93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119"/>
      <c r="G851" s="119"/>
      <c r="H851" s="127"/>
      <c r="I851" s="119"/>
      <c r="J851" s="120"/>
      <c r="K851" s="119"/>
      <c r="L851" s="26"/>
      <c r="M851" s="121"/>
      <c r="N851" s="119"/>
      <c r="O851" s="26"/>
      <c r="P851" s="122"/>
      <c r="Q851" s="123"/>
      <c r="R851" s="39"/>
      <c r="S851" s="124"/>
      <c r="T851" s="124"/>
      <c r="U851" s="125"/>
      <c r="V851" s="126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93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26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93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93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93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93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93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93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93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93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93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93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93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93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93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93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93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93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93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93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93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93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93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93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93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93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93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28"/>
      <c r="F877" s="129"/>
      <c r="G877" s="129"/>
      <c r="H877" s="130"/>
      <c r="I877" s="131"/>
      <c r="J877" s="131"/>
      <c r="K877" s="129"/>
      <c r="L877" s="129"/>
      <c r="M877" s="132"/>
      <c r="N877" s="129"/>
      <c r="O877" s="129"/>
      <c r="P877" s="133"/>
      <c r="Q877" s="134"/>
      <c r="R877" s="132"/>
      <c r="S877" s="135"/>
      <c r="T877" s="135"/>
      <c r="U877" s="136"/>
      <c r="V877" s="1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93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28"/>
      <c r="F878" s="129"/>
      <c r="G878" s="129"/>
      <c r="H878" s="130"/>
      <c r="I878" s="129"/>
      <c r="J878" s="131"/>
      <c r="K878" s="129"/>
      <c r="L878" s="129"/>
      <c r="M878" s="132"/>
      <c r="N878" s="129"/>
      <c r="O878" s="129"/>
      <c r="P878" s="133"/>
      <c r="Q878" s="134"/>
      <c r="R878" s="132"/>
      <c r="S878" s="135"/>
      <c r="T878" s="135"/>
      <c r="U878" s="136"/>
      <c r="V878" s="1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93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28"/>
      <c r="F879" s="129"/>
      <c r="G879" s="129"/>
      <c r="H879" s="130"/>
      <c r="I879" s="129"/>
      <c r="J879" s="131"/>
      <c r="K879" s="129"/>
      <c r="L879" s="129"/>
      <c r="M879" s="132"/>
      <c r="N879" s="129"/>
      <c r="O879" s="129"/>
      <c r="P879" s="133"/>
      <c r="Q879" s="134"/>
      <c r="R879" s="132"/>
      <c r="S879" s="135"/>
      <c r="T879" s="135"/>
      <c r="U879" s="136"/>
      <c r="V879" s="1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93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28"/>
      <c r="F880" s="129"/>
      <c r="G880" s="129"/>
      <c r="H880" s="130"/>
      <c r="I880" s="129"/>
      <c r="J880" s="131"/>
      <c r="K880" s="129"/>
      <c r="L880" s="129"/>
      <c r="M880" s="132"/>
      <c r="N880" s="129"/>
      <c r="O880" s="129"/>
      <c r="P880" s="133"/>
      <c r="Q880" s="134"/>
      <c r="R880" s="132"/>
      <c r="S880" s="135"/>
      <c r="T880" s="135"/>
      <c r="U880" s="136"/>
      <c r="V880" s="1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93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28"/>
      <c r="F881" s="129"/>
      <c r="G881" s="129"/>
      <c r="H881" s="130"/>
      <c r="I881" s="129"/>
      <c r="J881" s="131"/>
      <c r="K881" s="129"/>
      <c r="L881" s="129"/>
      <c r="M881" s="132"/>
      <c r="N881" s="129"/>
      <c r="O881" s="129"/>
      <c r="P881" s="133"/>
      <c r="Q881" s="134"/>
      <c r="R881" s="132"/>
      <c r="S881" s="135"/>
      <c r="T881" s="135"/>
      <c r="U881" s="136"/>
      <c r="V881" s="1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93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28"/>
      <c r="F882" s="129"/>
      <c r="G882" s="129"/>
      <c r="H882" s="130"/>
      <c r="I882" s="129"/>
      <c r="J882" s="131"/>
      <c r="K882" s="129"/>
      <c r="L882" s="129"/>
      <c r="M882" s="132"/>
      <c r="N882" s="129"/>
      <c r="O882" s="129"/>
      <c r="P882" s="133"/>
      <c r="Q882" s="134"/>
      <c r="R882" s="132"/>
      <c r="S882" s="135"/>
      <c r="T882" s="135"/>
      <c r="U882" s="136"/>
      <c r="V882" s="1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93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28"/>
      <c r="F883" s="129"/>
      <c r="G883" s="129"/>
      <c r="H883" s="130"/>
      <c r="I883" s="129"/>
      <c r="J883" s="131"/>
      <c r="K883" s="129"/>
      <c r="L883" s="129"/>
      <c r="M883" s="132"/>
      <c r="N883" s="129"/>
      <c r="O883" s="129"/>
      <c r="P883" s="133"/>
      <c r="Q883" s="134"/>
      <c r="R883" s="132"/>
      <c r="S883" s="135"/>
      <c r="T883" s="135"/>
      <c r="U883" s="136"/>
      <c r="V883" s="137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93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28"/>
      <c r="F884" s="129"/>
      <c r="G884" s="129"/>
      <c r="H884" s="130"/>
      <c r="I884" s="129"/>
      <c r="J884" s="131"/>
      <c r="K884" s="129"/>
      <c r="L884" s="129"/>
      <c r="M884" s="132"/>
      <c r="N884" s="129"/>
      <c r="O884" s="129"/>
      <c r="P884" s="133"/>
      <c r="Q884" s="134"/>
      <c r="R884" s="132"/>
      <c r="S884" s="135"/>
      <c r="T884" s="135"/>
      <c r="U884" s="136"/>
      <c r="V884" s="1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93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28"/>
      <c r="F885" s="129"/>
      <c r="G885" s="129"/>
      <c r="H885" s="130"/>
      <c r="I885" s="129"/>
      <c r="J885" s="131"/>
      <c r="K885" s="129"/>
      <c r="L885" s="129"/>
      <c r="M885" s="132"/>
      <c r="N885" s="129"/>
      <c r="O885" s="129"/>
      <c r="P885" s="133"/>
      <c r="Q885" s="134"/>
      <c r="R885" s="132"/>
      <c r="S885" s="135"/>
      <c r="T885" s="135"/>
      <c r="U885" s="136"/>
      <c r="V885" s="137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93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28"/>
      <c r="F886" s="129"/>
      <c r="G886" s="129"/>
      <c r="H886" s="130"/>
      <c r="I886" s="129"/>
      <c r="J886" s="131"/>
      <c r="K886" s="129"/>
      <c r="L886" s="129"/>
      <c r="M886" s="132"/>
      <c r="N886" s="129"/>
      <c r="O886" s="129"/>
      <c r="P886" s="133"/>
      <c r="Q886" s="134"/>
      <c r="R886" s="132"/>
      <c r="S886" s="135"/>
      <c r="T886" s="135"/>
      <c r="U886" s="136"/>
      <c r="V886" s="137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93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28"/>
      <c r="F887" s="129"/>
      <c r="G887" s="129"/>
      <c r="H887" s="130"/>
      <c r="I887" s="129"/>
      <c r="J887" s="131"/>
      <c r="K887" s="129"/>
      <c r="L887" s="129"/>
      <c r="M887" s="132"/>
      <c r="N887" s="129"/>
      <c r="O887" s="129"/>
      <c r="P887" s="133"/>
      <c r="Q887" s="134"/>
      <c r="R887" s="132"/>
      <c r="S887" s="135"/>
      <c r="T887" s="135"/>
      <c r="U887" s="136"/>
      <c r="V887" s="137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93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28"/>
      <c r="F888" s="129"/>
      <c r="G888" s="129"/>
      <c r="H888" s="130"/>
      <c r="I888" s="129"/>
      <c r="J888" s="131"/>
      <c r="K888" s="129"/>
      <c r="L888" s="129"/>
      <c r="M888" s="132"/>
      <c r="N888" s="129"/>
      <c r="O888" s="129"/>
      <c r="P888" s="133"/>
      <c r="Q888" s="134"/>
      <c r="R888" s="132"/>
      <c r="S888" s="135"/>
      <c r="T888" s="135"/>
      <c r="U888" s="136"/>
      <c r="V888" s="137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93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28"/>
      <c r="F889" s="129"/>
      <c r="G889" s="129"/>
      <c r="H889" s="130"/>
      <c r="I889" s="129"/>
      <c r="J889" s="131"/>
      <c r="K889" s="129"/>
      <c r="L889" s="129"/>
      <c r="M889" s="132"/>
      <c r="N889" s="129"/>
      <c r="O889" s="129"/>
      <c r="P889" s="133"/>
      <c r="Q889" s="134"/>
      <c r="R889" s="132"/>
      <c r="S889" s="135"/>
      <c r="T889" s="135"/>
      <c r="U889" s="136"/>
      <c r="V889" s="137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93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28"/>
      <c r="F890" s="129"/>
      <c r="G890" s="129"/>
      <c r="H890" s="130"/>
      <c r="I890" s="129"/>
      <c r="J890" s="131"/>
      <c r="K890" s="129"/>
      <c r="L890" s="129"/>
      <c r="M890" s="132"/>
      <c r="N890" s="129"/>
      <c r="O890" s="129"/>
      <c r="P890" s="133"/>
      <c r="Q890" s="134"/>
      <c r="R890" s="132"/>
      <c r="S890" s="135"/>
      <c r="T890" s="135"/>
      <c r="U890" s="136"/>
      <c r="V890" s="137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93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28"/>
      <c r="F891" s="129"/>
      <c r="G891" s="129"/>
      <c r="H891" s="130"/>
      <c r="I891" s="129"/>
      <c r="J891" s="131"/>
      <c r="K891" s="129"/>
      <c r="L891" s="129"/>
      <c r="M891" s="132"/>
      <c r="N891" s="129"/>
      <c r="O891" s="129"/>
      <c r="P891" s="133"/>
      <c r="Q891" s="134"/>
      <c r="R891" s="132"/>
      <c r="S891" s="135"/>
      <c r="T891" s="135"/>
      <c r="U891" s="136"/>
      <c r="V891" s="137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93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28"/>
      <c r="F892" s="129"/>
      <c r="G892" s="129"/>
      <c r="H892" s="130"/>
      <c r="I892" s="129"/>
      <c r="J892" s="131"/>
      <c r="K892" s="129"/>
      <c r="L892" s="129"/>
      <c r="M892" s="132"/>
      <c r="N892" s="129"/>
      <c r="O892" s="129"/>
      <c r="P892" s="133"/>
      <c r="Q892" s="134"/>
      <c r="R892" s="132"/>
      <c r="S892" s="135"/>
      <c r="T892" s="135"/>
      <c r="U892" s="136"/>
      <c r="V892" s="1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93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28"/>
      <c r="F893" s="129"/>
      <c r="G893" s="129"/>
      <c r="H893" s="130"/>
      <c r="I893" s="129"/>
      <c r="J893" s="131"/>
      <c r="K893" s="129"/>
      <c r="L893" s="129"/>
      <c r="M893" s="132"/>
      <c r="N893" s="129"/>
      <c r="O893" s="129"/>
      <c r="P893" s="133"/>
      <c r="Q893" s="134"/>
      <c r="R893" s="132"/>
      <c r="S893" s="135"/>
      <c r="T893" s="135"/>
      <c r="U893" s="136"/>
      <c r="V893" s="1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93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93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93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93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93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93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93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93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93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93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93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28"/>
      <c r="F904" s="129"/>
      <c r="G904" s="129"/>
      <c r="H904" s="130"/>
      <c r="I904" s="129"/>
      <c r="J904" s="131"/>
      <c r="K904" s="129"/>
      <c r="L904" s="129"/>
      <c r="M904" s="132"/>
      <c r="N904" s="129"/>
      <c r="O904" s="129"/>
      <c r="P904" s="133"/>
      <c r="Q904" s="134"/>
      <c r="R904" s="132"/>
      <c r="S904" s="135"/>
      <c r="T904" s="135"/>
      <c r="U904" s="136"/>
      <c r="V904" s="1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93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28"/>
      <c r="F905" s="129"/>
      <c r="G905" s="129"/>
      <c r="H905" s="130"/>
      <c r="I905" s="129"/>
      <c r="J905" s="131"/>
      <c r="K905" s="129"/>
      <c r="L905" s="129"/>
      <c r="M905" s="132"/>
      <c r="N905" s="129"/>
      <c r="O905" s="129"/>
      <c r="P905" s="133"/>
      <c r="Q905" s="134"/>
      <c r="R905" s="132"/>
      <c r="S905" s="135"/>
      <c r="T905" s="135"/>
      <c r="U905" s="136"/>
      <c r="V905" s="1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93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28"/>
      <c r="F906" s="129"/>
      <c r="G906" s="129"/>
      <c r="H906" s="130"/>
      <c r="I906" s="129"/>
      <c r="J906" s="131"/>
      <c r="K906" s="129"/>
      <c r="L906" s="129"/>
      <c r="M906" s="132"/>
      <c r="N906" s="129"/>
      <c r="O906" s="129"/>
      <c r="P906" s="133"/>
      <c r="Q906" s="134"/>
      <c r="R906" s="132"/>
      <c r="S906" s="135"/>
      <c r="T906" s="135"/>
      <c r="U906" s="136"/>
      <c r="V906" s="1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93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93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93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93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93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93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93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93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93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93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28"/>
      <c r="F916" s="129"/>
      <c r="G916" s="129"/>
      <c r="H916" s="130"/>
      <c r="I916" s="129"/>
      <c r="J916" s="131"/>
      <c r="K916" s="129"/>
      <c r="L916" s="129"/>
      <c r="M916" s="132"/>
      <c r="N916" s="129"/>
      <c r="O916" s="129"/>
      <c r="P916" s="133"/>
      <c r="Q916" s="134"/>
      <c r="R916" s="132"/>
      <c r="S916" s="135"/>
      <c r="T916" s="135"/>
      <c r="U916" s="136"/>
      <c r="V916" s="1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93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93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28"/>
      <c r="F918" s="129"/>
      <c r="G918" s="129"/>
      <c r="H918" s="130"/>
      <c r="I918" s="129"/>
      <c r="J918" s="131"/>
      <c r="K918" s="129"/>
      <c r="L918" s="129"/>
      <c r="M918" s="132"/>
      <c r="N918" s="129"/>
      <c r="O918" s="129"/>
      <c r="P918" s="133"/>
      <c r="Q918" s="134"/>
      <c r="R918" s="132"/>
      <c r="S918" s="135"/>
      <c r="T918" s="135"/>
      <c r="U918" s="136"/>
      <c r="V918" s="1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93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28"/>
      <c r="F919" s="129"/>
      <c r="G919" s="129"/>
      <c r="H919" s="130"/>
      <c r="I919" s="129"/>
      <c r="J919" s="131"/>
      <c r="K919" s="129"/>
      <c r="L919" s="129"/>
      <c r="M919" s="132"/>
      <c r="N919" s="129"/>
      <c r="O919" s="129"/>
      <c r="P919" s="133"/>
      <c r="Q919" s="134"/>
      <c r="R919" s="132"/>
      <c r="S919" s="135"/>
      <c r="T919" s="135"/>
      <c r="U919" s="136"/>
      <c r="V919" s="137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93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28"/>
      <c r="F920" s="129"/>
      <c r="G920" s="129"/>
      <c r="H920" s="130"/>
      <c r="I920" s="129"/>
      <c r="J920" s="131"/>
      <c r="K920" s="129"/>
      <c r="L920" s="129"/>
      <c r="M920" s="132"/>
      <c r="N920" s="129"/>
      <c r="O920" s="129"/>
      <c r="P920" s="133"/>
      <c r="Q920" s="134"/>
      <c r="R920" s="132"/>
      <c r="S920" s="135"/>
      <c r="T920" s="135"/>
      <c r="U920" s="136"/>
      <c r="V920" s="1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93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28"/>
      <c r="F921" s="129"/>
      <c r="G921" s="129"/>
      <c r="H921" s="130"/>
      <c r="I921" s="129"/>
      <c r="J921" s="131"/>
      <c r="K921" s="129"/>
      <c r="L921" s="129"/>
      <c r="M921" s="132"/>
      <c r="N921" s="129"/>
      <c r="O921" s="129"/>
      <c r="P921" s="133"/>
      <c r="Q921" s="134"/>
      <c r="R921" s="132"/>
      <c r="S921" s="135"/>
      <c r="T921" s="135"/>
      <c r="U921" s="136"/>
      <c r="V921" s="137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93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28"/>
      <c r="F922" s="129"/>
      <c r="G922" s="129"/>
      <c r="H922" s="130"/>
      <c r="I922" s="129"/>
      <c r="J922" s="131"/>
      <c r="K922" s="129"/>
      <c r="L922" s="129"/>
      <c r="M922" s="132"/>
      <c r="N922" s="129"/>
      <c r="O922" s="129"/>
      <c r="P922" s="133"/>
      <c r="Q922" s="134"/>
      <c r="R922" s="132"/>
      <c r="S922" s="135"/>
      <c r="T922" s="135"/>
      <c r="U922" s="136"/>
      <c r="V922" s="137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93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28"/>
      <c r="F923" s="129"/>
      <c r="G923" s="129"/>
      <c r="H923" s="130"/>
      <c r="I923" s="129"/>
      <c r="J923" s="131"/>
      <c r="K923" s="129"/>
      <c r="L923" s="129"/>
      <c r="M923" s="132"/>
      <c r="N923" s="129"/>
      <c r="O923" s="129"/>
      <c r="P923" s="133"/>
      <c r="Q923" s="134"/>
      <c r="R923" s="132"/>
      <c r="S923" s="135"/>
      <c r="T923" s="135"/>
      <c r="U923" s="136"/>
      <c r="V923" s="137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93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28"/>
      <c r="F924" s="129"/>
      <c r="G924" s="129"/>
      <c r="H924" s="130"/>
      <c r="I924" s="129"/>
      <c r="J924" s="131"/>
      <c r="K924" s="129"/>
      <c r="L924" s="129"/>
      <c r="M924" s="132"/>
      <c r="N924" s="129"/>
      <c r="O924" s="129"/>
      <c r="P924" s="133"/>
      <c r="Q924" s="134"/>
      <c r="R924" s="132"/>
      <c r="S924" s="135"/>
      <c r="T924" s="135"/>
      <c r="U924" s="136"/>
      <c r="V924" s="137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93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93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93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93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93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93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93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93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93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9" t="str">
        <f>IF(NOTA[[#This Row],[ID_P]]="","",MATCH(NOTA[[#This Row],[ID_P]],[1]!B_MSK[N_ID],0))</f>
        <v/>
      </c>
      <c r="D933" s="139" t="str">
        <f ca="1">IF(NOTA[[#This Row],[NAMA BARANG]]="","",INDEX(NOTA[ID],MATCH(,INDIRECT(ADDRESS(ROW(NOTA[ID]),COLUMN(NOTA[ID]))&amp;":"&amp;ADDRESS(ROW(),COLUMN(NOTA[ID]))),-1)))</f>
        <v/>
      </c>
      <c r="E933" s="140"/>
      <c r="F933" s="141"/>
      <c r="G933" s="141"/>
      <c r="H933" s="142"/>
      <c r="I933" s="141"/>
      <c r="J933" s="143"/>
      <c r="K933" s="141"/>
      <c r="L933" s="141"/>
      <c r="M933" s="144"/>
      <c r="N933" s="141"/>
      <c r="O933" s="141"/>
      <c r="P933" s="138"/>
      <c r="Q933" s="145"/>
      <c r="R933" s="144"/>
      <c r="S933" s="146"/>
      <c r="T933" s="146"/>
      <c r="U933" s="147"/>
      <c r="V933" s="37"/>
      <c r="W933" s="147" t="str">
        <f>IF(NOTA[[#This Row],[HARGA/ CTN]]="",NOTA[[#This Row],[JUMLAH_H]],NOTA[[#This Row],[HARGA/ CTN]]*IF(NOTA[[#This Row],[C]]="",0,NOTA[[#This Row],[C]]))</f>
        <v/>
      </c>
      <c r="X933" s="147" t="str">
        <f>IF(NOTA[[#This Row],[JUMLAH]]="","",NOTA[[#This Row],[JUMLAH]]*NOTA[[#This Row],[DISC 1]])</f>
        <v/>
      </c>
      <c r="Y933" s="147" t="str">
        <f>IF(NOTA[[#This Row],[JUMLAH]]="","",(NOTA[[#This Row],[JUMLAH]]-NOTA[[#This Row],[DISC 1-]])*NOTA[[#This Row],[DISC 2]])</f>
        <v/>
      </c>
      <c r="Z933" s="147" t="str">
        <f>IF(NOTA[[#This Row],[JUMLAH]]="","",NOTA[[#This Row],[DISC 1-]]+NOTA[[#This Row],[DISC 2-]])</f>
        <v/>
      </c>
      <c r="AA933" s="147" t="str">
        <f>IF(NOTA[[#This Row],[JUMLAH]]="","",NOTA[[#This Row],[JUMLAH]]-NOTA[[#This Row],[DISC]])</f>
        <v/>
      </c>
      <c r="AB93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47" t="str">
        <f>IF(OR(NOTA[[#This Row],[QTY]]="",NOTA[[#This Row],[HARGA SATUAN]]="",),"",NOTA[[#This Row],[QTY]]*NOTA[[#This Row],[HARGA SATUAN]])</f>
        <v/>
      </c>
      <c r="AF933" s="143" t="str">
        <f ca="1">IF(NOTA[ID_H]="","",INDEX(NOTA[TANGGAL],MATCH(,INDIRECT(ADDRESS(ROW(NOTA[TANGGAL]),COLUMN(NOTA[TANGGAL]))&amp;":"&amp;ADDRESS(ROW(),COLUMN(NOTA[TANGGAL]))),-1)))</f>
        <v/>
      </c>
      <c r="AG933" s="138" t="str">
        <f ca="1">IF(NOTA[[#This Row],[NAMA BARANG]]="","",INDEX(NOTA[SUPPLIER],MATCH(,INDIRECT(ADDRESS(ROW(NOTA[ID]),COLUMN(NOTA[ID]))&amp;":"&amp;ADDRESS(ROW(),COLUMN(NOTA[ID]))),-1)))</f>
        <v/>
      </c>
      <c r="AH933" s="138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93" t="str">
        <f>IF(NOTA[[#This Row],[CONCAT1]]="","",MATCH(NOTA[[#This Row],[CONCAT1]],[2]!db[NB NOTA_C],0)+1)</f>
        <v/>
      </c>
    </row>
    <row r="934" spans="1:39" ht="20.100000000000001" customHeight="1" x14ac:dyDescent="0.25">
      <c r="A934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9" t="str">
        <f>IF(NOTA[[#This Row],[ID_P]]="","",MATCH(NOTA[[#This Row],[ID_P]],[1]!B_MSK[N_ID],0))</f>
        <v/>
      </c>
      <c r="D934" s="139" t="str">
        <f ca="1">IF(NOTA[[#This Row],[NAMA BARANG]]="","",INDEX(NOTA[ID],MATCH(,INDIRECT(ADDRESS(ROW(NOTA[ID]),COLUMN(NOTA[ID]))&amp;":"&amp;ADDRESS(ROW(),COLUMN(NOTA[ID]))),-1)))</f>
        <v/>
      </c>
      <c r="E934" s="140"/>
      <c r="F934" s="141"/>
      <c r="G934" s="141"/>
      <c r="H934" s="142"/>
      <c r="I934" s="141"/>
      <c r="J934" s="143"/>
      <c r="K934" s="141"/>
      <c r="L934" s="141"/>
      <c r="M934" s="144"/>
      <c r="N934" s="141"/>
      <c r="O934" s="141"/>
      <c r="P934" s="138"/>
      <c r="Q934" s="145"/>
      <c r="R934" s="144"/>
      <c r="S934" s="146"/>
      <c r="T934" s="146"/>
      <c r="U934" s="147"/>
      <c r="V934" s="37"/>
      <c r="W934" s="147" t="str">
        <f>IF(NOTA[[#This Row],[HARGA/ CTN]]="",NOTA[[#This Row],[JUMLAH_H]],NOTA[[#This Row],[HARGA/ CTN]]*IF(NOTA[[#This Row],[C]]="",0,NOTA[[#This Row],[C]]))</f>
        <v/>
      </c>
      <c r="X934" s="147" t="str">
        <f>IF(NOTA[[#This Row],[JUMLAH]]="","",NOTA[[#This Row],[JUMLAH]]*NOTA[[#This Row],[DISC 1]])</f>
        <v/>
      </c>
      <c r="Y934" s="147" t="str">
        <f>IF(NOTA[[#This Row],[JUMLAH]]="","",(NOTA[[#This Row],[JUMLAH]]-NOTA[[#This Row],[DISC 1-]])*NOTA[[#This Row],[DISC 2]])</f>
        <v/>
      </c>
      <c r="Z934" s="147" t="str">
        <f>IF(NOTA[[#This Row],[JUMLAH]]="","",NOTA[[#This Row],[DISC 1-]]+NOTA[[#This Row],[DISC 2-]])</f>
        <v/>
      </c>
      <c r="AA934" s="147" t="str">
        <f>IF(NOTA[[#This Row],[JUMLAH]]="","",NOTA[[#This Row],[JUMLAH]]-NOTA[[#This Row],[DISC]])</f>
        <v/>
      </c>
      <c r="AB93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47" t="str">
        <f>IF(OR(NOTA[[#This Row],[QTY]]="",NOTA[[#This Row],[HARGA SATUAN]]="",),"",NOTA[[#This Row],[QTY]]*NOTA[[#This Row],[HARGA SATUAN]])</f>
        <v/>
      </c>
      <c r="AF934" s="143" t="str">
        <f ca="1">IF(NOTA[ID_H]="","",INDEX(NOTA[TANGGAL],MATCH(,INDIRECT(ADDRESS(ROW(NOTA[TANGGAL]),COLUMN(NOTA[TANGGAL]))&amp;":"&amp;ADDRESS(ROW(),COLUMN(NOTA[TANGGAL]))),-1)))</f>
        <v/>
      </c>
      <c r="AG934" s="138" t="str">
        <f ca="1">IF(NOTA[[#This Row],[NAMA BARANG]]="","",INDEX(NOTA[SUPPLIER],MATCH(,INDIRECT(ADDRESS(ROW(NOTA[ID]),COLUMN(NOTA[ID]))&amp;":"&amp;ADDRESS(ROW(),COLUMN(NOTA[ID]))),-1)))</f>
        <v/>
      </c>
      <c r="AH934" s="138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93" t="str">
        <f>IF(NOTA[[#This Row],[CONCAT1]]="","",MATCH(NOTA[[#This Row],[CONCAT1]],[2]!db[NB NOTA_C],0)+1)</f>
        <v/>
      </c>
    </row>
    <row r="935" spans="1:39" ht="20.100000000000001" customHeight="1" x14ac:dyDescent="0.25">
      <c r="A935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9" t="str">
        <f>IF(NOTA[[#This Row],[ID_P]]="","",MATCH(NOTA[[#This Row],[ID_P]],[1]!B_MSK[N_ID],0))</f>
        <v/>
      </c>
      <c r="D935" s="139" t="str">
        <f ca="1">IF(NOTA[[#This Row],[NAMA BARANG]]="","",INDEX(NOTA[ID],MATCH(,INDIRECT(ADDRESS(ROW(NOTA[ID]),COLUMN(NOTA[ID]))&amp;":"&amp;ADDRESS(ROW(),COLUMN(NOTA[ID]))),-1)))</f>
        <v/>
      </c>
      <c r="E935" s="140"/>
      <c r="F935" s="141"/>
      <c r="G935" s="141"/>
      <c r="H935" s="142"/>
      <c r="I935" s="141"/>
      <c r="J935" s="143"/>
      <c r="K935" s="141"/>
      <c r="L935" s="141"/>
      <c r="M935" s="144"/>
      <c r="N935" s="141"/>
      <c r="O935" s="141"/>
      <c r="P935" s="138"/>
      <c r="Q935" s="145"/>
      <c r="R935" s="144"/>
      <c r="S935" s="146"/>
      <c r="T935" s="146"/>
      <c r="U935" s="147"/>
      <c r="V935" s="37"/>
      <c r="W935" s="147" t="str">
        <f>IF(NOTA[[#This Row],[HARGA/ CTN]]="",NOTA[[#This Row],[JUMLAH_H]],NOTA[[#This Row],[HARGA/ CTN]]*IF(NOTA[[#This Row],[C]]="",0,NOTA[[#This Row],[C]]))</f>
        <v/>
      </c>
      <c r="X935" s="147" t="str">
        <f>IF(NOTA[[#This Row],[JUMLAH]]="","",NOTA[[#This Row],[JUMLAH]]*NOTA[[#This Row],[DISC 1]])</f>
        <v/>
      </c>
      <c r="Y935" s="147" t="str">
        <f>IF(NOTA[[#This Row],[JUMLAH]]="","",(NOTA[[#This Row],[JUMLAH]]-NOTA[[#This Row],[DISC 1-]])*NOTA[[#This Row],[DISC 2]])</f>
        <v/>
      </c>
      <c r="Z935" s="147" t="str">
        <f>IF(NOTA[[#This Row],[JUMLAH]]="","",NOTA[[#This Row],[DISC 1-]]+NOTA[[#This Row],[DISC 2-]])</f>
        <v/>
      </c>
      <c r="AA935" s="147" t="str">
        <f>IF(NOTA[[#This Row],[JUMLAH]]="","",NOTA[[#This Row],[JUMLAH]]-NOTA[[#This Row],[DISC]])</f>
        <v/>
      </c>
      <c r="AB93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47" t="str">
        <f>IF(OR(NOTA[[#This Row],[QTY]]="",NOTA[[#This Row],[HARGA SATUAN]]="",),"",NOTA[[#This Row],[QTY]]*NOTA[[#This Row],[HARGA SATUAN]])</f>
        <v/>
      </c>
      <c r="AF935" s="143" t="str">
        <f ca="1">IF(NOTA[ID_H]="","",INDEX(NOTA[TANGGAL],MATCH(,INDIRECT(ADDRESS(ROW(NOTA[TANGGAL]),COLUMN(NOTA[TANGGAL]))&amp;":"&amp;ADDRESS(ROW(),COLUMN(NOTA[TANGGAL]))),-1)))</f>
        <v/>
      </c>
      <c r="AG935" s="138" t="str">
        <f ca="1">IF(NOTA[[#This Row],[NAMA BARANG]]="","",INDEX(NOTA[SUPPLIER],MATCH(,INDIRECT(ADDRESS(ROW(NOTA[ID]),COLUMN(NOTA[ID]))&amp;":"&amp;ADDRESS(ROW(),COLUMN(NOTA[ID]))),-1)))</f>
        <v/>
      </c>
      <c r="AH935" s="138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93" t="str">
        <f>IF(NOTA[[#This Row],[CONCAT1]]="","",MATCH(NOTA[[#This Row],[CONCAT1]],[2]!db[NB NOTA_C],0)+1)</f>
        <v/>
      </c>
    </row>
    <row r="936" spans="1:39" ht="20.100000000000001" customHeight="1" x14ac:dyDescent="0.25">
      <c r="A936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9" t="str">
        <f>IF(NOTA[[#This Row],[ID_P]]="","",MATCH(NOTA[[#This Row],[ID_P]],[1]!B_MSK[N_ID],0))</f>
        <v/>
      </c>
      <c r="D936" s="139" t="str">
        <f ca="1">IF(NOTA[[#This Row],[NAMA BARANG]]="","",INDEX(NOTA[ID],MATCH(,INDIRECT(ADDRESS(ROW(NOTA[ID]),COLUMN(NOTA[ID]))&amp;":"&amp;ADDRESS(ROW(),COLUMN(NOTA[ID]))),-1)))</f>
        <v/>
      </c>
      <c r="E936" s="140"/>
      <c r="F936" s="141"/>
      <c r="G936" s="141"/>
      <c r="H936" s="142"/>
      <c r="I936" s="141"/>
      <c r="J936" s="143"/>
      <c r="K936" s="141"/>
      <c r="L936" s="141"/>
      <c r="M936" s="144"/>
      <c r="N936" s="141"/>
      <c r="O936" s="141"/>
      <c r="P936" s="138"/>
      <c r="Q936" s="145"/>
      <c r="R936" s="144"/>
      <c r="S936" s="146"/>
      <c r="T936" s="146"/>
      <c r="U936" s="147"/>
      <c r="V936" s="37"/>
      <c r="W936" s="147" t="str">
        <f>IF(NOTA[[#This Row],[HARGA/ CTN]]="",NOTA[[#This Row],[JUMLAH_H]],NOTA[[#This Row],[HARGA/ CTN]]*IF(NOTA[[#This Row],[C]]="",0,NOTA[[#This Row],[C]]))</f>
        <v/>
      </c>
      <c r="X936" s="147" t="str">
        <f>IF(NOTA[[#This Row],[JUMLAH]]="","",NOTA[[#This Row],[JUMLAH]]*NOTA[[#This Row],[DISC 1]])</f>
        <v/>
      </c>
      <c r="Y936" s="147" t="str">
        <f>IF(NOTA[[#This Row],[JUMLAH]]="","",(NOTA[[#This Row],[JUMLAH]]-NOTA[[#This Row],[DISC 1-]])*NOTA[[#This Row],[DISC 2]])</f>
        <v/>
      </c>
      <c r="Z936" s="147" t="str">
        <f>IF(NOTA[[#This Row],[JUMLAH]]="","",NOTA[[#This Row],[DISC 1-]]+NOTA[[#This Row],[DISC 2-]])</f>
        <v/>
      </c>
      <c r="AA936" s="147" t="str">
        <f>IF(NOTA[[#This Row],[JUMLAH]]="","",NOTA[[#This Row],[JUMLAH]]-NOTA[[#This Row],[DISC]])</f>
        <v/>
      </c>
      <c r="AB93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47" t="str">
        <f>IF(OR(NOTA[[#This Row],[QTY]]="",NOTA[[#This Row],[HARGA SATUAN]]="",),"",NOTA[[#This Row],[QTY]]*NOTA[[#This Row],[HARGA SATUAN]])</f>
        <v/>
      </c>
      <c r="AF936" s="143" t="str">
        <f ca="1">IF(NOTA[ID_H]="","",INDEX(NOTA[TANGGAL],MATCH(,INDIRECT(ADDRESS(ROW(NOTA[TANGGAL]),COLUMN(NOTA[TANGGAL]))&amp;":"&amp;ADDRESS(ROW(),COLUMN(NOTA[TANGGAL]))),-1)))</f>
        <v/>
      </c>
      <c r="AG936" s="138" t="str">
        <f ca="1">IF(NOTA[[#This Row],[NAMA BARANG]]="","",INDEX(NOTA[SUPPLIER],MATCH(,INDIRECT(ADDRESS(ROW(NOTA[ID]),COLUMN(NOTA[ID]))&amp;":"&amp;ADDRESS(ROW(),COLUMN(NOTA[ID]))),-1)))</f>
        <v/>
      </c>
      <c r="AH936" s="138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93" t="str">
        <f>IF(NOTA[[#This Row],[CONCAT1]]="","",MATCH(NOTA[[#This Row],[CONCAT1]],[2]!db[NB NOTA_C],0)+1)</f>
        <v/>
      </c>
    </row>
    <row r="937" spans="1:39" ht="20.100000000000001" customHeight="1" x14ac:dyDescent="0.25">
      <c r="A937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9" t="str">
        <f>IF(NOTA[[#This Row],[ID_P]]="","",MATCH(NOTA[[#This Row],[ID_P]],[1]!B_MSK[N_ID],0))</f>
        <v/>
      </c>
      <c r="D937" s="139" t="str">
        <f ca="1">IF(NOTA[[#This Row],[NAMA BARANG]]="","",INDEX(NOTA[ID],MATCH(,INDIRECT(ADDRESS(ROW(NOTA[ID]),COLUMN(NOTA[ID]))&amp;":"&amp;ADDRESS(ROW(),COLUMN(NOTA[ID]))),-1)))</f>
        <v/>
      </c>
      <c r="E937" s="140"/>
      <c r="F937" s="141"/>
      <c r="G937" s="141"/>
      <c r="H937" s="142"/>
      <c r="I937" s="141"/>
      <c r="J937" s="143"/>
      <c r="K937" s="141"/>
      <c r="L937" s="141"/>
      <c r="M937" s="144"/>
      <c r="N937" s="141"/>
      <c r="O937" s="141"/>
      <c r="P937" s="138"/>
      <c r="Q937" s="145"/>
      <c r="R937" s="144"/>
      <c r="S937" s="146"/>
      <c r="T937" s="146"/>
      <c r="U937" s="147"/>
      <c r="V937" s="37"/>
      <c r="W937" s="147" t="str">
        <f>IF(NOTA[[#This Row],[HARGA/ CTN]]="",NOTA[[#This Row],[JUMLAH_H]],NOTA[[#This Row],[HARGA/ CTN]]*IF(NOTA[[#This Row],[C]]="",0,NOTA[[#This Row],[C]]))</f>
        <v/>
      </c>
      <c r="X937" s="147" t="str">
        <f>IF(NOTA[[#This Row],[JUMLAH]]="","",NOTA[[#This Row],[JUMLAH]]*NOTA[[#This Row],[DISC 1]])</f>
        <v/>
      </c>
      <c r="Y937" s="147" t="str">
        <f>IF(NOTA[[#This Row],[JUMLAH]]="","",(NOTA[[#This Row],[JUMLAH]]-NOTA[[#This Row],[DISC 1-]])*NOTA[[#This Row],[DISC 2]])</f>
        <v/>
      </c>
      <c r="Z937" s="147" t="str">
        <f>IF(NOTA[[#This Row],[JUMLAH]]="","",NOTA[[#This Row],[DISC 1-]]+NOTA[[#This Row],[DISC 2-]])</f>
        <v/>
      </c>
      <c r="AA937" s="147" t="str">
        <f>IF(NOTA[[#This Row],[JUMLAH]]="","",NOTA[[#This Row],[JUMLAH]]-NOTA[[#This Row],[DISC]])</f>
        <v/>
      </c>
      <c r="AB93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47" t="str">
        <f>IF(OR(NOTA[[#This Row],[QTY]]="",NOTA[[#This Row],[HARGA SATUAN]]="",),"",NOTA[[#This Row],[QTY]]*NOTA[[#This Row],[HARGA SATUAN]])</f>
        <v/>
      </c>
      <c r="AF937" s="143" t="str">
        <f ca="1">IF(NOTA[ID_H]="","",INDEX(NOTA[TANGGAL],MATCH(,INDIRECT(ADDRESS(ROW(NOTA[TANGGAL]),COLUMN(NOTA[TANGGAL]))&amp;":"&amp;ADDRESS(ROW(),COLUMN(NOTA[TANGGAL]))),-1)))</f>
        <v/>
      </c>
      <c r="AG937" s="138" t="str">
        <f ca="1">IF(NOTA[[#This Row],[NAMA BARANG]]="","",INDEX(NOTA[SUPPLIER],MATCH(,INDIRECT(ADDRESS(ROW(NOTA[ID]),COLUMN(NOTA[ID]))&amp;":"&amp;ADDRESS(ROW(),COLUMN(NOTA[ID]))),-1)))</f>
        <v/>
      </c>
      <c r="AH937" s="138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93" t="str">
        <f>IF(NOTA[[#This Row],[CONCAT1]]="","",MATCH(NOTA[[#This Row],[CONCAT1]],[2]!db[NB NOTA_C],0)+1)</f>
        <v/>
      </c>
    </row>
    <row r="938" spans="1:39" ht="20.100000000000001" customHeight="1" x14ac:dyDescent="0.25">
      <c r="A938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9" t="str">
        <f>IF(NOTA[[#This Row],[ID_P]]="","",MATCH(NOTA[[#This Row],[ID_P]],[1]!B_MSK[N_ID],0))</f>
        <v/>
      </c>
      <c r="D938" s="139" t="str">
        <f ca="1">IF(NOTA[[#This Row],[NAMA BARANG]]="","",INDEX(NOTA[ID],MATCH(,INDIRECT(ADDRESS(ROW(NOTA[ID]),COLUMN(NOTA[ID]))&amp;":"&amp;ADDRESS(ROW(),COLUMN(NOTA[ID]))),-1)))</f>
        <v/>
      </c>
      <c r="E938" s="140"/>
      <c r="F938" s="141"/>
      <c r="G938" s="141"/>
      <c r="H938" s="142"/>
      <c r="I938" s="141"/>
      <c r="J938" s="143"/>
      <c r="K938" s="141"/>
      <c r="L938" s="141"/>
      <c r="M938" s="144"/>
      <c r="N938" s="141"/>
      <c r="O938" s="141"/>
      <c r="P938" s="138"/>
      <c r="Q938" s="145"/>
      <c r="R938" s="144"/>
      <c r="S938" s="146"/>
      <c r="T938" s="146"/>
      <c r="U938" s="147"/>
      <c r="V938" s="37"/>
      <c r="W938" s="147" t="str">
        <f>IF(NOTA[[#This Row],[HARGA/ CTN]]="",NOTA[[#This Row],[JUMLAH_H]],NOTA[[#This Row],[HARGA/ CTN]]*IF(NOTA[[#This Row],[C]]="",0,NOTA[[#This Row],[C]]))</f>
        <v/>
      </c>
      <c r="X938" s="147" t="str">
        <f>IF(NOTA[[#This Row],[JUMLAH]]="","",NOTA[[#This Row],[JUMLAH]]*NOTA[[#This Row],[DISC 1]])</f>
        <v/>
      </c>
      <c r="Y938" s="147" t="str">
        <f>IF(NOTA[[#This Row],[JUMLAH]]="","",(NOTA[[#This Row],[JUMLAH]]-NOTA[[#This Row],[DISC 1-]])*NOTA[[#This Row],[DISC 2]])</f>
        <v/>
      </c>
      <c r="Z938" s="147" t="str">
        <f>IF(NOTA[[#This Row],[JUMLAH]]="","",NOTA[[#This Row],[DISC 1-]]+NOTA[[#This Row],[DISC 2-]])</f>
        <v/>
      </c>
      <c r="AA938" s="147" t="str">
        <f>IF(NOTA[[#This Row],[JUMLAH]]="","",NOTA[[#This Row],[JUMLAH]]-NOTA[[#This Row],[DISC]])</f>
        <v/>
      </c>
      <c r="AB93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47" t="str">
        <f>IF(OR(NOTA[[#This Row],[QTY]]="",NOTA[[#This Row],[HARGA SATUAN]]="",),"",NOTA[[#This Row],[QTY]]*NOTA[[#This Row],[HARGA SATUAN]])</f>
        <v/>
      </c>
      <c r="AF938" s="143" t="str">
        <f ca="1">IF(NOTA[ID_H]="","",INDEX(NOTA[TANGGAL],MATCH(,INDIRECT(ADDRESS(ROW(NOTA[TANGGAL]),COLUMN(NOTA[TANGGAL]))&amp;":"&amp;ADDRESS(ROW(),COLUMN(NOTA[TANGGAL]))),-1)))</f>
        <v/>
      </c>
      <c r="AG938" s="138" t="str">
        <f ca="1">IF(NOTA[[#This Row],[NAMA BARANG]]="","",INDEX(NOTA[SUPPLIER],MATCH(,INDIRECT(ADDRESS(ROW(NOTA[ID]),COLUMN(NOTA[ID]))&amp;":"&amp;ADDRESS(ROW(),COLUMN(NOTA[ID]))),-1)))</f>
        <v/>
      </c>
      <c r="AH938" s="138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93" t="str">
        <f>IF(NOTA[[#This Row],[CONCAT1]]="","",MATCH(NOTA[[#This Row],[CONCAT1]],[2]!db[NB NOTA_C],0)+1)</f>
        <v/>
      </c>
    </row>
    <row r="939" spans="1:39" ht="20.100000000000001" customHeight="1" x14ac:dyDescent="0.25">
      <c r="A939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9" t="str">
        <f>IF(NOTA[[#This Row],[ID_P]]="","",MATCH(NOTA[[#This Row],[ID_P]],[1]!B_MSK[N_ID],0))</f>
        <v/>
      </c>
      <c r="D939" s="139" t="str">
        <f ca="1">IF(NOTA[[#This Row],[NAMA BARANG]]="","",INDEX(NOTA[ID],MATCH(,INDIRECT(ADDRESS(ROW(NOTA[ID]),COLUMN(NOTA[ID]))&amp;":"&amp;ADDRESS(ROW(),COLUMN(NOTA[ID]))),-1)))</f>
        <v/>
      </c>
      <c r="E939" s="140"/>
      <c r="F939" s="141"/>
      <c r="G939" s="141"/>
      <c r="H939" s="142"/>
      <c r="I939" s="141"/>
      <c r="J939" s="143"/>
      <c r="K939" s="141"/>
      <c r="L939" s="141"/>
      <c r="M939" s="144"/>
      <c r="N939" s="141"/>
      <c r="O939" s="141"/>
      <c r="P939" s="138"/>
      <c r="Q939" s="145"/>
      <c r="R939" s="144"/>
      <c r="S939" s="146"/>
      <c r="T939" s="146"/>
      <c r="U939" s="147"/>
      <c r="V939" s="37"/>
      <c r="W939" s="147" t="str">
        <f>IF(NOTA[[#This Row],[HARGA/ CTN]]="",NOTA[[#This Row],[JUMLAH_H]],NOTA[[#This Row],[HARGA/ CTN]]*IF(NOTA[[#This Row],[C]]="",0,NOTA[[#This Row],[C]]))</f>
        <v/>
      </c>
      <c r="X939" s="147" t="str">
        <f>IF(NOTA[[#This Row],[JUMLAH]]="","",NOTA[[#This Row],[JUMLAH]]*NOTA[[#This Row],[DISC 1]])</f>
        <v/>
      </c>
      <c r="Y939" s="147" t="str">
        <f>IF(NOTA[[#This Row],[JUMLAH]]="","",(NOTA[[#This Row],[JUMLAH]]-NOTA[[#This Row],[DISC 1-]])*NOTA[[#This Row],[DISC 2]])</f>
        <v/>
      </c>
      <c r="Z939" s="147" t="str">
        <f>IF(NOTA[[#This Row],[JUMLAH]]="","",NOTA[[#This Row],[DISC 1-]]+NOTA[[#This Row],[DISC 2-]])</f>
        <v/>
      </c>
      <c r="AA939" s="147" t="str">
        <f>IF(NOTA[[#This Row],[JUMLAH]]="","",NOTA[[#This Row],[JUMLAH]]-NOTA[[#This Row],[DISC]])</f>
        <v/>
      </c>
      <c r="AB93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47" t="str">
        <f>IF(OR(NOTA[[#This Row],[QTY]]="",NOTA[[#This Row],[HARGA SATUAN]]="",),"",NOTA[[#This Row],[QTY]]*NOTA[[#This Row],[HARGA SATUAN]])</f>
        <v/>
      </c>
      <c r="AF939" s="143" t="str">
        <f ca="1">IF(NOTA[ID_H]="","",INDEX(NOTA[TANGGAL],MATCH(,INDIRECT(ADDRESS(ROW(NOTA[TANGGAL]),COLUMN(NOTA[TANGGAL]))&amp;":"&amp;ADDRESS(ROW(),COLUMN(NOTA[TANGGAL]))),-1)))</f>
        <v/>
      </c>
      <c r="AG939" s="138" t="str">
        <f ca="1">IF(NOTA[[#This Row],[NAMA BARANG]]="","",INDEX(NOTA[SUPPLIER],MATCH(,INDIRECT(ADDRESS(ROW(NOTA[ID]),COLUMN(NOTA[ID]))&amp;":"&amp;ADDRESS(ROW(),COLUMN(NOTA[ID]))),-1)))</f>
        <v/>
      </c>
      <c r="AH939" s="138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93" t="str">
        <f>IF(NOTA[[#This Row],[CONCAT1]]="","",MATCH(NOTA[[#This Row],[CONCAT1]],[2]!db[NB NOTA_C],0)+1)</f>
        <v/>
      </c>
    </row>
    <row r="940" spans="1:39" ht="20.100000000000001" customHeight="1" x14ac:dyDescent="0.25">
      <c r="A940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9" t="str">
        <f>IF(NOTA[[#This Row],[ID_P]]="","",MATCH(NOTA[[#This Row],[ID_P]],[1]!B_MSK[N_ID],0))</f>
        <v/>
      </c>
      <c r="D940" s="139" t="str">
        <f ca="1">IF(NOTA[[#This Row],[NAMA BARANG]]="","",INDEX(NOTA[ID],MATCH(,INDIRECT(ADDRESS(ROW(NOTA[ID]),COLUMN(NOTA[ID]))&amp;":"&amp;ADDRESS(ROW(),COLUMN(NOTA[ID]))),-1)))</f>
        <v/>
      </c>
      <c r="E940" s="140"/>
      <c r="F940" s="141"/>
      <c r="G940" s="141"/>
      <c r="H940" s="142"/>
      <c r="I940" s="141"/>
      <c r="J940" s="143"/>
      <c r="K940" s="141"/>
      <c r="L940" s="141"/>
      <c r="M940" s="144"/>
      <c r="N940" s="141"/>
      <c r="O940" s="141"/>
      <c r="P940" s="138"/>
      <c r="Q940" s="145"/>
      <c r="R940" s="144"/>
      <c r="S940" s="146"/>
      <c r="T940" s="146"/>
      <c r="U940" s="147"/>
      <c r="V940" s="37"/>
      <c r="W940" s="147" t="str">
        <f>IF(NOTA[[#This Row],[HARGA/ CTN]]="",NOTA[[#This Row],[JUMLAH_H]],NOTA[[#This Row],[HARGA/ CTN]]*IF(NOTA[[#This Row],[C]]="",0,NOTA[[#This Row],[C]]))</f>
        <v/>
      </c>
      <c r="X940" s="147" t="str">
        <f>IF(NOTA[[#This Row],[JUMLAH]]="","",NOTA[[#This Row],[JUMLAH]]*NOTA[[#This Row],[DISC 1]])</f>
        <v/>
      </c>
      <c r="Y940" s="147" t="str">
        <f>IF(NOTA[[#This Row],[JUMLAH]]="","",(NOTA[[#This Row],[JUMLAH]]-NOTA[[#This Row],[DISC 1-]])*NOTA[[#This Row],[DISC 2]])</f>
        <v/>
      </c>
      <c r="Z940" s="147" t="str">
        <f>IF(NOTA[[#This Row],[JUMLAH]]="","",NOTA[[#This Row],[DISC 1-]]+NOTA[[#This Row],[DISC 2-]])</f>
        <v/>
      </c>
      <c r="AA940" s="147" t="str">
        <f>IF(NOTA[[#This Row],[JUMLAH]]="","",NOTA[[#This Row],[JUMLAH]]-NOTA[[#This Row],[DISC]])</f>
        <v/>
      </c>
      <c r="AB94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47" t="str">
        <f>IF(OR(NOTA[[#This Row],[QTY]]="",NOTA[[#This Row],[HARGA SATUAN]]="",),"",NOTA[[#This Row],[QTY]]*NOTA[[#This Row],[HARGA SATUAN]])</f>
        <v/>
      </c>
      <c r="AF940" s="143" t="str">
        <f ca="1">IF(NOTA[ID_H]="","",INDEX(NOTA[TANGGAL],MATCH(,INDIRECT(ADDRESS(ROW(NOTA[TANGGAL]),COLUMN(NOTA[TANGGAL]))&amp;":"&amp;ADDRESS(ROW(),COLUMN(NOTA[TANGGAL]))),-1)))</f>
        <v/>
      </c>
      <c r="AG940" s="138" t="str">
        <f ca="1">IF(NOTA[[#This Row],[NAMA BARANG]]="","",INDEX(NOTA[SUPPLIER],MATCH(,INDIRECT(ADDRESS(ROW(NOTA[ID]),COLUMN(NOTA[ID]))&amp;":"&amp;ADDRESS(ROW(),COLUMN(NOTA[ID]))),-1)))</f>
        <v/>
      </c>
      <c r="AH940" s="138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93" t="str">
        <f>IF(NOTA[[#This Row],[CONCAT1]]="","",MATCH(NOTA[[#This Row],[CONCAT1]],[2]!db[NB NOTA_C],0)+1)</f>
        <v/>
      </c>
    </row>
    <row r="941" spans="1:39" ht="20.100000000000001" customHeight="1" x14ac:dyDescent="0.25">
      <c r="A941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9" t="str">
        <f>IF(NOTA[[#This Row],[ID_P]]="","",MATCH(NOTA[[#This Row],[ID_P]],[1]!B_MSK[N_ID],0))</f>
        <v/>
      </c>
      <c r="D941" s="139" t="str">
        <f ca="1">IF(NOTA[[#This Row],[NAMA BARANG]]="","",INDEX(NOTA[ID],MATCH(,INDIRECT(ADDRESS(ROW(NOTA[ID]),COLUMN(NOTA[ID]))&amp;":"&amp;ADDRESS(ROW(),COLUMN(NOTA[ID]))),-1)))</f>
        <v/>
      </c>
      <c r="E941" s="140"/>
      <c r="F941" s="141"/>
      <c r="G941" s="141"/>
      <c r="H941" s="142"/>
      <c r="I941" s="141"/>
      <c r="J941" s="143"/>
      <c r="K941" s="141"/>
      <c r="L941" s="141"/>
      <c r="M941" s="144"/>
      <c r="N941" s="141"/>
      <c r="O941" s="141"/>
      <c r="P941" s="138"/>
      <c r="Q941" s="145"/>
      <c r="R941" s="144"/>
      <c r="S941" s="146"/>
      <c r="T941" s="146"/>
      <c r="U941" s="147"/>
      <c r="V941" s="37"/>
      <c r="W941" s="147" t="str">
        <f>IF(NOTA[[#This Row],[HARGA/ CTN]]="",NOTA[[#This Row],[JUMLAH_H]],NOTA[[#This Row],[HARGA/ CTN]]*IF(NOTA[[#This Row],[C]]="",0,NOTA[[#This Row],[C]]))</f>
        <v/>
      </c>
      <c r="X941" s="147" t="str">
        <f>IF(NOTA[[#This Row],[JUMLAH]]="","",NOTA[[#This Row],[JUMLAH]]*NOTA[[#This Row],[DISC 1]])</f>
        <v/>
      </c>
      <c r="Y941" s="147" t="str">
        <f>IF(NOTA[[#This Row],[JUMLAH]]="","",(NOTA[[#This Row],[JUMLAH]]-NOTA[[#This Row],[DISC 1-]])*NOTA[[#This Row],[DISC 2]])</f>
        <v/>
      </c>
      <c r="Z941" s="147" t="str">
        <f>IF(NOTA[[#This Row],[JUMLAH]]="","",NOTA[[#This Row],[DISC 1-]]+NOTA[[#This Row],[DISC 2-]])</f>
        <v/>
      </c>
      <c r="AA941" s="147" t="str">
        <f>IF(NOTA[[#This Row],[JUMLAH]]="","",NOTA[[#This Row],[JUMLAH]]-NOTA[[#This Row],[DISC]])</f>
        <v/>
      </c>
      <c r="AB94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47" t="str">
        <f>IF(OR(NOTA[[#This Row],[QTY]]="",NOTA[[#This Row],[HARGA SATUAN]]="",),"",NOTA[[#This Row],[QTY]]*NOTA[[#This Row],[HARGA SATUAN]])</f>
        <v/>
      </c>
      <c r="AF941" s="143" t="str">
        <f ca="1">IF(NOTA[ID_H]="","",INDEX(NOTA[TANGGAL],MATCH(,INDIRECT(ADDRESS(ROW(NOTA[TANGGAL]),COLUMN(NOTA[TANGGAL]))&amp;":"&amp;ADDRESS(ROW(),COLUMN(NOTA[TANGGAL]))),-1)))</f>
        <v/>
      </c>
      <c r="AG941" s="138" t="str">
        <f ca="1">IF(NOTA[[#This Row],[NAMA BARANG]]="","",INDEX(NOTA[SUPPLIER],MATCH(,INDIRECT(ADDRESS(ROW(NOTA[ID]),COLUMN(NOTA[ID]))&amp;":"&amp;ADDRESS(ROW(),COLUMN(NOTA[ID]))),-1)))</f>
        <v/>
      </c>
      <c r="AH941" s="138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93" t="str">
        <f>IF(NOTA[[#This Row],[CONCAT1]]="","",MATCH(NOTA[[#This Row],[CONCAT1]],[2]!db[NB NOTA_C],0)+1)</f>
        <v/>
      </c>
    </row>
    <row r="942" spans="1:39" ht="20.100000000000001" customHeight="1" x14ac:dyDescent="0.25">
      <c r="A942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9" t="str">
        <f>IF(NOTA[[#This Row],[ID_P]]="","",MATCH(NOTA[[#This Row],[ID_P]],[1]!B_MSK[N_ID],0))</f>
        <v/>
      </c>
      <c r="D942" s="139" t="str">
        <f ca="1">IF(NOTA[[#This Row],[NAMA BARANG]]="","",INDEX(NOTA[ID],MATCH(,INDIRECT(ADDRESS(ROW(NOTA[ID]),COLUMN(NOTA[ID]))&amp;":"&amp;ADDRESS(ROW(),COLUMN(NOTA[ID]))),-1)))</f>
        <v/>
      </c>
      <c r="E942" s="140"/>
      <c r="F942" s="141"/>
      <c r="G942" s="141"/>
      <c r="H942" s="142"/>
      <c r="I942" s="141"/>
      <c r="J942" s="143"/>
      <c r="K942" s="141"/>
      <c r="L942" s="141"/>
      <c r="M942" s="144"/>
      <c r="N942" s="141"/>
      <c r="O942" s="141"/>
      <c r="P942" s="138"/>
      <c r="Q942" s="145"/>
      <c r="R942" s="144"/>
      <c r="S942" s="146"/>
      <c r="T942" s="146"/>
      <c r="U942" s="147"/>
      <c r="V942" s="37"/>
      <c r="W942" s="147" t="str">
        <f>IF(NOTA[[#This Row],[HARGA/ CTN]]="",NOTA[[#This Row],[JUMLAH_H]],NOTA[[#This Row],[HARGA/ CTN]]*IF(NOTA[[#This Row],[C]]="",0,NOTA[[#This Row],[C]]))</f>
        <v/>
      </c>
      <c r="X942" s="147" t="str">
        <f>IF(NOTA[[#This Row],[JUMLAH]]="","",NOTA[[#This Row],[JUMLAH]]*NOTA[[#This Row],[DISC 1]])</f>
        <v/>
      </c>
      <c r="Y942" s="147" t="str">
        <f>IF(NOTA[[#This Row],[JUMLAH]]="","",(NOTA[[#This Row],[JUMLAH]]-NOTA[[#This Row],[DISC 1-]])*NOTA[[#This Row],[DISC 2]])</f>
        <v/>
      </c>
      <c r="Z942" s="147" t="str">
        <f>IF(NOTA[[#This Row],[JUMLAH]]="","",NOTA[[#This Row],[DISC 1-]]+NOTA[[#This Row],[DISC 2-]])</f>
        <v/>
      </c>
      <c r="AA942" s="147" t="str">
        <f>IF(NOTA[[#This Row],[JUMLAH]]="","",NOTA[[#This Row],[JUMLAH]]-NOTA[[#This Row],[DISC]])</f>
        <v/>
      </c>
      <c r="AB94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47" t="str">
        <f>IF(OR(NOTA[[#This Row],[QTY]]="",NOTA[[#This Row],[HARGA SATUAN]]="",),"",NOTA[[#This Row],[QTY]]*NOTA[[#This Row],[HARGA SATUAN]])</f>
        <v/>
      </c>
      <c r="AF942" s="143" t="str">
        <f ca="1">IF(NOTA[ID_H]="","",INDEX(NOTA[TANGGAL],MATCH(,INDIRECT(ADDRESS(ROW(NOTA[TANGGAL]),COLUMN(NOTA[TANGGAL]))&amp;":"&amp;ADDRESS(ROW(),COLUMN(NOTA[TANGGAL]))),-1)))</f>
        <v/>
      </c>
      <c r="AG942" s="138" t="str">
        <f ca="1">IF(NOTA[[#This Row],[NAMA BARANG]]="","",INDEX(NOTA[SUPPLIER],MATCH(,INDIRECT(ADDRESS(ROW(NOTA[ID]),COLUMN(NOTA[ID]))&amp;":"&amp;ADDRESS(ROW(),COLUMN(NOTA[ID]))),-1)))</f>
        <v/>
      </c>
      <c r="AH942" s="138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93" t="str">
        <f>IF(NOTA[[#This Row],[CONCAT1]]="","",MATCH(NOTA[[#This Row],[CONCAT1]],[2]!db[NB NOTA_C],0)+1)</f>
        <v/>
      </c>
    </row>
    <row r="943" spans="1:39" ht="20.100000000000001" customHeight="1" x14ac:dyDescent="0.25">
      <c r="A943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9" t="str">
        <f>IF(NOTA[[#This Row],[ID_P]]="","",MATCH(NOTA[[#This Row],[ID_P]],[1]!B_MSK[N_ID],0))</f>
        <v/>
      </c>
      <c r="D943" s="139" t="str">
        <f ca="1">IF(NOTA[[#This Row],[NAMA BARANG]]="","",INDEX(NOTA[ID],MATCH(,INDIRECT(ADDRESS(ROW(NOTA[ID]),COLUMN(NOTA[ID]))&amp;":"&amp;ADDRESS(ROW(),COLUMN(NOTA[ID]))),-1)))</f>
        <v/>
      </c>
      <c r="E943" s="140"/>
      <c r="F943" s="141"/>
      <c r="G943" s="141"/>
      <c r="H943" s="142"/>
      <c r="I943" s="141"/>
      <c r="J943" s="143"/>
      <c r="K943" s="141"/>
      <c r="L943" s="141"/>
      <c r="M943" s="144"/>
      <c r="N943" s="141"/>
      <c r="O943" s="141"/>
      <c r="P943" s="138"/>
      <c r="Q943" s="145"/>
      <c r="R943" s="144"/>
      <c r="S943" s="146"/>
      <c r="T943" s="146"/>
      <c r="U943" s="147"/>
      <c r="V943" s="37"/>
      <c r="W943" s="147" t="str">
        <f>IF(NOTA[[#This Row],[HARGA/ CTN]]="",NOTA[[#This Row],[JUMLAH_H]],NOTA[[#This Row],[HARGA/ CTN]]*IF(NOTA[[#This Row],[C]]="",0,NOTA[[#This Row],[C]]))</f>
        <v/>
      </c>
      <c r="X943" s="147" t="str">
        <f>IF(NOTA[[#This Row],[JUMLAH]]="","",NOTA[[#This Row],[JUMLAH]]*NOTA[[#This Row],[DISC 1]])</f>
        <v/>
      </c>
      <c r="Y943" s="147" t="str">
        <f>IF(NOTA[[#This Row],[JUMLAH]]="","",(NOTA[[#This Row],[JUMLAH]]-NOTA[[#This Row],[DISC 1-]])*NOTA[[#This Row],[DISC 2]])</f>
        <v/>
      </c>
      <c r="Z943" s="147" t="str">
        <f>IF(NOTA[[#This Row],[JUMLAH]]="","",NOTA[[#This Row],[DISC 1-]]+NOTA[[#This Row],[DISC 2-]])</f>
        <v/>
      </c>
      <c r="AA943" s="147" t="str">
        <f>IF(NOTA[[#This Row],[JUMLAH]]="","",NOTA[[#This Row],[JUMLAH]]-NOTA[[#This Row],[DISC]])</f>
        <v/>
      </c>
      <c r="AB94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47" t="str">
        <f>IF(OR(NOTA[[#This Row],[QTY]]="",NOTA[[#This Row],[HARGA SATUAN]]="",),"",NOTA[[#This Row],[QTY]]*NOTA[[#This Row],[HARGA SATUAN]])</f>
        <v/>
      </c>
      <c r="AF943" s="143" t="str">
        <f ca="1">IF(NOTA[ID_H]="","",INDEX(NOTA[TANGGAL],MATCH(,INDIRECT(ADDRESS(ROW(NOTA[TANGGAL]),COLUMN(NOTA[TANGGAL]))&amp;":"&amp;ADDRESS(ROW(),COLUMN(NOTA[TANGGAL]))),-1)))</f>
        <v/>
      </c>
      <c r="AG943" s="138" t="str">
        <f ca="1">IF(NOTA[[#This Row],[NAMA BARANG]]="","",INDEX(NOTA[SUPPLIER],MATCH(,INDIRECT(ADDRESS(ROW(NOTA[ID]),COLUMN(NOTA[ID]))&amp;":"&amp;ADDRESS(ROW(),COLUMN(NOTA[ID]))),-1)))</f>
        <v/>
      </c>
      <c r="AH943" s="138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93" t="str">
        <f>IF(NOTA[[#This Row],[CONCAT1]]="","",MATCH(NOTA[[#This Row],[CONCAT1]],[2]!db[NB NOTA_C],0)+1)</f>
        <v/>
      </c>
    </row>
    <row r="944" spans="1:39" ht="20.100000000000001" customHeight="1" x14ac:dyDescent="0.25">
      <c r="A944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9" t="str">
        <f>IF(NOTA[[#This Row],[ID_P]]="","",MATCH(NOTA[[#This Row],[ID_P]],[1]!B_MSK[N_ID],0))</f>
        <v/>
      </c>
      <c r="D944" s="139" t="str">
        <f ca="1">IF(NOTA[[#This Row],[NAMA BARANG]]="","",INDEX(NOTA[ID],MATCH(,INDIRECT(ADDRESS(ROW(NOTA[ID]),COLUMN(NOTA[ID]))&amp;":"&amp;ADDRESS(ROW(),COLUMN(NOTA[ID]))),-1)))</f>
        <v/>
      </c>
      <c r="E944" s="140"/>
      <c r="F944" s="141"/>
      <c r="G944" s="141"/>
      <c r="H944" s="142"/>
      <c r="I944" s="141"/>
      <c r="J944" s="143"/>
      <c r="K944" s="141"/>
      <c r="L944" s="141"/>
      <c r="M944" s="144"/>
      <c r="N944" s="141"/>
      <c r="O944" s="141"/>
      <c r="P944" s="138"/>
      <c r="Q944" s="145"/>
      <c r="R944" s="144"/>
      <c r="S944" s="146"/>
      <c r="T944" s="146"/>
      <c r="U944" s="147"/>
      <c r="V944" s="37"/>
      <c r="W944" s="147" t="str">
        <f>IF(NOTA[[#This Row],[HARGA/ CTN]]="",NOTA[[#This Row],[JUMLAH_H]],NOTA[[#This Row],[HARGA/ CTN]]*IF(NOTA[[#This Row],[C]]="",0,NOTA[[#This Row],[C]]))</f>
        <v/>
      </c>
      <c r="X944" s="147" t="str">
        <f>IF(NOTA[[#This Row],[JUMLAH]]="","",NOTA[[#This Row],[JUMLAH]]*NOTA[[#This Row],[DISC 1]])</f>
        <v/>
      </c>
      <c r="Y944" s="147" t="str">
        <f>IF(NOTA[[#This Row],[JUMLAH]]="","",(NOTA[[#This Row],[JUMLAH]]-NOTA[[#This Row],[DISC 1-]])*NOTA[[#This Row],[DISC 2]])</f>
        <v/>
      </c>
      <c r="Z944" s="147" t="str">
        <f>IF(NOTA[[#This Row],[JUMLAH]]="","",NOTA[[#This Row],[DISC 1-]]+NOTA[[#This Row],[DISC 2-]])</f>
        <v/>
      </c>
      <c r="AA944" s="147" t="str">
        <f>IF(NOTA[[#This Row],[JUMLAH]]="","",NOTA[[#This Row],[JUMLAH]]-NOTA[[#This Row],[DISC]])</f>
        <v/>
      </c>
      <c r="AB94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47" t="str">
        <f>IF(OR(NOTA[[#This Row],[QTY]]="",NOTA[[#This Row],[HARGA SATUAN]]="",),"",NOTA[[#This Row],[QTY]]*NOTA[[#This Row],[HARGA SATUAN]])</f>
        <v/>
      </c>
      <c r="AF944" s="143" t="str">
        <f ca="1">IF(NOTA[ID_H]="","",INDEX(NOTA[TANGGAL],MATCH(,INDIRECT(ADDRESS(ROW(NOTA[TANGGAL]),COLUMN(NOTA[TANGGAL]))&amp;":"&amp;ADDRESS(ROW(),COLUMN(NOTA[TANGGAL]))),-1)))</f>
        <v/>
      </c>
      <c r="AG944" s="138" t="str">
        <f ca="1">IF(NOTA[[#This Row],[NAMA BARANG]]="","",INDEX(NOTA[SUPPLIER],MATCH(,INDIRECT(ADDRESS(ROW(NOTA[ID]),COLUMN(NOTA[ID]))&amp;":"&amp;ADDRESS(ROW(),COLUMN(NOTA[ID]))),-1)))</f>
        <v/>
      </c>
      <c r="AH944" s="138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93" t="str">
        <f>IF(NOTA[[#This Row],[CONCAT1]]="","",MATCH(NOTA[[#This Row],[CONCAT1]],[2]!db[NB NOTA_C],0)+1)</f>
        <v/>
      </c>
    </row>
    <row r="945" spans="1:39" ht="20.100000000000001" customHeight="1" x14ac:dyDescent="0.25">
      <c r="A945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9" t="str">
        <f>IF(NOTA[[#This Row],[ID_P]]="","",MATCH(NOTA[[#This Row],[ID_P]],[1]!B_MSK[N_ID],0))</f>
        <v/>
      </c>
      <c r="D945" s="139" t="str">
        <f ca="1">IF(NOTA[[#This Row],[NAMA BARANG]]="","",INDEX(NOTA[ID],MATCH(,INDIRECT(ADDRESS(ROW(NOTA[ID]),COLUMN(NOTA[ID]))&amp;":"&amp;ADDRESS(ROW(),COLUMN(NOTA[ID]))),-1)))</f>
        <v/>
      </c>
      <c r="E945" s="140"/>
      <c r="F945" s="141"/>
      <c r="G945" s="141"/>
      <c r="H945" s="142"/>
      <c r="I945" s="141"/>
      <c r="J945" s="143"/>
      <c r="K945" s="141"/>
      <c r="L945" s="141"/>
      <c r="M945" s="144"/>
      <c r="N945" s="141"/>
      <c r="O945" s="141"/>
      <c r="P945" s="138"/>
      <c r="Q945" s="145"/>
      <c r="R945" s="144"/>
      <c r="S945" s="146"/>
      <c r="T945" s="146"/>
      <c r="U945" s="147"/>
      <c r="V945" s="37"/>
      <c r="W945" s="147" t="str">
        <f>IF(NOTA[[#This Row],[HARGA/ CTN]]="",NOTA[[#This Row],[JUMLAH_H]],NOTA[[#This Row],[HARGA/ CTN]]*IF(NOTA[[#This Row],[C]]="",0,NOTA[[#This Row],[C]]))</f>
        <v/>
      </c>
      <c r="X945" s="147" t="str">
        <f>IF(NOTA[[#This Row],[JUMLAH]]="","",NOTA[[#This Row],[JUMLAH]]*NOTA[[#This Row],[DISC 1]])</f>
        <v/>
      </c>
      <c r="Y945" s="147" t="str">
        <f>IF(NOTA[[#This Row],[JUMLAH]]="","",(NOTA[[#This Row],[JUMLAH]]-NOTA[[#This Row],[DISC 1-]])*NOTA[[#This Row],[DISC 2]])</f>
        <v/>
      </c>
      <c r="Z945" s="147" t="str">
        <f>IF(NOTA[[#This Row],[JUMLAH]]="","",NOTA[[#This Row],[DISC 1-]]+NOTA[[#This Row],[DISC 2-]])</f>
        <v/>
      </c>
      <c r="AA945" s="147" t="str">
        <f>IF(NOTA[[#This Row],[JUMLAH]]="","",NOTA[[#This Row],[JUMLAH]]-NOTA[[#This Row],[DISC]])</f>
        <v/>
      </c>
      <c r="AB94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47" t="str">
        <f>IF(OR(NOTA[[#This Row],[QTY]]="",NOTA[[#This Row],[HARGA SATUAN]]="",),"",NOTA[[#This Row],[QTY]]*NOTA[[#This Row],[HARGA SATUAN]])</f>
        <v/>
      </c>
      <c r="AF945" s="143" t="str">
        <f ca="1">IF(NOTA[ID_H]="","",INDEX(NOTA[TANGGAL],MATCH(,INDIRECT(ADDRESS(ROW(NOTA[TANGGAL]),COLUMN(NOTA[TANGGAL]))&amp;":"&amp;ADDRESS(ROW(),COLUMN(NOTA[TANGGAL]))),-1)))</f>
        <v/>
      </c>
      <c r="AG945" s="138" t="str">
        <f ca="1">IF(NOTA[[#This Row],[NAMA BARANG]]="","",INDEX(NOTA[SUPPLIER],MATCH(,INDIRECT(ADDRESS(ROW(NOTA[ID]),COLUMN(NOTA[ID]))&amp;":"&amp;ADDRESS(ROW(),COLUMN(NOTA[ID]))),-1)))</f>
        <v/>
      </c>
      <c r="AH945" s="138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93" t="str">
        <f>IF(NOTA[[#This Row],[CONCAT1]]="","",MATCH(NOTA[[#This Row],[CONCAT1]],[2]!db[NB NOTA_C],0)+1)</f>
        <v/>
      </c>
    </row>
    <row r="946" spans="1:39" ht="20.100000000000001" customHeight="1" x14ac:dyDescent="0.25">
      <c r="A946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9" t="str">
        <f>IF(NOTA[[#This Row],[ID_P]]="","",MATCH(NOTA[[#This Row],[ID_P]],[1]!B_MSK[N_ID],0))</f>
        <v/>
      </c>
      <c r="D946" s="139" t="str">
        <f ca="1">IF(NOTA[[#This Row],[NAMA BARANG]]="","",INDEX(NOTA[ID],MATCH(,INDIRECT(ADDRESS(ROW(NOTA[ID]),COLUMN(NOTA[ID]))&amp;":"&amp;ADDRESS(ROW(),COLUMN(NOTA[ID]))),-1)))</f>
        <v/>
      </c>
      <c r="E946" s="140"/>
      <c r="F946" s="141"/>
      <c r="G946" s="141"/>
      <c r="H946" s="142"/>
      <c r="I946" s="141"/>
      <c r="J946" s="143"/>
      <c r="K946" s="141"/>
      <c r="L946" s="141"/>
      <c r="M946" s="144"/>
      <c r="N946" s="141"/>
      <c r="O946" s="141"/>
      <c r="P946" s="138"/>
      <c r="Q946" s="145"/>
      <c r="R946" s="144"/>
      <c r="S946" s="146"/>
      <c r="T946" s="146"/>
      <c r="U946" s="147"/>
      <c r="V946" s="37"/>
      <c r="W946" s="147" t="str">
        <f>IF(NOTA[[#This Row],[HARGA/ CTN]]="",NOTA[[#This Row],[JUMLAH_H]],NOTA[[#This Row],[HARGA/ CTN]]*IF(NOTA[[#This Row],[C]]="",0,NOTA[[#This Row],[C]]))</f>
        <v/>
      </c>
      <c r="X946" s="147" t="str">
        <f>IF(NOTA[[#This Row],[JUMLAH]]="","",NOTA[[#This Row],[JUMLAH]]*NOTA[[#This Row],[DISC 1]])</f>
        <v/>
      </c>
      <c r="Y946" s="147" t="str">
        <f>IF(NOTA[[#This Row],[JUMLAH]]="","",(NOTA[[#This Row],[JUMLAH]]-NOTA[[#This Row],[DISC 1-]])*NOTA[[#This Row],[DISC 2]])</f>
        <v/>
      </c>
      <c r="Z946" s="147" t="str">
        <f>IF(NOTA[[#This Row],[JUMLAH]]="","",NOTA[[#This Row],[DISC 1-]]+NOTA[[#This Row],[DISC 2-]])</f>
        <v/>
      </c>
      <c r="AA946" s="147" t="str">
        <f>IF(NOTA[[#This Row],[JUMLAH]]="","",NOTA[[#This Row],[JUMLAH]]-NOTA[[#This Row],[DISC]])</f>
        <v/>
      </c>
      <c r="AB94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47" t="str">
        <f>IF(OR(NOTA[[#This Row],[QTY]]="",NOTA[[#This Row],[HARGA SATUAN]]="",),"",NOTA[[#This Row],[QTY]]*NOTA[[#This Row],[HARGA SATUAN]])</f>
        <v/>
      </c>
      <c r="AF946" s="143" t="str">
        <f ca="1">IF(NOTA[ID_H]="","",INDEX(NOTA[TANGGAL],MATCH(,INDIRECT(ADDRESS(ROW(NOTA[TANGGAL]),COLUMN(NOTA[TANGGAL]))&amp;":"&amp;ADDRESS(ROW(),COLUMN(NOTA[TANGGAL]))),-1)))</f>
        <v/>
      </c>
      <c r="AG946" s="138" t="str">
        <f ca="1">IF(NOTA[[#This Row],[NAMA BARANG]]="","",INDEX(NOTA[SUPPLIER],MATCH(,INDIRECT(ADDRESS(ROW(NOTA[ID]),COLUMN(NOTA[ID]))&amp;":"&amp;ADDRESS(ROW(),COLUMN(NOTA[ID]))),-1)))</f>
        <v/>
      </c>
      <c r="AH946" s="138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93" t="str">
        <f>IF(NOTA[[#This Row],[CONCAT1]]="","",MATCH(NOTA[[#This Row],[CONCAT1]],[2]!db[NB NOTA_C],0)+1)</f>
        <v/>
      </c>
    </row>
    <row r="947" spans="1:39" ht="20.100000000000001" customHeight="1" x14ac:dyDescent="0.25">
      <c r="A947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9" t="str">
        <f>IF(NOTA[[#This Row],[ID_P]]="","",MATCH(NOTA[[#This Row],[ID_P]],[1]!B_MSK[N_ID],0))</f>
        <v/>
      </c>
      <c r="D947" s="139" t="str">
        <f ca="1">IF(NOTA[[#This Row],[NAMA BARANG]]="","",INDEX(NOTA[ID],MATCH(,INDIRECT(ADDRESS(ROW(NOTA[ID]),COLUMN(NOTA[ID]))&amp;":"&amp;ADDRESS(ROW(),COLUMN(NOTA[ID]))),-1)))</f>
        <v/>
      </c>
      <c r="E947" s="140"/>
      <c r="F947" s="141"/>
      <c r="G947" s="141"/>
      <c r="H947" s="142"/>
      <c r="I947" s="141"/>
      <c r="J947" s="143"/>
      <c r="K947" s="141"/>
      <c r="L947" s="141"/>
      <c r="M947" s="144"/>
      <c r="N947" s="141"/>
      <c r="O947" s="141"/>
      <c r="P947" s="138"/>
      <c r="Q947" s="145"/>
      <c r="R947" s="144"/>
      <c r="S947" s="146"/>
      <c r="T947" s="146"/>
      <c r="U947" s="147"/>
      <c r="V947" s="37"/>
      <c r="W947" s="147" t="str">
        <f>IF(NOTA[[#This Row],[HARGA/ CTN]]="",NOTA[[#This Row],[JUMLAH_H]],NOTA[[#This Row],[HARGA/ CTN]]*IF(NOTA[[#This Row],[C]]="",0,NOTA[[#This Row],[C]]))</f>
        <v/>
      </c>
      <c r="X947" s="147" t="str">
        <f>IF(NOTA[[#This Row],[JUMLAH]]="","",NOTA[[#This Row],[JUMLAH]]*NOTA[[#This Row],[DISC 1]])</f>
        <v/>
      </c>
      <c r="Y947" s="147" t="str">
        <f>IF(NOTA[[#This Row],[JUMLAH]]="","",(NOTA[[#This Row],[JUMLAH]]-NOTA[[#This Row],[DISC 1-]])*NOTA[[#This Row],[DISC 2]])</f>
        <v/>
      </c>
      <c r="Z947" s="147" t="str">
        <f>IF(NOTA[[#This Row],[JUMLAH]]="","",NOTA[[#This Row],[DISC 1-]]+NOTA[[#This Row],[DISC 2-]])</f>
        <v/>
      </c>
      <c r="AA947" s="147" t="str">
        <f>IF(NOTA[[#This Row],[JUMLAH]]="","",NOTA[[#This Row],[JUMLAH]]-NOTA[[#This Row],[DISC]])</f>
        <v/>
      </c>
      <c r="AB94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47" t="str">
        <f>IF(OR(NOTA[[#This Row],[QTY]]="",NOTA[[#This Row],[HARGA SATUAN]]="",),"",NOTA[[#This Row],[QTY]]*NOTA[[#This Row],[HARGA SATUAN]])</f>
        <v/>
      </c>
      <c r="AF947" s="143" t="str">
        <f ca="1">IF(NOTA[ID_H]="","",INDEX(NOTA[TANGGAL],MATCH(,INDIRECT(ADDRESS(ROW(NOTA[TANGGAL]),COLUMN(NOTA[TANGGAL]))&amp;":"&amp;ADDRESS(ROW(),COLUMN(NOTA[TANGGAL]))),-1)))</f>
        <v/>
      </c>
      <c r="AG947" s="138" t="str">
        <f ca="1">IF(NOTA[[#This Row],[NAMA BARANG]]="","",INDEX(NOTA[SUPPLIER],MATCH(,INDIRECT(ADDRESS(ROW(NOTA[ID]),COLUMN(NOTA[ID]))&amp;":"&amp;ADDRESS(ROW(),COLUMN(NOTA[ID]))),-1)))</f>
        <v/>
      </c>
      <c r="AH947" s="138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93" t="str">
        <f>IF(NOTA[[#This Row],[CONCAT1]]="","",MATCH(NOTA[[#This Row],[CONCAT1]],[2]!db[NB NOTA_C],0)+1)</f>
        <v/>
      </c>
    </row>
    <row r="948" spans="1:39" ht="20.100000000000001" customHeight="1" x14ac:dyDescent="0.25">
      <c r="A948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9" t="str">
        <f>IF(NOTA[[#This Row],[ID_P]]="","",MATCH(NOTA[[#This Row],[ID_P]],[1]!B_MSK[N_ID],0))</f>
        <v/>
      </c>
      <c r="D948" s="139" t="str">
        <f ca="1">IF(NOTA[[#This Row],[NAMA BARANG]]="","",INDEX(NOTA[ID],MATCH(,INDIRECT(ADDRESS(ROW(NOTA[ID]),COLUMN(NOTA[ID]))&amp;":"&amp;ADDRESS(ROW(),COLUMN(NOTA[ID]))),-1)))</f>
        <v/>
      </c>
      <c r="E948" s="140"/>
      <c r="F948" s="141"/>
      <c r="G948" s="141"/>
      <c r="H948" s="142"/>
      <c r="I948" s="141"/>
      <c r="J948" s="143"/>
      <c r="K948" s="141"/>
      <c r="L948" s="141"/>
      <c r="M948" s="144"/>
      <c r="N948" s="141"/>
      <c r="O948" s="141"/>
      <c r="P948" s="138"/>
      <c r="Q948" s="145"/>
      <c r="R948" s="144"/>
      <c r="S948" s="146"/>
      <c r="T948" s="146"/>
      <c r="U948" s="147"/>
      <c r="V948" s="37"/>
      <c r="W948" s="147" t="str">
        <f>IF(NOTA[[#This Row],[HARGA/ CTN]]="",NOTA[[#This Row],[JUMLAH_H]],NOTA[[#This Row],[HARGA/ CTN]]*IF(NOTA[[#This Row],[C]]="",0,NOTA[[#This Row],[C]]))</f>
        <v/>
      </c>
      <c r="X948" s="147" t="str">
        <f>IF(NOTA[[#This Row],[JUMLAH]]="","",NOTA[[#This Row],[JUMLAH]]*NOTA[[#This Row],[DISC 1]])</f>
        <v/>
      </c>
      <c r="Y948" s="147" t="str">
        <f>IF(NOTA[[#This Row],[JUMLAH]]="","",(NOTA[[#This Row],[JUMLAH]]-NOTA[[#This Row],[DISC 1-]])*NOTA[[#This Row],[DISC 2]])</f>
        <v/>
      </c>
      <c r="Z948" s="147" t="str">
        <f>IF(NOTA[[#This Row],[JUMLAH]]="","",NOTA[[#This Row],[DISC 1-]]+NOTA[[#This Row],[DISC 2-]])</f>
        <v/>
      </c>
      <c r="AA948" s="147" t="str">
        <f>IF(NOTA[[#This Row],[JUMLAH]]="","",NOTA[[#This Row],[JUMLAH]]-NOTA[[#This Row],[DISC]])</f>
        <v/>
      </c>
      <c r="AB94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47" t="str">
        <f>IF(OR(NOTA[[#This Row],[QTY]]="",NOTA[[#This Row],[HARGA SATUAN]]="",),"",NOTA[[#This Row],[QTY]]*NOTA[[#This Row],[HARGA SATUAN]])</f>
        <v/>
      </c>
      <c r="AF948" s="143" t="str">
        <f ca="1">IF(NOTA[ID_H]="","",INDEX(NOTA[TANGGAL],MATCH(,INDIRECT(ADDRESS(ROW(NOTA[TANGGAL]),COLUMN(NOTA[TANGGAL]))&amp;":"&amp;ADDRESS(ROW(),COLUMN(NOTA[TANGGAL]))),-1)))</f>
        <v/>
      </c>
      <c r="AG948" s="138" t="str">
        <f ca="1">IF(NOTA[[#This Row],[NAMA BARANG]]="","",INDEX(NOTA[SUPPLIER],MATCH(,INDIRECT(ADDRESS(ROW(NOTA[ID]),COLUMN(NOTA[ID]))&amp;":"&amp;ADDRESS(ROW(),COLUMN(NOTA[ID]))),-1)))</f>
        <v/>
      </c>
      <c r="AH948" s="138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93" t="str">
        <f>IF(NOTA[[#This Row],[CONCAT1]]="","",MATCH(NOTA[[#This Row],[CONCAT1]],[2]!db[NB NOTA_C],0)+1)</f>
        <v/>
      </c>
    </row>
    <row r="949" spans="1:39" ht="20.100000000000001" customHeight="1" x14ac:dyDescent="0.25">
      <c r="A949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9" t="str">
        <f>IF(NOTA[[#This Row],[ID_P]]="","",MATCH(NOTA[[#This Row],[ID_P]],[1]!B_MSK[N_ID],0))</f>
        <v/>
      </c>
      <c r="D949" s="139" t="str">
        <f ca="1">IF(NOTA[[#This Row],[NAMA BARANG]]="","",INDEX(NOTA[ID],MATCH(,INDIRECT(ADDRESS(ROW(NOTA[ID]),COLUMN(NOTA[ID]))&amp;":"&amp;ADDRESS(ROW(),COLUMN(NOTA[ID]))),-1)))</f>
        <v/>
      </c>
      <c r="E949" s="140"/>
      <c r="F949" s="141"/>
      <c r="G949" s="141"/>
      <c r="H949" s="142"/>
      <c r="I949" s="141"/>
      <c r="J949" s="143"/>
      <c r="K949" s="141"/>
      <c r="L949" s="141"/>
      <c r="M949" s="144"/>
      <c r="N949" s="141"/>
      <c r="O949" s="141"/>
      <c r="P949" s="138"/>
      <c r="Q949" s="145"/>
      <c r="R949" s="144"/>
      <c r="S949" s="146"/>
      <c r="T949" s="146"/>
      <c r="U949" s="147"/>
      <c r="V949" s="37"/>
      <c r="W949" s="147" t="str">
        <f>IF(NOTA[[#This Row],[HARGA/ CTN]]="",NOTA[[#This Row],[JUMLAH_H]],NOTA[[#This Row],[HARGA/ CTN]]*IF(NOTA[[#This Row],[C]]="",0,NOTA[[#This Row],[C]]))</f>
        <v/>
      </c>
      <c r="X949" s="147" t="str">
        <f>IF(NOTA[[#This Row],[JUMLAH]]="","",NOTA[[#This Row],[JUMLAH]]*NOTA[[#This Row],[DISC 1]])</f>
        <v/>
      </c>
      <c r="Y949" s="147" t="str">
        <f>IF(NOTA[[#This Row],[JUMLAH]]="","",(NOTA[[#This Row],[JUMLAH]]-NOTA[[#This Row],[DISC 1-]])*NOTA[[#This Row],[DISC 2]])</f>
        <v/>
      </c>
      <c r="Z949" s="147" t="str">
        <f>IF(NOTA[[#This Row],[JUMLAH]]="","",NOTA[[#This Row],[DISC 1-]]+NOTA[[#This Row],[DISC 2-]])</f>
        <v/>
      </c>
      <c r="AA949" s="147" t="str">
        <f>IF(NOTA[[#This Row],[JUMLAH]]="","",NOTA[[#This Row],[JUMLAH]]-NOTA[[#This Row],[DISC]])</f>
        <v/>
      </c>
      <c r="AB94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47" t="str">
        <f>IF(OR(NOTA[[#This Row],[QTY]]="",NOTA[[#This Row],[HARGA SATUAN]]="",),"",NOTA[[#This Row],[QTY]]*NOTA[[#This Row],[HARGA SATUAN]])</f>
        <v/>
      </c>
      <c r="AF949" s="143" t="str">
        <f ca="1">IF(NOTA[ID_H]="","",INDEX(NOTA[TANGGAL],MATCH(,INDIRECT(ADDRESS(ROW(NOTA[TANGGAL]),COLUMN(NOTA[TANGGAL]))&amp;":"&amp;ADDRESS(ROW(),COLUMN(NOTA[TANGGAL]))),-1)))</f>
        <v/>
      </c>
      <c r="AG949" s="138" t="str">
        <f ca="1">IF(NOTA[[#This Row],[NAMA BARANG]]="","",INDEX(NOTA[SUPPLIER],MATCH(,INDIRECT(ADDRESS(ROW(NOTA[ID]),COLUMN(NOTA[ID]))&amp;":"&amp;ADDRESS(ROW(),COLUMN(NOTA[ID]))),-1)))</f>
        <v/>
      </c>
      <c r="AH949" s="138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93" t="str">
        <f>IF(NOTA[[#This Row],[CONCAT1]]="","",MATCH(NOTA[[#This Row],[CONCAT1]],[2]!db[NB NOTA_C],0)+1)</f>
        <v/>
      </c>
    </row>
    <row r="950" spans="1:39" ht="20.100000000000001" customHeight="1" x14ac:dyDescent="0.25">
      <c r="A950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9" t="str">
        <f>IF(NOTA[[#This Row],[ID_P]]="","",MATCH(NOTA[[#This Row],[ID_P]],[1]!B_MSK[N_ID],0))</f>
        <v/>
      </c>
      <c r="D950" s="139" t="str">
        <f ca="1">IF(NOTA[[#This Row],[NAMA BARANG]]="","",INDEX(NOTA[ID],MATCH(,INDIRECT(ADDRESS(ROW(NOTA[ID]),COLUMN(NOTA[ID]))&amp;":"&amp;ADDRESS(ROW(),COLUMN(NOTA[ID]))),-1)))</f>
        <v/>
      </c>
      <c r="E950" s="140"/>
      <c r="F950" s="141"/>
      <c r="G950" s="141"/>
      <c r="H950" s="142"/>
      <c r="I950" s="141"/>
      <c r="J950" s="143"/>
      <c r="K950" s="141"/>
      <c r="L950" s="141"/>
      <c r="M950" s="144"/>
      <c r="N950" s="141"/>
      <c r="O950" s="141"/>
      <c r="P950" s="138"/>
      <c r="Q950" s="145"/>
      <c r="R950" s="144"/>
      <c r="S950" s="146"/>
      <c r="T950" s="146"/>
      <c r="U950" s="147"/>
      <c r="V950" s="37"/>
      <c r="W950" s="147" t="str">
        <f>IF(NOTA[[#This Row],[HARGA/ CTN]]="",NOTA[[#This Row],[JUMLAH_H]],NOTA[[#This Row],[HARGA/ CTN]]*IF(NOTA[[#This Row],[C]]="",0,NOTA[[#This Row],[C]]))</f>
        <v/>
      </c>
      <c r="X950" s="147" t="str">
        <f>IF(NOTA[[#This Row],[JUMLAH]]="","",NOTA[[#This Row],[JUMLAH]]*NOTA[[#This Row],[DISC 1]])</f>
        <v/>
      </c>
      <c r="Y950" s="147" t="str">
        <f>IF(NOTA[[#This Row],[JUMLAH]]="","",(NOTA[[#This Row],[JUMLAH]]-NOTA[[#This Row],[DISC 1-]])*NOTA[[#This Row],[DISC 2]])</f>
        <v/>
      </c>
      <c r="Z950" s="147" t="str">
        <f>IF(NOTA[[#This Row],[JUMLAH]]="","",NOTA[[#This Row],[DISC 1-]]+NOTA[[#This Row],[DISC 2-]])</f>
        <v/>
      </c>
      <c r="AA950" s="147" t="str">
        <f>IF(NOTA[[#This Row],[JUMLAH]]="","",NOTA[[#This Row],[JUMLAH]]-NOTA[[#This Row],[DISC]])</f>
        <v/>
      </c>
      <c r="AB95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47" t="str">
        <f>IF(OR(NOTA[[#This Row],[QTY]]="",NOTA[[#This Row],[HARGA SATUAN]]="",),"",NOTA[[#This Row],[QTY]]*NOTA[[#This Row],[HARGA SATUAN]])</f>
        <v/>
      </c>
      <c r="AF950" s="143" t="str">
        <f ca="1">IF(NOTA[ID_H]="","",INDEX(NOTA[TANGGAL],MATCH(,INDIRECT(ADDRESS(ROW(NOTA[TANGGAL]),COLUMN(NOTA[TANGGAL]))&amp;":"&amp;ADDRESS(ROW(),COLUMN(NOTA[TANGGAL]))),-1)))</f>
        <v/>
      </c>
      <c r="AG950" s="138" t="str">
        <f ca="1">IF(NOTA[[#This Row],[NAMA BARANG]]="","",INDEX(NOTA[SUPPLIER],MATCH(,INDIRECT(ADDRESS(ROW(NOTA[ID]),COLUMN(NOTA[ID]))&amp;":"&amp;ADDRESS(ROW(),COLUMN(NOTA[ID]))),-1)))</f>
        <v/>
      </c>
      <c r="AH950" s="138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93" t="str">
        <f>IF(NOTA[[#This Row],[CONCAT1]]="","",MATCH(NOTA[[#This Row],[CONCAT1]],[2]!db[NB NOTA_C],0)+1)</f>
        <v/>
      </c>
    </row>
    <row r="951" spans="1:39" ht="20.100000000000001" customHeight="1" x14ac:dyDescent="0.25">
      <c r="A951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9" t="str">
        <f>IF(NOTA[[#This Row],[ID_P]]="","",MATCH(NOTA[[#This Row],[ID_P]],[1]!B_MSK[N_ID],0))</f>
        <v/>
      </c>
      <c r="D951" s="139" t="str">
        <f ca="1">IF(NOTA[[#This Row],[NAMA BARANG]]="","",INDEX(NOTA[ID],MATCH(,INDIRECT(ADDRESS(ROW(NOTA[ID]),COLUMN(NOTA[ID]))&amp;":"&amp;ADDRESS(ROW(),COLUMN(NOTA[ID]))),-1)))</f>
        <v/>
      </c>
      <c r="E951" s="140"/>
      <c r="F951" s="141"/>
      <c r="G951" s="141"/>
      <c r="H951" s="142"/>
      <c r="I951" s="141"/>
      <c r="J951" s="143"/>
      <c r="K951" s="141"/>
      <c r="L951" s="141"/>
      <c r="M951" s="144"/>
      <c r="N951" s="141"/>
      <c r="O951" s="141"/>
      <c r="P951" s="138"/>
      <c r="Q951" s="145"/>
      <c r="R951" s="144"/>
      <c r="S951" s="146"/>
      <c r="T951" s="146"/>
      <c r="U951" s="147"/>
      <c r="V951" s="37"/>
      <c r="W951" s="147" t="str">
        <f>IF(NOTA[[#This Row],[HARGA/ CTN]]="",NOTA[[#This Row],[JUMLAH_H]],NOTA[[#This Row],[HARGA/ CTN]]*IF(NOTA[[#This Row],[C]]="",0,NOTA[[#This Row],[C]]))</f>
        <v/>
      </c>
      <c r="X951" s="147" t="str">
        <f>IF(NOTA[[#This Row],[JUMLAH]]="","",NOTA[[#This Row],[JUMLAH]]*NOTA[[#This Row],[DISC 1]])</f>
        <v/>
      </c>
      <c r="Y951" s="147" t="str">
        <f>IF(NOTA[[#This Row],[JUMLAH]]="","",(NOTA[[#This Row],[JUMLAH]]-NOTA[[#This Row],[DISC 1-]])*NOTA[[#This Row],[DISC 2]])</f>
        <v/>
      </c>
      <c r="Z951" s="147" t="str">
        <f>IF(NOTA[[#This Row],[JUMLAH]]="","",NOTA[[#This Row],[DISC 1-]]+NOTA[[#This Row],[DISC 2-]])</f>
        <v/>
      </c>
      <c r="AA951" s="147" t="str">
        <f>IF(NOTA[[#This Row],[JUMLAH]]="","",NOTA[[#This Row],[JUMLAH]]-NOTA[[#This Row],[DISC]])</f>
        <v/>
      </c>
      <c r="AB95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47" t="str">
        <f>IF(OR(NOTA[[#This Row],[QTY]]="",NOTA[[#This Row],[HARGA SATUAN]]="",),"",NOTA[[#This Row],[QTY]]*NOTA[[#This Row],[HARGA SATUAN]])</f>
        <v/>
      </c>
      <c r="AF951" s="143" t="str">
        <f ca="1">IF(NOTA[ID_H]="","",INDEX(NOTA[TANGGAL],MATCH(,INDIRECT(ADDRESS(ROW(NOTA[TANGGAL]),COLUMN(NOTA[TANGGAL]))&amp;":"&amp;ADDRESS(ROW(),COLUMN(NOTA[TANGGAL]))),-1)))</f>
        <v/>
      </c>
      <c r="AG951" s="138" t="str">
        <f ca="1">IF(NOTA[[#This Row],[NAMA BARANG]]="","",INDEX(NOTA[SUPPLIER],MATCH(,INDIRECT(ADDRESS(ROW(NOTA[ID]),COLUMN(NOTA[ID]))&amp;":"&amp;ADDRESS(ROW(),COLUMN(NOTA[ID]))),-1)))</f>
        <v/>
      </c>
      <c r="AH951" s="138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93" t="str">
        <f>IF(NOTA[[#This Row],[CONCAT1]]="","",MATCH(NOTA[[#This Row],[CONCAT1]],[2]!db[NB NOTA_C],0)+1)</f>
        <v/>
      </c>
    </row>
    <row r="952" spans="1:39" ht="20.100000000000001" customHeight="1" x14ac:dyDescent="0.25">
      <c r="A952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9" t="str">
        <f>IF(NOTA[[#This Row],[ID_P]]="","",MATCH(NOTA[[#This Row],[ID_P]],[1]!B_MSK[N_ID],0))</f>
        <v/>
      </c>
      <c r="D952" s="139" t="str">
        <f ca="1">IF(NOTA[[#This Row],[NAMA BARANG]]="","",INDEX(NOTA[ID],MATCH(,INDIRECT(ADDRESS(ROW(NOTA[ID]),COLUMN(NOTA[ID]))&amp;":"&amp;ADDRESS(ROW(),COLUMN(NOTA[ID]))),-1)))</f>
        <v/>
      </c>
      <c r="E952" s="140"/>
      <c r="F952" s="26"/>
      <c r="G952" s="141"/>
      <c r="H952" s="142"/>
      <c r="I952" s="141"/>
      <c r="J952" s="143"/>
      <c r="K952" s="141"/>
      <c r="L952" s="141"/>
      <c r="M952" s="144"/>
      <c r="N952" s="141"/>
      <c r="O952" s="141"/>
      <c r="P952" s="138"/>
      <c r="Q952" s="145"/>
      <c r="R952" s="144"/>
      <c r="S952" s="146"/>
      <c r="T952" s="146"/>
      <c r="U952" s="147"/>
      <c r="V952" s="37"/>
      <c r="W952" s="147" t="str">
        <f>IF(NOTA[[#This Row],[HARGA/ CTN]]="",NOTA[[#This Row],[JUMLAH_H]],NOTA[[#This Row],[HARGA/ CTN]]*IF(NOTA[[#This Row],[C]]="",0,NOTA[[#This Row],[C]]))</f>
        <v/>
      </c>
      <c r="X952" s="147" t="str">
        <f>IF(NOTA[[#This Row],[JUMLAH]]="","",NOTA[[#This Row],[JUMLAH]]*NOTA[[#This Row],[DISC 1]])</f>
        <v/>
      </c>
      <c r="Y952" s="147" t="str">
        <f>IF(NOTA[[#This Row],[JUMLAH]]="","",(NOTA[[#This Row],[JUMLAH]]-NOTA[[#This Row],[DISC 1-]])*NOTA[[#This Row],[DISC 2]])</f>
        <v/>
      </c>
      <c r="Z952" s="147" t="str">
        <f>IF(NOTA[[#This Row],[JUMLAH]]="","",NOTA[[#This Row],[DISC 1-]]+NOTA[[#This Row],[DISC 2-]])</f>
        <v/>
      </c>
      <c r="AA952" s="147" t="str">
        <f>IF(NOTA[[#This Row],[JUMLAH]]="","",NOTA[[#This Row],[JUMLAH]]-NOTA[[#This Row],[DISC]])</f>
        <v/>
      </c>
      <c r="AB95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47" t="str">
        <f>IF(OR(NOTA[[#This Row],[QTY]]="",NOTA[[#This Row],[HARGA SATUAN]]="",),"",NOTA[[#This Row],[QTY]]*NOTA[[#This Row],[HARGA SATUAN]])</f>
        <v/>
      </c>
      <c r="AF952" s="143" t="str">
        <f ca="1">IF(NOTA[ID_H]="","",INDEX(NOTA[TANGGAL],MATCH(,INDIRECT(ADDRESS(ROW(NOTA[TANGGAL]),COLUMN(NOTA[TANGGAL]))&amp;":"&amp;ADDRESS(ROW(),COLUMN(NOTA[TANGGAL]))),-1)))</f>
        <v/>
      </c>
      <c r="AG952" s="138" t="str">
        <f ca="1">IF(NOTA[[#This Row],[NAMA BARANG]]="","",INDEX(NOTA[SUPPLIER],MATCH(,INDIRECT(ADDRESS(ROW(NOTA[ID]),COLUMN(NOTA[ID]))&amp;":"&amp;ADDRESS(ROW(),COLUMN(NOTA[ID]))),-1)))</f>
        <v/>
      </c>
      <c r="AH952" s="138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93" t="str">
        <f>IF(NOTA[[#This Row],[CONCAT1]]="","",MATCH(NOTA[[#This Row],[CONCAT1]],[2]!db[NB NOTA_C],0)+1)</f>
        <v/>
      </c>
    </row>
    <row r="953" spans="1:39" ht="20.100000000000001" customHeight="1" x14ac:dyDescent="0.25">
      <c r="A953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9" t="str">
        <f>IF(NOTA[[#This Row],[ID_P]]="","",MATCH(NOTA[[#This Row],[ID_P]],[1]!B_MSK[N_ID],0))</f>
        <v/>
      </c>
      <c r="D953" s="139" t="str">
        <f ca="1">IF(NOTA[[#This Row],[NAMA BARANG]]="","",INDEX(NOTA[ID],MATCH(,INDIRECT(ADDRESS(ROW(NOTA[ID]),COLUMN(NOTA[ID]))&amp;":"&amp;ADDRESS(ROW(),COLUMN(NOTA[ID]))),-1)))</f>
        <v/>
      </c>
      <c r="E953" s="140"/>
      <c r="F953" s="141"/>
      <c r="G953" s="141"/>
      <c r="H953" s="142"/>
      <c r="I953" s="141"/>
      <c r="J953" s="143"/>
      <c r="K953" s="141"/>
      <c r="L953" s="141"/>
      <c r="M953" s="144"/>
      <c r="N953" s="141"/>
      <c r="O953" s="141"/>
      <c r="P953" s="138"/>
      <c r="Q953" s="145"/>
      <c r="R953" s="144"/>
      <c r="S953" s="146"/>
      <c r="T953" s="146"/>
      <c r="U953" s="147"/>
      <c r="V953" s="37"/>
      <c r="W953" s="147" t="str">
        <f>IF(NOTA[[#This Row],[HARGA/ CTN]]="",NOTA[[#This Row],[JUMLAH_H]],NOTA[[#This Row],[HARGA/ CTN]]*IF(NOTA[[#This Row],[C]]="",0,NOTA[[#This Row],[C]]))</f>
        <v/>
      </c>
      <c r="X953" s="147" t="str">
        <f>IF(NOTA[[#This Row],[JUMLAH]]="","",NOTA[[#This Row],[JUMLAH]]*NOTA[[#This Row],[DISC 1]])</f>
        <v/>
      </c>
      <c r="Y953" s="147" t="str">
        <f>IF(NOTA[[#This Row],[JUMLAH]]="","",(NOTA[[#This Row],[JUMLAH]]-NOTA[[#This Row],[DISC 1-]])*NOTA[[#This Row],[DISC 2]])</f>
        <v/>
      </c>
      <c r="Z953" s="147" t="str">
        <f>IF(NOTA[[#This Row],[JUMLAH]]="","",NOTA[[#This Row],[DISC 1-]]+NOTA[[#This Row],[DISC 2-]])</f>
        <v/>
      </c>
      <c r="AA953" s="147" t="str">
        <f>IF(NOTA[[#This Row],[JUMLAH]]="","",NOTA[[#This Row],[JUMLAH]]-NOTA[[#This Row],[DISC]])</f>
        <v/>
      </c>
      <c r="AB95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47" t="str">
        <f>IF(OR(NOTA[[#This Row],[QTY]]="",NOTA[[#This Row],[HARGA SATUAN]]="",),"",NOTA[[#This Row],[QTY]]*NOTA[[#This Row],[HARGA SATUAN]])</f>
        <v/>
      </c>
      <c r="AF953" s="143" t="str">
        <f ca="1">IF(NOTA[ID_H]="","",INDEX(NOTA[TANGGAL],MATCH(,INDIRECT(ADDRESS(ROW(NOTA[TANGGAL]),COLUMN(NOTA[TANGGAL]))&amp;":"&amp;ADDRESS(ROW(),COLUMN(NOTA[TANGGAL]))),-1)))</f>
        <v/>
      </c>
      <c r="AG953" s="138" t="str">
        <f ca="1">IF(NOTA[[#This Row],[NAMA BARANG]]="","",INDEX(NOTA[SUPPLIER],MATCH(,INDIRECT(ADDRESS(ROW(NOTA[ID]),COLUMN(NOTA[ID]))&amp;":"&amp;ADDRESS(ROW(),COLUMN(NOTA[ID]))),-1)))</f>
        <v/>
      </c>
      <c r="AH953" s="138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93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48"/>
      <c r="F954" s="38"/>
      <c r="G954" s="38"/>
      <c r="H954" s="79"/>
      <c r="I954" s="38"/>
      <c r="J954" s="78"/>
      <c r="K954" s="38"/>
      <c r="L954" s="38"/>
      <c r="M954" s="149"/>
      <c r="N954" s="38"/>
      <c r="O954" s="38"/>
      <c r="P954" s="90"/>
      <c r="Q954" s="105"/>
      <c r="R954" s="149"/>
      <c r="S954" s="150"/>
      <c r="T954" s="150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93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48"/>
      <c r="F955" s="38"/>
      <c r="G955" s="38"/>
      <c r="H955" s="79"/>
      <c r="I955" s="38"/>
      <c r="J955" s="78"/>
      <c r="K955" s="38"/>
      <c r="L955" s="38"/>
      <c r="M955" s="149"/>
      <c r="N955" s="38"/>
      <c r="O955" s="38"/>
      <c r="P955" s="90"/>
      <c r="Q955" s="105"/>
      <c r="R955" s="149"/>
      <c r="S955" s="150"/>
      <c r="T955" s="150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93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48"/>
      <c r="F956" s="38"/>
      <c r="G956" s="38"/>
      <c r="H956" s="79"/>
      <c r="I956" s="38"/>
      <c r="J956" s="78"/>
      <c r="K956" s="38"/>
      <c r="L956" s="38"/>
      <c r="M956" s="149"/>
      <c r="N956" s="38"/>
      <c r="O956" s="38"/>
      <c r="P956" s="90"/>
      <c r="Q956" s="105"/>
      <c r="R956" s="149"/>
      <c r="S956" s="150"/>
      <c r="T956" s="150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93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48"/>
      <c r="F957" s="38"/>
      <c r="G957" s="38"/>
      <c r="H957" s="79"/>
      <c r="I957" s="38"/>
      <c r="J957" s="78"/>
      <c r="K957" s="38"/>
      <c r="L957" s="38"/>
      <c r="M957" s="149"/>
      <c r="N957" s="38"/>
      <c r="O957" s="38"/>
      <c r="P957" s="90"/>
      <c r="Q957" s="105"/>
      <c r="R957" s="149"/>
      <c r="S957" s="150"/>
      <c r="T957" s="150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93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48"/>
      <c r="F958" s="38"/>
      <c r="G958" s="38"/>
      <c r="H958" s="79"/>
      <c r="I958" s="38"/>
      <c r="J958" s="78"/>
      <c r="K958" s="38"/>
      <c r="L958" s="38"/>
      <c r="M958" s="149"/>
      <c r="N958" s="38"/>
      <c r="O958" s="38"/>
      <c r="P958" s="90"/>
      <c r="Q958" s="105"/>
      <c r="R958" s="149"/>
      <c r="S958" s="150"/>
      <c r="T958" s="150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93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48"/>
      <c r="F959" s="38"/>
      <c r="G959" s="38"/>
      <c r="H959" s="79"/>
      <c r="I959" s="38"/>
      <c r="J959" s="78"/>
      <c r="K959" s="38"/>
      <c r="L959" s="38"/>
      <c r="M959" s="149"/>
      <c r="N959" s="38"/>
      <c r="O959" s="38"/>
      <c r="P959" s="90"/>
      <c r="Q959" s="105"/>
      <c r="R959" s="149"/>
      <c r="S959" s="150"/>
      <c r="T959" s="150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93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48"/>
      <c r="F960" s="38"/>
      <c r="G960" s="38"/>
      <c r="H960" s="79"/>
      <c r="I960" s="38"/>
      <c r="J960" s="78"/>
      <c r="K960" s="38"/>
      <c r="L960" s="38"/>
      <c r="M960" s="149"/>
      <c r="N960" s="38"/>
      <c r="O960" s="38"/>
      <c r="P960" s="90"/>
      <c r="Q960" s="105"/>
      <c r="R960" s="149"/>
      <c r="S960" s="150"/>
      <c r="T960" s="150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93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48"/>
      <c r="F961" s="38"/>
      <c r="G961" s="38"/>
      <c r="H961" s="79"/>
      <c r="I961" s="38"/>
      <c r="J961" s="78"/>
      <c r="K961" s="38"/>
      <c r="L961" s="38"/>
      <c r="M961" s="149"/>
      <c r="N961" s="38"/>
      <c r="O961" s="38"/>
      <c r="P961" s="90"/>
      <c r="Q961" s="105"/>
      <c r="R961" s="149"/>
      <c r="S961" s="150"/>
      <c r="T961" s="150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93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48"/>
      <c r="F962" s="38"/>
      <c r="G962" s="38"/>
      <c r="H962" s="79"/>
      <c r="I962" s="38"/>
      <c r="J962" s="78"/>
      <c r="K962" s="38"/>
      <c r="L962" s="38"/>
      <c r="M962" s="149"/>
      <c r="N962" s="38"/>
      <c r="O962" s="38"/>
      <c r="P962" s="90"/>
      <c r="Q962" s="105"/>
      <c r="R962" s="149"/>
      <c r="S962" s="150"/>
      <c r="T962" s="150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93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48"/>
      <c r="F963" s="38"/>
      <c r="G963" s="38"/>
      <c r="H963" s="79"/>
      <c r="I963" s="38"/>
      <c r="J963" s="78"/>
      <c r="K963" s="38"/>
      <c r="L963" s="38"/>
      <c r="M963" s="149"/>
      <c r="N963" s="38"/>
      <c r="O963" s="38"/>
      <c r="P963" s="90"/>
      <c r="Q963" s="105"/>
      <c r="R963" s="149"/>
      <c r="S963" s="150"/>
      <c r="T963" s="150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93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48"/>
      <c r="F964" s="38"/>
      <c r="G964" s="38"/>
      <c r="H964" s="79"/>
      <c r="I964" s="38"/>
      <c r="J964" s="78"/>
      <c r="K964" s="38"/>
      <c r="L964" s="38"/>
      <c r="M964" s="149"/>
      <c r="N964" s="38"/>
      <c r="O964" s="38"/>
      <c r="P964" s="90"/>
      <c r="Q964" s="105"/>
      <c r="R964" s="149"/>
      <c r="S964" s="150"/>
      <c r="T964" s="150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93" t="str">
        <f>IF(NOTA[[#This Row],[CONCAT1]]="","",MATCH(NOTA[[#This Row],[CONCAT1]],[2]!db[NB NOTA_C],0)+1)</f>
        <v/>
      </c>
    </row>
    <row r="965" spans="1:39" ht="20.100000000000001" customHeight="1" x14ac:dyDescent="0.25">
      <c r="A965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48"/>
      <c r="F965" s="38"/>
      <c r="G965" s="38"/>
      <c r="H965" s="79"/>
      <c r="I965" s="38"/>
      <c r="J965" s="78"/>
      <c r="K965" s="38"/>
      <c r="L965" s="38"/>
      <c r="M965" s="149"/>
      <c r="N965" s="38"/>
      <c r="O965" s="38"/>
      <c r="P965" s="90"/>
      <c r="Q965" s="105"/>
      <c r="R965" s="149"/>
      <c r="S965" s="150"/>
      <c r="T965" s="150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93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48"/>
      <c r="F966" s="38"/>
      <c r="G966" s="38"/>
      <c r="H966" s="79"/>
      <c r="I966" s="38"/>
      <c r="J966" s="78"/>
      <c r="K966" s="38"/>
      <c r="L966" s="38"/>
      <c r="M966" s="149"/>
      <c r="N966" s="38"/>
      <c r="O966" s="38"/>
      <c r="P966" s="90"/>
      <c r="Q966" s="105"/>
      <c r="R966" s="149"/>
      <c r="S966" s="150"/>
      <c r="T966" s="150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93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48"/>
      <c r="F967" s="38"/>
      <c r="G967" s="38"/>
      <c r="H967" s="79"/>
      <c r="I967" s="38"/>
      <c r="J967" s="78"/>
      <c r="K967" s="38"/>
      <c r="L967" s="38"/>
      <c r="M967" s="149"/>
      <c r="N967" s="38"/>
      <c r="O967" s="38"/>
      <c r="P967" s="90"/>
      <c r="Q967" s="105"/>
      <c r="R967" s="149"/>
      <c r="S967" s="150"/>
      <c r="T967" s="150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93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48"/>
      <c r="F968" s="38"/>
      <c r="G968" s="38"/>
      <c r="H968" s="79"/>
      <c r="I968" s="38"/>
      <c r="J968" s="78"/>
      <c r="K968" s="38"/>
      <c r="L968" s="38"/>
      <c r="M968" s="149"/>
      <c r="N968" s="38"/>
      <c r="O968" s="38"/>
      <c r="P968" s="90"/>
      <c r="Q968" s="105"/>
      <c r="R968" s="149"/>
      <c r="S968" s="150"/>
      <c r="T968" s="150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93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48"/>
      <c r="F969" s="38"/>
      <c r="G969" s="38"/>
      <c r="H969" s="79"/>
      <c r="I969" s="38"/>
      <c r="J969" s="78"/>
      <c r="K969" s="38"/>
      <c r="L969" s="38"/>
      <c r="M969" s="149"/>
      <c r="N969" s="38"/>
      <c r="O969" s="38"/>
      <c r="P969" s="90"/>
      <c r="Q969" s="105"/>
      <c r="R969" s="149"/>
      <c r="S969" s="150"/>
      <c r="T969" s="150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93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48"/>
      <c r="F970" s="38"/>
      <c r="G970" s="38"/>
      <c r="H970" s="79"/>
      <c r="I970" s="38"/>
      <c r="J970" s="78"/>
      <c r="K970" s="38"/>
      <c r="L970" s="38"/>
      <c r="M970" s="149"/>
      <c r="N970" s="38"/>
      <c r="O970" s="38"/>
      <c r="P970" s="90"/>
      <c r="Q970" s="105"/>
      <c r="R970" s="149"/>
      <c r="S970" s="150"/>
      <c r="T970" s="150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93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48"/>
      <c r="F971" s="38"/>
      <c r="G971" s="38"/>
      <c r="H971" s="79"/>
      <c r="I971" s="38"/>
      <c r="J971" s="78"/>
      <c r="K971" s="38"/>
      <c r="L971" s="38"/>
      <c r="M971" s="149"/>
      <c r="N971" s="38"/>
      <c r="O971" s="38"/>
      <c r="P971" s="90"/>
      <c r="Q971" s="105"/>
      <c r="R971" s="149"/>
      <c r="S971" s="150"/>
      <c r="T971" s="150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93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48"/>
      <c r="F972" s="38"/>
      <c r="G972" s="38"/>
      <c r="H972" s="79"/>
      <c r="I972" s="38"/>
      <c r="J972" s="78"/>
      <c r="K972" s="38"/>
      <c r="L972" s="38"/>
      <c r="M972" s="149"/>
      <c r="N972" s="38"/>
      <c r="O972" s="38"/>
      <c r="P972" s="90"/>
      <c r="Q972" s="105"/>
      <c r="R972" s="149"/>
      <c r="S972" s="150"/>
      <c r="T972" s="150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93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48"/>
      <c r="F973" s="38"/>
      <c r="G973" s="38"/>
      <c r="H973" s="79"/>
      <c r="I973" s="38"/>
      <c r="J973" s="78"/>
      <c r="K973" s="38"/>
      <c r="L973" s="38"/>
      <c r="M973" s="149"/>
      <c r="N973" s="38"/>
      <c r="O973" s="38"/>
      <c r="P973" s="90"/>
      <c r="Q973" s="105"/>
      <c r="R973" s="149"/>
      <c r="S973" s="150"/>
      <c r="T973" s="150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93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48"/>
      <c r="F974" s="38"/>
      <c r="G974" s="38"/>
      <c r="H974" s="79"/>
      <c r="I974" s="38"/>
      <c r="J974" s="78"/>
      <c r="K974" s="38"/>
      <c r="L974" s="38"/>
      <c r="M974" s="149"/>
      <c r="N974" s="38"/>
      <c r="O974" s="38"/>
      <c r="P974" s="90"/>
      <c r="Q974" s="105"/>
      <c r="R974" s="149"/>
      <c r="S974" s="150"/>
      <c r="T974" s="150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93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48"/>
      <c r="F975" s="38"/>
      <c r="G975" s="38"/>
      <c r="H975" s="79"/>
      <c r="I975" s="38"/>
      <c r="J975" s="78"/>
      <c r="K975" s="38"/>
      <c r="L975" s="38"/>
      <c r="M975" s="149"/>
      <c r="N975" s="38"/>
      <c r="O975" s="38"/>
      <c r="P975" s="90"/>
      <c r="Q975" s="105"/>
      <c r="R975" s="149"/>
      <c r="S975" s="150"/>
      <c r="T975" s="150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93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48"/>
      <c r="F976" s="38"/>
      <c r="G976" s="38"/>
      <c r="H976" s="79"/>
      <c r="I976" s="38"/>
      <c r="J976" s="78"/>
      <c r="K976" s="38"/>
      <c r="L976" s="38"/>
      <c r="M976" s="149"/>
      <c r="N976" s="38"/>
      <c r="O976" s="38"/>
      <c r="P976" s="90"/>
      <c r="Q976" s="105"/>
      <c r="R976" s="149"/>
      <c r="S976" s="150"/>
      <c r="T976" s="150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93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48"/>
      <c r="F977" s="38"/>
      <c r="G977" s="38"/>
      <c r="H977" s="79"/>
      <c r="I977" s="38"/>
      <c r="J977" s="78"/>
      <c r="K977" s="38"/>
      <c r="L977" s="38"/>
      <c r="M977" s="149"/>
      <c r="N977" s="38"/>
      <c r="O977" s="38"/>
      <c r="P977" s="90"/>
      <c r="Q977" s="105"/>
      <c r="R977" s="149"/>
      <c r="S977" s="150"/>
      <c r="T977" s="150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93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48"/>
      <c r="F978" s="38"/>
      <c r="G978" s="38"/>
      <c r="H978" s="79"/>
      <c r="I978" s="38"/>
      <c r="J978" s="78"/>
      <c r="K978" s="38"/>
      <c r="L978" s="38"/>
      <c r="M978" s="149"/>
      <c r="N978" s="38"/>
      <c r="O978" s="38"/>
      <c r="P978" s="90"/>
      <c r="Q978" s="105"/>
      <c r="R978" s="149"/>
      <c r="S978" s="150"/>
      <c r="T978" s="150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93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48"/>
      <c r="F979" s="38"/>
      <c r="G979" s="38"/>
      <c r="H979" s="79"/>
      <c r="I979" s="38"/>
      <c r="J979" s="78"/>
      <c r="K979" s="38"/>
      <c r="L979" s="38"/>
      <c r="M979" s="149"/>
      <c r="N979" s="38"/>
      <c r="O979" s="38"/>
      <c r="P979" s="90"/>
      <c r="Q979" s="105"/>
      <c r="R979" s="149"/>
      <c r="S979" s="150"/>
      <c r="T979" s="150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93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48"/>
      <c r="F980" s="38"/>
      <c r="G980" s="38"/>
      <c r="H980" s="79"/>
      <c r="I980" s="38"/>
      <c r="J980" s="78"/>
      <c r="K980" s="38"/>
      <c r="L980" s="38"/>
      <c r="M980" s="149"/>
      <c r="N980" s="38"/>
      <c r="O980" s="38"/>
      <c r="P980" s="90"/>
      <c r="Q980" s="105"/>
      <c r="R980" s="149"/>
      <c r="S980" s="150"/>
      <c r="T980" s="150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93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48"/>
      <c r="F981" s="38"/>
      <c r="G981" s="38"/>
      <c r="H981" s="79"/>
      <c r="I981" s="38"/>
      <c r="J981" s="78"/>
      <c r="K981" s="38"/>
      <c r="L981" s="38"/>
      <c r="M981" s="149"/>
      <c r="N981" s="38"/>
      <c r="O981" s="38"/>
      <c r="P981" s="90"/>
      <c r="Q981" s="105"/>
      <c r="R981" s="149"/>
      <c r="S981" s="150"/>
      <c r="T981" s="150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93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48"/>
      <c r="F982" s="38"/>
      <c r="G982" s="38"/>
      <c r="H982" s="79"/>
      <c r="I982" s="38"/>
      <c r="J982" s="78"/>
      <c r="K982" s="38"/>
      <c r="L982" s="38"/>
      <c r="M982" s="149"/>
      <c r="N982" s="38"/>
      <c r="O982" s="38"/>
      <c r="P982" s="90"/>
      <c r="Q982" s="105"/>
      <c r="R982" s="149"/>
      <c r="S982" s="150"/>
      <c r="T982" s="150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93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48"/>
      <c r="F983" s="38"/>
      <c r="G983" s="38"/>
      <c r="H983" s="79"/>
      <c r="I983" s="38"/>
      <c r="J983" s="78"/>
      <c r="K983" s="38"/>
      <c r="L983" s="38"/>
      <c r="M983" s="149"/>
      <c r="N983" s="38"/>
      <c r="O983" s="38"/>
      <c r="P983" s="90"/>
      <c r="Q983" s="105"/>
      <c r="R983" s="149"/>
      <c r="S983" s="150"/>
      <c r="T983" s="150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93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48"/>
      <c r="F984" s="38"/>
      <c r="G984" s="38"/>
      <c r="H984" s="79"/>
      <c r="I984" s="38"/>
      <c r="J984" s="78"/>
      <c r="K984" s="38"/>
      <c r="L984" s="38"/>
      <c r="M984" s="149"/>
      <c r="N984" s="38"/>
      <c r="O984" s="38"/>
      <c r="P984" s="90"/>
      <c r="Q984" s="105"/>
      <c r="R984" s="149"/>
      <c r="S984" s="150"/>
      <c r="T984" s="150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93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48"/>
      <c r="F985" s="38"/>
      <c r="G985" s="38"/>
      <c r="H985" s="79"/>
      <c r="I985" s="38"/>
      <c r="J985" s="78"/>
      <c r="K985" s="38"/>
      <c r="L985" s="38"/>
      <c r="M985" s="149"/>
      <c r="N985" s="38"/>
      <c r="O985" s="38"/>
      <c r="P985" s="90"/>
      <c r="Q985" s="105"/>
      <c r="R985" s="149"/>
      <c r="S985" s="150"/>
      <c r="T985" s="150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93" t="str">
        <f>IF(NOTA[[#This Row],[CONCAT1]]="","",MATCH(NOTA[[#This Row],[CONCAT1]],[2]!db[NB NOTA_C],0)+1)</f>
        <v/>
      </c>
    </row>
    <row r="986" spans="1:39" ht="20.100000000000001" customHeight="1" x14ac:dyDescent="0.25">
      <c r="A986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52" t="str">
        <f>IF(NOTA[[#This Row],[ID_P]]="","",MATCH(NOTA[[#This Row],[ID_P]],[1]!B_MSK[N_ID],0))</f>
        <v/>
      </c>
      <c r="D986" s="152" t="str">
        <f ca="1">IF(NOTA[[#This Row],[NAMA BARANG]]="","",INDEX(NOTA[ID],MATCH(,INDIRECT(ADDRESS(ROW(NOTA[ID]),COLUMN(NOTA[ID]))&amp;":"&amp;ADDRESS(ROW(),COLUMN(NOTA[ID]))),-1)))</f>
        <v/>
      </c>
      <c r="E986" s="153"/>
      <c r="F986" s="154"/>
      <c r="G986" s="154"/>
      <c r="H986" s="155"/>
      <c r="I986" s="154"/>
      <c r="J986" s="156"/>
      <c r="K986" s="154"/>
      <c r="L986" s="154"/>
      <c r="M986" s="157"/>
      <c r="N986" s="154"/>
      <c r="O986" s="154"/>
      <c r="P986" s="151"/>
      <c r="Q986" s="158"/>
      <c r="R986" s="157"/>
      <c r="S986" s="159"/>
      <c r="T986" s="159"/>
      <c r="U986" s="160"/>
      <c r="V986" s="103"/>
      <c r="W986" s="160" t="str">
        <f>IF(NOTA[[#This Row],[HARGA/ CTN]]="",NOTA[[#This Row],[JUMLAH_H]],NOTA[[#This Row],[HARGA/ CTN]]*IF(NOTA[[#This Row],[C]]="",0,NOTA[[#This Row],[C]]))</f>
        <v/>
      </c>
      <c r="X986" s="160" t="str">
        <f>IF(NOTA[[#This Row],[JUMLAH]]="","",NOTA[[#This Row],[JUMLAH]]*NOTA[[#This Row],[DISC 1]])</f>
        <v/>
      </c>
      <c r="Y986" s="160" t="str">
        <f>IF(NOTA[[#This Row],[JUMLAH]]="","",(NOTA[[#This Row],[JUMLAH]]-NOTA[[#This Row],[DISC 1-]])*NOTA[[#This Row],[DISC 2]])</f>
        <v/>
      </c>
      <c r="Z986" s="160" t="str">
        <f>IF(NOTA[[#This Row],[JUMLAH]]="","",NOTA[[#This Row],[DISC 1-]]+NOTA[[#This Row],[DISC 2-]])</f>
        <v/>
      </c>
      <c r="AA986" s="160" t="str">
        <f>IF(NOTA[[#This Row],[JUMLAH]]="","",NOTA[[#This Row],[JUMLAH]]-NOTA[[#This Row],[DISC]])</f>
        <v/>
      </c>
      <c r="AB98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60" t="str">
        <f>IF(OR(NOTA[[#This Row],[QTY]]="",NOTA[[#This Row],[HARGA SATUAN]]="",),"",NOTA[[#This Row],[QTY]]*NOTA[[#This Row],[HARGA SATUAN]])</f>
        <v/>
      </c>
      <c r="AF986" s="156" t="str">
        <f ca="1">IF(NOTA[ID_H]="","",INDEX(NOTA[TANGGAL],MATCH(,INDIRECT(ADDRESS(ROW(NOTA[TANGGAL]),COLUMN(NOTA[TANGGAL]))&amp;":"&amp;ADDRESS(ROW(),COLUMN(NOTA[TANGGAL]))),-1)))</f>
        <v/>
      </c>
      <c r="AG986" s="151" t="str">
        <f ca="1">IF(NOTA[[#This Row],[NAMA BARANG]]="","",INDEX(NOTA[SUPPLIER],MATCH(,INDIRECT(ADDRESS(ROW(NOTA[ID]),COLUMN(NOTA[ID]))&amp;":"&amp;ADDRESS(ROW(),COLUMN(NOTA[ID]))),-1)))</f>
        <v/>
      </c>
      <c r="AH986" s="151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93" t="str">
        <f>IF(NOTA[[#This Row],[CONCAT1]]="","",MATCH(NOTA[[#This Row],[CONCAT1]],[2]!db[NB NOTA_C],0)+1)</f>
        <v/>
      </c>
    </row>
    <row r="987" spans="1:39" ht="20.100000000000001" customHeight="1" x14ac:dyDescent="0.25">
      <c r="A987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52" t="str">
        <f>IF(NOTA[[#This Row],[ID_P]]="","",MATCH(NOTA[[#This Row],[ID_P]],[1]!B_MSK[N_ID],0))</f>
        <v/>
      </c>
      <c r="D987" s="152" t="str">
        <f ca="1">IF(NOTA[[#This Row],[NAMA BARANG]]="","",INDEX(NOTA[ID],MATCH(,INDIRECT(ADDRESS(ROW(NOTA[ID]),COLUMN(NOTA[ID]))&amp;":"&amp;ADDRESS(ROW(),COLUMN(NOTA[ID]))),-1)))</f>
        <v/>
      </c>
      <c r="E987" s="153"/>
      <c r="F987" s="154"/>
      <c r="G987" s="154"/>
      <c r="H987" s="155"/>
      <c r="I987" s="154"/>
      <c r="J987" s="156"/>
      <c r="K987" s="154"/>
      <c r="L987" s="154"/>
      <c r="M987" s="157"/>
      <c r="N987" s="154"/>
      <c r="O987" s="154"/>
      <c r="P987" s="151"/>
      <c r="Q987" s="158"/>
      <c r="R987" s="157"/>
      <c r="S987" s="159"/>
      <c r="T987" s="159"/>
      <c r="U987" s="160"/>
      <c r="V987" s="103"/>
      <c r="W987" s="160" t="str">
        <f>IF(NOTA[[#This Row],[HARGA/ CTN]]="",NOTA[[#This Row],[JUMLAH_H]],NOTA[[#This Row],[HARGA/ CTN]]*IF(NOTA[[#This Row],[C]]="",0,NOTA[[#This Row],[C]]))</f>
        <v/>
      </c>
      <c r="X987" s="160" t="str">
        <f>IF(NOTA[[#This Row],[JUMLAH]]="","",NOTA[[#This Row],[JUMLAH]]*NOTA[[#This Row],[DISC 1]])</f>
        <v/>
      </c>
      <c r="Y987" s="160" t="str">
        <f>IF(NOTA[[#This Row],[JUMLAH]]="","",(NOTA[[#This Row],[JUMLAH]]-NOTA[[#This Row],[DISC 1-]])*NOTA[[#This Row],[DISC 2]])</f>
        <v/>
      </c>
      <c r="Z987" s="160" t="str">
        <f>IF(NOTA[[#This Row],[JUMLAH]]="","",NOTA[[#This Row],[DISC 1-]]+NOTA[[#This Row],[DISC 2-]])</f>
        <v/>
      </c>
      <c r="AA987" s="160" t="str">
        <f>IF(NOTA[[#This Row],[JUMLAH]]="","",NOTA[[#This Row],[JUMLAH]]-NOTA[[#This Row],[DISC]])</f>
        <v/>
      </c>
      <c r="AB98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60" t="str">
        <f>IF(OR(NOTA[[#This Row],[QTY]]="",NOTA[[#This Row],[HARGA SATUAN]]="",),"",NOTA[[#This Row],[QTY]]*NOTA[[#This Row],[HARGA SATUAN]])</f>
        <v/>
      </c>
      <c r="AF987" s="156" t="str">
        <f ca="1">IF(NOTA[ID_H]="","",INDEX(NOTA[TANGGAL],MATCH(,INDIRECT(ADDRESS(ROW(NOTA[TANGGAL]),COLUMN(NOTA[TANGGAL]))&amp;":"&amp;ADDRESS(ROW(),COLUMN(NOTA[TANGGAL]))),-1)))</f>
        <v/>
      </c>
      <c r="AG987" s="151" t="str">
        <f ca="1">IF(NOTA[[#This Row],[NAMA BARANG]]="","",INDEX(NOTA[SUPPLIER],MATCH(,INDIRECT(ADDRESS(ROW(NOTA[ID]),COLUMN(NOTA[ID]))&amp;":"&amp;ADDRESS(ROW(),COLUMN(NOTA[ID]))),-1)))</f>
        <v/>
      </c>
      <c r="AH987" s="151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93" t="str">
        <f>IF(NOTA[[#This Row],[CONCAT1]]="","",MATCH(NOTA[[#This Row],[CONCAT1]],[2]!db[NB NOTA_C],0)+1)</f>
        <v/>
      </c>
    </row>
    <row r="988" spans="1:39" ht="20.100000000000001" customHeight="1" x14ac:dyDescent="0.25">
      <c r="A988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52" t="str">
        <f>IF(NOTA[[#This Row],[ID_P]]="","",MATCH(NOTA[[#This Row],[ID_P]],[1]!B_MSK[N_ID],0))</f>
        <v/>
      </c>
      <c r="D988" s="152" t="str">
        <f ca="1">IF(NOTA[[#This Row],[NAMA BARANG]]="","",INDEX(NOTA[ID],MATCH(,INDIRECT(ADDRESS(ROW(NOTA[ID]),COLUMN(NOTA[ID]))&amp;":"&amp;ADDRESS(ROW(),COLUMN(NOTA[ID]))),-1)))</f>
        <v/>
      </c>
      <c r="E988" s="153"/>
      <c r="F988" s="154"/>
      <c r="G988" s="154"/>
      <c r="H988" s="155"/>
      <c r="I988" s="154"/>
      <c r="J988" s="156"/>
      <c r="K988" s="154"/>
      <c r="L988" s="154"/>
      <c r="M988" s="157"/>
      <c r="N988" s="154"/>
      <c r="O988" s="154"/>
      <c r="P988" s="151"/>
      <c r="Q988" s="158"/>
      <c r="R988" s="157"/>
      <c r="S988" s="159"/>
      <c r="T988" s="159"/>
      <c r="U988" s="160"/>
      <c r="V988" s="103"/>
      <c r="W988" s="160" t="str">
        <f>IF(NOTA[[#This Row],[HARGA/ CTN]]="",NOTA[[#This Row],[JUMLAH_H]],NOTA[[#This Row],[HARGA/ CTN]]*IF(NOTA[[#This Row],[C]]="",0,NOTA[[#This Row],[C]]))</f>
        <v/>
      </c>
      <c r="X988" s="160" t="str">
        <f>IF(NOTA[[#This Row],[JUMLAH]]="","",NOTA[[#This Row],[JUMLAH]]*NOTA[[#This Row],[DISC 1]])</f>
        <v/>
      </c>
      <c r="Y988" s="160" t="str">
        <f>IF(NOTA[[#This Row],[JUMLAH]]="","",(NOTA[[#This Row],[JUMLAH]]-NOTA[[#This Row],[DISC 1-]])*NOTA[[#This Row],[DISC 2]])</f>
        <v/>
      </c>
      <c r="Z988" s="160" t="str">
        <f>IF(NOTA[[#This Row],[JUMLAH]]="","",NOTA[[#This Row],[DISC 1-]]+NOTA[[#This Row],[DISC 2-]])</f>
        <v/>
      </c>
      <c r="AA988" s="160" t="str">
        <f>IF(NOTA[[#This Row],[JUMLAH]]="","",NOTA[[#This Row],[JUMLAH]]-NOTA[[#This Row],[DISC]])</f>
        <v/>
      </c>
      <c r="AB98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60" t="str">
        <f>IF(OR(NOTA[[#This Row],[QTY]]="",NOTA[[#This Row],[HARGA SATUAN]]="",),"",NOTA[[#This Row],[QTY]]*NOTA[[#This Row],[HARGA SATUAN]])</f>
        <v/>
      </c>
      <c r="AF988" s="156" t="str">
        <f ca="1">IF(NOTA[ID_H]="","",INDEX(NOTA[TANGGAL],MATCH(,INDIRECT(ADDRESS(ROW(NOTA[TANGGAL]),COLUMN(NOTA[TANGGAL]))&amp;":"&amp;ADDRESS(ROW(),COLUMN(NOTA[TANGGAL]))),-1)))</f>
        <v/>
      </c>
      <c r="AG988" s="151" t="str">
        <f ca="1">IF(NOTA[[#This Row],[NAMA BARANG]]="","",INDEX(NOTA[SUPPLIER],MATCH(,INDIRECT(ADDRESS(ROW(NOTA[ID]),COLUMN(NOTA[ID]))&amp;":"&amp;ADDRESS(ROW(),COLUMN(NOTA[ID]))),-1)))</f>
        <v/>
      </c>
      <c r="AH988" s="151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93" t="str">
        <f>IF(NOTA[[#This Row],[CONCAT1]]="","",MATCH(NOTA[[#This Row],[CONCAT1]],[2]!db[NB NOTA_C],0)+1)</f>
        <v/>
      </c>
    </row>
    <row r="989" spans="1:39" ht="20.100000000000001" customHeight="1" x14ac:dyDescent="0.25">
      <c r="A989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52" t="str">
        <f>IF(NOTA[[#This Row],[ID_P]]="","",MATCH(NOTA[[#This Row],[ID_P]],[1]!B_MSK[N_ID],0))</f>
        <v/>
      </c>
      <c r="D989" s="152" t="str">
        <f ca="1">IF(NOTA[[#This Row],[NAMA BARANG]]="","",INDEX(NOTA[ID],MATCH(,INDIRECT(ADDRESS(ROW(NOTA[ID]),COLUMN(NOTA[ID]))&amp;":"&amp;ADDRESS(ROW(),COLUMN(NOTA[ID]))),-1)))</f>
        <v/>
      </c>
      <c r="E989" s="153"/>
      <c r="F989" s="154"/>
      <c r="G989" s="154"/>
      <c r="H989" s="155"/>
      <c r="I989" s="154"/>
      <c r="J989" s="156"/>
      <c r="K989" s="154"/>
      <c r="L989" s="154"/>
      <c r="M989" s="157"/>
      <c r="N989" s="154"/>
      <c r="O989" s="154"/>
      <c r="P989" s="151"/>
      <c r="Q989" s="158"/>
      <c r="R989" s="157"/>
      <c r="S989" s="159"/>
      <c r="T989" s="159"/>
      <c r="U989" s="160"/>
      <c r="V989" s="103"/>
      <c r="W989" s="160" t="str">
        <f>IF(NOTA[[#This Row],[HARGA/ CTN]]="",NOTA[[#This Row],[JUMLAH_H]],NOTA[[#This Row],[HARGA/ CTN]]*IF(NOTA[[#This Row],[C]]="",0,NOTA[[#This Row],[C]]))</f>
        <v/>
      </c>
      <c r="X989" s="160" t="str">
        <f>IF(NOTA[[#This Row],[JUMLAH]]="","",NOTA[[#This Row],[JUMLAH]]*NOTA[[#This Row],[DISC 1]])</f>
        <v/>
      </c>
      <c r="Y989" s="160" t="str">
        <f>IF(NOTA[[#This Row],[JUMLAH]]="","",(NOTA[[#This Row],[JUMLAH]]-NOTA[[#This Row],[DISC 1-]])*NOTA[[#This Row],[DISC 2]])</f>
        <v/>
      </c>
      <c r="Z989" s="160" t="str">
        <f>IF(NOTA[[#This Row],[JUMLAH]]="","",NOTA[[#This Row],[DISC 1-]]+NOTA[[#This Row],[DISC 2-]])</f>
        <v/>
      </c>
      <c r="AA989" s="160" t="str">
        <f>IF(NOTA[[#This Row],[JUMLAH]]="","",NOTA[[#This Row],[JUMLAH]]-NOTA[[#This Row],[DISC]])</f>
        <v/>
      </c>
      <c r="AB98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60" t="str">
        <f>IF(OR(NOTA[[#This Row],[QTY]]="",NOTA[[#This Row],[HARGA SATUAN]]="",),"",NOTA[[#This Row],[QTY]]*NOTA[[#This Row],[HARGA SATUAN]])</f>
        <v/>
      </c>
      <c r="AF989" s="156" t="str">
        <f ca="1">IF(NOTA[ID_H]="","",INDEX(NOTA[TANGGAL],MATCH(,INDIRECT(ADDRESS(ROW(NOTA[TANGGAL]),COLUMN(NOTA[TANGGAL]))&amp;":"&amp;ADDRESS(ROW(),COLUMN(NOTA[TANGGAL]))),-1)))</f>
        <v/>
      </c>
      <c r="AG989" s="151" t="str">
        <f ca="1">IF(NOTA[[#This Row],[NAMA BARANG]]="","",INDEX(NOTA[SUPPLIER],MATCH(,INDIRECT(ADDRESS(ROW(NOTA[ID]),COLUMN(NOTA[ID]))&amp;":"&amp;ADDRESS(ROW(),COLUMN(NOTA[ID]))),-1)))</f>
        <v/>
      </c>
      <c r="AH989" s="151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93" t="str">
        <f>IF(NOTA[[#This Row],[CONCAT1]]="","",MATCH(NOTA[[#This Row],[CONCAT1]],[2]!db[NB NOTA_C],0)+1)</f>
        <v/>
      </c>
    </row>
    <row r="990" spans="1:39" ht="20.100000000000001" customHeight="1" x14ac:dyDescent="0.25">
      <c r="A990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52" t="str">
        <f>IF(NOTA[[#This Row],[ID_P]]="","",MATCH(NOTA[[#This Row],[ID_P]],[1]!B_MSK[N_ID],0))</f>
        <v/>
      </c>
      <c r="D990" s="152" t="str">
        <f ca="1">IF(NOTA[[#This Row],[NAMA BARANG]]="","",INDEX(NOTA[ID],MATCH(,INDIRECT(ADDRESS(ROW(NOTA[ID]),COLUMN(NOTA[ID]))&amp;":"&amp;ADDRESS(ROW(),COLUMN(NOTA[ID]))),-1)))</f>
        <v/>
      </c>
      <c r="E990" s="153"/>
      <c r="F990" s="154"/>
      <c r="G990" s="154"/>
      <c r="H990" s="155"/>
      <c r="I990" s="154"/>
      <c r="J990" s="156"/>
      <c r="K990" s="154"/>
      <c r="L990" s="154"/>
      <c r="M990" s="157"/>
      <c r="N990" s="154"/>
      <c r="O990" s="154"/>
      <c r="P990" s="151"/>
      <c r="Q990" s="158"/>
      <c r="R990" s="157"/>
      <c r="S990" s="159"/>
      <c r="T990" s="159"/>
      <c r="U990" s="160"/>
      <c r="V990" s="103"/>
      <c r="W990" s="160" t="str">
        <f>IF(NOTA[[#This Row],[HARGA/ CTN]]="",NOTA[[#This Row],[JUMLAH_H]],NOTA[[#This Row],[HARGA/ CTN]]*IF(NOTA[[#This Row],[C]]="",0,NOTA[[#This Row],[C]]))</f>
        <v/>
      </c>
      <c r="X990" s="160" t="str">
        <f>IF(NOTA[[#This Row],[JUMLAH]]="","",NOTA[[#This Row],[JUMLAH]]*NOTA[[#This Row],[DISC 1]])</f>
        <v/>
      </c>
      <c r="Y990" s="160" t="str">
        <f>IF(NOTA[[#This Row],[JUMLAH]]="","",(NOTA[[#This Row],[JUMLAH]]-NOTA[[#This Row],[DISC 1-]])*NOTA[[#This Row],[DISC 2]])</f>
        <v/>
      </c>
      <c r="Z990" s="160" t="str">
        <f>IF(NOTA[[#This Row],[JUMLAH]]="","",NOTA[[#This Row],[DISC 1-]]+NOTA[[#This Row],[DISC 2-]])</f>
        <v/>
      </c>
      <c r="AA990" s="160" t="str">
        <f>IF(NOTA[[#This Row],[JUMLAH]]="","",NOTA[[#This Row],[JUMLAH]]-NOTA[[#This Row],[DISC]])</f>
        <v/>
      </c>
      <c r="AB99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60" t="str">
        <f>IF(OR(NOTA[[#This Row],[QTY]]="",NOTA[[#This Row],[HARGA SATUAN]]="",),"",NOTA[[#This Row],[QTY]]*NOTA[[#This Row],[HARGA SATUAN]])</f>
        <v/>
      </c>
      <c r="AF990" s="156" t="str">
        <f ca="1">IF(NOTA[ID_H]="","",INDEX(NOTA[TANGGAL],MATCH(,INDIRECT(ADDRESS(ROW(NOTA[TANGGAL]),COLUMN(NOTA[TANGGAL]))&amp;":"&amp;ADDRESS(ROW(),COLUMN(NOTA[TANGGAL]))),-1)))</f>
        <v/>
      </c>
      <c r="AG990" s="151" t="str">
        <f ca="1">IF(NOTA[[#This Row],[NAMA BARANG]]="","",INDEX(NOTA[SUPPLIER],MATCH(,INDIRECT(ADDRESS(ROW(NOTA[ID]),COLUMN(NOTA[ID]))&amp;":"&amp;ADDRESS(ROW(),COLUMN(NOTA[ID]))),-1)))</f>
        <v/>
      </c>
      <c r="AH990" s="151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93" t="str">
        <f>IF(NOTA[[#This Row],[CONCAT1]]="","",MATCH(NOTA[[#This Row],[CONCAT1]],[2]!db[NB NOTA_C],0)+1)</f>
        <v/>
      </c>
    </row>
    <row r="991" spans="1:39" ht="20.100000000000001" customHeight="1" x14ac:dyDescent="0.25">
      <c r="A991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52" t="str">
        <f>IF(NOTA[[#This Row],[ID_P]]="","",MATCH(NOTA[[#This Row],[ID_P]],[1]!B_MSK[N_ID],0))</f>
        <v/>
      </c>
      <c r="D991" s="152" t="str">
        <f ca="1">IF(NOTA[[#This Row],[NAMA BARANG]]="","",INDEX(NOTA[ID],MATCH(,INDIRECT(ADDRESS(ROW(NOTA[ID]),COLUMN(NOTA[ID]))&amp;":"&amp;ADDRESS(ROW(),COLUMN(NOTA[ID]))),-1)))</f>
        <v/>
      </c>
      <c r="E991" s="153"/>
      <c r="F991" s="154"/>
      <c r="G991" s="154"/>
      <c r="H991" s="155"/>
      <c r="I991" s="154"/>
      <c r="J991" s="156"/>
      <c r="K991" s="154"/>
      <c r="L991" s="154"/>
      <c r="M991" s="157"/>
      <c r="N991" s="154"/>
      <c r="O991" s="154"/>
      <c r="P991" s="151"/>
      <c r="Q991" s="158"/>
      <c r="R991" s="157"/>
      <c r="S991" s="159"/>
      <c r="T991" s="159"/>
      <c r="U991" s="160"/>
      <c r="V991" s="103"/>
      <c r="W991" s="160" t="str">
        <f>IF(NOTA[[#This Row],[HARGA/ CTN]]="",NOTA[[#This Row],[JUMLAH_H]],NOTA[[#This Row],[HARGA/ CTN]]*IF(NOTA[[#This Row],[C]]="",0,NOTA[[#This Row],[C]]))</f>
        <v/>
      </c>
      <c r="X991" s="160" t="str">
        <f>IF(NOTA[[#This Row],[JUMLAH]]="","",NOTA[[#This Row],[JUMLAH]]*NOTA[[#This Row],[DISC 1]])</f>
        <v/>
      </c>
      <c r="Y991" s="160" t="str">
        <f>IF(NOTA[[#This Row],[JUMLAH]]="","",(NOTA[[#This Row],[JUMLAH]]-NOTA[[#This Row],[DISC 1-]])*NOTA[[#This Row],[DISC 2]])</f>
        <v/>
      </c>
      <c r="Z991" s="160" t="str">
        <f>IF(NOTA[[#This Row],[JUMLAH]]="","",NOTA[[#This Row],[DISC 1-]]+NOTA[[#This Row],[DISC 2-]])</f>
        <v/>
      </c>
      <c r="AA991" s="160" t="str">
        <f>IF(NOTA[[#This Row],[JUMLAH]]="","",NOTA[[#This Row],[JUMLAH]]-NOTA[[#This Row],[DISC]])</f>
        <v/>
      </c>
      <c r="AB99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60" t="str">
        <f>IF(OR(NOTA[[#This Row],[QTY]]="",NOTA[[#This Row],[HARGA SATUAN]]="",),"",NOTA[[#This Row],[QTY]]*NOTA[[#This Row],[HARGA SATUAN]])</f>
        <v/>
      </c>
      <c r="AF991" s="156" t="str">
        <f ca="1">IF(NOTA[ID_H]="","",INDEX(NOTA[TANGGAL],MATCH(,INDIRECT(ADDRESS(ROW(NOTA[TANGGAL]),COLUMN(NOTA[TANGGAL]))&amp;":"&amp;ADDRESS(ROW(),COLUMN(NOTA[TANGGAL]))),-1)))</f>
        <v/>
      </c>
      <c r="AG991" s="151" t="str">
        <f ca="1">IF(NOTA[[#This Row],[NAMA BARANG]]="","",INDEX(NOTA[SUPPLIER],MATCH(,INDIRECT(ADDRESS(ROW(NOTA[ID]),COLUMN(NOTA[ID]))&amp;":"&amp;ADDRESS(ROW(),COLUMN(NOTA[ID]))),-1)))</f>
        <v/>
      </c>
      <c r="AH991" s="151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93" t="str">
        <f>IF(NOTA[[#This Row],[CONCAT1]]="","",MATCH(NOTA[[#This Row],[CONCAT1]],[2]!db[NB NOTA_C],0)+1)</f>
        <v/>
      </c>
    </row>
    <row r="992" spans="1:39" ht="20.100000000000001" customHeight="1" x14ac:dyDescent="0.25">
      <c r="A992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52" t="str">
        <f>IF(NOTA[[#This Row],[ID_P]]="","",MATCH(NOTA[[#This Row],[ID_P]],[1]!B_MSK[N_ID],0))</f>
        <v/>
      </c>
      <c r="D992" s="152" t="str">
        <f ca="1">IF(NOTA[[#This Row],[NAMA BARANG]]="","",INDEX(NOTA[ID],MATCH(,INDIRECT(ADDRESS(ROW(NOTA[ID]),COLUMN(NOTA[ID]))&amp;":"&amp;ADDRESS(ROW(),COLUMN(NOTA[ID]))),-1)))</f>
        <v/>
      </c>
      <c r="E992" s="153"/>
      <c r="F992" s="154"/>
      <c r="G992" s="154"/>
      <c r="H992" s="155"/>
      <c r="I992" s="154"/>
      <c r="J992" s="156"/>
      <c r="K992" s="154"/>
      <c r="L992" s="154"/>
      <c r="M992" s="157"/>
      <c r="N992" s="154"/>
      <c r="O992" s="154"/>
      <c r="P992" s="151"/>
      <c r="Q992" s="158"/>
      <c r="R992" s="157"/>
      <c r="S992" s="159"/>
      <c r="T992" s="159"/>
      <c r="U992" s="160"/>
      <c r="V992" s="103"/>
      <c r="W992" s="160" t="str">
        <f>IF(NOTA[[#This Row],[HARGA/ CTN]]="",NOTA[[#This Row],[JUMLAH_H]],NOTA[[#This Row],[HARGA/ CTN]]*IF(NOTA[[#This Row],[C]]="",0,NOTA[[#This Row],[C]]))</f>
        <v/>
      </c>
      <c r="X992" s="160" t="str">
        <f>IF(NOTA[[#This Row],[JUMLAH]]="","",NOTA[[#This Row],[JUMLAH]]*NOTA[[#This Row],[DISC 1]])</f>
        <v/>
      </c>
      <c r="Y992" s="160" t="str">
        <f>IF(NOTA[[#This Row],[JUMLAH]]="","",(NOTA[[#This Row],[JUMLAH]]-NOTA[[#This Row],[DISC 1-]])*NOTA[[#This Row],[DISC 2]])</f>
        <v/>
      </c>
      <c r="Z992" s="160" t="str">
        <f>IF(NOTA[[#This Row],[JUMLAH]]="","",NOTA[[#This Row],[DISC 1-]]+NOTA[[#This Row],[DISC 2-]])</f>
        <v/>
      </c>
      <c r="AA992" s="160" t="str">
        <f>IF(NOTA[[#This Row],[JUMLAH]]="","",NOTA[[#This Row],[JUMLAH]]-NOTA[[#This Row],[DISC]])</f>
        <v/>
      </c>
      <c r="AB99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60" t="str">
        <f>IF(OR(NOTA[[#This Row],[QTY]]="",NOTA[[#This Row],[HARGA SATUAN]]="",),"",NOTA[[#This Row],[QTY]]*NOTA[[#This Row],[HARGA SATUAN]])</f>
        <v/>
      </c>
      <c r="AF992" s="156" t="str">
        <f ca="1">IF(NOTA[ID_H]="","",INDEX(NOTA[TANGGAL],MATCH(,INDIRECT(ADDRESS(ROW(NOTA[TANGGAL]),COLUMN(NOTA[TANGGAL]))&amp;":"&amp;ADDRESS(ROW(),COLUMN(NOTA[TANGGAL]))),-1)))</f>
        <v/>
      </c>
      <c r="AG992" s="151" t="str">
        <f ca="1">IF(NOTA[[#This Row],[NAMA BARANG]]="","",INDEX(NOTA[SUPPLIER],MATCH(,INDIRECT(ADDRESS(ROW(NOTA[ID]),COLUMN(NOTA[ID]))&amp;":"&amp;ADDRESS(ROW(),COLUMN(NOTA[ID]))),-1)))</f>
        <v/>
      </c>
      <c r="AH992" s="151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93" t="str">
        <f>IF(NOTA[[#This Row],[CONCAT1]]="","",MATCH(NOTA[[#This Row],[CONCAT1]],[2]!db[NB NOTA_C],0)+1)</f>
        <v/>
      </c>
    </row>
    <row r="993" spans="1:39" ht="20.100000000000001" customHeight="1" x14ac:dyDescent="0.25">
      <c r="A993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52" t="str">
        <f>IF(NOTA[[#This Row],[ID_P]]="","",MATCH(NOTA[[#This Row],[ID_P]],[1]!B_MSK[N_ID],0))</f>
        <v/>
      </c>
      <c r="D993" s="152" t="str">
        <f ca="1">IF(NOTA[[#This Row],[NAMA BARANG]]="","",INDEX(NOTA[ID],MATCH(,INDIRECT(ADDRESS(ROW(NOTA[ID]),COLUMN(NOTA[ID]))&amp;":"&amp;ADDRESS(ROW(),COLUMN(NOTA[ID]))),-1)))</f>
        <v/>
      </c>
      <c r="E993" s="153"/>
      <c r="F993" s="154"/>
      <c r="G993" s="154"/>
      <c r="H993" s="155"/>
      <c r="I993" s="154"/>
      <c r="J993" s="156"/>
      <c r="K993" s="154"/>
      <c r="L993" s="154"/>
      <c r="M993" s="157"/>
      <c r="N993" s="154"/>
      <c r="O993" s="154"/>
      <c r="P993" s="151"/>
      <c r="Q993" s="158"/>
      <c r="R993" s="157"/>
      <c r="S993" s="159"/>
      <c r="T993" s="159"/>
      <c r="U993" s="160"/>
      <c r="V993" s="103"/>
      <c r="W993" s="160" t="str">
        <f>IF(NOTA[[#This Row],[HARGA/ CTN]]="",NOTA[[#This Row],[JUMLAH_H]],NOTA[[#This Row],[HARGA/ CTN]]*IF(NOTA[[#This Row],[C]]="",0,NOTA[[#This Row],[C]]))</f>
        <v/>
      </c>
      <c r="X993" s="160" t="str">
        <f>IF(NOTA[[#This Row],[JUMLAH]]="","",NOTA[[#This Row],[JUMLAH]]*NOTA[[#This Row],[DISC 1]])</f>
        <v/>
      </c>
      <c r="Y993" s="160" t="str">
        <f>IF(NOTA[[#This Row],[JUMLAH]]="","",(NOTA[[#This Row],[JUMLAH]]-NOTA[[#This Row],[DISC 1-]])*NOTA[[#This Row],[DISC 2]])</f>
        <v/>
      </c>
      <c r="Z993" s="160" t="str">
        <f>IF(NOTA[[#This Row],[JUMLAH]]="","",NOTA[[#This Row],[DISC 1-]]+NOTA[[#This Row],[DISC 2-]])</f>
        <v/>
      </c>
      <c r="AA993" s="160" t="str">
        <f>IF(NOTA[[#This Row],[JUMLAH]]="","",NOTA[[#This Row],[JUMLAH]]-NOTA[[#This Row],[DISC]])</f>
        <v/>
      </c>
      <c r="AB99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60" t="str">
        <f>IF(OR(NOTA[[#This Row],[QTY]]="",NOTA[[#This Row],[HARGA SATUAN]]="",),"",NOTA[[#This Row],[QTY]]*NOTA[[#This Row],[HARGA SATUAN]])</f>
        <v/>
      </c>
      <c r="AF993" s="156" t="str">
        <f ca="1">IF(NOTA[ID_H]="","",INDEX(NOTA[TANGGAL],MATCH(,INDIRECT(ADDRESS(ROW(NOTA[TANGGAL]),COLUMN(NOTA[TANGGAL]))&amp;":"&amp;ADDRESS(ROW(),COLUMN(NOTA[TANGGAL]))),-1)))</f>
        <v/>
      </c>
      <c r="AG993" s="151" t="str">
        <f ca="1">IF(NOTA[[#This Row],[NAMA BARANG]]="","",INDEX(NOTA[SUPPLIER],MATCH(,INDIRECT(ADDRESS(ROW(NOTA[ID]),COLUMN(NOTA[ID]))&amp;":"&amp;ADDRESS(ROW(),COLUMN(NOTA[ID]))),-1)))</f>
        <v/>
      </c>
      <c r="AH993" s="151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93" t="str">
        <f>IF(NOTA[[#This Row],[CONCAT1]]="","",MATCH(NOTA[[#This Row],[CONCAT1]],[2]!db[NB NOTA_C],0)+1)</f>
        <v/>
      </c>
    </row>
    <row r="994" spans="1:39" ht="20.100000000000001" customHeight="1" x14ac:dyDescent="0.25">
      <c r="A994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52" t="str">
        <f>IF(NOTA[[#This Row],[ID_P]]="","",MATCH(NOTA[[#This Row],[ID_P]],[1]!B_MSK[N_ID],0))</f>
        <v/>
      </c>
      <c r="D994" s="152" t="str">
        <f ca="1">IF(NOTA[[#This Row],[NAMA BARANG]]="","",INDEX(NOTA[ID],MATCH(,INDIRECT(ADDRESS(ROW(NOTA[ID]),COLUMN(NOTA[ID]))&amp;":"&amp;ADDRESS(ROW(),COLUMN(NOTA[ID]))),-1)))</f>
        <v/>
      </c>
      <c r="E994" s="153"/>
      <c r="F994" s="154"/>
      <c r="G994" s="154"/>
      <c r="H994" s="155"/>
      <c r="I994" s="154"/>
      <c r="J994" s="156"/>
      <c r="K994" s="154"/>
      <c r="L994" s="154"/>
      <c r="M994" s="157"/>
      <c r="N994" s="154"/>
      <c r="O994" s="154"/>
      <c r="P994" s="151"/>
      <c r="Q994" s="158"/>
      <c r="R994" s="157"/>
      <c r="S994" s="159"/>
      <c r="T994" s="159"/>
      <c r="U994" s="160"/>
      <c r="V994" s="103"/>
      <c r="W994" s="160" t="str">
        <f>IF(NOTA[[#This Row],[HARGA/ CTN]]="",NOTA[[#This Row],[JUMLAH_H]],NOTA[[#This Row],[HARGA/ CTN]]*IF(NOTA[[#This Row],[C]]="",0,NOTA[[#This Row],[C]]))</f>
        <v/>
      </c>
      <c r="X994" s="160" t="str">
        <f>IF(NOTA[[#This Row],[JUMLAH]]="","",NOTA[[#This Row],[JUMLAH]]*NOTA[[#This Row],[DISC 1]])</f>
        <v/>
      </c>
      <c r="Y994" s="160" t="str">
        <f>IF(NOTA[[#This Row],[JUMLAH]]="","",(NOTA[[#This Row],[JUMLAH]]-NOTA[[#This Row],[DISC 1-]])*NOTA[[#This Row],[DISC 2]])</f>
        <v/>
      </c>
      <c r="Z994" s="160" t="str">
        <f>IF(NOTA[[#This Row],[JUMLAH]]="","",NOTA[[#This Row],[DISC 1-]]+NOTA[[#This Row],[DISC 2-]])</f>
        <v/>
      </c>
      <c r="AA994" s="160" t="str">
        <f>IF(NOTA[[#This Row],[JUMLAH]]="","",NOTA[[#This Row],[JUMLAH]]-NOTA[[#This Row],[DISC]])</f>
        <v/>
      </c>
      <c r="AB99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60" t="str">
        <f>IF(OR(NOTA[[#This Row],[QTY]]="",NOTA[[#This Row],[HARGA SATUAN]]="",),"",NOTA[[#This Row],[QTY]]*NOTA[[#This Row],[HARGA SATUAN]])</f>
        <v/>
      </c>
      <c r="AF994" s="156" t="str">
        <f ca="1">IF(NOTA[ID_H]="","",INDEX(NOTA[TANGGAL],MATCH(,INDIRECT(ADDRESS(ROW(NOTA[TANGGAL]),COLUMN(NOTA[TANGGAL]))&amp;":"&amp;ADDRESS(ROW(),COLUMN(NOTA[TANGGAL]))),-1)))</f>
        <v/>
      </c>
      <c r="AG994" s="151" t="str">
        <f ca="1">IF(NOTA[[#This Row],[NAMA BARANG]]="","",INDEX(NOTA[SUPPLIER],MATCH(,INDIRECT(ADDRESS(ROW(NOTA[ID]),COLUMN(NOTA[ID]))&amp;":"&amp;ADDRESS(ROW(),COLUMN(NOTA[ID]))),-1)))</f>
        <v/>
      </c>
      <c r="AH994" s="151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93" t="str">
        <f>IF(NOTA[[#This Row],[CONCAT1]]="","",MATCH(NOTA[[#This Row],[CONCAT1]],[2]!db[NB NOTA_C],0)+1)</f>
        <v/>
      </c>
    </row>
    <row r="995" spans="1:39" ht="20.100000000000001" customHeight="1" x14ac:dyDescent="0.25">
      <c r="A995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52" t="str">
        <f>IF(NOTA[[#This Row],[ID_P]]="","",MATCH(NOTA[[#This Row],[ID_P]],[1]!B_MSK[N_ID],0))</f>
        <v/>
      </c>
      <c r="D995" s="152" t="str">
        <f ca="1">IF(NOTA[[#This Row],[NAMA BARANG]]="","",INDEX(NOTA[ID],MATCH(,INDIRECT(ADDRESS(ROW(NOTA[ID]),COLUMN(NOTA[ID]))&amp;":"&amp;ADDRESS(ROW(),COLUMN(NOTA[ID]))),-1)))</f>
        <v/>
      </c>
      <c r="E995" s="153"/>
      <c r="F995" s="154"/>
      <c r="G995" s="154"/>
      <c r="H995" s="155"/>
      <c r="I995" s="154"/>
      <c r="J995" s="156"/>
      <c r="K995" s="154"/>
      <c r="L995" s="154"/>
      <c r="M995" s="157"/>
      <c r="N995" s="154"/>
      <c r="O995" s="154"/>
      <c r="P995" s="151"/>
      <c r="Q995" s="158"/>
      <c r="R995" s="157"/>
      <c r="S995" s="159"/>
      <c r="T995" s="159"/>
      <c r="U995" s="160"/>
      <c r="V995" s="103"/>
      <c r="W995" s="160" t="str">
        <f>IF(NOTA[[#This Row],[HARGA/ CTN]]="",NOTA[[#This Row],[JUMLAH_H]],NOTA[[#This Row],[HARGA/ CTN]]*IF(NOTA[[#This Row],[C]]="",0,NOTA[[#This Row],[C]]))</f>
        <v/>
      </c>
      <c r="X995" s="160" t="str">
        <f>IF(NOTA[[#This Row],[JUMLAH]]="","",NOTA[[#This Row],[JUMLAH]]*NOTA[[#This Row],[DISC 1]])</f>
        <v/>
      </c>
      <c r="Y995" s="160" t="str">
        <f>IF(NOTA[[#This Row],[JUMLAH]]="","",(NOTA[[#This Row],[JUMLAH]]-NOTA[[#This Row],[DISC 1-]])*NOTA[[#This Row],[DISC 2]])</f>
        <v/>
      </c>
      <c r="Z995" s="160" t="str">
        <f>IF(NOTA[[#This Row],[JUMLAH]]="","",NOTA[[#This Row],[DISC 1-]]+NOTA[[#This Row],[DISC 2-]])</f>
        <v/>
      </c>
      <c r="AA995" s="160" t="str">
        <f>IF(NOTA[[#This Row],[JUMLAH]]="","",NOTA[[#This Row],[JUMLAH]]-NOTA[[#This Row],[DISC]])</f>
        <v/>
      </c>
      <c r="AB995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60" t="str">
        <f>IF(OR(NOTA[[#This Row],[QTY]]="",NOTA[[#This Row],[HARGA SATUAN]]="",),"",NOTA[[#This Row],[QTY]]*NOTA[[#This Row],[HARGA SATUAN]])</f>
        <v/>
      </c>
      <c r="AF995" s="156" t="str">
        <f ca="1">IF(NOTA[ID_H]="","",INDEX(NOTA[TANGGAL],MATCH(,INDIRECT(ADDRESS(ROW(NOTA[TANGGAL]),COLUMN(NOTA[TANGGAL]))&amp;":"&amp;ADDRESS(ROW(),COLUMN(NOTA[TANGGAL]))),-1)))</f>
        <v/>
      </c>
      <c r="AG995" s="151" t="str">
        <f ca="1">IF(NOTA[[#This Row],[NAMA BARANG]]="","",INDEX(NOTA[SUPPLIER],MATCH(,INDIRECT(ADDRESS(ROW(NOTA[ID]),COLUMN(NOTA[ID]))&amp;":"&amp;ADDRESS(ROW(),COLUMN(NOTA[ID]))),-1)))</f>
        <v/>
      </c>
      <c r="AH995" s="151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93" t="str">
        <f>IF(NOTA[[#This Row],[CONCAT1]]="","",MATCH(NOTA[[#This Row],[CONCAT1]],[2]!db[NB NOTA_C],0)+1)</f>
        <v/>
      </c>
    </row>
    <row r="996" spans="1:39" ht="20.100000000000001" customHeight="1" x14ac:dyDescent="0.25">
      <c r="A996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52" t="str">
        <f>IF(NOTA[[#This Row],[ID_P]]="","",MATCH(NOTA[[#This Row],[ID_P]],[1]!B_MSK[N_ID],0))</f>
        <v/>
      </c>
      <c r="D996" s="152" t="str">
        <f ca="1">IF(NOTA[[#This Row],[NAMA BARANG]]="","",INDEX(NOTA[ID],MATCH(,INDIRECT(ADDRESS(ROW(NOTA[ID]),COLUMN(NOTA[ID]))&amp;":"&amp;ADDRESS(ROW(),COLUMN(NOTA[ID]))),-1)))</f>
        <v/>
      </c>
      <c r="E996" s="153"/>
      <c r="F996" s="154"/>
      <c r="G996" s="154"/>
      <c r="H996" s="155"/>
      <c r="I996" s="154"/>
      <c r="J996" s="156"/>
      <c r="K996" s="154"/>
      <c r="L996" s="154"/>
      <c r="M996" s="157"/>
      <c r="N996" s="154"/>
      <c r="O996" s="154"/>
      <c r="P996" s="151"/>
      <c r="Q996" s="158"/>
      <c r="R996" s="157"/>
      <c r="S996" s="159"/>
      <c r="T996" s="159"/>
      <c r="U996" s="160"/>
      <c r="V996" s="103"/>
      <c r="W996" s="160" t="str">
        <f>IF(NOTA[[#This Row],[HARGA/ CTN]]="",NOTA[[#This Row],[JUMLAH_H]],NOTA[[#This Row],[HARGA/ CTN]]*IF(NOTA[[#This Row],[C]]="",0,NOTA[[#This Row],[C]]))</f>
        <v/>
      </c>
      <c r="X996" s="160" t="str">
        <f>IF(NOTA[[#This Row],[JUMLAH]]="","",NOTA[[#This Row],[JUMLAH]]*NOTA[[#This Row],[DISC 1]])</f>
        <v/>
      </c>
      <c r="Y996" s="160" t="str">
        <f>IF(NOTA[[#This Row],[JUMLAH]]="","",(NOTA[[#This Row],[JUMLAH]]-NOTA[[#This Row],[DISC 1-]])*NOTA[[#This Row],[DISC 2]])</f>
        <v/>
      </c>
      <c r="Z996" s="160" t="str">
        <f>IF(NOTA[[#This Row],[JUMLAH]]="","",NOTA[[#This Row],[DISC 1-]]+NOTA[[#This Row],[DISC 2-]])</f>
        <v/>
      </c>
      <c r="AA996" s="160" t="str">
        <f>IF(NOTA[[#This Row],[JUMLAH]]="","",NOTA[[#This Row],[JUMLAH]]-NOTA[[#This Row],[DISC]])</f>
        <v/>
      </c>
      <c r="AB99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60" t="str">
        <f>IF(OR(NOTA[[#This Row],[QTY]]="",NOTA[[#This Row],[HARGA SATUAN]]="",),"",NOTA[[#This Row],[QTY]]*NOTA[[#This Row],[HARGA SATUAN]])</f>
        <v/>
      </c>
      <c r="AF996" s="156" t="str">
        <f ca="1">IF(NOTA[ID_H]="","",INDEX(NOTA[TANGGAL],MATCH(,INDIRECT(ADDRESS(ROW(NOTA[TANGGAL]),COLUMN(NOTA[TANGGAL]))&amp;":"&amp;ADDRESS(ROW(),COLUMN(NOTA[TANGGAL]))),-1)))</f>
        <v/>
      </c>
      <c r="AG996" s="151" t="str">
        <f ca="1">IF(NOTA[[#This Row],[NAMA BARANG]]="","",INDEX(NOTA[SUPPLIER],MATCH(,INDIRECT(ADDRESS(ROW(NOTA[ID]),COLUMN(NOTA[ID]))&amp;":"&amp;ADDRESS(ROW(),COLUMN(NOTA[ID]))),-1)))</f>
        <v/>
      </c>
      <c r="AH996" s="151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93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52" t="str">
        <f>IF(NOTA[[#This Row],[ID_P]]="","",MATCH(NOTA[[#This Row],[ID_P]],[1]!B_MSK[N_ID],0))</f>
        <v/>
      </c>
      <c r="D997" s="152" t="str">
        <f ca="1">IF(NOTA[[#This Row],[NAMA BARANG]]="","",INDEX(NOTA[ID],MATCH(,INDIRECT(ADDRESS(ROW(NOTA[ID]),COLUMN(NOTA[ID]))&amp;":"&amp;ADDRESS(ROW(),COLUMN(NOTA[ID]))),-1)))</f>
        <v/>
      </c>
      <c r="E997" s="153"/>
      <c r="F997" s="154"/>
      <c r="G997" s="154"/>
      <c r="H997" s="155"/>
      <c r="I997" s="154"/>
      <c r="J997" s="156"/>
      <c r="K997" s="154"/>
      <c r="L997" s="154"/>
      <c r="M997" s="157"/>
      <c r="N997" s="154"/>
      <c r="O997" s="154"/>
      <c r="P997" s="151"/>
      <c r="Q997" s="158"/>
      <c r="R997" s="157"/>
      <c r="S997" s="159"/>
      <c r="T997" s="159"/>
      <c r="U997" s="160"/>
      <c r="V997" s="103"/>
      <c r="W997" s="160" t="str">
        <f>IF(NOTA[[#This Row],[HARGA/ CTN]]="",NOTA[[#This Row],[JUMLAH_H]],NOTA[[#This Row],[HARGA/ CTN]]*IF(NOTA[[#This Row],[C]]="",0,NOTA[[#This Row],[C]]))</f>
        <v/>
      </c>
      <c r="X997" s="160" t="str">
        <f>IF(NOTA[[#This Row],[JUMLAH]]="","",NOTA[[#This Row],[JUMLAH]]*NOTA[[#This Row],[DISC 1]])</f>
        <v/>
      </c>
      <c r="Y997" s="160" t="str">
        <f>IF(NOTA[[#This Row],[JUMLAH]]="","",(NOTA[[#This Row],[JUMLAH]]-NOTA[[#This Row],[DISC 1-]])*NOTA[[#This Row],[DISC 2]])</f>
        <v/>
      </c>
      <c r="Z997" s="160" t="str">
        <f>IF(NOTA[[#This Row],[JUMLAH]]="","",NOTA[[#This Row],[DISC 1-]]+NOTA[[#This Row],[DISC 2-]])</f>
        <v/>
      </c>
      <c r="AA997" s="160" t="str">
        <f>IF(NOTA[[#This Row],[JUMLAH]]="","",NOTA[[#This Row],[JUMLAH]]-NOTA[[#This Row],[DISC]])</f>
        <v/>
      </c>
      <c r="AB99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60" t="str">
        <f>IF(OR(NOTA[[#This Row],[QTY]]="",NOTA[[#This Row],[HARGA SATUAN]]="",),"",NOTA[[#This Row],[QTY]]*NOTA[[#This Row],[HARGA SATUAN]])</f>
        <v/>
      </c>
      <c r="AF997" s="156" t="str">
        <f ca="1">IF(NOTA[ID_H]="","",INDEX(NOTA[TANGGAL],MATCH(,INDIRECT(ADDRESS(ROW(NOTA[TANGGAL]),COLUMN(NOTA[TANGGAL]))&amp;":"&amp;ADDRESS(ROW(),COLUMN(NOTA[TANGGAL]))),-1)))</f>
        <v/>
      </c>
      <c r="AG997" s="151" t="str">
        <f ca="1">IF(NOTA[[#This Row],[NAMA BARANG]]="","",INDEX(NOTA[SUPPLIER],MATCH(,INDIRECT(ADDRESS(ROW(NOTA[ID]),COLUMN(NOTA[ID]))&amp;":"&amp;ADDRESS(ROW(),COLUMN(NOTA[ID]))),-1)))</f>
        <v/>
      </c>
      <c r="AH997" s="151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93" t="str">
        <f>IF(NOTA[[#This Row],[CONCAT1]]="","",MATCH(NOTA[[#This Row],[CONCAT1]],[2]!db[NB NOTA_C],0)+1)</f>
        <v/>
      </c>
    </row>
    <row r="998" spans="1:39" ht="20.100000000000001" customHeight="1" x14ac:dyDescent="0.25">
      <c r="A998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52" t="str">
        <f>IF(NOTA[[#This Row],[ID_P]]="","",MATCH(NOTA[[#This Row],[ID_P]],[1]!B_MSK[N_ID],0))</f>
        <v/>
      </c>
      <c r="D998" s="152" t="str">
        <f ca="1">IF(NOTA[[#This Row],[NAMA BARANG]]="","",INDEX(NOTA[ID],MATCH(,INDIRECT(ADDRESS(ROW(NOTA[ID]),COLUMN(NOTA[ID]))&amp;":"&amp;ADDRESS(ROW(),COLUMN(NOTA[ID]))),-1)))</f>
        <v/>
      </c>
      <c r="E998" s="153"/>
      <c r="F998" s="154"/>
      <c r="G998" s="154"/>
      <c r="H998" s="155"/>
      <c r="I998" s="154"/>
      <c r="J998" s="156"/>
      <c r="K998" s="154"/>
      <c r="L998" s="154"/>
      <c r="M998" s="157"/>
      <c r="N998" s="154"/>
      <c r="O998" s="154"/>
      <c r="P998" s="151"/>
      <c r="Q998" s="158"/>
      <c r="R998" s="157"/>
      <c r="S998" s="159"/>
      <c r="T998" s="159"/>
      <c r="U998" s="160"/>
      <c r="V998" s="103"/>
      <c r="W998" s="160" t="str">
        <f>IF(NOTA[[#This Row],[HARGA/ CTN]]="",NOTA[[#This Row],[JUMLAH_H]],NOTA[[#This Row],[HARGA/ CTN]]*IF(NOTA[[#This Row],[C]]="",0,NOTA[[#This Row],[C]]))</f>
        <v/>
      </c>
      <c r="X998" s="160" t="str">
        <f>IF(NOTA[[#This Row],[JUMLAH]]="","",NOTA[[#This Row],[JUMLAH]]*NOTA[[#This Row],[DISC 1]])</f>
        <v/>
      </c>
      <c r="Y998" s="160" t="str">
        <f>IF(NOTA[[#This Row],[JUMLAH]]="","",(NOTA[[#This Row],[JUMLAH]]-NOTA[[#This Row],[DISC 1-]])*NOTA[[#This Row],[DISC 2]])</f>
        <v/>
      </c>
      <c r="Z998" s="160" t="str">
        <f>IF(NOTA[[#This Row],[JUMLAH]]="","",NOTA[[#This Row],[DISC 1-]]+NOTA[[#This Row],[DISC 2-]])</f>
        <v/>
      </c>
      <c r="AA998" s="160" t="str">
        <f>IF(NOTA[[#This Row],[JUMLAH]]="","",NOTA[[#This Row],[JUMLAH]]-NOTA[[#This Row],[DISC]])</f>
        <v/>
      </c>
      <c r="AB99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60" t="str">
        <f>IF(OR(NOTA[[#This Row],[QTY]]="",NOTA[[#This Row],[HARGA SATUAN]]="",),"",NOTA[[#This Row],[QTY]]*NOTA[[#This Row],[HARGA SATUAN]])</f>
        <v/>
      </c>
      <c r="AF998" s="156" t="str">
        <f ca="1">IF(NOTA[ID_H]="","",INDEX(NOTA[TANGGAL],MATCH(,INDIRECT(ADDRESS(ROW(NOTA[TANGGAL]),COLUMN(NOTA[TANGGAL]))&amp;":"&amp;ADDRESS(ROW(),COLUMN(NOTA[TANGGAL]))),-1)))</f>
        <v/>
      </c>
      <c r="AG998" s="151" t="str">
        <f ca="1">IF(NOTA[[#This Row],[NAMA BARANG]]="","",INDEX(NOTA[SUPPLIER],MATCH(,INDIRECT(ADDRESS(ROW(NOTA[ID]),COLUMN(NOTA[ID]))&amp;":"&amp;ADDRESS(ROW(),COLUMN(NOTA[ID]))),-1)))</f>
        <v/>
      </c>
      <c r="AH998" s="151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93" t="str">
        <f>IF(NOTA[[#This Row],[CONCAT1]]="","",MATCH(NOTA[[#This Row],[CONCAT1]],[2]!db[NB NOTA_C],0)+1)</f>
        <v/>
      </c>
    </row>
    <row r="999" spans="1:39" ht="20.100000000000001" customHeight="1" x14ac:dyDescent="0.25">
      <c r="A999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52" t="str">
        <f>IF(NOTA[[#This Row],[ID_P]]="","",MATCH(NOTA[[#This Row],[ID_P]],[1]!B_MSK[N_ID],0))</f>
        <v/>
      </c>
      <c r="D999" s="152" t="str">
        <f ca="1">IF(NOTA[[#This Row],[NAMA BARANG]]="","",INDEX(NOTA[ID],MATCH(,INDIRECT(ADDRESS(ROW(NOTA[ID]),COLUMN(NOTA[ID]))&amp;":"&amp;ADDRESS(ROW(),COLUMN(NOTA[ID]))),-1)))</f>
        <v/>
      </c>
      <c r="E999" s="153"/>
      <c r="F999" s="154"/>
      <c r="G999" s="154"/>
      <c r="H999" s="155"/>
      <c r="I999" s="154"/>
      <c r="J999" s="156"/>
      <c r="K999" s="154"/>
      <c r="L999" s="154"/>
      <c r="M999" s="157"/>
      <c r="N999" s="154"/>
      <c r="O999" s="154"/>
      <c r="P999" s="151"/>
      <c r="Q999" s="158"/>
      <c r="R999" s="157"/>
      <c r="S999" s="159"/>
      <c r="T999" s="159"/>
      <c r="U999" s="160"/>
      <c r="V999" s="103"/>
      <c r="W999" s="160" t="str">
        <f>IF(NOTA[[#This Row],[HARGA/ CTN]]="",NOTA[[#This Row],[JUMLAH_H]],NOTA[[#This Row],[HARGA/ CTN]]*IF(NOTA[[#This Row],[C]]="",0,NOTA[[#This Row],[C]]))</f>
        <v/>
      </c>
      <c r="X999" s="160" t="str">
        <f>IF(NOTA[[#This Row],[JUMLAH]]="","",NOTA[[#This Row],[JUMLAH]]*NOTA[[#This Row],[DISC 1]])</f>
        <v/>
      </c>
      <c r="Y999" s="160" t="str">
        <f>IF(NOTA[[#This Row],[JUMLAH]]="","",(NOTA[[#This Row],[JUMLAH]]-NOTA[[#This Row],[DISC 1-]])*NOTA[[#This Row],[DISC 2]])</f>
        <v/>
      </c>
      <c r="Z999" s="160" t="str">
        <f>IF(NOTA[[#This Row],[JUMLAH]]="","",NOTA[[#This Row],[DISC 1-]]+NOTA[[#This Row],[DISC 2-]])</f>
        <v/>
      </c>
      <c r="AA999" s="160" t="str">
        <f>IF(NOTA[[#This Row],[JUMLAH]]="","",NOTA[[#This Row],[JUMLAH]]-NOTA[[#This Row],[DISC]])</f>
        <v/>
      </c>
      <c r="AB99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60" t="str">
        <f>IF(OR(NOTA[[#This Row],[QTY]]="",NOTA[[#This Row],[HARGA SATUAN]]="",),"",NOTA[[#This Row],[QTY]]*NOTA[[#This Row],[HARGA SATUAN]])</f>
        <v/>
      </c>
      <c r="AF999" s="156" t="str">
        <f ca="1">IF(NOTA[ID_H]="","",INDEX(NOTA[TANGGAL],MATCH(,INDIRECT(ADDRESS(ROW(NOTA[TANGGAL]),COLUMN(NOTA[TANGGAL]))&amp;":"&amp;ADDRESS(ROW(),COLUMN(NOTA[TANGGAL]))),-1)))</f>
        <v/>
      </c>
      <c r="AG999" s="151" t="str">
        <f ca="1">IF(NOTA[[#This Row],[NAMA BARANG]]="","",INDEX(NOTA[SUPPLIER],MATCH(,INDIRECT(ADDRESS(ROW(NOTA[ID]),COLUMN(NOTA[ID]))&amp;":"&amp;ADDRESS(ROW(),COLUMN(NOTA[ID]))),-1)))</f>
        <v/>
      </c>
      <c r="AH999" s="151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93" t="str">
        <f>IF(NOTA[[#This Row],[CONCAT1]]="","",MATCH(NOTA[[#This Row],[CONCAT1]],[2]!db[NB NOTA_C],0)+1)</f>
        <v/>
      </c>
    </row>
    <row r="1000" spans="1:39" ht="20.100000000000001" customHeight="1" x14ac:dyDescent="0.25">
      <c r="A1000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52" t="str">
        <f>IF(NOTA[[#This Row],[ID_P]]="","",MATCH(NOTA[[#This Row],[ID_P]],[1]!B_MSK[N_ID],0))</f>
        <v/>
      </c>
      <c r="D1000" s="152" t="str">
        <f ca="1">IF(NOTA[[#This Row],[NAMA BARANG]]="","",INDEX(NOTA[ID],MATCH(,INDIRECT(ADDRESS(ROW(NOTA[ID]),COLUMN(NOTA[ID]))&amp;":"&amp;ADDRESS(ROW(),COLUMN(NOTA[ID]))),-1)))</f>
        <v/>
      </c>
      <c r="E1000" s="153"/>
      <c r="F1000" s="154"/>
      <c r="G1000" s="154"/>
      <c r="H1000" s="155"/>
      <c r="I1000" s="154"/>
      <c r="J1000" s="156"/>
      <c r="K1000" s="154"/>
      <c r="L1000" s="154"/>
      <c r="M1000" s="157"/>
      <c r="N1000" s="154"/>
      <c r="O1000" s="154"/>
      <c r="P1000" s="151"/>
      <c r="Q1000" s="158"/>
      <c r="R1000" s="157"/>
      <c r="S1000" s="159"/>
      <c r="T1000" s="159"/>
      <c r="U1000" s="160"/>
      <c r="V1000" s="103"/>
      <c r="W1000" s="160" t="str">
        <f>IF(NOTA[[#This Row],[HARGA/ CTN]]="",NOTA[[#This Row],[JUMLAH_H]],NOTA[[#This Row],[HARGA/ CTN]]*IF(NOTA[[#This Row],[C]]="",0,NOTA[[#This Row],[C]]))</f>
        <v/>
      </c>
      <c r="X1000" s="160" t="str">
        <f>IF(NOTA[[#This Row],[JUMLAH]]="","",NOTA[[#This Row],[JUMLAH]]*NOTA[[#This Row],[DISC 1]])</f>
        <v/>
      </c>
      <c r="Y1000" s="160" t="str">
        <f>IF(NOTA[[#This Row],[JUMLAH]]="","",(NOTA[[#This Row],[JUMLAH]]-NOTA[[#This Row],[DISC 1-]])*NOTA[[#This Row],[DISC 2]])</f>
        <v/>
      </c>
      <c r="Z1000" s="160" t="str">
        <f>IF(NOTA[[#This Row],[JUMLAH]]="","",NOTA[[#This Row],[DISC 1-]]+NOTA[[#This Row],[DISC 2-]])</f>
        <v/>
      </c>
      <c r="AA1000" s="160" t="str">
        <f>IF(NOTA[[#This Row],[JUMLAH]]="","",NOTA[[#This Row],[JUMLAH]]-NOTA[[#This Row],[DISC]])</f>
        <v/>
      </c>
      <c r="AB100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60" t="str">
        <f>IF(OR(NOTA[[#This Row],[QTY]]="",NOTA[[#This Row],[HARGA SATUAN]]="",),"",NOTA[[#This Row],[QTY]]*NOTA[[#This Row],[HARGA SATUAN]])</f>
        <v/>
      </c>
      <c r="AF1000" s="156" t="str">
        <f ca="1">IF(NOTA[ID_H]="","",INDEX(NOTA[TANGGAL],MATCH(,INDIRECT(ADDRESS(ROW(NOTA[TANGGAL]),COLUMN(NOTA[TANGGAL]))&amp;":"&amp;ADDRESS(ROW(),COLUMN(NOTA[TANGGAL]))),-1)))</f>
        <v/>
      </c>
      <c r="AG1000" s="151" t="str">
        <f ca="1">IF(NOTA[[#This Row],[NAMA BARANG]]="","",INDEX(NOTA[SUPPLIER],MATCH(,INDIRECT(ADDRESS(ROW(NOTA[ID]),COLUMN(NOTA[ID]))&amp;":"&amp;ADDRESS(ROW(),COLUMN(NOTA[ID]))),-1)))</f>
        <v/>
      </c>
      <c r="AH1000" s="151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93" t="str">
        <f>IF(NOTA[[#This Row],[CONCAT1]]="","",MATCH(NOTA[[#This Row],[CONCAT1]],[2]!db[NB NOTA_C],0)+1)</f>
        <v/>
      </c>
    </row>
    <row r="1001" spans="1:39" ht="20.100000000000001" customHeight="1" x14ac:dyDescent="0.25">
      <c r="A1001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52" t="str">
        <f>IF(NOTA[[#This Row],[ID_P]]="","",MATCH(NOTA[[#This Row],[ID_P]],[1]!B_MSK[N_ID],0))</f>
        <v/>
      </c>
      <c r="D1001" s="152" t="str">
        <f ca="1">IF(NOTA[[#This Row],[NAMA BARANG]]="","",INDEX(NOTA[ID],MATCH(,INDIRECT(ADDRESS(ROW(NOTA[ID]),COLUMN(NOTA[ID]))&amp;":"&amp;ADDRESS(ROW(),COLUMN(NOTA[ID]))),-1)))</f>
        <v/>
      </c>
      <c r="E1001" s="153"/>
      <c r="F1001" s="154"/>
      <c r="G1001" s="154"/>
      <c r="H1001" s="155"/>
      <c r="I1001" s="154"/>
      <c r="J1001" s="156"/>
      <c r="K1001" s="154"/>
      <c r="L1001" s="38"/>
      <c r="M1001" s="157"/>
      <c r="N1001" s="154"/>
      <c r="O1001" s="154"/>
      <c r="P1001" s="151"/>
      <c r="Q1001" s="158"/>
      <c r="R1001" s="157"/>
      <c r="S1001" s="159"/>
      <c r="T1001" s="159"/>
      <c r="U1001" s="160"/>
      <c r="V1001" s="103"/>
      <c r="W1001" s="160" t="str">
        <f>IF(NOTA[[#This Row],[HARGA/ CTN]]="",NOTA[[#This Row],[JUMLAH_H]],NOTA[[#This Row],[HARGA/ CTN]]*IF(NOTA[[#This Row],[C]]="",0,NOTA[[#This Row],[C]]))</f>
        <v/>
      </c>
      <c r="X1001" s="160" t="str">
        <f>IF(NOTA[[#This Row],[JUMLAH]]="","",NOTA[[#This Row],[JUMLAH]]*NOTA[[#This Row],[DISC 1]])</f>
        <v/>
      </c>
      <c r="Y1001" s="160" t="str">
        <f>IF(NOTA[[#This Row],[JUMLAH]]="","",(NOTA[[#This Row],[JUMLAH]]-NOTA[[#This Row],[DISC 1-]])*NOTA[[#This Row],[DISC 2]])</f>
        <v/>
      </c>
      <c r="Z1001" s="160" t="str">
        <f>IF(NOTA[[#This Row],[JUMLAH]]="","",NOTA[[#This Row],[DISC 1-]]+NOTA[[#This Row],[DISC 2-]])</f>
        <v/>
      </c>
      <c r="AA1001" s="160" t="str">
        <f>IF(NOTA[[#This Row],[JUMLAH]]="","",NOTA[[#This Row],[JUMLAH]]-NOTA[[#This Row],[DISC]])</f>
        <v/>
      </c>
      <c r="AB100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60" t="str">
        <f>IF(OR(NOTA[[#This Row],[QTY]]="",NOTA[[#This Row],[HARGA SATUAN]]="",),"",NOTA[[#This Row],[QTY]]*NOTA[[#This Row],[HARGA SATUAN]])</f>
        <v/>
      </c>
      <c r="AF1001" s="156" t="str">
        <f ca="1">IF(NOTA[ID_H]="","",INDEX(NOTA[TANGGAL],MATCH(,INDIRECT(ADDRESS(ROW(NOTA[TANGGAL]),COLUMN(NOTA[TANGGAL]))&amp;":"&amp;ADDRESS(ROW(),COLUMN(NOTA[TANGGAL]))),-1)))</f>
        <v/>
      </c>
      <c r="AG1001" s="151" t="str">
        <f ca="1">IF(NOTA[[#This Row],[NAMA BARANG]]="","",INDEX(NOTA[SUPPLIER],MATCH(,INDIRECT(ADDRESS(ROW(NOTA[ID]),COLUMN(NOTA[ID]))&amp;":"&amp;ADDRESS(ROW(),COLUMN(NOTA[ID]))),-1)))</f>
        <v/>
      </c>
      <c r="AH1001" s="151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93" t="str">
        <f>IF(NOTA[[#This Row],[CONCAT1]]="","",MATCH(NOTA[[#This Row],[CONCAT1]],[2]!db[NB NOTA_C],0)+1)</f>
        <v/>
      </c>
    </row>
    <row r="1002" spans="1:39" ht="20.100000000000001" customHeight="1" x14ac:dyDescent="0.25">
      <c r="A1002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52" t="str">
        <f>IF(NOTA[[#This Row],[ID_P]]="","",MATCH(NOTA[[#This Row],[ID_P]],[1]!B_MSK[N_ID],0))</f>
        <v/>
      </c>
      <c r="D1002" s="152" t="str">
        <f ca="1">IF(NOTA[[#This Row],[NAMA BARANG]]="","",INDEX(NOTA[ID],MATCH(,INDIRECT(ADDRESS(ROW(NOTA[ID]),COLUMN(NOTA[ID]))&amp;":"&amp;ADDRESS(ROW(),COLUMN(NOTA[ID]))),-1)))</f>
        <v/>
      </c>
      <c r="E1002" s="153"/>
      <c r="F1002" s="154"/>
      <c r="G1002" s="154"/>
      <c r="H1002" s="155"/>
      <c r="I1002" s="154"/>
      <c r="J1002" s="156"/>
      <c r="K1002" s="154"/>
      <c r="L1002" s="154"/>
      <c r="M1002" s="157"/>
      <c r="N1002" s="154"/>
      <c r="O1002" s="154"/>
      <c r="P1002" s="151"/>
      <c r="Q1002" s="158"/>
      <c r="R1002" s="157"/>
      <c r="S1002" s="159"/>
      <c r="T1002" s="159"/>
      <c r="U1002" s="160"/>
      <c r="V1002" s="103"/>
      <c r="W1002" s="160" t="str">
        <f>IF(NOTA[[#This Row],[HARGA/ CTN]]="",NOTA[[#This Row],[JUMLAH_H]],NOTA[[#This Row],[HARGA/ CTN]]*IF(NOTA[[#This Row],[C]]="",0,NOTA[[#This Row],[C]]))</f>
        <v/>
      </c>
      <c r="X1002" s="160" t="str">
        <f>IF(NOTA[[#This Row],[JUMLAH]]="","",NOTA[[#This Row],[JUMLAH]]*NOTA[[#This Row],[DISC 1]])</f>
        <v/>
      </c>
      <c r="Y1002" s="160" t="str">
        <f>IF(NOTA[[#This Row],[JUMLAH]]="","",(NOTA[[#This Row],[JUMLAH]]-NOTA[[#This Row],[DISC 1-]])*NOTA[[#This Row],[DISC 2]])</f>
        <v/>
      </c>
      <c r="Z1002" s="160" t="str">
        <f>IF(NOTA[[#This Row],[JUMLAH]]="","",NOTA[[#This Row],[DISC 1-]]+NOTA[[#This Row],[DISC 2-]])</f>
        <v/>
      </c>
      <c r="AA1002" s="160" t="str">
        <f>IF(NOTA[[#This Row],[JUMLAH]]="","",NOTA[[#This Row],[JUMLAH]]-NOTA[[#This Row],[DISC]])</f>
        <v/>
      </c>
      <c r="AB100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60" t="str">
        <f>IF(OR(NOTA[[#This Row],[QTY]]="",NOTA[[#This Row],[HARGA SATUAN]]="",),"",NOTA[[#This Row],[QTY]]*NOTA[[#This Row],[HARGA SATUAN]])</f>
        <v/>
      </c>
      <c r="AF1002" s="156" t="str">
        <f ca="1">IF(NOTA[ID_H]="","",INDEX(NOTA[TANGGAL],MATCH(,INDIRECT(ADDRESS(ROW(NOTA[TANGGAL]),COLUMN(NOTA[TANGGAL]))&amp;":"&amp;ADDRESS(ROW(),COLUMN(NOTA[TANGGAL]))),-1)))</f>
        <v/>
      </c>
      <c r="AG1002" s="151" t="str">
        <f ca="1">IF(NOTA[[#This Row],[NAMA BARANG]]="","",INDEX(NOTA[SUPPLIER],MATCH(,INDIRECT(ADDRESS(ROW(NOTA[ID]),COLUMN(NOTA[ID]))&amp;":"&amp;ADDRESS(ROW(),COLUMN(NOTA[ID]))),-1)))</f>
        <v/>
      </c>
      <c r="AH1002" s="151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93" t="str">
        <f>IF(NOTA[[#This Row],[CONCAT1]]="","",MATCH(NOTA[[#This Row],[CONCAT1]],[2]!db[NB NOTA_C],0)+1)</f>
        <v/>
      </c>
    </row>
    <row r="1003" spans="1:39" ht="20.100000000000001" customHeight="1" x14ac:dyDescent="0.25">
      <c r="A1003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52" t="str">
        <f>IF(NOTA[[#This Row],[ID_P]]="","",MATCH(NOTA[[#This Row],[ID_P]],[1]!B_MSK[N_ID],0))</f>
        <v/>
      </c>
      <c r="D1003" s="152" t="str">
        <f ca="1">IF(NOTA[[#This Row],[NAMA BARANG]]="","",INDEX(NOTA[ID],MATCH(,INDIRECT(ADDRESS(ROW(NOTA[ID]),COLUMN(NOTA[ID]))&amp;":"&amp;ADDRESS(ROW(),COLUMN(NOTA[ID]))),-1)))</f>
        <v/>
      </c>
      <c r="E1003" s="153"/>
      <c r="F1003" s="154"/>
      <c r="G1003" s="154"/>
      <c r="H1003" s="155"/>
      <c r="I1003" s="154"/>
      <c r="J1003" s="156"/>
      <c r="K1003" s="154"/>
      <c r="L1003" s="38"/>
      <c r="M1003" s="157"/>
      <c r="N1003" s="154"/>
      <c r="O1003" s="154"/>
      <c r="P1003" s="151"/>
      <c r="Q1003" s="158"/>
      <c r="R1003" s="157"/>
      <c r="S1003" s="159"/>
      <c r="T1003" s="159"/>
      <c r="U1003" s="160"/>
      <c r="V1003" s="103"/>
      <c r="W1003" s="160" t="str">
        <f>IF(NOTA[[#This Row],[HARGA/ CTN]]="",NOTA[[#This Row],[JUMLAH_H]],NOTA[[#This Row],[HARGA/ CTN]]*IF(NOTA[[#This Row],[C]]="",0,NOTA[[#This Row],[C]]))</f>
        <v/>
      </c>
      <c r="X1003" s="160" t="str">
        <f>IF(NOTA[[#This Row],[JUMLAH]]="","",NOTA[[#This Row],[JUMLAH]]*NOTA[[#This Row],[DISC 1]])</f>
        <v/>
      </c>
      <c r="Y1003" s="160" t="str">
        <f>IF(NOTA[[#This Row],[JUMLAH]]="","",(NOTA[[#This Row],[JUMLAH]]-NOTA[[#This Row],[DISC 1-]])*NOTA[[#This Row],[DISC 2]])</f>
        <v/>
      </c>
      <c r="Z1003" s="160" t="str">
        <f>IF(NOTA[[#This Row],[JUMLAH]]="","",NOTA[[#This Row],[DISC 1-]]+NOTA[[#This Row],[DISC 2-]])</f>
        <v/>
      </c>
      <c r="AA1003" s="160" t="str">
        <f>IF(NOTA[[#This Row],[JUMLAH]]="","",NOTA[[#This Row],[JUMLAH]]-NOTA[[#This Row],[DISC]])</f>
        <v/>
      </c>
      <c r="AB100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60" t="str">
        <f>IF(OR(NOTA[[#This Row],[QTY]]="",NOTA[[#This Row],[HARGA SATUAN]]="",),"",NOTA[[#This Row],[QTY]]*NOTA[[#This Row],[HARGA SATUAN]])</f>
        <v/>
      </c>
      <c r="AF1003" s="156" t="str">
        <f ca="1">IF(NOTA[ID_H]="","",INDEX(NOTA[TANGGAL],MATCH(,INDIRECT(ADDRESS(ROW(NOTA[TANGGAL]),COLUMN(NOTA[TANGGAL]))&amp;":"&amp;ADDRESS(ROW(),COLUMN(NOTA[TANGGAL]))),-1)))</f>
        <v/>
      </c>
      <c r="AG1003" s="151" t="str">
        <f ca="1">IF(NOTA[[#This Row],[NAMA BARANG]]="","",INDEX(NOTA[SUPPLIER],MATCH(,INDIRECT(ADDRESS(ROW(NOTA[ID]),COLUMN(NOTA[ID]))&amp;":"&amp;ADDRESS(ROW(),COLUMN(NOTA[ID]))),-1)))</f>
        <v/>
      </c>
      <c r="AH1003" s="151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93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48"/>
      <c r="F1004" s="38"/>
      <c r="G1004" s="38"/>
      <c r="H1004" s="79"/>
      <c r="I1004" s="38"/>
      <c r="J1004" s="78"/>
      <c r="K1004" s="38"/>
      <c r="L1004" s="38"/>
      <c r="M1004" s="149"/>
      <c r="N1004" s="38"/>
      <c r="O1004" s="38"/>
      <c r="P1004" s="90"/>
      <c r="Q1004" s="105"/>
      <c r="R1004" s="149"/>
      <c r="S1004" s="150"/>
      <c r="T1004" s="150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93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48"/>
      <c r="F1005" s="38"/>
      <c r="G1005" s="38"/>
      <c r="H1005" s="79"/>
      <c r="I1005" s="38"/>
      <c r="J1005" s="78"/>
      <c r="K1005" s="38"/>
      <c r="L1005" s="38"/>
      <c r="M1005" s="149"/>
      <c r="N1005" s="38"/>
      <c r="O1005" s="38"/>
      <c r="P1005" s="90"/>
      <c r="Q1005" s="105"/>
      <c r="R1005" s="149"/>
      <c r="S1005" s="150"/>
      <c r="T1005" s="150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93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48"/>
      <c r="F1006" s="38"/>
      <c r="G1006" s="38"/>
      <c r="H1006" s="79"/>
      <c r="I1006" s="38"/>
      <c r="J1006" s="78"/>
      <c r="K1006" s="38"/>
      <c r="L1006" s="38"/>
      <c r="M1006" s="149"/>
      <c r="N1006" s="38"/>
      <c r="O1006" s="38"/>
      <c r="P1006" s="90"/>
      <c r="Q1006" s="105"/>
      <c r="R1006" s="149"/>
      <c r="S1006" s="150"/>
      <c r="T1006" s="150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93" t="str">
        <f>IF(NOTA[[#This Row],[CONCAT1]]="","",MATCH(NOTA[[#This Row],[CONCAT1]],[2]!db[NB NOTA_C],0)+1)</f>
        <v/>
      </c>
    </row>
  </sheetData>
  <conditionalFormatting sqref="B1:C1048576">
    <cfRule type="duplicateValues" dxfId="244" priority="24"/>
    <cfRule type="duplicateValues" dxfId="243" priority="25"/>
  </conditionalFormatting>
  <conditionalFormatting sqref="B1:B1048576">
    <cfRule type="duplicateValues" dxfId="242" priority="22"/>
  </conditionalFormatting>
  <conditionalFormatting sqref="H37:H38 H74">
    <cfRule type="duplicateValues" dxfId="241" priority="15"/>
  </conditionalFormatting>
  <conditionalFormatting sqref="H29:H31">
    <cfRule type="duplicateValues" dxfId="240" priority="11"/>
  </conditionalFormatting>
  <conditionalFormatting sqref="H33 H20">
    <cfRule type="duplicateValues" dxfId="239" priority="565"/>
  </conditionalFormatting>
  <conditionalFormatting sqref="H21:H27">
    <cfRule type="duplicateValues" dxfId="238" priority="9"/>
  </conditionalFormatting>
  <conditionalFormatting sqref="H12">
    <cfRule type="duplicateValues" dxfId="237" priority="8"/>
  </conditionalFormatting>
  <conditionalFormatting sqref="H14:H16">
    <cfRule type="duplicateValues" dxfId="236" priority="7"/>
  </conditionalFormatting>
  <conditionalFormatting sqref="H326:H337">
    <cfRule type="duplicateValues" dxfId="235" priority="5"/>
  </conditionalFormatting>
  <conditionalFormatting sqref="H689:H693 I105 H1:H2 I191 H465:H473 H404:H430 H39:H43 H695:H1048576 H28 H32 H34:H36 H192:H232 H475:H528 H106:H190 H530:H687 H45:H73 H234:H255 H257:H320 H322:H325 H338:H402 H75:H104">
    <cfRule type="duplicateValues" dxfId="234" priority="958"/>
  </conditionalFormatting>
  <conditionalFormatting sqref="H17:H18">
    <cfRule type="duplicateValues" dxfId="233" priority="980"/>
  </conditionalFormatting>
  <conditionalFormatting sqref="H3:H11 H13">
    <cfRule type="duplicateValues" dxfId="232" priority="981"/>
  </conditionalFormatting>
  <conditionalFormatting sqref="H19">
    <cfRule type="duplicateValues" dxfId="231" priority="4"/>
  </conditionalFormatting>
  <conditionalFormatting sqref="L19">
    <cfRule type="duplicateValues" dxfId="230" priority="3"/>
  </conditionalFormatting>
  <conditionalFormatting sqref="L661">
    <cfRule type="duplicateValues" dxfId="229" priority="1"/>
  </conditionalFormatting>
  <conditionalFormatting sqref="B3:B1006">
    <cfRule type="duplicateValues" dxfId="228" priority="1159"/>
  </conditionalFormatting>
  <conditionalFormatting sqref="H3:H1006">
    <cfRule type="duplicateValues" dxfId="227" priority="116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28" zoomScale="85" zoomScaleNormal="85" workbookViewId="0">
      <selection activeCell="C66" sqref="C66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6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61" bestFit="1" customWidth="1"/>
    <col min="10" max="10" width="8.7109375" style="44" customWidth="1"/>
    <col min="11" max="13" width="14.28515625" style="195" bestFit="1" customWidth="1"/>
    <col min="14" max="14" width="11.5703125" style="195" bestFit="1" customWidth="1"/>
    <col min="15" max="15" width="14.28515625" style="195" bestFit="1" customWidth="1"/>
    <col min="16" max="16" width="13.28515625" style="195" bestFit="1" customWidth="1"/>
    <col min="17" max="17" width="14.28515625" style="195" bestFit="1" customWidth="1"/>
    <col min="18" max="22" width="9.140625" style="44"/>
    <col min="23" max="23" width="19.42578125" style="19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61" t="s">
        <v>49</v>
      </c>
      <c r="F1" s="40" t="s">
        <v>2</v>
      </c>
      <c r="G1" s="44" t="s">
        <v>46</v>
      </c>
      <c r="H1" s="42" t="s">
        <v>6</v>
      </c>
      <c r="I1" s="161" t="s">
        <v>4</v>
      </c>
      <c r="J1" s="44" t="s">
        <v>5</v>
      </c>
      <c r="K1" s="195" t="s">
        <v>39</v>
      </c>
      <c r="L1" s="195" t="s">
        <v>40</v>
      </c>
      <c r="M1" s="195" t="s">
        <v>41</v>
      </c>
      <c r="N1" s="195" t="s">
        <v>20</v>
      </c>
      <c r="O1" s="195" t="s">
        <v>42</v>
      </c>
      <c r="P1" s="195" t="s">
        <v>44</v>
      </c>
      <c r="Q1" s="19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21</v>
      </c>
      <c r="B2" s="40">
        <f ca="1">HYPERLINK("[NOTA_.XLSX]NOTA!c"&amp;PAJAK[[#This Row],[//]],IF(PAJAK[[#This Row],[//]]="","",INDEX(INDIRECT("NOTA["&amp;PAJAK[#Headers]&amp;"]"),PAJAK[[#This Row],[//]]-2)))</f>
        <v>6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Row],[ID]],[3]!Table1[ID],0)</f>
        <v>66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95">
        <f ca="1">IF(PAJAK[[#This Row],[//]]="","",SUMIF(NOTA[ID_H],PAJAK[[#This Row],[ID]],NOTA[JUMLAH]))</f>
        <v>3861000</v>
      </c>
      <c r="L2" s="195">
        <f ca="1">IF(PAJAK[[#This Row],[//]]="","",SUMIF(NOTA[ID_H],PAJAK[[#This Row],[ID]],NOTA[DISC]))</f>
        <v>0</v>
      </c>
      <c r="M2" s="195">
        <f ca="1">PAJAK[[#This Row],[SUB TOTAL]]-PAJAK[[#This Row],[DISKON]]</f>
        <v>3861000</v>
      </c>
      <c r="N2" s="195">
        <f ca="1">IF(PAJAK[[#This Row],[//]]="","",INDEX(INDIRECT("NOTA["&amp;PAJAK[#Headers]&amp;"]"),PAJAK[[#This Row],[//]]-2+PAJAK[[#This Row],[QB]]-1))</f>
        <v>0</v>
      </c>
      <c r="O2" s="195">
        <f ca="1">(PAJAK[[#This Row],[SUB T-DISC]]-PAJAK[[#This Row],[DISC DLL]])/111%</f>
        <v>3478378.3783783782</v>
      </c>
      <c r="P2" s="195">
        <f ca="1">PAJAK[[#This Row],[DPP]]*PAJAK[[#This Row],[PPN]]</f>
        <v>382621.6216216216</v>
      </c>
      <c r="Q2" s="19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23</v>
      </c>
      <c r="B3" s="40">
        <f ca="1">HYPERLINK("[NOTA_.XLSX]NOTA!c"&amp;PAJAK[[#This Row],[//]],IF(PAJAK[[#This Row],[//]]="","",INDEX(INDIRECT("NOTA["&amp;PAJAK[#Headers]&amp;"]"),PAJAK[[#This Row],[//]]-2)))</f>
        <v>7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Row],[ID]],[3]!Table1[ID],0)</f>
        <v>34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95">
        <f ca="1">IF(PAJAK[[#This Row],[//]]="","",SUMIF(NOTA[ID_H],PAJAK[[#This Row],[ID]],NOTA[JUMLAH]))</f>
        <v>26233200</v>
      </c>
      <c r="L3" s="195">
        <f ca="1">IF(PAJAK[[#This Row],[//]]="","",SUMIF(NOTA[ID_H],PAJAK[[#This Row],[ID]],NOTA[DISC]))</f>
        <v>4417875</v>
      </c>
      <c r="M3" s="195">
        <f ca="1">PAJAK[[#This Row],[SUB TOTAL]]-PAJAK[[#This Row],[DISKON]]</f>
        <v>21815325</v>
      </c>
      <c r="N3" s="195">
        <f ca="1">IF(PAJAK[[#This Row],[//]]="","",INDEX(INDIRECT("NOTA["&amp;PAJAK[#Headers]&amp;"]"),PAJAK[[#This Row],[//]]-2+PAJAK[[#This Row],[QB]]-1))</f>
        <v>323190</v>
      </c>
      <c r="O3" s="195">
        <f ca="1">(PAJAK[[#This Row],[SUB T-DISC]]-PAJAK[[#This Row],[DISC DLL]])/111%</f>
        <v>19362283.783783782</v>
      </c>
      <c r="P3" s="195">
        <f ca="1">PAJAK[[#This Row],[DPP]]*PAJAK[[#This Row],[PPN]]</f>
        <v>2129851.2162162159</v>
      </c>
      <c r="Q3" s="19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 s="162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Row],[ID]],[3]!Table1[ID],0)</f>
        <v>4</v>
      </c>
      <c r="E4" s="16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95">
        <f ca="1">IF(PAJAK[[#This Row],[//]]="","",SUMIF(NOTA[ID_H],PAJAK[[#This Row],[ID]],NOTA[JUMLAH]))</f>
        <v>9300000</v>
      </c>
      <c r="L4" s="195">
        <f ca="1">IF(PAJAK[[#This Row],[//]]="","",SUMIF(NOTA[ID_H],PAJAK[[#This Row],[ID]],NOTA[DISC]))</f>
        <v>1581000</v>
      </c>
      <c r="M4" s="195">
        <f ca="1">PAJAK[[#This Row],[SUB TOTAL]]-PAJAK[[#This Row],[DISKON]]</f>
        <v>7719000</v>
      </c>
      <c r="N4" s="195">
        <f ca="1">IF(PAJAK[[#This Row],[//]]="","",INDEX(INDIRECT("NOTA["&amp;PAJAK[#Headers]&amp;"]"),PAJAK[[#This Row],[//]]-2+PAJAK[[#This Row],[QB]]-1))</f>
        <v>0</v>
      </c>
      <c r="O4" s="195">
        <f ca="1">(PAJAK[[#This Row],[SUB T-DISC]]-PAJAK[[#This Row],[DISC DLL]])/111%</f>
        <v>6954054.0540540535</v>
      </c>
      <c r="P4" s="195">
        <f ca="1">PAJAK[[#This Row],[DPP]]*PAJAK[[#This Row],[PPN]]</f>
        <v>764945.94594594592</v>
      </c>
      <c r="Q4" s="19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31</v>
      </c>
      <c r="B5" s="162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Row],[ID]],[3]!Table1[ID],0)</f>
        <v>2</v>
      </c>
      <c r="E5" s="16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95">
        <f ca="1">IF(PAJAK[[#This Row],[//]]="","",SUMIF(NOTA[ID_H],PAJAK[[#This Row],[ID]],NOTA[JUMLAH]))</f>
        <v>38728800</v>
      </c>
      <c r="L5" s="195">
        <f ca="1">IF(PAJAK[[#This Row],[//]]="","",SUMIF(NOTA[ID_H],PAJAK[[#This Row],[ID]],NOTA[DISC]))</f>
        <v>6583896</v>
      </c>
      <c r="M5" s="195">
        <f ca="1">PAJAK[[#This Row],[SUB TOTAL]]-PAJAK[[#This Row],[DISKON]]</f>
        <v>32144904</v>
      </c>
      <c r="N5" s="195">
        <f ca="1">IF(PAJAK[[#This Row],[//]]="","",INDEX(INDIRECT("NOTA["&amp;PAJAK[#Headers]&amp;"]"),PAJAK[[#This Row],[//]]-2+PAJAK[[#This Row],[QB]]-1))</f>
        <v>0</v>
      </c>
      <c r="O5" s="195">
        <f ca="1">(PAJAK[[#This Row],[SUB T-DISC]]-PAJAK[[#This Row],[DISC DLL]])/111%</f>
        <v>28959372.97297297</v>
      </c>
      <c r="P5" s="195">
        <f ca="1">PAJAK[[#This Row],[DPP]]*PAJAK[[#This Row],[PPN]]</f>
        <v>3185531.0270270268</v>
      </c>
      <c r="Q5" s="19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42</v>
      </c>
      <c r="B6" s="163">
        <f ca="1">HYPERLINK("[NOTA_.XLSX]NOTA!c"&amp;PAJAK[[#This Row],[//]],IF(PAJAK[[#This Row],[//]]="","",INDEX(INDIRECT("NOTA["&amp;PAJAK[#Headers]&amp;"]"),PAJAK[[#This Row],[//]]-2)))</f>
        <v>10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Row],[ID]],[3]!Table1[ID],0)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95">
        <f ca="1">IF(PAJAK[[#This Row],[//]]="","",SUMIF(NOTA[ID_H],PAJAK[[#This Row],[ID]],NOTA[JUMLAH]))</f>
        <v>64896000</v>
      </c>
      <c r="L6" s="195">
        <f ca="1">IF(PAJAK[[#This Row],[//]]="","",SUMIF(NOTA[ID_H],PAJAK[[#This Row],[ID]],NOTA[DISC]))</f>
        <v>11032320</v>
      </c>
      <c r="M6" s="195">
        <f ca="1">PAJAK[[#This Row],[SUB TOTAL]]-PAJAK[[#This Row],[DISKON]]</f>
        <v>53863680</v>
      </c>
      <c r="N6" s="195">
        <f ca="1">IF(PAJAK[[#This Row],[//]]="","",INDEX(INDIRECT("NOTA["&amp;PAJAK[#Headers]&amp;"]"),PAJAK[[#This Row],[//]]-2+PAJAK[[#This Row],[QB]]-1))</f>
        <v>0</v>
      </c>
      <c r="O6" s="195">
        <f ca="1">(PAJAK[[#This Row],[SUB T-DISC]]-PAJAK[[#This Row],[DISC DLL]])/111%</f>
        <v>48525837.83783783</v>
      </c>
      <c r="P6" s="195">
        <f ca="1">PAJAK[[#This Row],[DPP]]*PAJAK[[#This Row],[PPN]]</f>
        <v>5337842.1621621614</v>
      </c>
      <c r="Q6" s="19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6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Row],[ID]],[3]!Table1[ID],0)</f>
        <v>37</v>
      </c>
      <c r="E7" s="16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95">
        <f ca="1">IF(PAJAK[[#This Row],[//]]="","",SUMIF(NOTA[ID_H],PAJAK[[#This Row],[ID]],NOTA[JUMLAH]))</f>
        <v>14866600</v>
      </c>
      <c r="L7" s="195">
        <f ca="1">IF(PAJAK[[#This Row],[//]]="","",SUMIF(NOTA[ID_H],PAJAK[[#This Row],[ID]],NOTA[DISC]))</f>
        <v>2506059.75</v>
      </c>
      <c r="M7" s="195">
        <f ca="1">PAJAK[[#This Row],[SUB TOTAL]]-PAJAK[[#This Row],[DISKON]]</f>
        <v>12360540.25</v>
      </c>
      <c r="N7" s="195">
        <f ca="1">IF(PAJAK[[#This Row],[//]]="","",INDEX(INDIRECT("NOTA["&amp;PAJAK[#Headers]&amp;"]"),PAJAK[[#This Row],[//]]-2+PAJAK[[#This Row],[QB]]-1))</f>
        <v>96444</v>
      </c>
      <c r="O7" s="195">
        <f ca="1">(PAJAK[[#This Row],[SUB T-DISC]]-PAJAK[[#This Row],[DISC DLL]])/111%</f>
        <v>11048735.36036036</v>
      </c>
      <c r="P7" s="195">
        <f ca="1">PAJAK[[#This Row],[DPP]]*PAJAK[[#This Row],[PPN]]</f>
        <v>1215360.8896396395</v>
      </c>
      <c r="Q7" s="19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6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Row],[ID]],[3]!Table1[ID],0)</f>
        <v>36</v>
      </c>
      <c r="E8" s="16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95">
        <f ca="1">IF(PAJAK[[#This Row],[//]]="","",SUMIF(NOTA[ID_H],PAJAK[[#This Row],[ID]],NOTA[JUMLAH]))</f>
        <v>7655000</v>
      </c>
      <c r="L8" s="195">
        <f ca="1">IF(PAJAK[[#This Row],[//]]="","",SUMIF(NOTA[ID_H],PAJAK[[#This Row],[ID]],NOTA[DISC]))</f>
        <v>1291781.25</v>
      </c>
      <c r="M8" s="195">
        <f ca="1">PAJAK[[#This Row],[SUB TOTAL]]-PAJAK[[#This Row],[DISKON]]</f>
        <v>6363218.75</v>
      </c>
      <c r="N8" s="195">
        <f ca="1">IF(PAJAK[[#This Row],[//]]="","",INDEX(INDIRECT("NOTA["&amp;PAJAK[#Headers]&amp;"]"),PAJAK[[#This Row],[//]]-2+PAJAK[[#This Row],[QB]]-1))</f>
        <v>0</v>
      </c>
      <c r="O8" s="195">
        <f ca="1">(PAJAK[[#This Row],[SUB T-DISC]]-PAJAK[[#This Row],[DISC DLL]])/111%</f>
        <v>5732629.5045045037</v>
      </c>
      <c r="P8" s="195">
        <f ca="1">PAJAK[[#This Row],[DPP]]*PAJAK[[#This Row],[PPN]]</f>
        <v>630589.24549549539</v>
      </c>
      <c r="Q8" s="19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6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Row],[ID]],[3]!Table1[ID],0)</f>
        <v>35</v>
      </c>
      <c r="E9" s="16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95">
        <f ca="1">IF(PAJAK[[#This Row],[//]]="","",SUMIF(NOTA[ID_H],PAJAK[[#This Row],[ID]],NOTA[JUMLAH]))</f>
        <v>27790000</v>
      </c>
      <c r="L9" s="195">
        <f ca="1">IF(PAJAK[[#This Row],[//]]="","",SUMIF(NOTA[ID_H],PAJAK[[#This Row],[ID]],NOTA[DISC]))</f>
        <v>4689562.5</v>
      </c>
      <c r="M9" s="195">
        <f ca="1">PAJAK[[#This Row],[SUB TOTAL]]-PAJAK[[#This Row],[DISKON]]</f>
        <v>23100437.5</v>
      </c>
      <c r="N9" s="195">
        <f ca="1">IF(PAJAK[[#This Row],[//]]="","",INDEX(INDIRECT("NOTA["&amp;PAJAK[#Headers]&amp;"]"),PAJAK[[#This Row],[//]]-2+PAJAK[[#This Row],[QB]]-1))</f>
        <v>0</v>
      </c>
      <c r="O9" s="195">
        <f ca="1">(PAJAK[[#This Row],[SUB T-DISC]]-PAJAK[[#This Row],[DISC DLL]])/111%</f>
        <v>20811204.954954952</v>
      </c>
      <c r="P9" s="195">
        <f ca="1">PAJAK[[#This Row],[DPP]]*PAJAK[[#This Row],[PPN]]</f>
        <v>2289232.5450450447</v>
      </c>
      <c r="Q9" s="19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171</v>
      </c>
      <c r="B10" s="162">
        <f ca="1">HYPERLINK("[NOTA_.XLSX]NOTA!c"&amp;PAJAK[[#This Row],[//]],IF(PAJAK[[#This Row],[//]]="","",INDEX(INDIRECT("NOTA["&amp;PAJAK[#Headers]&amp;"]"),PAJAK[[#This Row],[//]]-2)))</f>
        <v>41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Row],[ID]],[3]!Table1[ID],0)</f>
        <v>14</v>
      </c>
      <c r="E10" s="16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95">
        <f ca="1">IF(PAJAK[[#This Row],[//]]="","",SUMIF(NOTA[ID_H],PAJAK[[#This Row],[ID]],NOTA[JUMLAH]))</f>
        <v>62796800</v>
      </c>
      <c r="L10" s="195">
        <f ca="1">IF(PAJAK[[#This Row],[//]]="","",SUMIF(NOTA[ID_H],PAJAK[[#This Row],[ID]],NOTA[DISC]))</f>
        <v>10675456</v>
      </c>
      <c r="M10" s="195">
        <f ca="1">PAJAK[[#This Row],[SUB TOTAL]]-PAJAK[[#This Row],[DISKON]]</f>
        <v>52121344</v>
      </c>
      <c r="N10" s="195">
        <f ca="1">IF(PAJAK[[#This Row],[//]]="","",INDEX(INDIRECT("NOTA["&amp;PAJAK[#Headers]&amp;"]"),PAJAK[[#This Row],[//]]-2+PAJAK[[#This Row],[QB]]-1))</f>
        <v>0</v>
      </c>
      <c r="O10" s="195">
        <f ca="1">(PAJAK[[#This Row],[SUB T-DISC]]-PAJAK[[#This Row],[DISC DLL]])/111%</f>
        <v>46956165.765765764</v>
      </c>
      <c r="P10" s="195">
        <f ca="1">PAJAK[[#This Row],[DPP]]*PAJAK[[#This Row],[PPN]]</f>
        <v>5165178.2342342343</v>
      </c>
      <c r="Q10" s="19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178</v>
      </c>
      <c r="B11" s="162">
        <f ca="1">HYPERLINK("[NOTA_.XLSX]NOTA!c"&amp;PAJAK[[#This Row],[//]],IF(PAJAK[[#This Row],[//]]="","",INDEX(INDIRECT("NOTA["&amp;PAJAK[#Headers]&amp;"]"),PAJAK[[#This Row],[//]]-2)))</f>
        <v>42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Row],[ID]],[3]!Table1[ID],0)</f>
        <v>11</v>
      </c>
      <c r="E11" s="16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95">
        <f ca="1">IF(PAJAK[[#This Row],[//]]="","",SUMIF(NOTA[ID_H],PAJAK[[#This Row],[ID]],NOTA[JUMLAH]))</f>
        <v>68415200</v>
      </c>
      <c r="L11" s="195">
        <f ca="1">IF(PAJAK[[#This Row],[//]]="","",SUMIF(NOTA[ID_H],PAJAK[[#This Row],[ID]],NOTA[DISC]))</f>
        <v>11630584</v>
      </c>
      <c r="M11" s="195">
        <f ca="1">PAJAK[[#This Row],[SUB TOTAL]]-PAJAK[[#This Row],[DISKON]]</f>
        <v>56784616</v>
      </c>
      <c r="N11" s="195">
        <f ca="1">IF(PAJAK[[#This Row],[//]]="","",INDEX(INDIRECT("NOTA["&amp;PAJAK[#Headers]&amp;"]"),PAJAK[[#This Row],[//]]-2+PAJAK[[#This Row],[QB]]-1))</f>
        <v>0</v>
      </c>
      <c r="O11" s="195">
        <f ca="1">(PAJAK[[#This Row],[SUB T-DISC]]-PAJAK[[#This Row],[DISC DLL]])/111%</f>
        <v>51157311.711711705</v>
      </c>
      <c r="P11" s="195">
        <f ca="1">PAJAK[[#This Row],[DPP]]*PAJAK[[#This Row],[PPN]]</f>
        <v>5627304.2882882878</v>
      </c>
      <c r="Q11" s="19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189</v>
      </c>
      <c r="B12" s="162">
        <f ca="1">HYPERLINK("[NOTA_.XLSX]NOTA!c"&amp;PAJAK[[#This Row],[//]],IF(PAJAK[[#This Row],[//]]="","",INDEX(INDIRECT("NOTA["&amp;PAJAK[#Headers]&amp;"]"),PAJAK[[#This Row],[//]]-2)))</f>
        <v>43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Row],[ID]],[3]!Table1[ID],0)</f>
        <v>12</v>
      </c>
      <c r="E12" s="16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95">
        <f ca="1">IF(PAJAK[[#This Row],[//]]="","",SUMIF(NOTA[ID_H],PAJAK[[#This Row],[ID]],NOTA[JUMLAH]))</f>
        <v>18692200</v>
      </c>
      <c r="L12" s="195">
        <f ca="1">IF(PAJAK[[#This Row],[//]]="","",SUMIF(NOTA[ID_H],PAJAK[[#This Row],[ID]],NOTA[DISC]))</f>
        <v>3177674</v>
      </c>
      <c r="M12" s="195">
        <f ca="1">PAJAK[[#This Row],[SUB TOTAL]]-PAJAK[[#This Row],[DISKON]]</f>
        <v>15514526</v>
      </c>
      <c r="N12" s="195">
        <f ca="1">IF(PAJAK[[#This Row],[//]]="","",INDEX(INDIRECT("NOTA["&amp;PAJAK[#Headers]&amp;"]"),PAJAK[[#This Row],[//]]-2+PAJAK[[#This Row],[QB]]-1))</f>
        <v>0</v>
      </c>
      <c r="O12" s="195">
        <f ca="1">(PAJAK[[#This Row],[SUB T-DISC]]-PAJAK[[#This Row],[DISC DLL]])/111%</f>
        <v>13977050.450450448</v>
      </c>
      <c r="P12" s="195">
        <f ca="1">PAJAK[[#This Row],[DPP]]*PAJAK[[#This Row],[PPN]]</f>
        <v>1537475.5495495494</v>
      </c>
      <c r="Q12" s="19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199</v>
      </c>
      <c r="B13" s="162">
        <f ca="1">HYPERLINK("[NOTA_.XLSX]NOTA!c"&amp;PAJAK[[#This Row],[//]],IF(PAJAK[[#This Row],[//]]="","",INDEX(INDIRECT("NOTA["&amp;PAJAK[#Headers]&amp;"]"),PAJAK[[#This Row],[//]]-2)))</f>
        <v>44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Row],[ID]],[3]!Table1[ID],0)</f>
        <v>13</v>
      </c>
      <c r="E13" s="16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95">
        <f ca="1">IF(PAJAK[[#This Row],[//]]="","",SUMIF(NOTA[ID_H],PAJAK[[#This Row],[ID]],NOTA[JUMLAH]))</f>
        <v>21766600</v>
      </c>
      <c r="L13" s="195">
        <f ca="1">IF(PAJAK[[#This Row],[//]]="","",SUMIF(NOTA[ID_H],PAJAK[[#This Row],[ID]],NOTA[DISC]))</f>
        <v>3700322</v>
      </c>
      <c r="M13" s="195">
        <f ca="1">PAJAK[[#This Row],[SUB TOTAL]]-PAJAK[[#This Row],[DISKON]]</f>
        <v>18066278</v>
      </c>
      <c r="N13" s="195">
        <f ca="1">IF(PAJAK[[#This Row],[//]]="","",INDEX(INDIRECT("NOTA["&amp;PAJAK[#Headers]&amp;"]"),PAJAK[[#This Row],[//]]-2+PAJAK[[#This Row],[QB]]-1))</f>
        <v>0</v>
      </c>
      <c r="O13" s="195">
        <f ca="1">(PAJAK[[#This Row],[SUB T-DISC]]-PAJAK[[#This Row],[DISC DLL]])/111%</f>
        <v>16275926.126126125</v>
      </c>
      <c r="P13" s="195">
        <f ca="1">PAJAK[[#This Row],[DPP]]*PAJAK[[#This Row],[PPN]]</f>
        <v>1790351.8738738738</v>
      </c>
      <c r="Q13" s="19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210</v>
      </c>
      <c r="B14" s="162">
        <f ca="1">HYPERLINK("[NOTA_.XLSX]NOTA!c"&amp;PAJAK[[#This Row],[//]],IF(PAJAK[[#This Row],[//]]="","",INDEX(INDIRECT("NOTA["&amp;PAJAK[#Headers]&amp;"]"),PAJAK[[#This Row],[//]]-2)))</f>
        <v>45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Row],[ID]],[3]!Table1[ID],0)</f>
        <v>5</v>
      </c>
      <c r="E14" s="16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95">
        <f ca="1">IF(PAJAK[[#This Row],[//]]="","",SUMIF(NOTA[ID_H],PAJAK[[#This Row],[ID]],NOTA[JUMLAH]))</f>
        <v>46848000</v>
      </c>
      <c r="L14" s="195">
        <f ca="1">IF(PAJAK[[#This Row],[//]]="","",SUMIF(NOTA[ID_H],PAJAK[[#This Row],[ID]],NOTA[DISC]))</f>
        <v>7964160</v>
      </c>
      <c r="M14" s="195">
        <f ca="1">PAJAK[[#This Row],[SUB TOTAL]]-PAJAK[[#This Row],[DISKON]]</f>
        <v>38883840</v>
      </c>
      <c r="N14" s="195">
        <f ca="1">IF(PAJAK[[#This Row],[//]]="","",INDEX(INDIRECT("NOTA["&amp;PAJAK[#Headers]&amp;"]"),PAJAK[[#This Row],[//]]-2+PAJAK[[#This Row],[QB]]-1))</f>
        <v>0</v>
      </c>
      <c r="O14" s="195">
        <f ca="1">(PAJAK[[#This Row],[SUB T-DISC]]-PAJAK[[#This Row],[DISC DLL]])/111%</f>
        <v>35030486.486486487</v>
      </c>
      <c r="P14" s="195">
        <f ca="1">PAJAK[[#This Row],[DPP]]*PAJAK[[#This Row],[PPN]]</f>
        <v>3853353.5135135134</v>
      </c>
      <c r="Q14" s="19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214</v>
      </c>
      <c r="B15" s="162">
        <f ca="1">HYPERLINK("[NOTA_.XLSX]NOTA!c"&amp;PAJAK[[#This Row],[//]],IF(PAJAK[[#This Row],[//]]="","",INDEX(INDIRECT("NOTA["&amp;PAJAK[#Headers]&amp;"]"),PAJAK[[#This Row],[//]]-2)))</f>
        <v>46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Row],[ID]],[3]!Table1[ID],0)</f>
        <v>6</v>
      </c>
      <c r="E15" s="16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95">
        <f ca="1">IF(PAJAK[[#This Row],[//]]="","",SUMIF(NOTA[ID_H],PAJAK[[#This Row],[ID]],NOTA[JUMLAH]))</f>
        <v>38163200</v>
      </c>
      <c r="L15" s="195">
        <f ca="1">IF(PAJAK[[#This Row],[//]]="","",SUMIF(NOTA[ID_H],PAJAK[[#This Row],[ID]],NOTA[DISC]))</f>
        <v>6487744</v>
      </c>
      <c r="M15" s="195">
        <f ca="1">PAJAK[[#This Row],[SUB TOTAL]]-PAJAK[[#This Row],[DISKON]]</f>
        <v>31675456</v>
      </c>
      <c r="N15" s="195">
        <f ca="1">IF(PAJAK[[#This Row],[//]]="","",INDEX(INDIRECT("NOTA["&amp;PAJAK[#Headers]&amp;"]"),PAJAK[[#This Row],[//]]-2+PAJAK[[#This Row],[QB]]-1))</f>
        <v>0</v>
      </c>
      <c r="O15" s="195">
        <f ca="1">(PAJAK[[#This Row],[SUB T-DISC]]-PAJAK[[#This Row],[DISC DLL]])/111%</f>
        <v>28536446.846846845</v>
      </c>
      <c r="P15" s="195">
        <f ca="1">PAJAK[[#This Row],[DPP]]*PAJAK[[#This Row],[PPN]]</f>
        <v>3139009.1531531531</v>
      </c>
      <c r="Q15" s="19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224</v>
      </c>
      <c r="B16" s="162">
        <f ca="1">HYPERLINK("[NOTA_.XLSX]NOTA!c"&amp;PAJAK[[#This Row],[//]],IF(PAJAK[[#This Row],[//]]="","",INDEX(INDIRECT("NOTA["&amp;PAJAK[#Headers]&amp;"]"),PAJAK[[#This Row],[//]]-2)))</f>
        <v>47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Row],[ID]],[3]!Table1[ID],0)</f>
        <v>8</v>
      </c>
      <c r="E16" s="16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95">
        <f ca="1">IF(PAJAK[[#This Row],[//]]="","",SUMIF(NOTA[ID_H],PAJAK[[#This Row],[ID]],NOTA[JUMLAH]))</f>
        <v>10854000</v>
      </c>
      <c r="L16" s="195">
        <f ca="1">IF(PAJAK[[#This Row],[//]]="","",SUMIF(NOTA[ID_H],PAJAK[[#This Row],[ID]],NOTA[DISC]))</f>
        <v>1845180.0000000002</v>
      </c>
      <c r="M16" s="195">
        <f ca="1">PAJAK[[#This Row],[SUB TOTAL]]-PAJAK[[#This Row],[DISKON]]</f>
        <v>9008820</v>
      </c>
      <c r="N16" s="195">
        <f ca="1">IF(PAJAK[[#This Row],[//]]="","",INDEX(INDIRECT("NOTA["&amp;PAJAK[#Headers]&amp;"]"),PAJAK[[#This Row],[//]]-2+PAJAK[[#This Row],[QB]]-1))</f>
        <v>0</v>
      </c>
      <c r="O16" s="195">
        <f ca="1">(PAJAK[[#This Row],[SUB T-DISC]]-PAJAK[[#This Row],[DISC DLL]])/111%</f>
        <v>8116054.0540540535</v>
      </c>
      <c r="P16" s="195">
        <f ca="1">PAJAK[[#This Row],[DPP]]*PAJAK[[#This Row],[PPN]]</f>
        <v>892765.94594594592</v>
      </c>
      <c r="Q16" s="19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226</v>
      </c>
      <c r="B17" s="162">
        <f ca="1">HYPERLINK("[NOTA_.XLSX]NOTA!c"&amp;PAJAK[[#This Row],[//]],IF(PAJAK[[#This Row],[//]]="","",INDEX(INDIRECT("NOTA["&amp;PAJAK[#Headers]&amp;"]"),PAJAK[[#This Row],[//]]-2)))</f>
        <v>48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Row],[ID]],[3]!Table1[ID],0)</f>
        <v>7</v>
      </c>
      <c r="E17" s="16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95">
        <f ca="1">IF(PAJAK[[#This Row],[//]]="","",SUMIF(NOTA[ID_H],PAJAK[[#This Row],[ID]],NOTA[JUMLAH]))</f>
        <v>25041600</v>
      </c>
      <c r="L17" s="195">
        <f ca="1">IF(PAJAK[[#This Row],[//]]="","",SUMIF(NOTA[ID_H],PAJAK[[#This Row],[ID]],NOTA[DISC]))</f>
        <v>4257072</v>
      </c>
      <c r="M17" s="195">
        <f ca="1">PAJAK[[#This Row],[SUB TOTAL]]-PAJAK[[#This Row],[DISKON]]</f>
        <v>20784528</v>
      </c>
      <c r="N17" s="195">
        <f ca="1">IF(PAJAK[[#This Row],[//]]="","",INDEX(INDIRECT("NOTA["&amp;PAJAK[#Headers]&amp;"]"),PAJAK[[#This Row],[//]]-2+PAJAK[[#This Row],[QB]]-1))</f>
        <v>0</v>
      </c>
      <c r="O17" s="195">
        <f ca="1">(PAJAK[[#This Row],[SUB T-DISC]]-PAJAK[[#This Row],[DISC DLL]])/111%</f>
        <v>18724800</v>
      </c>
      <c r="P17" s="195">
        <f ca="1">PAJAK[[#This Row],[DPP]]*PAJAK[[#This Row],[PPN]]</f>
        <v>2059728</v>
      </c>
      <c r="Q17" s="19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234</v>
      </c>
      <c r="B18" s="162">
        <f ca="1">HYPERLINK("[NOTA_.XLSX]NOTA!c"&amp;PAJAK[[#This Row],[//]],IF(PAJAK[[#This Row],[//]]="","",INDEX(INDIRECT("NOTA["&amp;PAJAK[#Headers]&amp;"]"),PAJAK[[#This Row],[//]]-2)))</f>
        <v>49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Row],[ID]],[3]!Table1[ID],0)</f>
        <v>10</v>
      </c>
      <c r="E18" s="16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95">
        <f ca="1">IF(PAJAK[[#This Row],[//]]="","",SUMIF(NOTA[ID_H],PAJAK[[#This Row],[ID]],NOTA[JUMLAH]))</f>
        <v>29440800</v>
      </c>
      <c r="L18" s="195">
        <f ca="1">IF(PAJAK[[#This Row],[//]]="","",SUMIF(NOTA[ID_H],PAJAK[[#This Row],[ID]],NOTA[DISC]))</f>
        <v>5004936.0000000009</v>
      </c>
      <c r="M18" s="195">
        <f ca="1">PAJAK[[#This Row],[SUB TOTAL]]-PAJAK[[#This Row],[DISKON]]</f>
        <v>24435864</v>
      </c>
      <c r="N18" s="195">
        <f ca="1">IF(PAJAK[[#This Row],[//]]="","",INDEX(INDIRECT("NOTA["&amp;PAJAK[#Headers]&amp;"]"),PAJAK[[#This Row],[//]]-2+PAJAK[[#This Row],[QB]]-1))</f>
        <v>0</v>
      </c>
      <c r="O18" s="195">
        <f ca="1">(PAJAK[[#This Row],[SUB T-DISC]]-PAJAK[[#This Row],[DISC DLL]])/111%</f>
        <v>22014291.891891889</v>
      </c>
      <c r="P18" s="195">
        <f ca="1">PAJAK[[#This Row],[DPP]]*PAJAK[[#This Row],[PPN]]</f>
        <v>2421572.1081081079</v>
      </c>
      <c r="Q18" s="19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239</v>
      </c>
      <c r="B19" s="162">
        <f ca="1">HYPERLINK("[NOTA_.XLSX]NOTA!c"&amp;PAJAK[[#This Row],[//]],IF(PAJAK[[#This Row],[//]]="","",INDEX(INDIRECT("NOTA["&amp;PAJAK[#Headers]&amp;"]"),PAJAK[[#This Row],[//]]-2)))</f>
        <v>50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Row],[ID]],[3]!Table1[ID],0)</f>
        <v>9</v>
      </c>
      <c r="E19" s="16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95">
        <f ca="1">IF(PAJAK[[#This Row],[//]]="","",SUMIF(NOTA[ID_H],PAJAK[[#This Row],[ID]],NOTA[JUMLAH]))</f>
        <v>49284000</v>
      </c>
      <c r="L19" s="195">
        <f ca="1">IF(PAJAK[[#This Row],[//]]="","",SUMIF(NOTA[ID_H],PAJAK[[#This Row],[ID]],NOTA[DISC]))</f>
        <v>8378280</v>
      </c>
      <c r="M19" s="195">
        <f ca="1">PAJAK[[#This Row],[SUB TOTAL]]-PAJAK[[#This Row],[DISKON]]</f>
        <v>40905720</v>
      </c>
      <c r="N19" s="195">
        <f ca="1">IF(PAJAK[[#This Row],[//]]="","",INDEX(INDIRECT("NOTA["&amp;PAJAK[#Headers]&amp;"]"),PAJAK[[#This Row],[//]]-2+PAJAK[[#This Row],[QB]]-1))</f>
        <v>0</v>
      </c>
      <c r="O19" s="195">
        <f ca="1">(PAJAK[[#This Row],[SUB T-DISC]]-PAJAK[[#This Row],[DISC DLL]])/111%</f>
        <v>36852000</v>
      </c>
      <c r="P19" s="195">
        <f ca="1">PAJAK[[#This Row],[DPP]]*PAJAK[[#This Row],[PPN]]</f>
        <v>4053720</v>
      </c>
      <c r="Q19" s="19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250</v>
      </c>
      <c r="B20" s="162">
        <f ca="1">HYPERLINK("[NOTA_.XLSX]NOTA!c"&amp;PAJAK[[#This Row],[//]],IF(PAJAK[[#This Row],[//]]="","",INDEX(INDIRECT("NOTA["&amp;PAJAK[#Headers]&amp;"]"),PAJAK[[#This Row],[//]]-2)))</f>
        <v>51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Row],[ID]],[3]!Table1[ID],0)</f>
        <v>39</v>
      </c>
      <c r="E20" s="16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95">
        <f ca="1">IF(PAJAK[[#This Row],[//]]="","",SUMIF(NOTA[ID_H],PAJAK[[#This Row],[ID]],NOTA[JUMLAH]))</f>
        <v>11177800</v>
      </c>
      <c r="L20" s="195">
        <f ca="1">IF(PAJAK[[#This Row],[//]]="","",SUMIF(NOTA[ID_H],PAJAK[[#This Row],[ID]],NOTA[DISC]))</f>
        <v>1884315.75</v>
      </c>
      <c r="M20" s="195">
        <f ca="1">PAJAK[[#This Row],[SUB TOTAL]]-PAJAK[[#This Row],[DISKON]]</f>
        <v>9293484.25</v>
      </c>
      <c r="N20" s="195">
        <f ca="1">IF(PAJAK[[#This Row],[//]]="","",INDEX(INDIRECT("NOTA["&amp;PAJAK[#Headers]&amp;"]"),PAJAK[[#This Row],[//]]-2+PAJAK[[#This Row],[QB]]-1))</f>
        <v>69768</v>
      </c>
      <c r="O20" s="195">
        <f ca="1">(PAJAK[[#This Row],[SUB T-DISC]]-PAJAK[[#This Row],[DISC DLL]])/111%</f>
        <v>8309654.2792792786</v>
      </c>
      <c r="P20" s="195">
        <f ca="1">PAJAK[[#This Row],[DPP]]*PAJAK[[#This Row],[PPN]]</f>
        <v>914061.97072072059</v>
      </c>
      <c r="Q20" s="19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259</v>
      </c>
      <c r="B21" s="162">
        <f ca="1">HYPERLINK("[NOTA_.XLSX]NOTA!c"&amp;PAJAK[[#This Row],[//]],IF(PAJAK[[#This Row],[//]]="","",INDEX(INDIRECT("NOTA["&amp;PAJAK[#Headers]&amp;"]"),PAJAK[[#This Row],[//]]-2)))</f>
        <v>52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Row],[ID]],[3]!Table1[ID],0)</f>
        <v>40</v>
      </c>
      <c r="E21" s="16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95">
        <f ca="1">IF(PAJAK[[#This Row],[//]]="","",SUMIF(NOTA[ID_H],PAJAK[[#This Row],[ID]],NOTA[JUMLAH]))</f>
        <v>24200200</v>
      </c>
      <c r="L21" s="195">
        <f ca="1">IF(PAJAK[[#This Row],[//]]="","",SUMIF(NOTA[ID_H],PAJAK[[#This Row],[ID]],NOTA[DISC]))</f>
        <v>4082586.75</v>
      </c>
      <c r="M21" s="195">
        <f ca="1">PAJAK[[#This Row],[SUB TOTAL]]-PAJAK[[#This Row],[DISKON]]</f>
        <v>20117613.25</v>
      </c>
      <c r="N21" s="195">
        <f ca="1">IF(PAJAK[[#This Row],[//]]="","",INDEX(INDIRECT("NOTA["&amp;PAJAK[#Headers]&amp;"]"),PAJAK[[#This Row],[//]]-2+PAJAK[[#This Row],[QB]]-1))</f>
        <v>43092</v>
      </c>
      <c r="O21" s="195">
        <f ca="1">(PAJAK[[#This Row],[SUB T-DISC]]-PAJAK[[#This Row],[DISC DLL]])/111%</f>
        <v>18085154.279279277</v>
      </c>
      <c r="P21" s="195">
        <f ca="1">PAJAK[[#This Row],[DPP]]*PAJAK[[#This Row],[PPN]]</f>
        <v>1989366.9707207205</v>
      </c>
      <c r="Q21" s="19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270</v>
      </c>
      <c r="B22" s="162">
        <f ca="1">HYPERLINK("[NOTA_.XLSX]NOTA!c"&amp;PAJAK[[#This Row],[//]],IF(PAJAK[[#This Row],[//]]="","",INDEX(INDIRECT("NOTA["&amp;PAJAK[#Headers]&amp;"]"),PAJAK[[#This Row],[//]]-2)))</f>
        <v>53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Row],[ID]],[3]!Table1[ID],0)</f>
        <v>38</v>
      </c>
      <c r="E22" s="16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95">
        <f ca="1">IF(PAJAK[[#This Row],[//]]="","",SUMIF(NOTA[ID_H],PAJAK[[#This Row],[ID]],NOTA[JUMLAH]))</f>
        <v>23740500</v>
      </c>
      <c r="L22" s="195">
        <f ca="1">IF(PAJAK[[#This Row],[//]]="","",SUMIF(NOTA[ID_H],PAJAK[[#This Row],[ID]],NOTA[DISC]))</f>
        <v>4006209.375</v>
      </c>
      <c r="M22" s="195">
        <f ca="1">PAJAK[[#This Row],[SUB TOTAL]]-PAJAK[[#This Row],[DISKON]]</f>
        <v>19734290.625</v>
      </c>
      <c r="N22" s="195">
        <f ca="1">IF(PAJAK[[#This Row],[//]]="","",INDEX(INDIRECT("NOTA["&amp;PAJAK[#Headers]&amp;"]"),PAJAK[[#This Row],[//]]-2+PAJAK[[#This Row],[QB]]-1))</f>
        <v>0</v>
      </c>
      <c r="O22" s="195">
        <f ca="1">(PAJAK[[#This Row],[SUB T-DISC]]-PAJAK[[#This Row],[DISC DLL]])/111%</f>
        <v>17778640.202702701</v>
      </c>
      <c r="P22" s="195">
        <f ca="1">PAJAK[[#This Row],[DPP]]*PAJAK[[#This Row],[PPN]]</f>
        <v>1955650.422297297</v>
      </c>
      <c r="Q22" s="19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282</v>
      </c>
      <c r="B23" s="162">
        <f ca="1">HYPERLINK("[NOTA_.XLSX]NOTA!c"&amp;PAJAK[[#This Row],[//]],IF(PAJAK[[#This Row],[//]]="","",INDEX(INDIRECT("NOTA["&amp;PAJAK[#Headers]&amp;"]"),PAJAK[[#This Row],[//]]-2)))</f>
        <v>54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Row],[ID]],[3]!Table1[ID],0)</f>
        <v>28</v>
      </c>
      <c r="E23" s="16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95">
        <f ca="1">IF(PAJAK[[#This Row],[//]]="","",SUMIF(NOTA[ID_H],PAJAK[[#This Row],[ID]],NOTA[JUMLAH]))</f>
        <v>30080000</v>
      </c>
      <c r="L23" s="195">
        <f ca="1">IF(PAJAK[[#This Row],[//]]="","",SUMIF(NOTA[ID_H],PAJAK[[#This Row],[ID]],NOTA[DISC]))</f>
        <v>6392000</v>
      </c>
      <c r="M23" s="195">
        <f ca="1">PAJAK[[#This Row],[SUB TOTAL]]-PAJAK[[#This Row],[DISKON]]</f>
        <v>23688000</v>
      </c>
      <c r="N23" s="195">
        <f ca="1">IF(PAJAK[[#This Row],[//]]="","",INDEX(INDIRECT("NOTA["&amp;PAJAK[#Headers]&amp;"]"),PAJAK[[#This Row],[//]]-2+PAJAK[[#This Row],[QB]]-1))</f>
        <v>0</v>
      </c>
      <c r="O23" s="195">
        <f ca="1">(PAJAK[[#This Row],[SUB T-DISC]]-PAJAK[[#This Row],[DISC DLL]])/111%</f>
        <v>21340540.540540539</v>
      </c>
      <c r="P23" s="195">
        <f ca="1">PAJAK[[#This Row],[DPP]]*PAJAK[[#This Row],[PPN]]</f>
        <v>2347459.4594594594</v>
      </c>
      <c r="Q23" s="19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286</v>
      </c>
      <c r="B24" s="162">
        <f ca="1">HYPERLINK("[NOTA_.XLSX]NOTA!c"&amp;PAJAK[[#This Row],[//]],IF(PAJAK[[#This Row],[//]]="","",INDEX(INDIRECT("NOTA["&amp;PAJAK[#Headers]&amp;"]"),PAJAK[[#This Row],[//]]-2)))</f>
        <v>55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Row],[ID]],[3]!Table1[ID],0)</f>
        <v>41</v>
      </c>
      <c r="E24" s="16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95">
        <f ca="1">IF(PAJAK[[#This Row],[//]]="","",SUMIF(NOTA[ID_H],PAJAK[[#This Row],[ID]],NOTA[JUMLAH]))</f>
        <v>38340000</v>
      </c>
      <c r="L24" s="195">
        <f ca="1">IF(PAJAK[[#This Row],[//]]="","",SUMIF(NOTA[ID_H],PAJAK[[#This Row],[ID]],NOTA[DISC]))</f>
        <v>6469875</v>
      </c>
      <c r="M24" s="195">
        <f ca="1">PAJAK[[#This Row],[SUB TOTAL]]-PAJAK[[#This Row],[DISKON]]</f>
        <v>31870125</v>
      </c>
      <c r="N24" s="195">
        <f ca="1">IF(PAJAK[[#This Row],[//]]="","",INDEX(INDIRECT("NOTA["&amp;PAJAK[#Headers]&amp;"]"),PAJAK[[#This Row],[//]]-2+PAJAK[[#This Row],[QB]]-1))</f>
        <v>0</v>
      </c>
      <c r="O24" s="195">
        <f ca="1">(PAJAK[[#This Row],[SUB T-DISC]]-PAJAK[[#This Row],[DISC DLL]])/111%</f>
        <v>28711824.324324321</v>
      </c>
      <c r="P24" s="195">
        <f ca="1">PAJAK[[#This Row],[DPP]]*PAJAK[[#This Row],[PPN]]</f>
        <v>3158300.6756756753</v>
      </c>
      <c r="Q24" s="19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294</v>
      </c>
      <c r="B25" s="40">
        <f ca="1">HYPERLINK("[NOTA_.XLSX]NOTA!c"&amp;PAJAK[[#This Row],[//]],IF(PAJAK[[#This Row],[//]]="","",INDEX(INDIRECT("NOTA["&amp;PAJAK[#Headers]&amp;"]"),PAJAK[[#This Row],[//]]-2)))</f>
        <v>56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Row],[ID]],[3]!Table1[ID],0)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95">
        <f ca="1">IF(PAJAK[[#This Row],[//]]="","",SUMIF(NOTA[ID_H],PAJAK[[#This Row],[ID]],NOTA[JUMLAH]))</f>
        <v>66351200</v>
      </c>
      <c r="L25" s="195">
        <f ca="1">IF(PAJAK[[#This Row],[//]]="","",SUMIF(NOTA[ID_H],PAJAK[[#This Row],[ID]],NOTA[DISC]))</f>
        <v>11279704</v>
      </c>
      <c r="M25" s="195">
        <f ca="1">PAJAK[[#This Row],[SUB TOTAL]]-PAJAK[[#This Row],[DISKON]]</f>
        <v>55071496</v>
      </c>
      <c r="N25" s="195">
        <f ca="1">IF(PAJAK[[#This Row],[//]]="","",INDEX(INDIRECT("NOTA["&amp;PAJAK[#Headers]&amp;"]"),PAJAK[[#This Row],[//]]-2+PAJAK[[#This Row],[QB]]-1))</f>
        <v>0</v>
      </c>
      <c r="O25" s="195">
        <f ca="1">(PAJAK[[#This Row],[SUB T-DISC]]-PAJAK[[#This Row],[DISC DLL]])/111%</f>
        <v>49613960.360360354</v>
      </c>
      <c r="P25" s="195">
        <f ca="1">PAJAK[[#This Row],[DPP]]*PAJAK[[#This Row],[PPN]]</f>
        <v>5457535.6396396393</v>
      </c>
      <c r="Q25" s="19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304</v>
      </c>
      <c r="B26" s="162">
        <f ca="1">HYPERLINK("[NOTA_.XLSX]NOTA!c"&amp;PAJAK[[#This Row],[//]],IF(PAJAK[[#This Row],[//]]="","",INDEX(INDIRECT("NOTA["&amp;PAJAK[#Headers]&amp;"]"),PAJAK[[#This Row],[//]]-2)))</f>
        <v>57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Row],[ID]],[3]!Table1[ID],0)</f>
        <v>15</v>
      </c>
      <c r="E26" s="16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95">
        <f ca="1">IF(PAJAK[[#This Row],[//]]="","",SUMIF(NOTA[ID_H],PAJAK[[#This Row],[ID]],NOTA[JUMLAH]))</f>
        <v>11064000</v>
      </c>
      <c r="L26" s="195">
        <f ca="1">IF(PAJAK[[#This Row],[//]]="","",SUMIF(NOTA[ID_H],PAJAK[[#This Row],[ID]],NOTA[DISC]))</f>
        <v>1880880.0000000002</v>
      </c>
      <c r="M26" s="195">
        <f ca="1">PAJAK[[#This Row],[SUB TOTAL]]-PAJAK[[#This Row],[DISKON]]</f>
        <v>9183120</v>
      </c>
      <c r="N26" s="195">
        <f ca="1">IF(PAJAK[[#This Row],[//]]="","",INDEX(INDIRECT("NOTA["&amp;PAJAK[#Headers]&amp;"]"),PAJAK[[#This Row],[//]]-2+PAJAK[[#This Row],[QB]]-1))</f>
        <v>0</v>
      </c>
      <c r="O26" s="195">
        <f ca="1">(PAJAK[[#This Row],[SUB T-DISC]]-PAJAK[[#This Row],[DISC DLL]])/111%</f>
        <v>8273081.0810810803</v>
      </c>
      <c r="P26" s="195">
        <f ca="1">PAJAK[[#This Row],[DPP]]*PAJAK[[#This Row],[PPN]]</f>
        <v>910038.91891891882</v>
      </c>
      <c r="Q26" s="19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320</v>
      </c>
      <c r="B27" s="40">
        <f ca="1">HYPERLINK("[NOTA_.XLSX]NOTA!c"&amp;PAJAK[[#This Row],[//]],IF(PAJAK[[#This Row],[//]]="","",INDEX(INDIRECT("NOTA["&amp;PAJAK[#Headers]&amp;"]"),PAJAK[[#This Row],[//]]-2)))</f>
        <v>64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Row],[ID]],[3]!Table1[ID],0)</f>
        <v>42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95">
        <f ca="1">IF(PAJAK[[#This Row],[//]]="","",SUMIF(NOTA[ID_H],PAJAK[[#This Row],[ID]],NOTA[JUMLAH]))</f>
        <v>69385000</v>
      </c>
      <c r="L27" s="195">
        <f ca="1">IF(PAJAK[[#This Row],[//]]="","",SUMIF(NOTA[ID_H],PAJAK[[#This Row],[ID]],NOTA[DISC]))</f>
        <v>11708718.75</v>
      </c>
      <c r="M27" s="195">
        <f ca="1">PAJAK[[#This Row],[SUB TOTAL]]-PAJAK[[#This Row],[DISKON]]</f>
        <v>57676281.25</v>
      </c>
      <c r="N27" s="195">
        <f ca="1">IF(PAJAK[[#This Row],[//]]="","",INDEX(INDIRECT("NOTA["&amp;PAJAK[#Headers]&amp;"]"),PAJAK[[#This Row],[//]]-2+PAJAK[[#This Row],[QB]]-1))</f>
        <v>0</v>
      </c>
      <c r="O27" s="195">
        <f ca="1">(PAJAK[[#This Row],[SUB T-DISC]]-PAJAK[[#This Row],[DISC DLL]])/111%</f>
        <v>51960613.738738731</v>
      </c>
      <c r="P27" s="195">
        <f ca="1">PAJAK[[#This Row],[DPP]]*PAJAK[[#This Row],[PPN]]</f>
        <v>5715667.5112612601</v>
      </c>
      <c r="Q27" s="19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40">
        <f ca="1">HYPERLINK("[NOTA_.XLSX]NOTA!c"&amp;PAJAK[[#This Row],[//]],IF(PAJAK[[#This Row],[//]]="","",INDEX(INDIRECT("NOTA["&amp;PAJAK[#Headers]&amp;"]"),PAJAK[[#This Row],[//]]-2)))</f>
        <v>65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Row],[ID]],[3]!Table1[ID],0)</f>
        <v>43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95">
        <f ca="1">IF(PAJAK[[#This Row],[//]]="","",SUMIF(NOTA[ID_H],PAJAK[[#This Row],[ID]],NOTA[JUMLAH]))</f>
        <v>23601600</v>
      </c>
      <c r="L28" s="195">
        <f ca="1">IF(PAJAK[[#This Row],[//]]="","",SUMIF(NOTA[ID_H],PAJAK[[#This Row],[ID]],NOTA[DISC]))</f>
        <v>3982770</v>
      </c>
      <c r="M28" s="195">
        <f ca="1">PAJAK[[#This Row],[SUB TOTAL]]-PAJAK[[#This Row],[DISKON]]</f>
        <v>19618830</v>
      </c>
      <c r="N28" s="195">
        <f ca="1">IF(PAJAK[[#This Row],[//]]="","",INDEX(INDIRECT("NOTA["&amp;PAJAK[#Headers]&amp;"]"),PAJAK[[#This Row],[//]]-2+PAJAK[[#This Row],[QB]]-1))</f>
        <v>0</v>
      </c>
      <c r="O28" s="195">
        <f ca="1">(PAJAK[[#This Row],[SUB T-DISC]]-PAJAK[[#This Row],[DISC DLL]])/111%</f>
        <v>17674621.62162162</v>
      </c>
      <c r="P28" s="195">
        <f ca="1">PAJAK[[#This Row],[DPP]]*PAJAK[[#This Row],[PPN]]</f>
        <v>1944208.3783783782</v>
      </c>
      <c r="Q28" s="19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342</v>
      </c>
      <c r="B29" s="40">
        <f ca="1">HYPERLINK("[NOTA_.XLSX]NOTA!c"&amp;PAJAK[[#This Row],[//]],IF(PAJAK[[#This Row],[//]]="","",INDEX(INDIRECT("NOTA["&amp;PAJAK[#Headers]&amp;"]"),PAJAK[[#This Row],[//]]-2)))</f>
        <v>66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Row],[ID]],[3]!Table1[ID],0)</f>
        <v>29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95">
        <f ca="1">IF(PAJAK[[#This Row],[//]]="","",SUMIF(NOTA[ID_H],PAJAK[[#This Row],[ID]],NOTA[JUMLAH]))</f>
        <v>39800000</v>
      </c>
      <c r="L29" s="195">
        <f ca="1">IF(PAJAK[[#This Row],[//]]="","",SUMIF(NOTA[ID_H],PAJAK[[#This Row],[ID]],NOTA[DISC]))</f>
        <v>7521250</v>
      </c>
      <c r="M29" s="195">
        <f ca="1">PAJAK[[#This Row],[SUB TOTAL]]-PAJAK[[#This Row],[DISKON]]</f>
        <v>32278750</v>
      </c>
      <c r="N29" s="195">
        <f ca="1">IF(PAJAK[[#This Row],[//]]="","",INDEX(INDIRECT("NOTA["&amp;PAJAK[#Headers]&amp;"]"),PAJAK[[#This Row],[//]]-2+PAJAK[[#This Row],[QB]]-1))</f>
        <v>0</v>
      </c>
      <c r="O29" s="195">
        <f ca="1">(PAJAK[[#This Row],[SUB T-DISC]]-PAJAK[[#This Row],[DISC DLL]])/111%</f>
        <v>29079954.954954952</v>
      </c>
      <c r="P29" s="195">
        <f ca="1">PAJAK[[#This Row],[DPP]]*PAJAK[[#This Row],[PPN]]</f>
        <v>3198795.0450450447</v>
      </c>
      <c r="Q29" s="19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354</v>
      </c>
      <c r="B30" s="162">
        <f ca="1">HYPERLINK("[NOTA_.XLSX]NOTA!c"&amp;PAJAK[[#This Row],[//]],IF(PAJAK[[#This Row],[//]]="","",INDEX(INDIRECT("NOTA["&amp;PAJAK[#Headers]&amp;"]"),PAJAK[[#This Row],[//]]-2)))</f>
        <v>67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Row],[ID]],[3]!Table1[ID],0)</f>
        <v>30</v>
      </c>
      <c r="E30" s="16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95">
        <f ca="1">IF(PAJAK[[#This Row],[//]]="","",SUMIF(NOTA[ID_H],PAJAK[[#This Row],[ID]],NOTA[JUMLAH]))</f>
        <v>4740000</v>
      </c>
      <c r="L30" s="195">
        <f ca="1">IF(PAJAK[[#This Row],[//]]="","",SUMIF(NOTA[ID_H],PAJAK[[#This Row],[ID]],NOTA[DISC]))</f>
        <v>799875</v>
      </c>
      <c r="M30" s="195">
        <f ca="1">PAJAK[[#This Row],[SUB TOTAL]]-PAJAK[[#This Row],[DISKON]]</f>
        <v>3940125</v>
      </c>
      <c r="N30" s="195">
        <f ca="1">IF(PAJAK[[#This Row],[//]]="","",INDEX(INDIRECT("NOTA["&amp;PAJAK[#Headers]&amp;"]"),PAJAK[[#This Row],[//]]-2+PAJAK[[#This Row],[QB]]-1))</f>
        <v>0</v>
      </c>
      <c r="O30" s="195">
        <f ca="1">(PAJAK[[#This Row],[SUB T-DISC]]-PAJAK[[#This Row],[DISC DLL]])/111%</f>
        <v>3549662.1621621619</v>
      </c>
      <c r="P30" s="195">
        <f ca="1">PAJAK[[#This Row],[DPP]]*PAJAK[[#This Row],[PPN]]</f>
        <v>390462.83783783781</v>
      </c>
      <c r="Q30" s="19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356</v>
      </c>
      <c r="B31" s="162">
        <f ca="1">HYPERLINK("[NOTA_.XLSX]NOTA!c"&amp;PAJAK[[#This Row],[//]],IF(PAJAK[[#This Row],[//]]="","",INDEX(INDIRECT("NOTA["&amp;PAJAK[#Headers]&amp;"]"),PAJAK[[#This Row],[//]]-2)))</f>
        <v>68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Row],[ID]],[3]!Table1[ID],0)</f>
        <v>17</v>
      </c>
      <c r="E31" s="16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95">
        <f ca="1">IF(PAJAK[[#This Row],[//]]="","",SUMIF(NOTA[ID_H],PAJAK[[#This Row],[ID]],NOTA[JUMLAH]))</f>
        <v>19532000</v>
      </c>
      <c r="L31" s="195">
        <f ca="1">IF(PAJAK[[#This Row],[//]]="","",SUMIF(NOTA[ID_H],PAJAK[[#This Row],[ID]],NOTA[DISC]))</f>
        <v>3320440</v>
      </c>
      <c r="M31" s="195">
        <f ca="1">PAJAK[[#This Row],[SUB TOTAL]]-PAJAK[[#This Row],[DISKON]]</f>
        <v>16211560</v>
      </c>
      <c r="N31" s="195">
        <f ca="1">IF(PAJAK[[#This Row],[//]]="","",INDEX(INDIRECT("NOTA["&amp;PAJAK[#Headers]&amp;"]"),PAJAK[[#This Row],[//]]-2+PAJAK[[#This Row],[QB]]-1))</f>
        <v>0</v>
      </c>
      <c r="O31" s="195">
        <f ca="1">(PAJAK[[#This Row],[SUB T-DISC]]-PAJAK[[#This Row],[DISC DLL]])/111%</f>
        <v>14605009.009009007</v>
      </c>
      <c r="P31" s="195">
        <f ca="1">PAJAK[[#This Row],[DPP]]*PAJAK[[#This Row],[PPN]]</f>
        <v>1606550.9909909908</v>
      </c>
      <c r="Q31" s="19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62">
        <f ca="1">HYPERLINK("[NOTA_.XLSX]NOTA!c"&amp;PAJAK[[#This Row],[//]],IF(PAJAK[[#This Row],[//]]="","",INDEX(INDIRECT("NOTA["&amp;PAJAK[#Headers]&amp;"]"),PAJAK[[#This Row],[//]]-2)))</f>
        <v>69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Row],[ID]],[3]!Table1[ID],0)</f>
        <v>18</v>
      </c>
      <c r="E32" s="16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95">
        <f ca="1">IF(PAJAK[[#This Row],[//]]="","",SUMIF(NOTA[ID_H],PAJAK[[#This Row],[ID]],NOTA[JUMLAH]))</f>
        <v>8280000</v>
      </c>
      <c r="L32" s="195">
        <f ca="1">IF(PAJAK[[#This Row],[//]]="","",SUMIF(NOTA[ID_H],PAJAK[[#This Row],[ID]],NOTA[DISC]))</f>
        <v>1407600</v>
      </c>
      <c r="M32" s="195">
        <f ca="1">PAJAK[[#This Row],[SUB TOTAL]]-PAJAK[[#This Row],[DISKON]]</f>
        <v>6872400</v>
      </c>
      <c r="N32" s="195">
        <f ca="1">IF(PAJAK[[#This Row],[//]]="","",INDEX(INDIRECT("NOTA["&amp;PAJAK[#Headers]&amp;"]"),PAJAK[[#This Row],[//]]-2+PAJAK[[#This Row],[QB]]-1))</f>
        <v>0</v>
      </c>
      <c r="O32" s="195">
        <f ca="1">(PAJAK[[#This Row],[SUB T-DISC]]-PAJAK[[#This Row],[DISC DLL]])/111%</f>
        <v>6191351.3513513505</v>
      </c>
      <c r="P32" s="195">
        <f ca="1">PAJAK[[#This Row],[DPP]]*PAJAK[[#This Row],[PPN]]</f>
        <v>681048.64864864852</v>
      </c>
      <c r="Q32" s="19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372</v>
      </c>
      <c r="B33" s="163">
        <f ca="1">HYPERLINK("[NOTA_.XLSX]NOTA!c"&amp;PAJAK[[#This Row],[//]],IF(PAJAK[[#This Row],[//]]="","",INDEX(INDIRECT("NOTA["&amp;PAJAK[#Headers]&amp;"]"),PAJAK[[#This Row],[//]]-2)))</f>
        <v>71</v>
      </c>
      <c r="C33" s="40" t="str">
        <f ca="1">IF(PAJAK[[#This Row],[//]]="","",INDEX(INDIRECT("NOTA["&amp;PAJAK[#Headers]&amp;"]"),PAJAK[[#This Row],[//]]-2))</f>
        <v>KEN_1201_-4</v>
      </c>
      <c r="D33" s="40" t="e">
        <f ca="1">MATCH(PAJAK[[#This Row],[ID]],[3]!Table1[ID],0)</f>
        <v>#N/A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0</v>
      </c>
      <c r="I33" s="41">
        <f ca="1">IF(PAJAK[[#This Row],[//]]="","",INDEX(INDIRECT("NOTA["&amp;PAJAK[#Headers]&amp;"]"),PAJAK[[#This Row],[//]]-2))</f>
        <v>0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95">
        <f ca="1">IF(PAJAK[[#This Row],[//]]="","",SUMIF(NOTA[ID_H],PAJAK[[#This Row],[ID]],NOTA[JUMLAH]))</f>
        <v>27621600</v>
      </c>
      <c r="L33" s="195">
        <f ca="1">IF(PAJAK[[#This Row],[//]]="","",SUMIF(NOTA[ID_H],PAJAK[[#This Row],[ID]],NOTA[DISC]))</f>
        <v>4695672</v>
      </c>
      <c r="M33" s="195">
        <f ca="1">PAJAK[[#This Row],[SUB TOTAL]]-PAJAK[[#This Row],[DISKON]]</f>
        <v>22925928</v>
      </c>
      <c r="N33" s="195">
        <f ca="1">IF(PAJAK[[#This Row],[//]]="","",INDEX(INDIRECT("NOTA["&amp;PAJAK[#Headers]&amp;"]"),PAJAK[[#This Row],[//]]-2+PAJAK[[#This Row],[QB]]-1))</f>
        <v>0</v>
      </c>
      <c r="O33" s="195">
        <f ca="1">(PAJAK[[#This Row],[SUB T-DISC]]-PAJAK[[#This Row],[DISC DLL]])/111%</f>
        <v>20653989.189189188</v>
      </c>
      <c r="P33" s="195">
        <f ca="1">PAJAK[[#This Row],[DPP]]*PAJAK[[#This Row],[PPN]]</f>
        <v>2271938.8108108109</v>
      </c>
      <c r="Q33" s="195">
        <f ca="1">PAJAK[[#This Row],[DPP]]+PAJAK[[#This Row],[PPN 11%]]</f>
        <v>22925928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377</v>
      </c>
      <c r="B34" s="162">
        <f ca="1">HYPERLINK("[NOTA_.XLSX]NOTA!c"&amp;PAJAK[[#This Row],[//]],IF(PAJAK[[#This Row],[//]]="","",INDEX(INDIRECT("NOTA["&amp;PAJAK[#Headers]&amp;"]"),PAJAK[[#This Row],[//]]-2)))</f>
        <v>72</v>
      </c>
      <c r="C34" s="44" t="str">
        <f ca="1">IF(PAJAK[[#This Row],[//]]="","",INDEX(INDIRECT("NOTA["&amp;PAJAK[#Headers]&amp;"]"),PAJAK[[#This Row],[//]]-2))</f>
        <v>KEN_1201_775-4</v>
      </c>
      <c r="D34" s="44">
        <f ca="1">MATCH(PAJAK[[#This Row],[ID]],[3]!Table1[ID],0)</f>
        <v>19</v>
      </c>
      <c r="E34" s="16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44938</v>
      </c>
      <c r="H34" s="42">
        <f ca="1">IF(PAJAK[[#This Row],[//]]="","",INDEX(INDIRECT("NOTA["&amp;PAJAK[#Headers]&amp;"]"),PAJAK[[#This Row],[//]]-2))</f>
        <v>44938</v>
      </c>
      <c r="I34" s="41" t="str">
        <f ca="1">IF(PAJAK[[#This Row],[//]]="","",INDEX(INDIRECT("NOTA["&amp;PAJAK[#Headers]&amp;"]"),PAJAK[[#This Row],[//]]-2))</f>
        <v>23010775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4" s="195">
        <f ca="1">IF(PAJAK[[#This Row],[//]]="","",SUMIF(NOTA[ID_H],PAJAK[[#This Row],[ID]],NOTA[JUMLAH]))</f>
        <v>30225600</v>
      </c>
      <c r="L34" s="195">
        <f ca="1">IF(PAJAK[[#This Row],[//]]="","",SUMIF(NOTA[ID_H],PAJAK[[#This Row],[ID]],NOTA[DISC]))</f>
        <v>5138352</v>
      </c>
      <c r="M34" s="195">
        <f ca="1">PAJAK[[#This Row],[SUB TOTAL]]-PAJAK[[#This Row],[DISKON]]</f>
        <v>25087248</v>
      </c>
      <c r="N34" s="195">
        <f ca="1">IF(PAJAK[[#This Row],[//]]="","",INDEX(INDIRECT("NOTA["&amp;PAJAK[#Headers]&amp;"]"),PAJAK[[#This Row],[//]]-2+PAJAK[[#This Row],[QB]]-1))</f>
        <v>0</v>
      </c>
      <c r="O34" s="195">
        <f ca="1">(PAJAK[[#This Row],[SUB T-DISC]]-PAJAK[[#This Row],[DISC DLL]])/111%</f>
        <v>22601124.324324321</v>
      </c>
      <c r="P34" s="195">
        <f ca="1">PAJAK[[#This Row],[DPP]]*PAJAK[[#This Row],[PPN]]</f>
        <v>2486123.6756756753</v>
      </c>
      <c r="Q34" s="195">
        <f ca="1">PAJAK[[#This Row],[DPP]]+PAJAK[[#This Row],[PPN 11%]]</f>
        <v>25087247.999999996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382</v>
      </c>
      <c r="B35" s="163">
        <f ca="1">HYPERLINK("[NOTA_.XLSX]NOTA!c"&amp;PAJAK[[#This Row],[//]],IF(PAJAK[[#This Row],[//]]="","",INDEX(INDIRECT("NOTA["&amp;PAJAK[#Headers]&amp;"]"),PAJAK[[#This Row],[//]]-2)))</f>
        <v>73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Row],[ID]],[3]!Table1[ID],0)</f>
        <v>44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95">
        <f ca="1">IF(PAJAK[[#This Row],[//]]="","",SUMIF(NOTA[ID_H],PAJAK[[#This Row],[ID]],NOTA[JUMLAH]))</f>
        <v>34560000</v>
      </c>
      <c r="L35" s="195">
        <f ca="1">IF(PAJAK[[#This Row],[//]]="","",SUMIF(NOTA[ID_H],PAJAK[[#This Row],[ID]],NOTA[DISC]))</f>
        <v>5832000</v>
      </c>
      <c r="M35" s="195">
        <f ca="1">PAJAK[[#This Row],[SUB TOTAL]]-PAJAK[[#This Row],[DISKON]]</f>
        <v>28728000</v>
      </c>
      <c r="N35" s="195">
        <f ca="1">IF(PAJAK[[#This Row],[//]]="","",INDEX(INDIRECT("NOTA["&amp;PAJAK[#Headers]&amp;"]"),PAJAK[[#This Row],[//]]-2+PAJAK[[#This Row],[QB]]-1))</f>
        <v>0</v>
      </c>
      <c r="O35" s="195">
        <f ca="1">(PAJAK[[#This Row],[SUB T-DISC]]-PAJAK[[#This Row],[DISC DLL]])/111%</f>
        <v>25881081.081081077</v>
      </c>
      <c r="P35" s="195">
        <f ca="1">PAJAK[[#This Row],[DPP]]*PAJAK[[#This Row],[PPN]]</f>
        <v>2846918.9189189184</v>
      </c>
      <c r="Q35" s="19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384</v>
      </c>
      <c r="B36" s="40">
        <f ca="1">HYPERLINK("[NOTA_.XLSX]NOTA!c"&amp;PAJAK[[#This Row],[//]],IF(PAJAK[[#This Row],[//]]="","",INDEX(INDIRECT("NOTA["&amp;PAJAK[#Headers]&amp;"]"),PAJAK[[#This Row],[//]]-2)))</f>
        <v>74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Row],[ID]],[3]!Table1[ID],0)</f>
        <v>70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95">
        <f ca="1">IF(PAJAK[[#This Row],[//]]="","",SUMIF(NOTA[ID_H],PAJAK[[#This Row],[ID]],NOTA[JUMLAH]))</f>
        <v>8760000</v>
      </c>
      <c r="L36" s="195">
        <f ca="1">IF(PAJAK[[#This Row],[//]]="","",SUMIF(NOTA[ID_H],PAJAK[[#This Row],[ID]],NOTA[DISC]))</f>
        <v>0</v>
      </c>
      <c r="M36" s="195">
        <f ca="1">PAJAK[[#This Row],[SUB TOTAL]]-PAJAK[[#This Row],[DISKON]]</f>
        <v>8760000</v>
      </c>
      <c r="N36" s="195">
        <f ca="1">IF(PAJAK[[#This Row],[//]]="","",INDEX(INDIRECT("NOTA["&amp;PAJAK[#Headers]&amp;"]"),PAJAK[[#This Row],[//]]-2+PAJAK[[#This Row],[QB]]-1))</f>
        <v>0</v>
      </c>
      <c r="O36" s="195">
        <f ca="1">(PAJAK[[#This Row],[SUB T-DISC]]-PAJAK[[#This Row],[DISC DLL]])/111%</f>
        <v>7891891.8918918911</v>
      </c>
      <c r="P36" s="195">
        <f ca="1">PAJAK[[#This Row],[DPP]]*PAJAK[[#This Row],[PPN]]</f>
        <v>868108.10810810805</v>
      </c>
      <c r="Q36" s="19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KEN_1601_870-4</v>
      </c>
      <c r="D37" s="40">
        <f ca="1">MATCH(PAJAK[[#This Row],[ID]],[3]!Table1[ID],0)</f>
        <v>20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95">
        <f ca="1">IF(PAJAK[[#This Row],[//]]="","",SUMIF(NOTA[ID_H],PAJAK[[#This Row],[ID]],NOTA[JUMLAH]))</f>
        <v>67809600</v>
      </c>
      <c r="L37" s="195">
        <f ca="1">IF(PAJAK[[#This Row],[//]]="","",SUMIF(NOTA[ID_H],PAJAK[[#This Row],[ID]],NOTA[DISC]))</f>
        <v>11527632</v>
      </c>
      <c r="M37" s="195">
        <f ca="1">PAJAK[[#This Row],[SUB TOTAL]]-PAJAK[[#This Row],[DISKON]]</f>
        <v>56281968</v>
      </c>
      <c r="N37" s="195">
        <f ca="1">IF(PAJAK[[#This Row],[//]]="","",INDEX(INDIRECT("NOTA["&amp;PAJAK[#Headers]&amp;"]"),PAJAK[[#This Row],[//]]-2+PAJAK[[#This Row],[QB]]-1))</f>
        <v>0</v>
      </c>
      <c r="O37" s="195">
        <f ca="1">(PAJAK[[#This Row],[SUB T-DISC]]-PAJAK[[#This Row],[DISC DLL]])/111%</f>
        <v>50704475.675675668</v>
      </c>
      <c r="P37" s="195">
        <f ca="1">PAJAK[[#This Row],[DPP]]*PAJAK[[#This Row],[PPN]]</f>
        <v>5577492.3243243238</v>
      </c>
      <c r="Q37" s="19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6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Row],[ID]],[3]!Table1[ID],0)</f>
        <v>21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95">
        <f ca="1">IF(PAJAK[[#This Row],[//]]="","",SUMIF(NOTA[ID_H],PAJAK[[#This Row],[ID]],NOTA[JUMLAH]))</f>
        <v>37649400</v>
      </c>
      <c r="L38" s="195">
        <f ca="1">IF(PAJAK[[#This Row],[//]]="","",SUMIF(NOTA[ID_H],PAJAK[[#This Row],[ID]],NOTA[DISC]))</f>
        <v>6400398</v>
      </c>
      <c r="M38" s="195">
        <f ca="1">PAJAK[[#This Row],[SUB TOTAL]]-PAJAK[[#This Row],[DISKON]]</f>
        <v>31249002</v>
      </c>
      <c r="N38" s="195">
        <f ca="1">IF(PAJAK[[#This Row],[//]]="","",INDEX(INDIRECT("NOTA["&amp;PAJAK[#Headers]&amp;"]"),PAJAK[[#This Row],[//]]-2+PAJAK[[#This Row],[QB]]-1))</f>
        <v>0</v>
      </c>
      <c r="O38" s="195">
        <f ca="1">(PAJAK[[#This Row],[SUB T-DISC]]-PAJAK[[#This Row],[DISC DLL]])/111%</f>
        <v>28152254.054054052</v>
      </c>
      <c r="P38" s="195">
        <f ca="1">PAJAK[[#This Row],[DPP]]*PAJAK[[#This Row],[PPN]]</f>
        <v>3096747.9459459456</v>
      </c>
      <c r="Q38" s="19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6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Row],[ID]],[3]!Table1[ID],0)</f>
        <v>47</v>
      </c>
      <c r="E39" s="16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95">
        <f ca="1">IF(PAJAK[[#This Row],[//]]="","",SUMIF(NOTA[ID_H],PAJAK[[#This Row],[ID]],NOTA[JUMLAH]))</f>
        <v>2852800</v>
      </c>
      <c r="L39" s="195">
        <f ca="1">IF(PAJAK[[#This Row],[//]]="","",SUMIF(NOTA[ID_H],PAJAK[[#This Row],[ID]],NOTA[DISC]))</f>
        <v>481410</v>
      </c>
      <c r="M39" s="195">
        <f ca="1">PAJAK[[#This Row],[SUB TOTAL]]-PAJAK[[#This Row],[DISKON]]</f>
        <v>2371390</v>
      </c>
      <c r="N39" s="195">
        <f ca="1">IF(PAJAK[[#This Row],[//]]="","",INDEX(INDIRECT("NOTA["&amp;PAJAK[#Headers]&amp;"]"),PAJAK[[#This Row],[//]]-2+PAJAK[[#This Row],[QB]]-1))</f>
        <v>0</v>
      </c>
      <c r="O39" s="195">
        <f ca="1">(PAJAK[[#This Row],[SUB T-DISC]]-PAJAK[[#This Row],[DISC DLL]])/111%</f>
        <v>2136387.387387387</v>
      </c>
      <c r="P39" s="195">
        <f ca="1">PAJAK[[#This Row],[DPP]]*PAJAK[[#This Row],[PPN]]</f>
        <v>235002.61261261257</v>
      </c>
      <c r="Q39" s="19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6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Row],[ID]],[3]!Table1[ID],0)</f>
        <v>45</v>
      </c>
      <c r="E40" s="16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95">
        <f ca="1">IF(PAJAK[[#This Row],[//]]="","",SUMIF(NOTA[ID_H],PAJAK[[#This Row],[ID]],NOTA[JUMLAH]))</f>
        <v>23820700</v>
      </c>
      <c r="L40" s="195">
        <f ca="1">IF(PAJAK[[#This Row],[//]]="","",SUMIF(NOTA[ID_H],PAJAK[[#This Row],[ID]],NOTA[DISC]))</f>
        <v>4019743.125</v>
      </c>
      <c r="M40" s="195">
        <f ca="1">PAJAK[[#This Row],[SUB TOTAL]]-PAJAK[[#This Row],[DISKON]]</f>
        <v>19800956.875</v>
      </c>
      <c r="N40" s="195">
        <f ca="1">IF(PAJAK[[#This Row],[//]]="","",INDEX(INDIRECT("NOTA["&amp;PAJAK[#Headers]&amp;"]"),PAJAK[[#This Row],[//]]-2+PAJAK[[#This Row],[QB]]-1))</f>
        <v>0</v>
      </c>
      <c r="O40" s="195">
        <f ca="1">(PAJAK[[#This Row],[SUB T-DISC]]-PAJAK[[#This Row],[DISC DLL]])/111%</f>
        <v>17838699.887387387</v>
      </c>
      <c r="P40" s="195">
        <f ca="1">PAJAK[[#This Row],[DPP]]*PAJAK[[#This Row],[PPN]]</f>
        <v>1962256.9876126125</v>
      </c>
      <c r="Q40" s="19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Row],[ID]],[3]!Table1[ID],0)</f>
        <v>46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95">
        <f ca="1">IF(PAJAK[[#This Row],[//]]="","",SUMIF(NOTA[ID_H],PAJAK[[#This Row],[ID]],NOTA[JUMLAH]))</f>
        <v>7329600</v>
      </c>
      <c r="L41" s="195">
        <f ca="1">IF(PAJAK[[#This Row],[//]]="","",SUMIF(NOTA[ID_H],PAJAK[[#This Row],[ID]],NOTA[DISC]))</f>
        <v>1236870</v>
      </c>
      <c r="M41" s="195">
        <f ca="1">PAJAK[[#This Row],[SUB TOTAL]]-PAJAK[[#This Row],[DISKON]]</f>
        <v>6092730</v>
      </c>
      <c r="N41" s="195">
        <f ca="1">IF(PAJAK[[#This Row],[//]]="","",INDEX(INDIRECT("NOTA["&amp;PAJAK[#Headers]&amp;"]"),PAJAK[[#This Row],[//]]-2+PAJAK[[#This Row],[QB]]-1))</f>
        <v>0</v>
      </c>
      <c r="O41" s="195">
        <f ca="1">(PAJAK[[#This Row],[SUB T-DISC]]-PAJAK[[#This Row],[DISC DLL]])/111%</f>
        <v>5488945.9459459456</v>
      </c>
      <c r="P41" s="195">
        <f ca="1">PAJAK[[#This Row],[DPP]]*PAJAK[[#This Row],[PPN]]</f>
        <v>603784.05405405397</v>
      </c>
      <c r="Q41" s="19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6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Row],[ID]],[3]!Table1[ID],0)</f>
        <v>48</v>
      </c>
      <c r="E42" s="16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95">
        <f ca="1">IF(PAJAK[[#This Row],[//]]="","",SUMIF(NOTA[ID_H],PAJAK[[#This Row],[ID]],NOTA[JUMLAH]))</f>
        <v>30907400</v>
      </c>
      <c r="L42" s="195">
        <f ca="1">IF(PAJAK[[#This Row],[//]]="","",SUMIF(NOTA[ID_H],PAJAK[[#This Row],[ID]],NOTA[DISC]))</f>
        <v>5215623.75</v>
      </c>
      <c r="M42" s="195">
        <f ca="1">PAJAK[[#This Row],[SUB TOTAL]]-PAJAK[[#This Row],[DISKON]]</f>
        <v>25691776.25</v>
      </c>
      <c r="N42" s="195">
        <f ca="1">IF(PAJAK[[#This Row],[//]]="","",INDEX(INDIRECT("NOTA["&amp;PAJAK[#Headers]&amp;"]"),PAJAK[[#This Row],[//]]-2+PAJAK[[#This Row],[QB]]-1))</f>
        <v>0</v>
      </c>
      <c r="O42" s="195">
        <f ca="1">(PAJAK[[#This Row],[SUB T-DISC]]-PAJAK[[#This Row],[DISC DLL]])/111%</f>
        <v>23145744.369369369</v>
      </c>
      <c r="P42" s="195">
        <f ca="1">PAJAK[[#This Row],[DPP]]*PAJAK[[#This Row],[PPN]]</f>
        <v>2546031.8806306305</v>
      </c>
      <c r="Q42" s="19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6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Row],[ID]],[3]!Table1[ID],0)</f>
        <v>49</v>
      </c>
      <c r="E43" s="16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95">
        <f ca="1">IF(PAJAK[[#This Row],[//]]="","",SUMIF(NOTA[ID_H],PAJAK[[#This Row],[ID]],NOTA[JUMLAH]))</f>
        <v>17753000</v>
      </c>
      <c r="L43" s="195">
        <f ca="1">IF(PAJAK[[#This Row],[//]]="","",SUMIF(NOTA[ID_H],PAJAK[[#This Row],[ID]],NOTA[DISC]))</f>
        <v>2995818.75</v>
      </c>
      <c r="M43" s="195">
        <f ca="1">PAJAK[[#This Row],[SUB TOTAL]]-PAJAK[[#This Row],[DISKON]]</f>
        <v>14757181.25</v>
      </c>
      <c r="N43" s="195">
        <f ca="1">IF(PAJAK[[#This Row],[//]]="","",INDEX(INDIRECT("NOTA["&amp;PAJAK[#Headers]&amp;"]"),PAJAK[[#This Row],[//]]-2+PAJAK[[#This Row],[QB]]-1))</f>
        <v>0</v>
      </c>
      <c r="O43" s="195">
        <f ca="1">(PAJAK[[#This Row],[SUB T-DISC]]-PAJAK[[#This Row],[DISC DLL]])/111%</f>
        <v>13294757.882882882</v>
      </c>
      <c r="P43" s="195">
        <f ca="1">PAJAK[[#This Row],[DPP]]*PAJAK[[#This Row],[PPN]]</f>
        <v>1462423.3671171169</v>
      </c>
      <c r="Q43" s="19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6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Row],[ID]],[3]!Table1[ID],0)</f>
        <v>50</v>
      </c>
      <c r="E44" s="16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95">
        <f ca="1">IF(PAJAK[[#This Row],[//]]="","",SUMIF(NOTA[ID_H],PAJAK[[#This Row],[ID]],NOTA[JUMLAH]))</f>
        <v>10562400</v>
      </c>
      <c r="L44" s="195">
        <f ca="1">IF(PAJAK[[#This Row],[//]]="","",SUMIF(NOTA[ID_H],PAJAK[[#This Row],[ID]],NOTA[DISC]))</f>
        <v>1782405</v>
      </c>
      <c r="M44" s="195">
        <f ca="1">PAJAK[[#This Row],[SUB TOTAL]]-PAJAK[[#This Row],[DISKON]]</f>
        <v>8779995</v>
      </c>
      <c r="N44" s="195">
        <f ca="1">IF(PAJAK[[#This Row],[//]]="","",INDEX(INDIRECT("NOTA["&amp;PAJAK[#Headers]&amp;"]"),PAJAK[[#This Row],[//]]-2+PAJAK[[#This Row],[QB]]-1))</f>
        <v>0</v>
      </c>
      <c r="O44" s="195">
        <f ca="1">(PAJAK[[#This Row],[SUB T-DISC]]-PAJAK[[#This Row],[DISC DLL]])/111%</f>
        <v>7909905.405405405</v>
      </c>
      <c r="P44" s="195">
        <f ca="1">PAJAK[[#This Row],[DPP]]*PAJAK[[#This Row],[PPN]]</f>
        <v>870089.59459459456</v>
      </c>
      <c r="Q44" s="19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Row],[ID]],[3]!Table1[ID],0)</f>
        <v>31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95">
        <f ca="1">IF(PAJAK[[#This Row],[//]]="","",SUMIF(NOTA[ID_H],PAJAK[[#This Row],[ID]],NOTA[JUMLAH]))</f>
        <v>23900000</v>
      </c>
      <c r="L45" s="195">
        <f ca="1">IF(PAJAK[[#This Row],[//]]="","",SUMIF(NOTA[ID_H],PAJAK[[#This Row],[ID]],NOTA[DISC]))</f>
        <v>4033125</v>
      </c>
      <c r="M45" s="195">
        <f ca="1">PAJAK[[#This Row],[SUB TOTAL]]-PAJAK[[#This Row],[DISKON]]</f>
        <v>19866875</v>
      </c>
      <c r="N45" s="195">
        <f ca="1">IF(PAJAK[[#This Row],[//]]="","",INDEX(INDIRECT("NOTA["&amp;PAJAK[#Headers]&amp;"]"),PAJAK[[#This Row],[//]]-2+PAJAK[[#This Row],[QB]]-1))</f>
        <v>0</v>
      </c>
      <c r="O45" s="195">
        <f ca="1">(PAJAK[[#This Row],[SUB T-DISC]]-PAJAK[[#This Row],[DISC DLL]])/111%</f>
        <v>17898085.585585583</v>
      </c>
      <c r="P45" s="195">
        <f ca="1">PAJAK[[#This Row],[DPP]]*PAJAK[[#This Row],[PPN]]</f>
        <v>1968789.4144144142</v>
      </c>
      <c r="Q45" s="19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6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Row],[ID]],[3]!Table1[ID],0)</f>
        <v>52</v>
      </c>
      <c r="E46" s="16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95">
        <f ca="1">IF(PAJAK[[#This Row],[//]]="","",SUMIF(NOTA[ID_H],PAJAK[[#This Row],[ID]],NOTA[JUMLAH]))</f>
        <v>20949000</v>
      </c>
      <c r="L46" s="195">
        <f ca="1">IF(PAJAK[[#This Row],[//]]="","",SUMIF(NOTA[ID_H],PAJAK[[#This Row],[ID]],NOTA[DISC]))</f>
        <v>3531795</v>
      </c>
      <c r="M46" s="195">
        <f ca="1">PAJAK[[#This Row],[SUB TOTAL]]-PAJAK[[#This Row],[DISKON]]</f>
        <v>17417205</v>
      </c>
      <c r="N46" s="195">
        <f ca="1">IF(PAJAK[[#This Row],[//]]="","",INDEX(INDIRECT("NOTA["&amp;PAJAK[#Headers]&amp;"]"),PAJAK[[#This Row],[//]]-2+PAJAK[[#This Row],[QB]]-1))</f>
        <v>120555</v>
      </c>
      <c r="O46" s="195">
        <f ca="1">(PAJAK[[#This Row],[SUB T-DISC]]-PAJAK[[#This Row],[DISC DLL]])/111%</f>
        <v>15582567.567567566</v>
      </c>
      <c r="P46" s="195">
        <f ca="1">PAJAK[[#This Row],[DPP]]*PAJAK[[#This Row],[PPN]]</f>
        <v>1714082.4324324324</v>
      </c>
      <c r="Q46" s="19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6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Row],[ID]],[3]!Table1[ID],0)</f>
        <v>51</v>
      </c>
      <c r="E47" s="16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95">
        <f ca="1">IF(PAJAK[[#This Row],[//]]="","",SUMIF(NOTA[ID_H],PAJAK[[#This Row],[ID]],NOTA[JUMLAH]))</f>
        <v>22915200</v>
      </c>
      <c r="L47" s="195">
        <f ca="1">IF(PAJAK[[#This Row],[//]]="","",SUMIF(NOTA[ID_H],PAJAK[[#This Row],[ID]],NOTA[DISC]))</f>
        <v>3866940</v>
      </c>
      <c r="M47" s="195">
        <f ca="1">PAJAK[[#This Row],[SUB TOTAL]]-PAJAK[[#This Row],[DISKON]]</f>
        <v>19048260</v>
      </c>
      <c r="N47" s="195">
        <f ca="1">IF(PAJAK[[#This Row],[//]]="","",INDEX(INDIRECT("NOTA["&amp;PAJAK[#Headers]&amp;"]"),PAJAK[[#This Row],[//]]-2+PAJAK[[#This Row],[QB]]-1))</f>
        <v>0</v>
      </c>
      <c r="O47" s="195">
        <f ca="1">(PAJAK[[#This Row],[SUB T-DISC]]-PAJAK[[#This Row],[DISC DLL]])/111%</f>
        <v>17160594.594594594</v>
      </c>
      <c r="P47" s="195">
        <f ca="1">PAJAK[[#This Row],[DPP]]*PAJAK[[#This Row],[PPN]]</f>
        <v>1887665.4054054054</v>
      </c>
      <c r="Q47" s="19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6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Row],[ID]],[3]!Table1[ID],0)</f>
        <v>22</v>
      </c>
      <c r="E48" s="16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95">
        <f ca="1">IF(PAJAK[[#This Row],[//]]="","",SUMIF(NOTA[ID_H],PAJAK[[#This Row],[ID]],NOTA[JUMLAH]))</f>
        <v>13564800</v>
      </c>
      <c r="L48" s="195">
        <f ca="1">IF(PAJAK[[#This Row],[//]]="","",SUMIF(NOTA[ID_H],PAJAK[[#This Row],[ID]],NOTA[DISC]))</f>
        <v>2306016</v>
      </c>
      <c r="M48" s="195">
        <f ca="1">PAJAK[[#This Row],[SUB TOTAL]]-PAJAK[[#This Row],[DISKON]]</f>
        <v>11258784</v>
      </c>
      <c r="N48" s="195">
        <f ca="1">IF(PAJAK[[#This Row],[//]]="","",INDEX(INDIRECT("NOTA["&amp;PAJAK[#Headers]&amp;"]"),PAJAK[[#This Row],[//]]-2+PAJAK[[#This Row],[QB]]-1))</f>
        <v>0</v>
      </c>
      <c r="O48" s="195">
        <f ca="1">(PAJAK[[#This Row],[SUB T-DISC]]-PAJAK[[#This Row],[DISC DLL]])/111%</f>
        <v>10143048.648648648</v>
      </c>
      <c r="P48" s="195">
        <f ca="1">PAJAK[[#This Row],[DPP]]*PAJAK[[#This Row],[PPN]]</f>
        <v>1115735.3513513512</v>
      </c>
      <c r="Q48" s="19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Row],[ID]],[3]!Table1[ID],0)</f>
        <v>68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95">
        <f ca="1">IF(PAJAK[[#This Row],[//]]="","",SUMIF(NOTA[ID_H],PAJAK[[#This Row],[ID]],NOTA[JUMLAH]))</f>
        <v>48000000</v>
      </c>
      <c r="L49" s="195">
        <f ca="1">IF(PAJAK[[#This Row],[//]]="","",SUMIF(NOTA[ID_H],PAJAK[[#This Row],[ID]],NOTA[DISC]))</f>
        <v>4200000</v>
      </c>
      <c r="M49" s="195">
        <f ca="1">PAJAK[[#This Row],[SUB TOTAL]]-PAJAK[[#This Row],[DISKON]]</f>
        <v>43800000</v>
      </c>
      <c r="N49" s="195">
        <f ca="1">IF(PAJAK[[#This Row],[//]]="","",INDEX(INDIRECT("NOTA["&amp;PAJAK[#Headers]&amp;"]"),PAJAK[[#This Row],[//]]-2+PAJAK[[#This Row],[QB]]-1))</f>
        <v>0</v>
      </c>
      <c r="O49" s="195">
        <f ca="1">(PAJAK[[#This Row],[SUB T-DISC]]-PAJAK[[#This Row],[DISC DLL]])/111%</f>
        <v>39459459.459459454</v>
      </c>
      <c r="P49" s="195">
        <f ca="1">PAJAK[[#This Row],[DPP]]*PAJAK[[#This Row],[PPN]]</f>
        <v>4340540.5405405397</v>
      </c>
      <c r="Q49" s="19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6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Row],[ID]],[3]!Table1[ID],0)</f>
        <v>55</v>
      </c>
      <c r="E50" s="16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95">
        <f ca="1">IF(PAJAK[[#This Row],[//]]="","",SUMIF(NOTA[ID_H],PAJAK[[#This Row],[ID]],NOTA[JUMLAH]))</f>
        <v>33484800</v>
      </c>
      <c r="L50" s="195">
        <f ca="1">IF(PAJAK[[#This Row],[//]]="","",SUMIF(NOTA[ID_H],PAJAK[[#This Row],[ID]],NOTA[DISC]))</f>
        <v>5650560</v>
      </c>
      <c r="M50" s="195">
        <f ca="1">PAJAK[[#This Row],[SUB TOTAL]]-PAJAK[[#This Row],[DISKON]]</f>
        <v>27834240</v>
      </c>
      <c r="N50" s="195">
        <f ca="1">IF(PAJAK[[#This Row],[//]]="","",INDEX(INDIRECT("NOTA["&amp;PAJAK[#Headers]&amp;"]"),PAJAK[[#This Row],[//]]-2+PAJAK[[#This Row],[QB]]-1))</f>
        <v>375060</v>
      </c>
      <c r="O50" s="195">
        <f ca="1">(PAJAK[[#This Row],[SUB T-DISC]]-PAJAK[[#This Row],[DISC DLL]])/111%</f>
        <v>24737999.999999996</v>
      </c>
      <c r="P50" s="195">
        <f ca="1">PAJAK[[#This Row],[DPP]]*PAJAK[[#This Row],[PPN]]</f>
        <v>2721179.9999999995</v>
      </c>
      <c r="Q50" s="19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6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Row],[ID]],[3]!Table1[ID],0)</f>
        <v>53</v>
      </c>
      <c r="E51" s="16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95">
        <f ca="1">IF(PAJAK[[#This Row],[//]]="","",SUMIF(NOTA[ID_H],PAJAK[[#This Row],[ID]],NOTA[JUMLAH]))</f>
        <v>29759600</v>
      </c>
      <c r="L51" s="195">
        <f ca="1">IF(PAJAK[[#This Row],[//]]="","",SUMIF(NOTA[ID_H],PAJAK[[#This Row],[ID]],NOTA[DISC]))</f>
        <v>5021932.5</v>
      </c>
      <c r="M51" s="195">
        <f ca="1">PAJAK[[#This Row],[SUB TOTAL]]-PAJAK[[#This Row],[DISKON]]</f>
        <v>24737667.5</v>
      </c>
      <c r="N51" s="195">
        <f ca="1">IF(PAJAK[[#This Row],[//]]="","",INDEX(INDIRECT("NOTA["&amp;PAJAK[#Headers]&amp;"]"),PAJAK[[#This Row],[//]]-2+PAJAK[[#This Row],[QB]]-1))</f>
        <v>0</v>
      </c>
      <c r="O51" s="195">
        <f ca="1">(PAJAK[[#This Row],[SUB T-DISC]]-PAJAK[[#This Row],[DISC DLL]])/111%</f>
        <v>22286186.936936934</v>
      </c>
      <c r="P51" s="195">
        <f ca="1">PAJAK[[#This Row],[DPP]]*PAJAK[[#This Row],[PPN]]</f>
        <v>2451480.5630630627</v>
      </c>
      <c r="Q51" s="19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Row],[ID]],[3]!Table1[ID],0)</f>
        <v>54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95">
        <f ca="1">IF(PAJAK[[#This Row],[//]]="","",SUMIF(NOTA[ID_H],PAJAK[[#This Row],[ID]],NOTA[JUMLAH]))</f>
        <v>14324000</v>
      </c>
      <c r="L52" s="195">
        <f ca="1">IF(PAJAK[[#This Row],[//]]="","",SUMIF(NOTA[ID_H],PAJAK[[#This Row],[ID]],NOTA[DISC]))</f>
        <v>2417175</v>
      </c>
      <c r="M52" s="195">
        <f ca="1">PAJAK[[#This Row],[SUB TOTAL]]-PAJAK[[#This Row],[DISKON]]</f>
        <v>11906825</v>
      </c>
      <c r="N52" s="195">
        <f ca="1">IF(PAJAK[[#This Row],[//]]="","",INDEX(INDIRECT("NOTA["&amp;PAJAK[#Headers]&amp;"]"),PAJAK[[#This Row],[//]]-2+PAJAK[[#This Row],[QB]]-1))</f>
        <v>0</v>
      </c>
      <c r="O52" s="195">
        <f ca="1">(PAJAK[[#This Row],[SUB T-DISC]]-PAJAK[[#This Row],[DISC DLL]])/111%</f>
        <v>10726869.369369369</v>
      </c>
      <c r="P52" s="195">
        <f ca="1">PAJAK[[#This Row],[DPP]]*PAJAK[[#This Row],[PPN]]</f>
        <v>1179955.6306306305</v>
      </c>
      <c r="Q52" s="19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6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Row],[ID]],[3]!Table1[ID],0)</f>
        <v>32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95">
        <f ca="1">IF(PAJAK[[#This Row],[//]]="","",SUMIF(NOTA[ID_H],PAJAK[[#This Row],[ID]],NOTA[JUMLAH]))</f>
        <v>5640000</v>
      </c>
      <c r="L53" s="195">
        <f ca="1">IF(PAJAK[[#This Row],[//]]="","",SUMIF(NOTA[ID_H],PAJAK[[#This Row],[ID]],NOTA[DISC]))</f>
        <v>951750</v>
      </c>
      <c r="M53" s="195">
        <f ca="1">PAJAK[[#This Row],[SUB TOTAL]]-PAJAK[[#This Row],[DISKON]]</f>
        <v>4688250</v>
      </c>
      <c r="N53" s="195">
        <f ca="1">IF(PAJAK[[#This Row],[//]]="","",INDEX(INDIRECT("NOTA["&amp;PAJAK[#Headers]&amp;"]"),PAJAK[[#This Row],[//]]-2+PAJAK[[#This Row],[QB]]-1))</f>
        <v>0</v>
      </c>
      <c r="O53" s="195">
        <f ca="1">(PAJAK[[#This Row],[SUB T-DISC]]-PAJAK[[#This Row],[DISC DLL]])/111%</f>
        <v>4223648.6486486485</v>
      </c>
      <c r="P53" s="195">
        <f ca="1">PAJAK[[#This Row],[DPP]]*PAJAK[[#This Row],[PPN]]</f>
        <v>464601.35135135136</v>
      </c>
      <c r="Q53" s="19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6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Row],[ID]],[3]!Table1[ID],0)</f>
        <v>24</v>
      </c>
      <c r="E54" s="16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95">
        <f ca="1">IF(PAJAK[[#This Row],[//]]="","",SUMIF(NOTA[ID_H],PAJAK[[#This Row],[ID]],NOTA[JUMLAH]))</f>
        <v>23928800</v>
      </c>
      <c r="L54" s="195">
        <f ca="1">IF(PAJAK[[#This Row],[//]]="","",SUMIF(NOTA[ID_H],PAJAK[[#This Row],[ID]],NOTA[DISC]))</f>
        <v>4067896.0000000009</v>
      </c>
      <c r="M54" s="195">
        <f ca="1">PAJAK[[#This Row],[SUB TOTAL]]-PAJAK[[#This Row],[DISKON]]</f>
        <v>19860904</v>
      </c>
      <c r="N54" s="195">
        <f ca="1">IF(PAJAK[[#This Row],[//]]="","",INDEX(INDIRECT("NOTA["&amp;PAJAK[#Headers]&amp;"]"),PAJAK[[#This Row],[//]]-2+PAJAK[[#This Row],[QB]]-1))</f>
        <v>0</v>
      </c>
      <c r="O54" s="195">
        <f ca="1">(PAJAK[[#This Row],[SUB T-DISC]]-PAJAK[[#This Row],[DISC DLL]])/111%</f>
        <v>17892706.306306306</v>
      </c>
      <c r="P54" s="195">
        <f ca="1">PAJAK[[#This Row],[DPP]]*PAJAK[[#This Row],[PPN]]</f>
        <v>1968197.6936936937</v>
      </c>
      <c r="Q54" s="19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6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Row],[ID]],[3]!Table1[ID],0)</f>
        <v>23</v>
      </c>
      <c r="E55" s="16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95">
        <f ca="1">IF(PAJAK[[#This Row],[//]]="","",SUMIF(NOTA[ID_H],PAJAK[[#This Row],[ID]],NOTA[JUMLAH]))</f>
        <v>14688000</v>
      </c>
      <c r="L55" s="195">
        <f ca="1">IF(PAJAK[[#This Row],[//]]="","",SUMIF(NOTA[ID_H],PAJAK[[#This Row],[ID]],NOTA[DISC]))</f>
        <v>2496960</v>
      </c>
      <c r="M55" s="195">
        <f ca="1">PAJAK[[#This Row],[SUB TOTAL]]-PAJAK[[#This Row],[DISKON]]</f>
        <v>12191040</v>
      </c>
      <c r="N55" s="195">
        <f ca="1">IF(PAJAK[[#This Row],[//]]="","",INDEX(INDIRECT("NOTA["&amp;PAJAK[#Headers]&amp;"]"),PAJAK[[#This Row],[//]]-2+PAJAK[[#This Row],[QB]]-1))</f>
        <v>0</v>
      </c>
      <c r="O55" s="195">
        <f ca="1">(PAJAK[[#This Row],[SUB T-DISC]]-PAJAK[[#This Row],[DISC DLL]])/111%</f>
        <v>10982918.918918919</v>
      </c>
      <c r="P55" s="195">
        <f ca="1">PAJAK[[#This Row],[DPP]]*PAJAK[[#This Row],[PPN]]</f>
        <v>1208121.0810810812</v>
      </c>
      <c r="Q55" s="19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Row],[ID]],[3]!Table1[ID],0)</f>
        <v>64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95">
        <f ca="1">IF(PAJAK[[#This Row],[//]]="","",SUMIF(NOTA[ID_H],PAJAK[[#This Row],[ID]],NOTA[JUMLAH]))</f>
        <v>4554060</v>
      </c>
      <c r="L56" s="195">
        <f ca="1">IF(PAJAK[[#This Row],[//]]="","",SUMIF(NOTA[ID_H],PAJAK[[#This Row],[ID]],NOTA[DISC]))</f>
        <v>796960.5</v>
      </c>
      <c r="M56" s="195">
        <f ca="1">PAJAK[[#This Row],[SUB TOTAL]]-PAJAK[[#This Row],[DISKON]]</f>
        <v>3757099.5</v>
      </c>
      <c r="N56" s="195">
        <f ca="1">IF(PAJAK[[#This Row],[//]]="","",INDEX(INDIRECT("NOTA["&amp;PAJAK[#Headers]&amp;"]"),PAJAK[[#This Row],[//]]-2+PAJAK[[#This Row],[QB]]-1))</f>
        <v>112712.84</v>
      </c>
      <c r="O56" s="195">
        <f ca="1">(PAJAK[[#This Row],[SUB T-DISC]]-PAJAK[[#This Row],[DISC DLL]])/111%</f>
        <v>3283231.2252252251</v>
      </c>
      <c r="P56" s="195">
        <f ca="1">PAJAK[[#This Row],[DPP]]*PAJAK[[#This Row],[PPN]]</f>
        <v>361155.43477477477</v>
      </c>
      <c r="Q56" s="19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6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Row],[ID]],[3]!Table1[ID],0)</f>
        <v>56</v>
      </c>
      <c r="E57" s="16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95">
        <f ca="1">IF(PAJAK[[#This Row],[//]]="","",SUMIF(NOTA[ID_H],PAJAK[[#This Row],[ID]],NOTA[JUMLAH]))</f>
        <v>42869400</v>
      </c>
      <c r="L57" s="195">
        <f ca="1">IF(PAJAK[[#This Row],[//]]="","",SUMIF(NOTA[ID_H],PAJAK[[#This Row],[ID]],NOTA[DISC]))</f>
        <v>7221486</v>
      </c>
      <c r="M57" s="195">
        <f ca="1">PAJAK[[#This Row],[SUB TOTAL]]-PAJAK[[#This Row],[DISKON]]</f>
        <v>35647914</v>
      </c>
      <c r="N57" s="195">
        <f ca="1">IF(PAJAK[[#This Row],[//]]="","",INDEX(INDIRECT("NOTA["&amp;PAJAK[#Headers]&amp;"]"),PAJAK[[#This Row],[//]]-2+PAJAK[[#This Row],[QB]]-1))</f>
        <v>458109</v>
      </c>
      <c r="O57" s="195">
        <f ca="1">(PAJAK[[#This Row],[SUB T-DISC]]-PAJAK[[#This Row],[DISC DLL]])/111%</f>
        <v>31702527.027027026</v>
      </c>
      <c r="P57" s="195">
        <f ca="1">PAJAK[[#This Row],[DPP]]*PAJAK[[#This Row],[PPN]]</f>
        <v>3487277.9729729728</v>
      </c>
      <c r="Q57" s="19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6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Row],[ID]],[3]!Table1[ID],0)</f>
        <v>58</v>
      </c>
      <c r="E58" s="16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95">
        <f ca="1">IF(PAJAK[[#This Row],[//]]="","",SUMIF(NOTA[ID_H],PAJAK[[#This Row],[ID]],NOTA[JUMLAH]))</f>
        <v>17552400</v>
      </c>
      <c r="L58" s="195">
        <f ca="1">IF(PAJAK[[#This Row],[//]]="","",SUMIF(NOTA[ID_H],PAJAK[[#This Row],[ID]],NOTA[DISC]))</f>
        <v>2960628</v>
      </c>
      <c r="M58" s="195">
        <f ca="1">PAJAK[[#This Row],[SUB TOTAL]]-PAJAK[[#This Row],[DISKON]]</f>
        <v>14591772</v>
      </c>
      <c r="N58" s="195">
        <f ca="1">IF(PAJAK[[#This Row],[//]]="","",INDEX(INDIRECT("NOTA["&amp;PAJAK[#Headers]&amp;"]"),PAJAK[[#This Row],[//]]-2+PAJAK[[#This Row],[QB]]-1))</f>
        <v>48222</v>
      </c>
      <c r="O58" s="195">
        <f ca="1">(PAJAK[[#This Row],[SUB T-DISC]]-PAJAK[[#This Row],[DISC DLL]])/111%</f>
        <v>13102297.297297297</v>
      </c>
      <c r="P58" s="195">
        <f ca="1">PAJAK[[#This Row],[DPP]]*PAJAK[[#This Row],[PPN]]</f>
        <v>1441252.7027027027</v>
      </c>
      <c r="Q58" s="19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6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Row],[ID]],[3]!Table1[ID],0)</f>
        <v>59</v>
      </c>
      <c r="E59" s="16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95">
        <f ca="1">IF(PAJAK[[#This Row],[//]]="","",SUMIF(NOTA[ID_H],PAJAK[[#This Row],[ID]],NOTA[JUMLAH]))</f>
        <v>11952000</v>
      </c>
      <c r="L59" s="195">
        <f ca="1">IF(PAJAK[[#This Row],[//]]="","",SUMIF(NOTA[ID_H],PAJAK[[#This Row],[ID]],NOTA[DISC]))</f>
        <v>2016900</v>
      </c>
      <c r="M59" s="195">
        <f ca="1">PAJAK[[#This Row],[SUB TOTAL]]-PAJAK[[#This Row],[DISKON]]</f>
        <v>9935100</v>
      </c>
      <c r="N59" s="195">
        <f ca="1">IF(PAJAK[[#This Row],[//]]="","",INDEX(INDIRECT("NOTA["&amp;PAJAK[#Headers]&amp;"]"),PAJAK[[#This Row],[//]]-2+PAJAK[[#This Row],[QB]]-1))</f>
        <v>0</v>
      </c>
      <c r="O59" s="195">
        <f ca="1">(PAJAK[[#This Row],[SUB T-DISC]]-PAJAK[[#This Row],[DISC DLL]])/111%</f>
        <v>8950540.5405405406</v>
      </c>
      <c r="P59" s="195">
        <f ca="1">PAJAK[[#This Row],[DPP]]*PAJAK[[#This Row],[PPN]]</f>
        <v>984559.45945945953</v>
      </c>
      <c r="Q59" s="19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Row],[ID]],[3]!Table1[ID],0)</f>
        <v>57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95">
        <f ca="1">IF(PAJAK[[#This Row],[//]]="","",SUMIF(NOTA[ID_H],PAJAK[[#This Row],[ID]],NOTA[JUMLAH]))</f>
        <v>31363200</v>
      </c>
      <c r="L60" s="195">
        <f ca="1">IF(PAJAK[[#This Row],[//]]="","",SUMIF(NOTA[ID_H],PAJAK[[#This Row],[ID]],NOTA[DISC]))</f>
        <v>5292540</v>
      </c>
      <c r="M60" s="195">
        <f ca="1">PAJAK[[#This Row],[SUB TOTAL]]-PAJAK[[#This Row],[DISKON]]</f>
        <v>26070660</v>
      </c>
      <c r="N60" s="195">
        <f ca="1">IF(PAJAK[[#This Row],[//]]="","",INDEX(INDIRECT("NOTA["&amp;PAJAK[#Headers]&amp;"]"),PAJAK[[#This Row],[//]]-2+PAJAK[[#This Row],[QB]]-1))</f>
        <v>0</v>
      </c>
      <c r="O60" s="195">
        <f ca="1">(PAJAK[[#This Row],[SUB T-DISC]]-PAJAK[[#This Row],[DISC DLL]])/111%</f>
        <v>23487081.081081077</v>
      </c>
      <c r="P60" s="195">
        <f ca="1">PAJAK[[#This Row],[DPP]]*PAJAK[[#This Row],[PPN]]</f>
        <v>2583578.9189189184</v>
      </c>
      <c r="Q60" s="19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711</v>
      </c>
      <c r="B61" s="162">
        <f ca="1">HYPERLINK("[NOTA_.XLSX]NOTA!c"&amp;PAJAK[[#This Row],[//]],IF(PAJAK[[#This Row],[//]]="","",INDEX(INDIRECT("NOTA["&amp;PAJAK[#Headers]&amp;"]"),PAJAK[[#This Row],[//]]-2)))</f>
        <v>135</v>
      </c>
      <c r="C61" s="44" t="str">
        <f ca="1">IF(PAJAK[[#This Row],[//]]="","",INDEX(INDIRECT("NOTA["&amp;PAJAK[#Headers]&amp;"]"),PAJAK[[#This Row],[//]]-2))</f>
        <v>SAM_2701_231-1</v>
      </c>
      <c r="D61" s="44">
        <f ca="1">MATCH(PAJAK[[#This Row],[ID]],[3]!Table1[ID],0)</f>
        <v>62</v>
      </c>
      <c r="E61" s="161">
        <f ca="1">IF(PAJAK[[#This Row],[ID]]="","",COUNTIF(NOTA[ID_H],PAJAK[[#This Row],[ID]]))</f>
        <v>1</v>
      </c>
      <c r="F61" s="40" t="str">
        <f ca="1">IF(PAJAK[[#This Row],[//]]="","",INDEX(CONV[2],MATCH(INDEX(INDIRECT("NOTA["&amp;PAJAK[#Headers]&amp;"]"),PAJAK[[#This Row],[//]]-2),CONV[1],0),0))</f>
        <v>CV SAMUDERA ANGKASA JAYA</v>
      </c>
      <c r="G61" s="42">
        <f ca="1">IF(PAJAK[[#This Row],[//]]="","",INDEX(NOTA[TGL_H],PAJAK[[#This Row],[//]]-2))</f>
        <v>44953</v>
      </c>
      <c r="H61" s="42">
        <f ca="1">IF(PAJAK[[#This Row],[//]]="","",INDEX(INDIRECT("NOTA["&amp;PAJAK[#Headers]&amp;"]"),PAJAK[[#This Row],[//]]-2))</f>
        <v>44940</v>
      </c>
      <c r="I61" s="41" t="str">
        <f ca="1">IF(PAJAK[[#This Row],[//]]="","",INDEX(INDIRECT("NOTA["&amp;PAJAK[#Headers]&amp;"]"),PAJAK[[#This Row],[//]]-2))</f>
        <v>JL-61231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95">
        <f ca="1">IF(PAJAK[[#This Row],[//]]="","",SUMIF(NOTA[ID_H],PAJAK[[#This Row],[ID]],NOTA[JUMLAH]))</f>
        <v>5472000</v>
      </c>
      <c r="L61" s="195">
        <f ca="1">IF(PAJAK[[#This Row],[//]]="","",SUMIF(NOTA[ID_H],PAJAK[[#This Row],[ID]],NOTA[DISC]))</f>
        <v>273600</v>
      </c>
      <c r="M61" s="195">
        <f ca="1">PAJAK[[#This Row],[SUB TOTAL]]-PAJAK[[#This Row],[DISKON]]</f>
        <v>5198400</v>
      </c>
      <c r="N61" s="195">
        <f ca="1">IF(PAJAK[[#This Row],[//]]="","",INDEX(INDIRECT("NOTA["&amp;PAJAK[#Headers]&amp;"]"),PAJAK[[#This Row],[//]]-2+PAJAK[[#This Row],[QB]]-1))</f>
        <v>0</v>
      </c>
      <c r="O61" s="195">
        <f ca="1">(PAJAK[[#This Row],[SUB T-DISC]]-PAJAK[[#This Row],[DISC DLL]])/111%</f>
        <v>4683243.2432432426</v>
      </c>
      <c r="P61" s="195">
        <f ca="1">PAJAK[[#This Row],[DPP]]*PAJAK[[#This Row],[PPN]]</f>
        <v>515156.75675675669</v>
      </c>
      <c r="Q61" s="195">
        <f ca="1">PAJAK[[#This Row],[DPP]]+PAJAK[[#This Row],[PPN 11%]]</f>
        <v>5198399.9999999991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746</v>
      </c>
      <c r="B62" s="40">
        <f ca="1">HYPERLINK("[NOTA_.XLSX]NOTA!c"&amp;PAJAK[[#This Row],[//]],IF(PAJAK[[#This Row],[//]]="","",INDEX(INDIRECT("NOTA["&amp;PAJAK[#Headers]&amp;"]"),PAJAK[[#This Row],[//]]-2)))</f>
        <v>144</v>
      </c>
      <c r="C62" s="40" t="str">
        <f ca="1">IF(PAJAK[[#This Row],[//]]="","",INDEX(INDIRECT("NOTA["&amp;PAJAK[#Headers]&amp;"]"),PAJAK[[#This Row],[//]]-2))</f>
        <v>ATA_2601_-5</v>
      </c>
      <c r="D62" s="40" t="e">
        <f ca="1">MATCH(PAJAK[[#This Row],[ID]],[3]!Table1[ID],0)</f>
        <v>#N/A</v>
      </c>
      <c r="E62" s="41">
        <f ca="1">IF(PAJAK[[#This Row],[ID]]="","",COUNTIF(NOTA[ID_H],PAJAK[[#This Row],[ID]]))</f>
        <v>5</v>
      </c>
      <c r="F62" s="40" t="str">
        <f ca="1">IF(PAJAK[[#This Row],[//]]="","",INDEX(CONV[2],MATCH(INDEX(INDIRECT("NOTA["&amp;PAJAK[#Headers]&amp;"]"),PAJAK[[#This Row],[//]]-2),CONV[1],0),0))</f>
        <v>PT ATALI MAKMUR</v>
      </c>
      <c r="G62" s="42">
        <f ca="1">IF(PAJAK[[#This Row],[//]]="","",INDEX(NOTA[TGL_H],PAJAK[[#This Row],[//]]-2))</f>
        <v>44952</v>
      </c>
      <c r="H62" s="42">
        <f ca="1">IF(PAJAK[[#This Row],[//]]="","",INDEX(INDIRECT("NOTA["&amp;PAJAK[#Headers]&amp;"]"),PAJAK[[#This Row],[//]]-2))</f>
        <v>0</v>
      </c>
      <c r="I62" s="41">
        <f ca="1">IF(PAJAK[[#This Row],[//]]="","",INDEX(INDIRECT("NOTA["&amp;PAJAK[#Headers]&amp;"]"),PAJAK[[#This Row],[//]]-2))</f>
        <v>0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95">
        <f ca="1">IF(PAJAK[[#This Row],[//]]="","",SUMIF(NOTA[ID_H],PAJAK[[#This Row],[ID]],NOTA[JUMLAH]))</f>
        <v>14203680</v>
      </c>
      <c r="L62" s="195">
        <f ca="1">IF(PAJAK[[#This Row],[//]]="","",SUMIF(NOTA[ID_H],PAJAK[[#This Row],[ID]],NOTA[DISC]))</f>
        <v>2394836.1</v>
      </c>
      <c r="M62" s="195">
        <f ca="1">PAJAK[[#This Row],[SUB TOTAL]]-PAJAK[[#This Row],[DISKON]]</f>
        <v>11808843.9</v>
      </c>
      <c r="N62" s="195">
        <f ca="1">IF(PAJAK[[#This Row],[//]]="","",INDEX(INDIRECT("NOTA["&amp;PAJAK[#Headers]&amp;"]"),PAJAK[[#This Row],[//]]-2+PAJAK[[#This Row],[QB]]-1))</f>
        <v>0</v>
      </c>
      <c r="O62" s="195">
        <f ca="1">(PAJAK[[#This Row],[SUB T-DISC]]-PAJAK[[#This Row],[DISC DLL]])/111%</f>
        <v>10638598.108108107</v>
      </c>
      <c r="P62" s="195">
        <f ca="1">PAJAK[[#This Row],[DPP]]*PAJAK[[#This Row],[PPN]]</f>
        <v>1170245.7918918917</v>
      </c>
      <c r="Q62" s="195">
        <f ca="1">PAJAK[[#This Row],[DPP]]+PAJAK[[#This Row],[PPN 11%]]</f>
        <v>11808843.899999999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ATA_2801_-1</v>
      </c>
      <c r="D63" s="40" t="e">
        <f ca="1">MATCH(PAJAK[[#This Row],[ID]],[3]!Table1[ID],0)</f>
        <v>#N/A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0</v>
      </c>
      <c r="I63" s="41">
        <f ca="1">IF(PAJAK[[#This Row],[//]]="","",INDEX(INDIRECT("NOTA["&amp;PAJAK[#Headers]&amp;"]"),PAJAK[[#This Row],[//]]-2))</f>
        <v>0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95">
        <f ca="1">IF(PAJAK[[#This Row],[//]]="","",SUMIF(NOTA[ID_H],PAJAK[[#This Row],[ID]],NOTA[JUMLAH]))</f>
        <v>31320000</v>
      </c>
      <c r="L63" s="195">
        <f ca="1">IF(PAJAK[[#This Row],[//]]="","",SUMIF(NOTA[ID_H],PAJAK[[#This Row],[ID]],NOTA[DISC]))</f>
        <v>5285250</v>
      </c>
      <c r="M63" s="195">
        <f ca="1">PAJAK[[#This Row],[SUB TOTAL]]-PAJAK[[#This Row],[DISKON]]</f>
        <v>26034750</v>
      </c>
      <c r="N63" s="195">
        <f ca="1">IF(PAJAK[[#This Row],[//]]="","",INDEX(INDIRECT("NOTA["&amp;PAJAK[#Headers]&amp;"]"),PAJAK[[#This Row],[//]]-2+PAJAK[[#This Row],[QB]]-1))</f>
        <v>0</v>
      </c>
      <c r="O63" s="195">
        <f ca="1">(PAJAK[[#This Row],[SUB T-DISC]]-PAJAK[[#This Row],[DISC DLL]])/111%</f>
        <v>23454729.729729727</v>
      </c>
      <c r="P63" s="195">
        <f ca="1">PAJAK[[#This Row],[DPP]]*PAJAK[[#This Row],[PPN]]</f>
        <v>2580020.2702702698</v>
      </c>
      <c r="Q63" s="195">
        <f ca="1">PAJAK[[#This Row],[DPP]]+PAJAK[[#This Row],[PPN 11%]]</f>
        <v>26034749.999999996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KEN_2801_-6</v>
      </c>
      <c r="D64" s="40" t="e">
        <f ca="1">MATCH(PAJAK[[#This Row],[ID]],[3]!Table1[ID],0)</f>
        <v>#N/A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0</v>
      </c>
      <c r="I64" s="41">
        <f ca="1">IF(PAJAK[[#This Row],[//]]="","",INDEX(INDIRECT("NOTA["&amp;PAJAK[#Headers]&amp;"]"),PAJAK[[#This Row],[//]]-2))</f>
        <v>0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/>
      </c>
      <c r="K64" s="195">
        <f ca="1">IF(PAJAK[[#This Row],[//]]="","",SUMIF(NOTA[ID_H],PAJAK[[#This Row],[ID]],NOTA[JUMLAH]))</f>
        <v>60450000</v>
      </c>
      <c r="L64" s="195">
        <f ca="1">IF(PAJAK[[#This Row],[//]]="","",SUMIF(NOTA[ID_H],PAJAK[[#This Row],[ID]],NOTA[DISC]))</f>
        <v>10276500</v>
      </c>
      <c r="M64" s="195">
        <f ca="1">PAJAK[[#This Row],[SUB TOTAL]]-PAJAK[[#This Row],[DISKON]]</f>
        <v>50173500</v>
      </c>
      <c r="N64" s="195">
        <f ca="1">IF(PAJAK[[#This Row],[//]]="","",INDEX(INDIRECT("NOTA["&amp;PAJAK[#Headers]&amp;"]"),PAJAK[[#This Row],[//]]-2+PAJAK[[#This Row],[QB]]-1))</f>
        <v>0</v>
      </c>
      <c r="O64" s="195">
        <f ca="1">(PAJAK[[#This Row],[SUB T-DISC]]-PAJAK[[#This Row],[DISC DLL]])/111%</f>
        <v>45201351.351351351</v>
      </c>
      <c r="P64" s="195">
        <f ca="1">PAJAK[[#This Row],[DPP]]*PAJAK[[#This Row],[PPN]]</f>
        <v>4972148.6486486485</v>
      </c>
      <c r="Q64" s="195">
        <f ca="1">PAJAK[[#This Row],[DPP]]+PAJAK[[#This Row],[PPN 11%]]</f>
        <v>50173500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KEN_2801_-10</v>
      </c>
      <c r="D65" s="40" t="e">
        <f ca="1">MATCH(PAJAK[[#This Row],[ID]],[3]!Table1[ID],0)</f>
        <v>#N/A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0</v>
      </c>
      <c r="I65" s="41">
        <f ca="1">IF(PAJAK[[#This Row],[//]]="","",INDEX(INDIRECT("NOTA["&amp;PAJAK[#Headers]&amp;"]"),PAJAK[[#This Row],[//]]-2))</f>
        <v>0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/>
      </c>
      <c r="K65" s="195">
        <f ca="1">IF(PAJAK[[#This Row],[//]]="","",SUMIF(NOTA[ID_H],PAJAK[[#This Row],[ID]],NOTA[JUMLAH]))</f>
        <v>52695400</v>
      </c>
      <c r="L65" s="195">
        <f ca="1">IF(PAJAK[[#This Row],[//]]="","",SUMIF(NOTA[ID_H],PAJAK[[#This Row],[ID]],NOTA[DISC]))</f>
        <v>8958218</v>
      </c>
      <c r="M65" s="195">
        <f ca="1">PAJAK[[#This Row],[SUB TOTAL]]-PAJAK[[#This Row],[DISKON]]</f>
        <v>43737182</v>
      </c>
      <c r="N65" s="195">
        <f ca="1">IF(PAJAK[[#This Row],[//]]="","",INDEX(INDIRECT("NOTA["&amp;PAJAK[#Headers]&amp;"]"),PAJAK[[#This Row],[//]]-2+PAJAK[[#This Row],[QB]]-1))</f>
        <v>0</v>
      </c>
      <c r="O65" s="195">
        <f ca="1">(PAJAK[[#This Row],[SUB T-DISC]]-PAJAK[[#This Row],[DISC DLL]])/111%</f>
        <v>39402866.666666664</v>
      </c>
      <c r="P65" s="195">
        <f ca="1">PAJAK[[#This Row],[DPP]]*PAJAK[[#This Row],[PPN]]</f>
        <v>4334315.333333333</v>
      </c>
      <c r="Q65" s="195">
        <f ca="1">PAJAK[[#This Row],[DPP]]+PAJAK[[#This Row],[PPN 11%]]</f>
        <v>43737182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793</v>
      </c>
      <c r="B66" s="40">
        <f ca="1">HYPERLINK("[NOTA_.XLSX]NOTA!c"&amp;PAJAK[[#This Row],[//]],IF(PAJAK[[#This Row],[//]]="","",INDEX(INDIRECT("NOTA["&amp;PAJAK[#Headers]&amp;"]"),PAJAK[[#This Row],[//]]-2)))</f>
        <v>151</v>
      </c>
      <c r="C66" s="40" t="str">
        <f ca="1">IF(PAJAK[[#This Row],[//]]="","",INDEX(INDIRECT("NOTA["&amp;PAJAK[#Headers]&amp;"]"),PAJAK[[#This Row],[//]]-2))</f>
        <v>ATA_2801_441-1</v>
      </c>
      <c r="D66" s="40">
        <f ca="1">MATCH(PAJAK[[#This Row],[ID]],[3]!Table1[ID],0)</f>
        <v>60</v>
      </c>
      <c r="E66" s="41">
        <f ca="1">IF(PAJAK[[#This Row],[ID]]="","",COUNTIF(NOTA[ID_H],PAJAK[[#This Row],[ID]]))</f>
        <v>1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44954</v>
      </c>
      <c r="H66" s="42">
        <f ca="1">IF(PAJAK[[#This Row],[//]]="","",INDEX(INDIRECT("NOTA["&amp;PAJAK[#Headers]&amp;"]"),PAJAK[[#This Row],[//]]-2))</f>
        <v>44951</v>
      </c>
      <c r="I66" s="41" t="str">
        <f ca="1">IF(PAJAK[[#This Row],[//]]="","",INDEX(INDIRECT("NOTA["&amp;PAJAK[#Headers]&amp;"]"),PAJAK[[#This Row],[//]]-2))</f>
        <v>SA230101441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95">
        <f ca="1">IF(PAJAK[[#This Row],[//]]="","",SUMIF(NOTA[ID_H],PAJAK[[#This Row],[ID]],NOTA[JUMLAH]))</f>
        <v>25056000</v>
      </c>
      <c r="L66" s="195">
        <f ca="1">IF(PAJAK[[#This Row],[//]]="","",SUMIF(NOTA[ID_H],PAJAK[[#This Row],[ID]],NOTA[DISC]))</f>
        <v>4228200</v>
      </c>
      <c r="M66" s="195">
        <f ca="1">PAJAK[[#This Row],[SUB TOTAL]]-PAJAK[[#This Row],[DISKON]]</f>
        <v>20827800</v>
      </c>
      <c r="N66" s="195">
        <f ca="1">IF(PAJAK[[#This Row],[//]]="","",INDEX(INDIRECT("NOTA["&amp;PAJAK[#Headers]&amp;"]"),PAJAK[[#This Row],[//]]-2+PAJAK[[#This Row],[QB]]-1))</f>
        <v>0</v>
      </c>
      <c r="O66" s="195">
        <f ca="1">(PAJAK[[#This Row],[SUB T-DISC]]-PAJAK[[#This Row],[DISC DLL]])/111%</f>
        <v>18763783.783783782</v>
      </c>
      <c r="P66" s="195">
        <f ca="1">PAJAK[[#This Row],[DPP]]*PAJAK[[#This Row],[PPN]]</f>
        <v>2064016.2162162161</v>
      </c>
      <c r="Q66" s="195">
        <f ca="1">PAJAK[[#This Row],[DPP]]+PAJAK[[#This Row],[PPN 11%]]</f>
        <v>20827800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795</v>
      </c>
      <c r="B67" s="162">
        <f ca="1">HYPERLINK("[NOTA_.XLSX]NOTA!c"&amp;PAJAK[[#This Row],[//]],IF(PAJAK[[#This Row],[//]]="","",INDEX(INDIRECT("NOTA["&amp;PAJAK[#Headers]&amp;"]"),PAJAK[[#This Row],[//]]-2)))</f>
        <v>152</v>
      </c>
      <c r="C67" s="44" t="str">
        <f ca="1">IF(PAJAK[[#This Row],[//]]="","",INDEX(INDIRECT("NOTA["&amp;PAJAK[#Headers]&amp;"]"),PAJAK[[#This Row],[//]]-2))</f>
        <v>KEN_2801_764-6</v>
      </c>
      <c r="D67" s="44">
        <f ca="1">MATCH(PAJAK[[#This Row],[ID]],[3]!Table1[ID],0)</f>
        <v>26</v>
      </c>
      <c r="E67" s="161">
        <f ca="1">IF(PAJAK[[#This Row],[ID]]="","",COUNTIF(NOTA[ID_H],PAJAK[[#This Row],[ID]]))</f>
        <v>6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44954</v>
      </c>
      <c r="H67" s="42">
        <f ca="1">IF(PAJAK[[#This Row],[//]]="","",INDEX(INDIRECT("NOTA["&amp;PAJAK[#Headers]&amp;"]"),PAJAK[[#This Row],[//]]-2))</f>
        <v>44952</v>
      </c>
      <c r="I67" s="41" t="str">
        <f ca="1">IF(PAJAK[[#This Row],[//]]="","",INDEX(INDIRECT("NOTA["&amp;PAJAK[#Headers]&amp;"]"),PAJAK[[#This Row],[//]]-2))</f>
        <v>23011764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7" s="195">
        <f ca="1">IF(PAJAK[[#This Row],[//]]="","",SUMIF(NOTA[ID_H],PAJAK[[#This Row],[ID]],NOTA[JUMLAH]))</f>
        <v>58380000</v>
      </c>
      <c r="L67" s="195">
        <f ca="1">IF(PAJAK[[#This Row],[//]]="","",SUMIF(NOTA[ID_H],PAJAK[[#This Row],[ID]],NOTA[DISC]))</f>
        <v>9924600.0000000019</v>
      </c>
      <c r="M67" s="195">
        <f ca="1">PAJAK[[#This Row],[SUB TOTAL]]-PAJAK[[#This Row],[DISKON]]</f>
        <v>48455400</v>
      </c>
      <c r="N67" s="195">
        <f ca="1">IF(PAJAK[[#This Row],[//]]="","",INDEX(INDIRECT("NOTA["&amp;PAJAK[#Headers]&amp;"]"),PAJAK[[#This Row],[//]]-2+PAJAK[[#This Row],[QB]]-1))</f>
        <v>0</v>
      </c>
      <c r="O67" s="195">
        <f ca="1">(PAJAK[[#This Row],[SUB T-DISC]]-PAJAK[[#This Row],[DISC DLL]])/111%</f>
        <v>43653513.513513513</v>
      </c>
      <c r="P67" s="195">
        <f ca="1">PAJAK[[#This Row],[DPP]]*PAJAK[[#This Row],[PPN]]</f>
        <v>4801886.4864864862</v>
      </c>
      <c r="Q67" s="195">
        <f ca="1">PAJAK[[#This Row],[DPP]]+PAJAK[[#This Row],[PPN 11%]]</f>
        <v>48455400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802</v>
      </c>
      <c r="B68" s="162">
        <f ca="1">HYPERLINK("[NOTA_.XLSX]NOTA!c"&amp;PAJAK[[#This Row],[//]],IF(PAJAK[[#This Row],[//]]="","",INDEX(INDIRECT("NOTA["&amp;PAJAK[#Headers]&amp;"]"),PAJAK[[#This Row],[//]]-2)))</f>
        <v>153</v>
      </c>
      <c r="C68" s="44" t="str">
        <f ca="1">IF(PAJAK[[#This Row],[//]]="","",INDEX(INDIRECT("NOTA["&amp;PAJAK[#Headers]&amp;"]"),PAJAK[[#This Row],[//]]-2))</f>
        <v>KEN_2801_733-10</v>
      </c>
      <c r="D68" s="44">
        <f ca="1">MATCH(PAJAK[[#This Row],[ID]],[3]!Table1[ID],0)</f>
        <v>25</v>
      </c>
      <c r="E68" s="161">
        <f ca="1">IF(PAJAK[[#This Row],[ID]]="","",COUNTIF(NOTA[ID_H],PAJAK[[#This Row],[ID]]))</f>
        <v>10</v>
      </c>
      <c r="F68" s="40" t="str">
        <f ca="1">IF(PAJAK[[#This Row],[//]]="","",INDEX(CONV[2],MATCH(INDEX(INDIRECT("NOTA["&amp;PAJAK[#Headers]&amp;"]"),PAJAK[[#This Row],[//]]-2),CONV[1],0),0))</f>
        <v>PT KENKO SINAR INDONESIA</v>
      </c>
      <c r="G68" s="42">
        <f ca="1">IF(PAJAK[[#This Row],[//]]="","",INDEX(NOTA[TGL_H],PAJAK[[#This Row],[//]]-2))</f>
        <v>44954</v>
      </c>
      <c r="H68" s="42">
        <f ca="1">IF(PAJAK[[#This Row],[//]]="","",INDEX(INDIRECT("NOTA["&amp;PAJAK[#Headers]&amp;"]"),PAJAK[[#This Row],[//]]-2))</f>
        <v>44952</v>
      </c>
      <c r="I68" s="41" t="str">
        <f ca="1">IF(PAJAK[[#This Row],[//]]="","",INDEX(INDIRECT("NOTA["&amp;PAJAK[#Headers]&amp;"]"),PAJAK[[#This Row],[//]]-2))</f>
        <v>23011733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8" s="195">
        <f ca="1">IF(PAJAK[[#This Row],[//]]="","",SUMIF(NOTA[ID_H],PAJAK[[#This Row],[ID]],NOTA[JUMLAH]))</f>
        <v>31450400</v>
      </c>
      <c r="L68" s="195">
        <f ca="1">IF(PAJAK[[#This Row],[//]]="","",SUMIF(NOTA[ID_H],PAJAK[[#This Row],[ID]],NOTA[DISC]))</f>
        <v>5346568</v>
      </c>
      <c r="M68" s="195">
        <f ca="1">PAJAK[[#This Row],[SUB TOTAL]]-PAJAK[[#This Row],[DISKON]]</f>
        <v>26103832</v>
      </c>
      <c r="N68" s="195">
        <f ca="1">IF(PAJAK[[#This Row],[//]]="","",INDEX(INDIRECT("NOTA["&amp;PAJAK[#Headers]&amp;"]"),PAJAK[[#This Row],[//]]-2+PAJAK[[#This Row],[QB]]-1))</f>
        <v>0</v>
      </c>
      <c r="O68" s="195">
        <f ca="1">(PAJAK[[#This Row],[SUB T-DISC]]-PAJAK[[#This Row],[DISC DLL]])/111%</f>
        <v>23516965.765765764</v>
      </c>
      <c r="P68" s="195">
        <f ca="1">PAJAK[[#This Row],[DPP]]*PAJAK[[#This Row],[PPN]]</f>
        <v>2586866.2342342339</v>
      </c>
      <c r="Q68" s="195">
        <f ca="1">PAJAK[[#This Row],[DPP]]+PAJAK[[#This Row],[PPN 11%]]</f>
        <v>26103831.999999996</v>
      </c>
      <c r="R68" s="43" t="str">
        <f ca="1">IF(ISNUMBER(PAJAK[[#This Row],[//]]),PPN,"")</f>
        <v>11%</v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63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95" t="str">
        <f ca="1">IF(PAJAK[[#This Row],[//]]="","",SUMIF(NOTA[ID_H],PAJAK[[#This Row],[ID]],NOTA[JUMLAH]))</f>
        <v/>
      </c>
      <c r="L69" s="195" t="str">
        <f ca="1">IF(PAJAK[[#This Row],[//]]="","",SUMIF(NOTA[ID_H],PAJAK[[#This Row],[ID]],NOTA[DISC]))</f>
        <v/>
      </c>
      <c r="M69" s="195" t="e">
        <f ca="1">PAJAK[[#This Row],[SUB TOTAL]]-PAJAK[[#This Row],[DISKON]]</f>
        <v>#VALUE!</v>
      </c>
      <c r="N69" s="195" t="str">
        <f ca="1">IF(PAJAK[[#This Row],[//]]="","",INDEX(INDIRECT("NOTA["&amp;PAJAK[#Headers]&amp;"]"),PAJAK[[#This Row],[//]]-2+PAJAK[[#This Row],[QB]]-1))</f>
        <v/>
      </c>
      <c r="O69" s="195" t="e">
        <f ca="1">(PAJAK[[#This Row],[SUB T-DISC]]-PAJAK[[#This Row],[DISC DLL]])/111%</f>
        <v>#VALUE!</v>
      </c>
      <c r="P69" s="195" t="e">
        <f ca="1">PAJAK[[#This Row],[DPP]]*PAJAK[[#This Row],[PPN]]</f>
        <v>#VALUE!</v>
      </c>
      <c r="Q69" s="195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2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6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95" t="str">
        <f ca="1">IF(PAJAK[[#This Row],[//]]="","",SUMIF(NOTA[ID_H],PAJAK[[#This Row],[ID]],NOTA[JUMLAH]))</f>
        <v/>
      </c>
      <c r="L70" s="195" t="str">
        <f ca="1">IF(PAJAK[[#This Row],[//]]="","",SUMIF(NOTA[ID_H],PAJAK[[#This Row],[ID]],NOTA[DISC]))</f>
        <v/>
      </c>
      <c r="M70" s="195" t="e">
        <f ca="1">PAJAK[[#This Row],[SUB TOTAL]]-PAJAK[[#This Row],[DISKON]]</f>
        <v>#VALUE!</v>
      </c>
      <c r="N70" s="195" t="str">
        <f ca="1">IF(PAJAK[[#This Row],[//]]="","",INDEX(INDIRECT("NOTA["&amp;PAJAK[#Headers]&amp;"]"),PAJAK[[#This Row],[//]]-2+PAJAK[[#This Row],[QB]]-1))</f>
        <v/>
      </c>
      <c r="O70" s="195" t="e">
        <f ca="1">(PAJAK[[#This Row],[SUB T-DISC]]-PAJAK[[#This Row],[DISC DLL]])/111%</f>
        <v>#VALUE!</v>
      </c>
      <c r="P70" s="195" t="e">
        <f ca="1">PAJAK[[#This Row],[DPP]]*PAJAK[[#This Row],[PPN]]</f>
        <v>#VALUE!</v>
      </c>
      <c r="Q70" s="195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62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6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95" t="str">
        <f ca="1">IF(PAJAK[[#This Row],[//]]="","",SUMIF(NOTA[ID_H],PAJAK[[#This Row],[ID]],NOTA[JUMLAH]))</f>
        <v/>
      </c>
      <c r="L71" s="195" t="str">
        <f ca="1">IF(PAJAK[[#This Row],[//]]="","",SUMIF(NOTA[ID_H],PAJAK[[#This Row],[ID]],NOTA[DISC]))</f>
        <v/>
      </c>
      <c r="M71" s="195" t="e">
        <f ca="1">PAJAK[[#This Row],[SUB TOTAL]]-PAJAK[[#This Row],[DISKON]]</f>
        <v>#VALUE!</v>
      </c>
      <c r="N71" s="195" t="str">
        <f ca="1">IF(PAJAK[[#This Row],[//]]="","",INDEX(INDIRECT("NOTA["&amp;PAJAK[#Headers]&amp;"]"),PAJAK[[#This Row],[//]]-2+PAJAK[[#This Row],[QB]]-1))</f>
        <v/>
      </c>
      <c r="O71" s="195" t="e">
        <f ca="1">(PAJAK[[#This Row],[SUB T-DISC]]-PAJAK[[#This Row],[DISC DLL]])/111%</f>
        <v>#VALUE!</v>
      </c>
      <c r="P71" s="195" t="e">
        <f ca="1">PAJAK[[#This Row],[DPP]]*PAJAK[[#This Row],[PPN]]</f>
        <v>#VALUE!</v>
      </c>
      <c r="Q71" s="195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62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61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95" t="str">
        <f ca="1">IF(PAJAK[[#This Row],[//]]="","",SUMIF(NOTA[ID_H],PAJAK[[#This Row],[ID]],NOTA[JUMLAH]))</f>
        <v/>
      </c>
      <c r="L72" s="195" t="str">
        <f ca="1">IF(PAJAK[[#This Row],[//]]="","",SUMIF(NOTA[ID_H],PAJAK[[#This Row],[ID]],NOTA[DISC]))</f>
        <v/>
      </c>
      <c r="M72" s="195" t="e">
        <f ca="1">PAJAK[[#This Row],[SUB TOTAL]]-PAJAK[[#This Row],[DISKON]]</f>
        <v>#VALUE!</v>
      </c>
      <c r="N72" s="195" t="str">
        <f ca="1">IF(PAJAK[[#This Row],[//]]="","",INDEX(INDIRECT("NOTA["&amp;PAJAK[#Headers]&amp;"]"),PAJAK[[#This Row],[//]]-2+PAJAK[[#This Row],[QB]]-1))</f>
        <v/>
      </c>
      <c r="O72" s="195" t="e">
        <f ca="1">(PAJAK[[#This Row],[SUB T-DISC]]-PAJAK[[#This Row],[DISC DLL]])/111%</f>
        <v>#VALUE!</v>
      </c>
      <c r="P72" s="195" t="e">
        <f ca="1">PAJAK[[#This Row],[DPP]]*PAJAK[[#This Row],[PPN]]</f>
        <v>#VALUE!</v>
      </c>
      <c r="Q72" s="195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95" t="str">
        <f ca="1">IF(PAJAK[[#This Row],[//]]="","",SUMIF(NOTA[ID_H],PAJAK[[#This Row],[ID]],NOTA[JUMLAH]))</f>
        <v/>
      </c>
      <c r="L73" s="195" t="str">
        <f ca="1">IF(PAJAK[[#This Row],[//]]="","",SUMIF(NOTA[ID_H],PAJAK[[#This Row],[ID]],NOTA[DISC]))</f>
        <v/>
      </c>
      <c r="M73" s="195" t="e">
        <f ca="1">PAJAK[[#This Row],[SUB TOTAL]]-PAJAK[[#This Row],[DISKON]]</f>
        <v>#VALUE!</v>
      </c>
      <c r="N73" s="195" t="str">
        <f ca="1">IF(PAJAK[[#This Row],[//]]="","",INDEX(INDIRECT("NOTA["&amp;PAJAK[#Headers]&amp;"]"),PAJAK[[#This Row],[//]]-2+PAJAK[[#This Row],[QB]]-1))</f>
        <v/>
      </c>
      <c r="O73" s="195" t="e">
        <f ca="1">(PAJAK[[#This Row],[SUB T-DISC]]-PAJAK[[#This Row],[DISC DLL]])/111%</f>
        <v>#VALUE!</v>
      </c>
      <c r="P73" s="195" t="e">
        <f ca="1">PAJAK[[#This Row],[DPP]]*PAJAK[[#This Row],[PPN]]</f>
        <v>#VALUE!</v>
      </c>
      <c r="Q73" s="19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6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6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95" t="str">
        <f ca="1">IF(PAJAK[[#This Row],[//]]="","",SUMIF(NOTA[ID_H],PAJAK[[#This Row],[ID]],NOTA[JUMLAH]))</f>
        <v/>
      </c>
      <c r="L74" s="195" t="str">
        <f ca="1">IF(PAJAK[[#This Row],[//]]="","",SUMIF(NOTA[ID_H],PAJAK[[#This Row],[ID]],NOTA[DISC]))</f>
        <v/>
      </c>
      <c r="M74" s="195" t="e">
        <f ca="1">PAJAK[[#This Row],[SUB TOTAL]]-PAJAK[[#This Row],[DISKON]]</f>
        <v>#VALUE!</v>
      </c>
      <c r="N74" s="195" t="str">
        <f ca="1">IF(PAJAK[[#This Row],[//]]="","",INDEX(INDIRECT("NOTA["&amp;PAJAK[#Headers]&amp;"]"),PAJAK[[#This Row],[//]]-2+PAJAK[[#This Row],[QB]]-1))</f>
        <v/>
      </c>
      <c r="O74" s="195" t="e">
        <f ca="1">(PAJAK[[#This Row],[SUB T-DISC]]-PAJAK[[#This Row],[DISC DLL]])/111%</f>
        <v>#VALUE!</v>
      </c>
      <c r="P74" s="195" t="e">
        <f ca="1">PAJAK[[#This Row],[DPP]]*PAJAK[[#This Row],[PPN]]</f>
        <v>#VALUE!</v>
      </c>
      <c r="Q74" s="19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6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6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95" t="str">
        <f ca="1">IF(PAJAK[[#This Row],[//]]="","",SUMIF(NOTA[ID_H],PAJAK[[#This Row],[ID]],NOTA[JUMLAH]))</f>
        <v/>
      </c>
      <c r="L75" s="195" t="str">
        <f ca="1">IF(PAJAK[[#This Row],[//]]="","",SUMIF(NOTA[ID_H],PAJAK[[#This Row],[ID]],NOTA[DISC]))</f>
        <v/>
      </c>
      <c r="M75" s="195" t="e">
        <f ca="1">PAJAK[[#This Row],[SUB TOTAL]]-PAJAK[[#This Row],[DISKON]]</f>
        <v>#VALUE!</v>
      </c>
      <c r="N75" s="195" t="str">
        <f ca="1">IF(PAJAK[[#This Row],[//]]="","",INDEX(INDIRECT("NOTA["&amp;PAJAK[#Headers]&amp;"]"),PAJAK[[#This Row],[//]]-2+PAJAK[[#This Row],[QB]]-1))</f>
        <v/>
      </c>
      <c r="O75" s="195" t="e">
        <f ca="1">(PAJAK[[#This Row],[SUB T-DISC]]-PAJAK[[#This Row],[DISC DLL]])/111%</f>
        <v>#VALUE!</v>
      </c>
      <c r="P75" s="195" t="e">
        <f ca="1">PAJAK[[#This Row],[DPP]]*PAJAK[[#This Row],[PPN]]</f>
        <v>#VALUE!</v>
      </c>
      <c r="Q75" s="19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95" t="str">
        <f ca="1">IF(PAJAK[[#This Row],[//]]="","",SUMIF(NOTA[ID_H],PAJAK[[#This Row],[ID]],NOTA[JUMLAH]))</f>
        <v/>
      </c>
      <c r="L76" s="195" t="str">
        <f ca="1">IF(PAJAK[[#This Row],[//]]="","",SUMIF(NOTA[ID_H],PAJAK[[#This Row],[ID]],NOTA[DISC]))</f>
        <v/>
      </c>
      <c r="M76" s="195" t="e">
        <f ca="1">PAJAK[[#This Row],[SUB TOTAL]]-PAJAK[[#This Row],[DISKON]]</f>
        <v>#VALUE!</v>
      </c>
      <c r="N76" s="195" t="str">
        <f ca="1">IF(PAJAK[[#This Row],[//]]="","",INDEX(INDIRECT("NOTA["&amp;PAJAK[#Headers]&amp;"]"),PAJAK[[#This Row],[//]]-2+PAJAK[[#This Row],[QB]]-1))</f>
        <v/>
      </c>
      <c r="O76" s="195" t="e">
        <f ca="1">(PAJAK[[#This Row],[SUB T-DISC]]-PAJAK[[#This Row],[DISC DLL]])/111%</f>
        <v>#VALUE!</v>
      </c>
      <c r="P76" s="195" t="e">
        <f ca="1">PAJAK[[#This Row],[DPP]]*PAJAK[[#This Row],[PPN]]</f>
        <v>#VALUE!</v>
      </c>
      <c r="Q76" s="19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6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95" t="str">
        <f ca="1">IF(PAJAK[[#This Row],[//]]="","",SUMIF(NOTA[ID_H],PAJAK[[#This Row],[ID]],NOTA[JUMLAH]))</f>
        <v/>
      </c>
      <c r="L77" s="195" t="str">
        <f ca="1">IF(PAJAK[[#This Row],[//]]="","",SUMIF(NOTA[ID_H],PAJAK[[#This Row],[ID]],NOTA[DISC]))</f>
        <v/>
      </c>
      <c r="M77" s="195" t="e">
        <f ca="1">PAJAK[[#This Row],[SUB TOTAL]]-PAJAK[[#This Row],[DISKON]]</f>
        <v>#VALUE!</v>
      </c>
      <c r="N77" s="195" t="str">
        <f ca="1">IF(PAJAK[[#This Row],[//]]="","",INDEX(INDIRECT("NOTA["&amp;PAJAK[#Headers]&amp;"]"),PAJAK[[#This Row],[//]]-2+PAJAK[[#This Row],[QB]]-1))</f>
        <v/>
      </c>
      <c r="O77" s="195" t="e">
        <f ca="1">(PAJAK[[#This Row],[SUB T-DISC]]-PAJAK[[#This Row],[DISC DLL]])/111%</f>
        <v>#VALUE!</v>
      </c>
      <c r="P77" s="195" t="e">
        <f ca="1">PAJAK[[#This Row],[DPP]]*PAJAK[[#This Row],[PPN]]</f>
        <v>#VALUE!</v>
      </c>
      <c r="Q77" s="19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6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6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95" t="str">
        <f ca="1">IF(PAJAK[[#This Row],[//]]="","",SUMIF(NOTA[ID_H],PAJAK[[#This Row],[ID]],NOTA[JUMLAH]))</f>
        <v/>
      </c>
      <c r="L78" s="195" t="str">
        <f ca="1">IF(PAJAK[[#This Row],[//]]="","",SUMIF(NOTA[ID_H],PAJAK[[#This Row],[ID]],NOTA[DISC]))</f>
        <v/>
      </c>
      <c r="M78" s="195" t="e">
        <f ca="1">PAJAK[[#This Row],[SUB TOTAL]]-PAJAK[[#This Row],[DISKON]]</f>
        <v>#VALUE!</v>
      </c>
      <c r="N78" s="195" t="str">
        <f ca="1">IF(PAJAK[[#This Row],[//]]="","",INDEX(INDIRECT("NOTA["&amp;PAJAK[#Headers]&amp;"]"),PAJAK[[#This Row],[//]]-2+PAJAK[[#This Row],[QB]]-1))</f>
        <v/>
      </c>
      <c r="O78" s="195" t="e">
        <f ca="1">(PAJAK[[#This Row],[SUB T-DISC]]-PAJAK[[#This Row],[DISC DLL]])/111%</f>
        <v>#VALUE!</v>
      </c>
      <c r="P78" s="195" t="e">
        <f ca="1">PAJAK[[#This Row],[DPP]]*PAJAK[[#This Row],[PPN]]</f>
        <v>#VALUE!</v>
      </c>
      <c r="Q78" s="19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6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6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95" t="str">
        <f ca="1">IF(PAJAK[[#This Row],[//]]="","",SUMIF(NOTA[ID_H],PAJAK[[#This Row],[ID]],NOTA[JUMLAH]))</f>
        <v/>
      </c>
      <c r="L79" s="195" t="str">
        <f ca="1">IF(PAJAK[[#This Row],[//]]="","",SUMIF(NOTA[ID_H],PAJAK[[#This Row],[ID]],NOTA[DISC]))</f>
        <v/>
      </c>
      <c r="M79" s="195" t="e">
        <f ca="1">PAJAK[[#This Row],[SUB TOTAL]]-PAJAK[[#This Row],[DISKON]]</f>
        <v>#VALUE!</v>
      </c>
      <c r="N79" s="195" t="str">
        <f ca="1">IF(PAJAK[[#This Row],[//]]="","",INDEX(INDIRECT("NOTA["&amp;PAJAK[#Headers]&amp;"]"),PAJAK[[#This Row],[//]]-2+PAJAK[[#This Row],[QB]]-1))</f>
        <v/>
      </c>
      <c r="O79" s="195" t="e">
        <f ca="1">(PAJAK[[#This Row],[SUB T-DISC]]-PAJAK[[#This Row],[DISC DLL]])/111%</f>
        <v>#VALUE!</v>
      </c>
      <c r="P79" s="195" t="e">
        <f ca="1">PAJAK[[#This Row],[DPP]]*PAJAK[[#This Row],[PPN]]</f>
        <v>#VALUE!</v>
      </c>
      <c r="Q79" s="19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6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95" t="str">
        <f ca="1">IF(PAJAK[[#This Row],[//]]="","",SUMIF(NOTA[ID_H],PAJAK[[#This Row],[ID]],NOTA[JUMLAH]))</f>
        <v/>
      </c>
      <c r="L80" s="195" t="str">
        <f ca="1">IF(PAJAK[[#This Row],[//]]="","",SUMIF(NOTA[ID_H],PAJAK[[#This Row],[ID]],NOTA[DISC]))</f>
        <v/>
      </c>
      <c r="M80" s="195" t="e">
        <f ca="1">PAJAK[[#This Row],[SUB TOTAL]]-PAJAK[[#This Row],[DISKON]]</f>
        <v>#VALUE!</v>
      </c>
      <c r="N80" s="195" t="str">
        <f ca="1">IF(PAJAK[[#This Row],[//]]="","",INDEX(INDIRECT("NOTA["&amp;PAJAK[#Headers]&amp;"]"),PAJAK[[#This Row],[//]]-2+PAJAK[[#This Row],[QB]]-1))</f>
        <v/>
      </c>
      <c r="O80" s="195" t="e">
        <f ca="1">(PAJAK[[#This Row],[SUB T-DISC]]-PAJAK[[#This Row],[DISC DLL]])/111%</f>
        <v>#VALUE!</v>
      </c>
      <c r="P80" s="195" t="e">
        <f ca="1">PAJAK[[#This Row],[DPP]]*PAJAK[[#This Row],[PPN]]</f>
        <v>#VALUE!</v>
      </c>
      <c r="Q80" s="19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95" t="str">
        <f ca="1">IF(PAJAK[[#This Row],[//]]="","",SUMIF(NOTA[ID_H],PAJAK[[#This Row],[ID]],NOTA[JUMLAH]))</f>
        <v/>
      </c>
      <c r="L81" s="195" t="str">
        <f ca="1">IF(PAJAK[[#This Row],[//]]="","",SUMIF(NOTA[ID_H],PAJAK[[#This Row],[ID]],NOTA[DISC]))</f>
        <v/>
      </c>
      <c r="M81" s="195" t="e">
        <f ca="1">PAJAK[[#This Row],[SUB TOTAL]]-PAJAK[[#This Row],[DISKON]]</f>
        <v>#VALUE!</v>
      </c>
      <c r="N81" s="195" t="str">
        <f ca="1">IF(PAJAK[[#This Row],[//]]="","",INDEX(INDIRECT("NOTA["&amp;PAJAK[#Headers]&amp;"]"),PAJAK[[#This Row],[//]]-2+PAJAK[[#This Row],[QB]]-1))</f>
        <v/>
      </c>
      <c r="O81" s="195" t="e">
        <f ca="1">(PAJAK[[#This Row],[SUB T-DISC]]-PAJAK[[#This Row],[DISC DLL]])/111%</f>
        <v>#VALUE!</v>
      </c>
      <c r="P81" s="195" t="e">
        <f ca="1">PAJAK[[#This Row],[DPP]]*PAJAK[[#This Row],[PPN]]</f>
        <v>#VALUE!</v>
      </c>
      <c r="Q81" s="19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95" t="str">
        <f ca="1">IF(PAJAK[[#This Row],[//]]="","",SUMIF(NOTA[ID_H],PAJAK[[#This Row],[ID]],NOTA[JUMLAH]))</f>
        <v/>
      </c>
      <c r="L82" s="195" t="str">
        <f ca="1">IF(PAJAK[[#This Row],[//]]="","",SUMIF(NOTA[ID_H],PAJAK[[#This Row],[ID]],NOTA[DISC]))</f>
        <v/>
      </c>
      <c r="M82" s="195" t="e">
        <f ca="1">PAJAK[[#This Row],[SUB TOTAL]]-PAJAK[[#This Row],[DISKON]]</f>
        <v>#VALUE!</v>
      </c>
      <c r="N82" s="195" t="str">
        <f ca="1">IF(PAJAK[[#This Row],[//]]="","",INDEX(INDIRECT("NOTA["&amp;PAJAK[#Headers]&amp;"]"),PAJAK[[#This Row],[//]]-2+PAJAK[[#This Row],[QB]]-1))</f>
        <v/>
      </c>
      <c r="O82" s="195" t="e">
        <f ca="1">(PAJAK[[#This Row],[SUB T-DISC]]-PAJAK[[#This Row],[DISC DLL]])/111%</f>
        <v>#VALUE!</v>
      </c>
      <c r="P82" s="195" t="e">
        <f ca="1">PAJAK[[#This Row],[DPP]]*PAJAK[[#This Row],[PPN]]</f>
        <v>#VALUE!</v>
      </c>
      <c r="Q82" s="19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6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6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95" t="str">
        <f ca="1">IF(PAJAK[[#This Row],[//]]="","",SUMIF(NOTA[ID_H],PAJAK[[#This Row],[ID]],NOTA[JUMLAH]))</f>
        <v/>
      </c>
      <c r="L83" s="195" t="str">
        <f ca="1">IF(PAJAK[[#This Row],[//]]="","",SUMIF(NOTA[ID_H],PAJAK[[#This Row],[ID]],NOTA[DISC]))</f>
        <v/>
      </c>
      <c r="M83" s="195" t="e">
        <f ca="1">PAJAK[[#This Row],[SUB TOTAL]]-PAJAK[[#This Row],[DISKON]]</f>
        <v>#VALUE!</v>
      </c>
      <c r="N83" s="195" t="str">
        <f ca="1">IF(PAJAK[[#This Row],[//]]="","",INDEX(INDIRECT("NOTA["&amp;PAJAK[#Headers]&amp;"]"),PAJAK[[#This Row],[//]]-2+PAJAK[[#This Row],[QB]]-1))</f>
        <v/>
      </c>
      <c r="O83" s="195" t="e">
        <f ca="1">(PAJAK[[#This Row],[SUB T-DISC]]-PAJAK[[#This Row],[DISC DLL]])/111%</f>
        <v>#VALUE!</v>
      </c>
      <c r="P83" s="195" t="e">
        <f ca="1">PAJAK[[#This Row],[DPP]]*PAJAK[[#This Row],[PPN]]</f>
        <v>#VALUE!</v>
      </c>
      <c r="Q83" s="19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6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6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95" t="str">
        <f ca="1">IF(PAJAK[[#This Row],[//]]="","",SUMIF(NOTA[ID_H],PAJAK[[#This Row],[ID]],NOTA[JUMLAH]))</f>
        <v/>
      </c>
      <c r="L84" s="195" t="str">
        <f ca="1">IF(PAJAK[[#This Row],[//]]="","",SUMIF(NOTA[ID_H],PAJAK[[#This Row],[ID]],NOTA[DISC]))</f>
        <v/>
      </c>
      <c r="M84" s="195" t="e">
        <f ca="1">PAJAK[[#This Row],[SUB TOTAL]]-PAJAK[[#This Row],[DISKON]]</f>
        <v>#VALUE!</v>
      </c>
      <c r="N84" s="195" t="str">
        <f ca="1">IF(PAJAK[[#This Row],[//]]="","",INDEX(INDIRECT("NOTA["&amp;PAJAK[#Headers]&amp;"]"),PAJAK[[#This Row],[//]]-2+PAJAK[[#This Row],[QB]]-1))</f>
        <v/>
      </c>
      <c r="O84" s="195" t="e">
        <f ca="1">(PAJAK[[#This Row],[SUB T-DISC]]-PAJAK[[#This Row],[DISC DLL]])/111%</f>
        <v>#VALUE!</v>
      </c>
      <c r="P84" s="195" t="e">
        <f ca="1">PAJAK[[#This Row],[DPP]]*PAJAK[[#This Row],[PPN]]</f>
        <v>#VALUE!</v>
      </c>
      <c r="Q84" s="19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95" t="str">
        <f ca="1">IF(PAJAK[[#This Row],[//]]="","",SUMIF(NOTA[ID_H],PAJAK[[#This Row],[ID]],NOTA[JUMLAH]))</f>
        <v/>
      </c>
      <c r="L85" s="195" t="str">
        <f ca="1">IF(PAJAK[[#This Row],[//]]="","",SUMIF(NOTA[ID_H],PAJAK[[#This Row],[ID]],NOTA[DISC]))</f>
        <v/>
      </c>
      <c r="M85" s="195" t="e">
        <f ca="1">PAJAK[[#This Row],[SUB TOTAL]]-PAJAK[[#This Row],[DISKON]]</f>
        <v>#VALUE!</v>
      </c>
      <c r="N85" s="195" t="str">
        <f ca="1">IF(PAJAK[[#This Row],[//]]="","",INDEX(INDIRECT("NOTA["&amp;PAJAK[#Headers]&amp;"]"),PAJAK[[#This Row],[//]]-2+PAJAK[[#This Row],[QB]]-1))</f>
        <v/>
      </c>
      <c r="O85" s="195" t="e">
        <f ca="1">(PAJAK[[#This Row],[SUB T-DISC]]-PAJAK[[#This Row],[DISC DLL]])/111%</f>
        <v>#VALUE!</v>
      </c>
      <c r="P85" s="195" t="e">
        <f ca="1">PAJAK[[#This Row],[DPP]]*PAJAK[[#This Row],[PPN]]</f>
        <v>#VALUE!</v>
      </c>
      <c r="Q85" s="19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6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6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95" t="str">
        <f ca="1">IF(PAJAK[[#This Row],[//]]="","",SUMIF(NOTA[ID_H],PAJAK[[#This Row],[ID]],NOTA[JUMLAH]))</f>
        <v/>
      </c>
      <c r="L86" s="195" t="str">
        <f ca="1">IF(PAJAK[[#This Row],[//]]="","",SUMIF(NOTA[ID_H],PAJAK[[#This Row],[ID]],NOTA[DISC]))</f>
        <v/>
      </c>
      <c r="M86" s="195" t="e">
        <f ca="1">PAJAK[[#This Row],[SUB TOTAL]]-PAJAK[[#This Row],[DISKON]]</f>
        <v>#VALUE!</v>
      </c>
      <c r="N86" s="195" t="str">
        <f ca="1">IF(PAJAK[[#This Row],[//]]="","",INDEX(INDIRECT("NOTA["&amp;PAJAK[#Headers]&amp;"]"),PAJAK[[#This Row],[//]]-2+PAJAK[[#This Row],[QB]]-1))</f>
        <v/>
      </c>
      <c r="O86" s="195" t="e">
        <f ca="1">(PAJAK[[#This Row],[SUB T-DISC]]-PAJAK[[#This Row],[DISC DLL]])/111%</f>
        <v>#VALUE!</v>
      </c>
      <c r="P86" s="195" t="e">
        <f ca="1">PAJAK[[#This Row],[DPP]]*PAJAK[[#This Row],[PPN]]</f>
        <v>#VALUE!</v>
      </c>
      <c r="Q86" s="19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95" t="str">
        <f ca="1">IF(PAJAK[[#This Row],[//]]="","",SUMIF(NOTA[ID_H],PAJAK[[#This Row],[ID]],NOTA[JUMLAH]))</f>
        <v/>
      </c>
      <c r="L87" s="195" t="str">
        <f ca="1">IF(PAJAK[[#This Row],[//]]="","",SUMIF(NOTA[ID_H],PAJAK[[#This Row],[ID]],NOTA[DISC]))</f>
        <v/>
      </c>
      <c r="M87" s="195" t="e">
        <f ca="1">PAJAK[[#This Row],[SUB TOTAL]]-PAJAK[[#This Row],[DISKON]]</f>
        <v>#VALUE!</v>
      </c>
      <c r="N87" s="195" t="str">
        <f ca="1">IF(PAJAK[[#This Row],[//]]="","",INDEX(INDIRECT("NOTA["&amp;PAJAK[#Headers]&amp;"]"),PAJAK[[#This Row],[//]]-2+PAJAK[[#This Row],[QB]]-1))</f>
        <v/>
      </c>
      <c r="O87" s="195" t="e">
        <f ca="1">(PAJAK[[#This Row],[SUB T-DISC]]-PAJAK[[#This Row],[DISC DLL]])/111%</f>
        <v>#VALUE!</v>
      </c>
      <c r="P87" s="195" t="e">
        <f ca="1">PAJAK[[#This Row],[DPP]]*PAJAK[[#This Row],[PPN]]</f>
        <v>#VALUE!</v>
      </c>
      <c r="Q87" s="19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6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6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95" t="str">
        <f ca="1">IF(PAJAK[[#This Row],[//]]="","",SUMIF(NOTA[ID_H],PAJAK[[#This Row],[ID]],NOTA[JUMLAH]))</f>
        <v/>
      </c>
      <c r="L88" s="195" t="str">
        <f ca="1">IF(PAJAK[[#This Row],[//]]="","",SUMIF(NOTA[ID_H],PAJAK[[#This Row],[ID]],NOTA[DISC]))</f>
        <v/>
      </c>
      <c r="M88" s="195" t="e">
        <f ca="1">PAJAK[[#This Row],[SUB TOTAL]]-PAJAK[[#This Row],[DISKON]]</f>
        <v>#VALUE!</v>
      </c>
      <c r="N88" s="195" t="str">
        <f ca="1">IF(PAJAK[[#This Row],[//]]="","",INDEX(INDIRECT("NOTA["&amp;PAJAK[#Headers]&amp;"]"),PAJAK[[#This Row],[//]]-2+PAJAK[[#This Row],[QB]]-1))</f>
        <v/>
      </c>
      <c r="O88" s="195" t="e">
        <f ca="1">(PAJAK[[#This Row],[SUB T-DISC]]-PAJAK[[#This Row],[DISC DLL]])/111%</f>
        <v>#VALUE!</v>
      </c>
      <c r="P88" s="195" t="e">
        <f ca="1">PAJAK[[#This Row],[DPP]]*PAJAK[[#This Row],[PPN]]</f>
        <v>#VALUE!</v>
      </c>
      <c r="Q88" s="19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6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95" t="str">
        <f ca="1">IF(PAJAK[[#This Row],[//]]="","",SUMIF(NOTA[ID_H],PAJAK[[#This Row],[ID]],NOTA[JUMLAH]))</f>
        <v/>
      </c>
      <c r="L89" s="195" t="str">
        <f ca="1">IF(PAJAK[[#This Row],[//]]="","",SUMIF(NOTA[ID_H],PAJAK[[#This Row],[ID]],NOTA[DISC]))</f>
        <v/>
      </c>
      <c r="M89" s="195" t="e">
        <f ca="1">PAJAK[[#This Row],[SUB TOTAL]]-PAJAK[[#This Row],[DISKON]]</f>
        <v>#VALUE!</v>
      </c>
      <c r="N89" s="195" t="str">
        <f ca="1">IF(PAJAK[[#This Row],[//]]="","",INDEX(INDIRECT("NOTA["&amp;PAJAK[#Headers]&amp;"]"),PAJAK[[#This Row],[//]]-2+PAJAK[[#This Row],[QB]]-1))</f>
        <v/>
      </c>
      <c r="O89" s="195" t="e">
        <f ca="1">(PAJAK[[#This Row],[SUB T-DISC]]-PAJAK[[#This Row],[DISC DLL]])/111%</f>
        <v>#VALUE!</v>
      </c>
      <c r="P89" s="195" t="e">
        <f ca="1">PAJAK[[#This Row],[DPP]]*PAJAK[[#This Row],[PPN]]</f>
        <v>#VALUE!</v>
      </c>
      <c r="Q89" s="19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95" t="str">
        <f ca="1">IF(PAJAK[[#This Row],[//]]="","",SUMIF(NOTA[ID_H],PAJAK[[#This Row],[ID]],NOTA[JUMLAH]))</f>
        <v/>
      </c>
      <c r="L90" s="195" t="str">
        <f ca="1">IF(PAJAK[[#This Row],[//]]="","",SUMIF(NOTA[ID_H],PAJAK[[#This Row],[ID]],NOTA[DISC]))</f>
        <v/>
      </c>
      <c r="M90" s="195" t="e">
        <f ca="1">PAJAK[[#This Row],[SUB TOTAL]]-PAJAK[[#This Row],[DISKON]]</f>
        <v>#VALUE!</v>
      </c>
      <c r="N90" s="195" t="str">
        <f ca="1">IF(PAJAK[[#This Row],[//]]="","",INDEX(INDIRECT("NOTA["&amp;PAJAK[#Headers]&amp;"]"),PAJAK[[#This Row],[//]]-2+PAJAK[[#This Row],[QB]]-1))</f>
        <v/>
      </c>
      <c r="O90" s="195" t="e">
        <f ca="1">(PAJAK[[#This Row],[SUB T-DISC]]-PAJAK[[#This Row],[DISC DLL]])/111%</f>
        <v>#VALUE!</v>
      </c>
      <c r="P90" s="195" t="e">
        <f ca="1">PAJAK[[#This Row],[DPP]]*PAJAK[[#This Row],[PPN]]</f>
        <v>#VALUE!</v>
      </c>
      <c r="Q90" s="19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95" t="str">
        <f ca="1">IF(PAJAK[[#This Row],[//]]="","",SUMIF(NOTA[ID_H],PAJAK[[#This Row],[ID]],NOTA[JUMLAH]))</f>
        <v/>
      </c>
      <c r="L91" s="195" t="str">
        <f ca="1">IF(PAJAK[[#This Row],[//]]="","",SUMIF(NOTA[ID_H],PAJAK[[#This Row],[ID]],NOTA[DISC]))</f>
        <v/>
      </c>
      <c r="M91" s="195" t="e">
        <f ca="1">PAJAK[[#This Row],[SUB TOTAL]]-PAJAK[[#This Row],[DISKON]]</f>
        <v>#VALUE!</v>
      </c>
      <c r="N91" s="195" t="str">
        <f ca="1">IF(PAJAK[[#This Row],[//]]="","",INDEX(INDIRECT("NOTA["&amp;PAJAK[#Headers]&amp;"]"),PAJAK[[#This Row],[//]]-2+PAJAK[[#This Row],[QB]]-1))</f>
        <v/>
      </c>
      <c r="O91" s="195" t="e">
        <f ca="1">(PAJAK[[#This Row],[SUB T-DISC]]-PAJAK[[#This Row],[DISC DLL]])/111%</f>
        <v>#VALUE!</v>
      </c>
      <c r="P91" s="195" t="e">
        <f ca="1">PAJAK[[#This Row],[DPP]]*PAJAK[[#This Row],[PPN]]</f>
        <v>#VALUE!</v>
      </c>
      <c r="Q91" s="19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6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6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95" t="str">
        <f ca="1">IF(PAJAK[[#This Row],[//]]="","",SUMIF(NOTA[ID_H],PAJAK[[#This Row],[ID]],NOTA[JUMLAH]))</f>
        <v/>
      </c>
      <c r="L92" s="195" t="str">
        <f ca="1">IF(PAJAK[[#This Row],[//]]="","",SUMIF(NOTA[ID_H],PAJAK[[#This Row],[ID]],NOTA[DISC]))</f>
        <v/>
      </c>
      <c r="M92" s="195" t="e">
        <f ca="1">PAJAK[[#This Row],[SUB TOTAL]]-PAJAK[[#This Row],[DISKON]]</f>
        <v>#VALUE!</v>
      </c>
      <c r="N92" s="195" t="str">
        <f ca="1">IF(PAJAK[[#This Row],[//]]="","",INDEX(INDIRECT("NOTA["&amp;PAJAK[#Headers]&amp;"]"),PAJAK[[#This Row],[//]]-2+PAJAK[[#This Row],[QB]]-1))</f>
        <v/>
      </c>
      <c r="O92" s="195" t="e">
        <f ca="1">(PAJAK[[#This Row],[SUB T-DISC]]-PAJAK[[#This Row],[DISC DLL]])/111%</f>
        <v>#VALUE!</v>
      </c>
      <c r="P92" s="195" t="e">
        <f ca="1">PAJAK[[#This Row],[DPP]]*PAJAK[[#This Row],[PPN]]</f>
        <v>#VALUE!</v>
      </c>
      <c r="Q92" s="19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6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6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95" t="str">
        <f ca="1">IF(PAJAK[[#This Row],[//]]="","",SUMIF(NOTA[ID_H],PAJAK[[#This Row],[ID]],NOTA[JUMLAH]))</f>
        <v/>
      </c>
      <c r="L93" s="195" t="str">
        <f ca="1">IF(PAJAK[[#This Row],[//]]="","",SUMIF(NOTA[ID_H],PAJAK[[#This Row],[ID]],NOTA[DISC]))</f>
        <v/>
      </c>
      <c r="M93" s="195" t="e">
        <f ca="1">PAJAK[[#This Row],[SUB TOTAL]]-PAJAK[[#This Row],[DISKON]]</f>
        <v>#VALUE!</v>
      </c>
      <c r="N93" s="195" t="str">
        <f ca="1">IF(PAJAK[[#This Row],[//]]="","",INDEX(INDIRECT("NOTA["&amp;PAJAK[#Headers]&amp;"]"),PAJAK[[#This Row],[//]]-2+PAJAK[[#This Row],[QB]]-1))</f>
        <v/>
      </c>
      <c r="O93" s="195" t="e">
        <f ca="1">(PAJAK[[#This Row],[SUB T-DISC]]-PAJAK[[#This Row],[DISC DLL]])/111%</f>
        <v>#VALUE!</v>
      </c>
      <c r="P93" s="195" t="e">
        <f ca="1">PAJAK[[#This Row],[DPP]]*PAJAK[[#This Row],[PPN]]</f>
        <v>#VALUE!</v>
      </c>
      <c r="Q93" s="19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A24" sqref="A2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28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29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8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31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9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10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171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41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178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42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189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199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210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214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47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226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48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234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49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239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50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56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304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57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356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68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367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69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71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0</v>
      </c>
      <c r="G20" s="9">
        <f ca="1">IF(KENKO[[#This Row],[//PAJAK]]="","",INDEX(INDIRECT("PAJAK["&amp;KENKO[#Headers]&amp;"]"),KENKO[[#This Row],[//PAJAK]]-1))</f>
        <v>0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27621600</v>
      </c>
      <c r="J20" s="1">
        <f ca="1">IF(KENKO[[#This Row],[//PAJAK]]="","",INDEX(INDIRECT("PAJAK["&amp;KENKO[#Headers]&amp;"]"),KENKO[[#This Row],[//PAJAK]]-1))</f>
        <v>4695672</v>
      </c>
      <c r="K20" s="1">
        <f ca="1">(KENKO[[#This Row],[SUB TOTAL]]-KENKO[[#This Row],[DISKON]])/1.11</f>
        <v>20653989.189189188</v>
      </c>
      <c r="L20" s="1">
        <f ca="1">KENKO[[#This Row],[DPP]]*11%</f>
        <v>2271938.8108108109</v>
      </c>
      <c r="M20" s="1">
        <f ca="1">KENKO[[#This Row],[DPP]]+KENKO[[#This Row],[PPN (11%)]]</f>
        <v>22925928</v>
      </c>
      <c r="N20" s="1" t="str">
        <f ca="1">INDEX(PAJAK[ID_P],MATCH(KENKO[[#This Row],[ID]],PAJAK[ID],0))</f>
        <v>KEN_1201_-4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377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72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44938</v>
      </c>
      <c r="F21" s="2">
        <f ca="1">IF(KENKO[[#This Row],[//PAJAK]]="","",INDEX(INDIRECT("PAJAK["&amp;KENKO[#Headers]&amp;"]"),KENKO[[#This Row],[//PAJAK]]-1))</f>
        <v>44938</v>
      </c>
      <c r="G21" s="9" t="str">
        <f ca="1">IF(KENKO[[#This Row],[//PAJAK]]="","",INDEX(INDIRECT("PAJAK["&amp;KENKO[#Headers]&amp;"]"),KENKO[[#This Row],[//PAJAK]]-1))</f>
        <v>23010775</v>
      </c>
      <c r="H21" s="3" t="str">
        <f ca="1">IF(KENKO[[#This Row],[//PAJAK]]="","",INDEX(INDIRECT("PAJAK["&amp;KENKO[#Headers]&amp;"]"),KENKO[[#This Row],[//PAJAK]]-1))</f>
        <v>SA 39467</v>
      </c>
      <c r="I21" s="1">
        <f ca="1">IF(KENKO[[#This Row],[//PAJAK]]="","",INDEX(INDIRECT("PAJAK["&amp;KENKO[#Headers]&amp;"]"),KENKO[[#This Row],[//PAJAK]]-1))</f>
        <v>30225600</v>
      </c>
      <c r="J21" s="1">
        <f ca="1">IF(KENKO[[#This Row],[//PAJAK]]="","",INDEX(INDIRECT("PAJAK["&amp;KENKO[#Headers]&amp;"]"),KENKO[[#This Row],[//PAJAK]]-1))</f>
        <v>5138352</v>
      </c>
      <c r="K21" s="1">
        <f ca="1">(KENKO[[#This Row],[SUB TOTAL]]-KENKO[[#This Row],[DISKON]])/1.11</f>
        <v>22601124.324324321</v>
      </c>
      <c r="L21" s="1">
        <f ca="1">KENKO[[#This Row],[DPP]]*11%</f>
        <v>2486123.6756756753</v>
      </c>
      <c r="M21" s="1">
        <f ca="1">KENKO[[#This Row],[DPP]]+KENKO[[#This Row],[PPN (11%)]]</f>
        <v>25087247.999999996</v>
      </c>
      <c r="N21" s="1" t="str">
        <f ca="1">INDEX(PAJAK[ID_P],MATCH(KENKO[[#This Row],[ID]],PAJAK[ID],0))</f>
        <v>KEN_1201_775-4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23010870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KEN_1601_870-4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0</v>
      </c>
      <c r="G27" s="9">
        <f ca="1">IF(KENKO[[#This Row],[//PAJAK]]="","",INDEX(INDIRECT("PAJAK["&amp;KENKO[#Headers]&amp;"]"),KENKO[[#This Row],[//PAJAK]]-1))</f>
        <v>0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60450000</v>
      </c>
      <c r="J27" s="1">
        <f ca="1">IF(KENKO[[#This Row],[//PAJAK]]="","",INDEX(INDIRECT("PAJAK["&amp;KENKO[#Headers]&amp;"]"),KENKO[[#This Row],[//PAJAK]]-1))</f>
        <v>10276500</v>
      </c>
      <c r="K27" s="1">
        <f ca="1">(KENKO[[#This Row],[SUB TOTAL]]-KENKO[[#This Row],[DISKON]])/1.11</f>
        <v>45201351.351351351</v>
      </c>
      <c r="L27" s="1">
        <f ca="1">KENKO[[#This Row],[DPP]]*11%</f>
        <v>4972148.6486486485</v>
      </c>
      <c r="M27" s="1">
        <f ca="1">KENKO[[#This Row],[DPP]]+KENKO[[#This Row],[PPN (11%)]]</f>
        <v>50173500</v>
      </c>
      <c r="N27" s="1" t="str">
        <f ca="1">INDEX(PAJAK[ID_P],MATCH(KENKO[[#This Row],[ID]],PAJAK[ID],0))</f>
        <v>KEN_2801_-6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0</v>
      </c>
      <c r="G28" s="9">
        <f ca="1">IF(KENKO[[#This Row],[//PAJAK]]="","",INDEX(INDIRECT("PAJAK["&amp;KENKO[#Headers]&amp;"]"),KENKO[[#This Row],[//PAJAK]]-1))</f>
        <v>0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52695400</v>
      </c>
      <c r="J28" s="1">
        <f ca="1">IF(KENKO[[#This Row],[//PAJAK]]="","",INDEX(INDIRECT("PAJAK["&amp;KENKO[#Headers]&amp;"]"),KENKO[[#This Row],[//PAJAK]]-1))</f>
        <v>8958218</v>
      </c>
      <c r="K28" s="1">
        <f ca="1">(KENKO[[#This Row],[SUB TOTAL]]-KENKO[[#This Row],[DISKON]])/1.11</f>
        <v>39402866.666666664</v>
      </c>
      <c r="L28" s="1">
        <f ca="1">KENKO[[#This Row],[DPP]]*11%</f>
        <v>4334315.333333333</v>
      </c>
      <c r="M28" s="1">
        <f ca="1">KENKO[[#This Row],[DPP]]+KENKO[[#This Row],[PPN (11%)]]</f>
        <v>43737182</v>
      </c>
      <c r="N28" s="1" t="str">
        <f ca="1">INDEX(PAJAK[ID_P],MATCH(KENKO[[#This Row],[ID]],PAJAK[ID],0))</f>
        <v>KEN_2801_-10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795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152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44954</v>
      </c>
      <c r="F29" s="2">
        <f ca="1">IF(KENKO[[#This Row],[//PAJAK]]="","",INDEX(INDIRECT("PAJAK["&amp;KENKO[#Headers]&amp;"]"),KENKO[[#This Row],[//PAJAK]]-1))</f>
        <v>44952</v>
      </c>
      <c r="G29" s="9" t="str">
        <f ca="1">IF(KENKO[[#This Row],[//PAJAK]]="","",INDEX(INDIRECT("PAJAK["&amp;KENKO[#Headers]&amp;"]"),KENKO[[#This Row],[//PAJAK]]-1))</f>
        <v>23011764</v>
      </c>
      <c r="H29" s="3" t="str">
        <f ca="1">IF(KENKO[[#This Row],[//PAJAK]]="","",INDEX(INDIRECT("PAJAK["&amp;KENKO[#Headers]&amp;"]"),KENKO[[#This Row],[//PAJAK]]-1))</f>
        <v>SA 39678</v>
      </c>
      <c r="I29" s="1">
        <f ca="1">IF(KENKO[[#This Row],[//PAJAK]]="","",INDEX(INDIRECT("PAJAK["&amp;KENKO[#Headers]&amp;"]"),KENKO[[#This Row],[//PAJAK]]-1))</f>
        <v>58380000</v>
      </c>
      <c r="J29" s="1">
        <f ca="1">IF(KENKO[[#This Row],[//PAJAK]]="","",INDEX(INDIRECT("PAJAK["&amp;KENKO[#Headers]&amp;"]"),KENKO[[#This Row],[//PAJAK]]-1))</f>
        <v>9924600.0000000019</v>
      </c>
      <c r="K29" s="1">
        <f ca="1">(KENKO[[#This Row],[SUB TOTAL]]-KENKO[[#This Row],[DISKON]])/1.11</f>
        <v>43653513.513513513</v>
      </c>
      <c r="L29" s="1">
        <f ca="1">KENKO[[#This Row],[DPP]]*11%</f>
        <v>4801886.4864864862</v>
      </c>
      <c r="M29" s="1">
        <f ca="1">KENKO[[#This Row],[DPP]]+KENKO[[#This Row],[PPN (11%)]]</f>
        <v>48455400</v>
      </c>
      <c r="N29" s="1" t="str">
        <f ca="1">INDEX(PAJAK[ID_P],MATCH(KENKO[[#This Row],[ID]],PAJAK[ID],0))</f>
        <v>KEN_2801_764-6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802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68</v>
      </c>
      <c r="C30" s="7">
        <f ca="1">HYPERLINK("[NOTA_.xlsx]PAJAK!b"&amp;KENKO[[#This Row],[//PAJAK]],IF(KENKO[[#This Row],[//PAJAK]]="","",INDEX(INDIRECT("PAJAK["&amp;KENKO[#Headers]&amp;"]"),KENKO[[#This Row],[//PAJAK]]-1)))</f>
        <v>153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44954</v>
      </c>
      <c r="F30" s="2">
        <f ca="1">IF(KENKO[[#This Row],[//PAJAK]]="","",INDEX(INDIRECT("PAJAK["&amp;KENKO[#Headers]&amp;"]"),KENKO[[#This Row],[//PAJAK]]-1))</f>
        <v>44952</v>
      </c>
      <c r="G30" s="9" t="str">
        <f ca="1">IF(KENKO[[#This Row],[//PAJAK]]="","",INDEX(INDIRECT("PAJAK["&amp;KENKO[#Headers]&amp;"]"),KENKO[[#This Row],[//PAJAK]]-1))</f>
        <v>23011733</v>
      </c>
      <c r="H30" s="3" t="str">
        <f ca="1">IF(KENKO[[#This Row],[//PAJAK]]="","",INDEX(INDIRECT("PAJAK["&amp;KENKO[#Headers]&amp;"]"),KENKO[[#This Row],[//PAJAK]]-1))</f>
        <v>SA 39622</v>
      </c>
      <c r="I30" s="1">
        <f ca="1">IF(KENKO[[#This Row],[//PAJAK]]="","",INDEX(INDIRECT("PAJAK["&amp;KENKO[#Headers]&amp;"]"),KENKO[[#This Row],[//PAJAK]]-1))</f>
        <v>31450400</v>
      </c>
      <c r="J30" s="1">
        <f ca="1">IF(KENKO[[#This Row],[//PAJAK]]="","",INDEX(INDIRECT("PAJAK["&amp;KENKO[#Headers]&amp;"]"),KENKO[[#This Row],[//PAJAK]]-1))</f>
        <v>5346568</v>
      </c>
      <c r="K30" s="1">
        <f ca="1">(KENKO[[#This Row],[SUB TOTAL]]-KENKO[[#This Row],[DISKON]])/1.11</f>
        <v>23516965.765765764</v>
      </c>
      <c r="L30" s="1">
        <f ca="1">KENKO[[#This Row],[DPP]]*11%</f>
        <v>2586866.2342342339</v>
      </c>
      <c r="M30" s="1">
        <f ca="1">KENKO[[#This Row],[DPP]]+KENKO[[#This Row],[PPN (11%)]]</f>
        <v>26103831.999999996</v>
      </c>
      <c r="N30" s="1" t="str">
        <f ca="1">INDEX(PAJAK[ID_P],MATCH(KENKO[[#This Row],[ID]],PAJAK[ID],0))</f>
        <v>KEN_2801_733-10</v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29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23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51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259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52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53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286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55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64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65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382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73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746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62</v>
      </c>
      <c r="C29" s="12">
        <f ca="1">HYPERLINK("[NOTA_.xlsx]PAJAK!b"&amp;ATALI[[#This Row],[//PAJAK]],IF(ATALI[[#This Row],[//PAJAK]]="","",INDEX(INDIRECT("PAJAK["&amp;ATALI[#Headers]&amp;"]"),ATALI[[#This Row],[//PAJAK]]-1)))</f>
        <v>144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0</v>
      </c>
      <c r="G29" s="7">
        <f ca="1">IF(ATALI[[#This Row],[//PAJAK]]="","",INDEX(INDIRECT("PAJAK["&amp;ATALI[#Headers]&amp;"]"),ATALI[[#This Row],[//PAJAK]]-1))</f>
        <v>0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11808843.9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10638598.108108107</v>
      </c>
      <c r="L29" s="1">
        <f ca="1">ATALI[[#This Row],[DPP]]*11%</f>
        <v>1170245.7918918917</v>
      </c>
      <c r="M29" s="1">
        <f ca="1">ATALI[[#This Row],[DPP]]+ATALI[[#This Row],[PPN (11%)]]</f>
        <v>11808843.899999999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0</v>
      </c>
      <c r="G30" s="7">
        <f ca="1">IF(ATALI[[#This Row],[//PAJAK]]="","",INDEX(INDIRECT("PAJAK["&amp;ATALI[#Headers]&amp;"]"),ATALI[[#This Row],[//PAJAK]]-1))</f>
        <v>0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26034750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23454729.729729727</v>
      </c>
      <c r="L30" s="1">
        <f ca="1">ATALI[[#This Row],[DPP]]*11%</f>
        <v>2580020.2702702698</v>
      </c>
      <c r="M30" s="1">
        <f ca="1">ATALI[[#This Row],[DPP]]+ATALI[[#This Row],[PPN (11%)]]</f>
        <v>26034749.999999996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793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151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44954</v>
      </c>
      <c r="F31" s="2">
        <f ca="1">IF(ATALI[[#This Row],[//PAJAK]]="","",INDEX(INDIRECT("PAJAK["&amp;ATALI[#Headers]&amp;"]"),ATALI[[#This Row],[//PAJAK]]-1))</f>
        <v>44951</v>
      </c>
      <c r="G31" s="7" t="str">
        <f ca="1">IF(ATALI[[#This Row],[//PAJAK]]="","",INDEX(INDIRECT("PAJAK["&amp;ATALI[#Headers]&amp;"]"),ATALI[[#This Row],[//PAJAK]]-1))</f>
        <v>SA230101441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20827800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18763783.783783782</v>
      </c>
      <c r="L31" s="1">
        <f ca="1">ATALI[[#This Row],[DPP]]*11%</f>
        <v>2064016.2162162161</v>
      </c>
      <c r="M31" s="1">
        <f ca="1">ATALI[[#This Row],[DPP]]+ATALI[[#This Row],[PPN (11%)]]</f>
        <v>20827800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282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54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342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66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354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67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384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74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98" bestFit="1" customWidth="1"/>
    <col min="9" max="9" width="14" style="198" bestFit="1" customWidth="1"/>
    <col min="10" max="10" width="15.28515625" style="198" bestFit="1" customWidth="1"/>
    <col min="11" max="11" width="16.28515625" style="198" bestFit="1" customWidth="1"/>
    <col min="12" max="12" width="15.28515625" style="19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98">
        <f ca="1">(400881.99*(100/11))*1.11+I3</f>
        <v>4157976.5572727276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99" t="s">
        <v>39</v>
      </c>
      <c r="I2" s="199" t="s">
        <v>40</v>
      </c>
      <c r="J2" s="199" t="s">
        <v>42</v>
      </c>
      <c r="K2" s="199" t="s">
        <v>45</v>
      </c>
      <c r="L2" s="199" t="s">
        <v>22</v>
      </c>
      <c r="M2" s="11" t="s">
        <v>853</v>
      </c>
      <c r="N2" s="11" t="s">
        <v>854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97">
        <f ca="1">IF(SDI[[#This Row],[//PAJAK]]="","",(INDEX(INDIRECT("PAJAK["&amp;SDI[#Headers]&amp;"]"),SDI[[#This Row],[//PAJAK]]-1))-SDI[[#This Row],[H_DISKON]])</f>
        <v>3757099.5</v>
      </c>
      <c r="I3" s="197">
        <f ca="1">IF(SDI[[#This Row],[//PAJAK]]="","",SDI[[#This Row],[H_DISC DLL]])</f>
        <v>112712.84</v>
      </c>
      <c r="J3" s="197">
        <f ca="1">(SDI[[#This Row],[SUB TOTAL]])/1.11</f>
        <v>3384774.3243243238</v>
      </c>
      <c r="K3" s="197">
        <f ca="1">SDI[[#This Row],[DPP]]*11%</f>
        <v>372325.17567567562</v>
      </c>
      <c r="L3" s="197">
        <f ca="1">SDI[[#This Row],[DPP]]+SDI[[#This Row],[PPN (11%)]]</f>
        <v>3757099.4999999995</v>
      </c>
      <c r="M3" s="197">
        <f ca="1">IF(SDI[[#This Row],[//PAJAK]]="","",INDEX(PAJAK[DISKON],SDI[[#This Row],[//PAJAK]]-1))</f>
        <v>796960.5</v>
      </c>
      <c r="N3" s="19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98" t="str">
        <f ca="1">IF(SDI[[#This Row],[//PAJAK]]="","",(INDEX(INDIRECT("PAJAK["&amp;SDI[#Headers]&amp;"]"),SDI[[#This Row],[//PAJAK]]-1))-SDI[[#This Row],[H_DISKON]])</f>
        <v/>
      </c>
      <c r="I4" s="198" t="str">
        <f ca="1">IF(SDI[[#This Row],[//PAJAK]]="","",SDI[[#This Row],[H_DISC DLL]])</f>
        <v/>
      </c>
      <c r="J4" s="198" t="e">
        <f ca="1">(SDI[[#This Row],[SUB TOTAL]])/1.11</f>
        <v>#VALUE!</v>
      </c>
      <c r="K4" s="198" t="e">
        <f ca="1">SDI[[#This Row],[DPP]]*11%</f>
        <v>#VALUE!</v>
      </c>
      <c r="L4" s="198" t="e">
        <f ca="1">SDI[[#This Row],[DPP]]+SDI[[#This Row],[PPN (11%)]]</f>
        <v>#VALUE!</v>
      </c>
      <c r="M4" s="198" t="str">
        <f ca="1">IF(SDI[[#This Row],[//PAJAK]]="","",INDEX(PAJAK[DISKON],SDI[[#This Row],[//PAJAK]]-1))</f>
        <v/>
      </c>
      <c r="N4" s="19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98" t="str">
        <f ca="1">IF(SDI[[#This Row],[//PAJAK]]="","",(INDEX(INDIRECT("PAJAK["&amp;SDI[#Headers]&amp;"]"),SDI[[#This Row],[//PAJAK]]-1))-SDI[[#This Row],[H_DISKON]])</f>
        <v/>
      </c>
      <c r="I5" s="198" t="str">
        <f ca="1">IF(SDI[[#This Row],[//PAJAK]]="","",SDI[[#This Row],[H_DISC DLL]])</f>
        <v/>
      </c>
      <c r="J5" s="198" t="e">
        <f ca="1">(SDI[[#This Row],[SUB TOTAL]])/1.11</f>
        <v>#VALUE!</v>
      </c>
      <c r="K5" s="198" t="e">
        <f ca="1">SDI[[#This Row],[DPP]]*11%</f>
        <v>#VALUE!</v>
      </c>
      <c r="L5" s="198" t="e">
        <f ca="1">SDI[[#This Row],[DPP]]+SDI[[#This Row],[PPN (11%)]]</f>
        <v>#VALUE!</v>
      </c>
      <c r="M5" s="198" t="str">
        <f ca="1">IF(SDI[[#This Row],[//PAJAK]]="","",INDEX(PAJAK[DISKON],SDI[[#This Row],[//PAJAK]]-1))</f>
        <v/>
      </c>
      <c r="N5" s="19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98" t="str">
        <f ca="1">IF(SDI[[#This Row],[//PAJAK]]="","",(INDEX(INDIRECT("PAJAK["&amp;SDI[#Headers]&amp;"]"),SDI[[#This Row],[//PAJAK]]-1))-SDI[[#This Row],[H_DISKON]])</f>
        <v/>
      </c>
      <c r="I6" s="198" t="str">
        <f ca="1">IF(SDI[[#This Row],[//PAJAK]]="","",SDI[[#This Row],[H_DISC DLL]])</f>
        <v/>
      </c>
      <c r="J6" s="198" t="e">
        <f ca="1">(SDI[[#This Row],[SUB TOTAL]])/1.11</f>
        <v>#VALUE!</v>
      </c>
      <c r="K6" s="198" t="e">
        <f ca="1">SDI[[#This Row],[DPP]]*11%</f>
        <v>#VALUE!</v>
      </c>
      <c r="L6" s="198" t="e">
        <f ca="1">SDI[[#This Row],[DPP]]+SDI[[#This Row],[PPN (11%)]]</f>
        <v>#VALUE!</v>
      </c>
      <c r="M6" s="198" t="str">
        <f ca="1">IF(SDI[[#This Row],[//PAJAK]]="","",INDEX(PAJAK[DISKON],SDI[[#This Row],[//PAJAK]]-1))</f>
        <v/>
      </c>
      <c r="N6" s="19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98" t="str">
        <f ca="1">IF(SDI[[#This Row],[//PAJAK]]="","",(INDEX(INDIRECT("PAJAK["&amp;SDI[#Headers]&amp;"]"),SDI[[#This Row],[//PAJAK]]-1))-SDI[[#This Row],[H_DISKON]])</f>
        <v/>
      </c>
      <c r="I7" s="198" t="str">
        <f ca="1">IF(SDI[[#This Row],[//PAJAK]]="","",SDI[[#This Row],[H_DISC DLL]])</f>
        <v/>
      </c>
      <c r="J7" s="198" t="e">
        <f ca="1">(SDI[[#This Row],[SUB TOTAL]])/1.11</f>
        <v>#VALUE!</v>
      </c>
      <c r="K7" s="198" t="e">
        <f ca="1">SDI[[#This Row],[DPP]]*11%</f>
        <v>#VALUE!</v>
      </c>
      <c r="L7" s="198" t="e">
        <f ca="1">SDI[[#This Row],[DPP]]+SDI[[#This Row],[PPN (11%)]]</f>
        <v>#VALUE!</v>
      </c>
      <c r="M7" s="198" t="str">
        <f ca="1">IF(SDI[[#This Row],[//PAJAK]]="","",INDEX(PAJAK[DISKON],SDI[[#This Row],[//PAJAK]]-1))</f>
        <v/>
      </c>
      <c r="N7" s="19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98" t="str">
        <f ca="1">IF(SDI[[#This Row],[//PAJAK]]="","",(INDEX(INDIRECT("PAJAK["&amp;SDI[#Headers]&amp;"]"),SDI[[#This Row],[//PAJAK]]-1))-SDI[[#This Row],[H_DISKON]])</f>
        <v/>
      </c>
      <c r="I8" s="198" t="str">
        <f ca="1">IF(SDI[[#This Row],[//PAJAK]]="","",SDI[[#This Row],[H_DISC DLL]])</f>
        <v/>
      </c>
      <c r="J8" s="198" t="e">
        <f ca="1">(SDI[[#This Row],[SUB TOTAL]])/1.11</f>
        <v>#VALUE!</v>
      </c>
      <c r="K8" s="198" t="e">
        <f ca="1">SDI[[#This Row],[DPP]]*11%</f>
        <v>#VALUE!</v>
      </c>
      <c r="L8" s="198" t="e">
        <f ca="1">SDI[[#This Row],[DPP]]+SDI[[#This Row],[PPN (11%)]]</f>
        <v>#VALUE!</v>
      </c>
      <c r="M8" s="198" t="str">
        <f ca="1">IF(SDI[[#This Row],[//PAJAK]]="","",INDEX(PAJAK[DISKON],SDI[[#This Row],[//PAJAK]]-1))</f>
        <v/>
      </c>
      <c r="N8" s="19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98" t="str">
        <f ca="1">IF(SDI[[#This Row],[//PAJAK]]="","",(INDEX(INDIRECT("PAJAK["&amp;SDI[#Headers]&amp;"]"),SDI[[#This Row],[//PAJAK]]-1))-SDI[[#This Row],[H_DISKON]])</f>
        <v/>
      </c>
      <c r="I9" s="198" t="str">
        <f ca="1">IF(SDI[[#This Row],[//PAJAK]]="","",SDI[[#This Row],[H_DISC DLL]])</f>
        <v/>
      </c>
      <c r="J9" s="198" t="e">
        <f ca="1">(SDI[[#This Row],[SUB TOTAL]])/1.11</f>
        <v>#VALUE!</v>
      </c>
      <c r="K9" s="198" t="e">
        <f ca="1">SDI[[#This Row],[DPP]]*11%</f>
        <v>#VALUE!</v>
      </c>
      <c r="L9" s="198" t="e">
        <f ca="1">SDI[[#This Row],[DPP]]+SDI[[#This Row],[PPN (11%)]]</f>
        <v>#VALUE!</v>
      </c>
      <c r="M9" s="198" t="str">
        <f ca="1">IF(SDI[[#This Row],[//PAJAK]]="","",INDEX(PAJAK[DISKON],SDI[[#This Row],[//PAJAK]]-1))</f>
        <v/>
      </c>
      <c r="N9" s="19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98" t="str">
        <f ca="1">IF(SDI[[#This Row],[//PAJAK]]="","",(INDEX(INDIRECT("PAJAK["&amp;SDI[#Headers]&amp;"]"),SDI[[#This Row],[//PAJAK]]-1))-SDI[[#This Row],[H_DISKON]])</f>
        <v/>
      </c>
      <c r="I10" s="198" t="str">
        <f ca="1">IF(SDI[[#This Row],[//PAJAK]]="","",SDI[[#This Row],[H_DISC DLL]])</f>
        <v/>
      </c>
      <c r="J10" s="198" t="e">
        <f ca="1">(SDI[[#This Row],[SUB TOTAL]])/1.11</f>
        <v>#VALUE!</v>
      </c>
      <c r="K10" s="198" t="e">
        <f ca="1">SDI[[#This Row],[DPP]]*11%</f>
        <v>#VALUE!</v>
      </c>
      <c r="L10" s="198" t="e">
        <f ca="1">SDI[[#This Row],[DPP]]+SDI[[#This Row],[PPN (11%)]]</f>
        <v>#VALUE!</v>
      </c>
      <c r="M10" s="198" t="str">
        <f ca="1">IF(SDI[[#This Row],[//PAJAK]]="","",INDEX(PAJAK[DISKON],SDI[[#This Row],[//PAJAK]]-1))</f>
        <v/>
      </c>
      <c r="N10" s="19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98" t="str">
        <f ca="1">IF(SDI[[#This Row],[//PAJAK]]="","",(INDEX(INDIRECT("PAJAK["&amp;SDI[#Headers]&amp;"]"),SDI[[#This Row],[//PAJAK]]-1))-SDI[[#This Row],[H_DISKON]])</f>
        <v/>
      </c>
      <c r="I11" s="198" t="str">
        <f ca="1">IF(SDI[[#This Row],[//PAJAK]]="","",SDI[[#This Row],[H_DISC DLL]])</f>
        <v/>
      </c>
      <c r="J11" s="198" t="e">
        <f ca="1">(SDI[[#This Row],[SUB TOTAL]])/1.11</f>
        <v>#VALUE!</v>
      </c>
      <c r="K11" s="198" t="e">
        <f ca="1">SDI[[#This Row],[DPP]]*11%</f>
        <v>#VALUE!</v>
      </c>
      <c r="L11" s="198" t="e">
        <f ca="1">SDI[[#This Row],[DPP]]+SDI[[#This Row],[PPN (11%)]]</f>
        <v>#VALUE!</v>
      </c>
      <c r="M11" s="198" t="str">
        <f ca="1">IF(SDI[[#This Row],[//PAJAK]]="","",INDEX(PAJAK[DISKON],SDI[[#This Row],[//PAJAK]]-1))</f>
        <v/>
      </c>
      <c r="N11" s="19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1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711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61</v>
      </c>
      <c r="C3" s="12">
        <f ca="1">HYPERLINK("[NOTA_.xlsx]PAJAK!b"&amp;SAJ[[#This Row],[//PAJAK]],IF(SAJ[[#This Row],[//PAJAK]]="","",INDEX(INDIRECT("PAJAK["&amp;SAJ[#Headers]&amp;"]"),SAJ[[#This Row],[//PAJAK]]-1)))</f>
        <v>135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21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6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41"/>
  <sheetViews>
    <sheetView workbookViewId="0">
      <selection activeCell="E7" sqref="E7"/>
    </sheetView>
  </sheetViews>
  <sheetFormatPr defaultRowHeight="15" x14ac:dyDescent="0.25"/>
  <cols>
    <col min="1" max="1" width="45.14062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156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817</v>
      </c>
      <c r="D2" t="s">
        <v>23</v>
      </c>
      <c r="E2" t="s">
        <v>60</v>
      </c>
      <c r="F2" t="s">
        <v>70</v>
      </c>
      <c r="G2">
        <f>COUNTIF(NOTA[SUPPLIER],CONV[[#This Row],[1]])</f>
        <v>28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29</v>
      </c>
    </row>
    <row r="4" spans="1:7" x14ac:dyDescent="0.25">
      <c r="A4" t="s">
        <v>35</v>
      </c>
      <c r="B4">
        <f>COUNTIF(NOTA[FAKTUR],NM_FAKTUR)</f>
        <v>67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1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92" t="s">
        <v>260</v>
      </c>
      <c r="B14" t="s">
        <v>24</v>
      </c>
    </row>
    <row r="16" spans="1:7" x14ac:dyDescent="0.25">
      <c r="A16" s="19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2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4</v>
      </c>
    </row>
    <row r="22" spans="1:2" x14ac:dyDescent="0.25">
      <c r="A22" s="4" t="s">
        <v>167</v>
      </c>
      <c r="B22" s="3">
        <v>1</v>
      </c>
    </row>
    <row r="23" spans="1:2" x14ac:dyDescent="0.25">
      <c r="A23" s="4" t="s">
        <v>120</v>
      </c>
      <c r="B23" s="3">
        <v>3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5</v>
      </c>
    </row>
    <row r="28" spans="1:2" x14ac:dyDescent="0.25">
      <c r="A28" s="4" t="s">
        <v>165</v>
      </c>
      <c r="B28" s="3">
        <v>3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2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1</v>
      </c>
    </row>
    <row r="35" spans="1:2" x14ac:dyDescent="0.25">
      <c r="A35" s="4" t="s">
        <v>127</v>
      </c>
      <c r="B35" s="3">
        <v>9</v>
      </c>
    </row>
    <row r="36" spans="1:2" x14ac:dyDescent="0.25">
      <c r="A36" s="4" t="s">
        <v>135</v>
      </c>
      <c r="B36" s="3">
        <v>2</v>
      </c>
    </row>
    <row r="37" spans="1:2" x14ac:dyDescent="0.25">
      <c r="A37" s="4" t="s">
        <v>151</v>
      </c>
      <c r="B37" s="3">
        <v>4</v>
      </c>
    </row>
    <row r="38" spans="1:2" x14ac:dyDescent="0.25">
      <c r="A38" s="4" t="s">
        <v>152</v>
      </c>
      <c r="B38" s="3">
        <v>3</v>
      </c>
    </row>
    <row r="39" spans="1:2" x14ac:dyDescent="0.25">
      <c r="A39" s="4" t="s">
        <v>153</v>
      </c>
      <c r="B39" s="3">
        <v>4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259</v>
      </c>
      <c r="B41" s="3">
        <v>65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2023-01-30T09:22:51Z</dcterms:modified>
</cp:coreProperties>
</file>