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9 SEPT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470" i="1" l="1"/>
  <c r="B432" i="1"/>
  <c r="C432" i="1" s="1"/>
  <c r="D432" i="1"/>
  <c r="AF432" i="1" s="1"/>
  <c r="AG432" i="1"/>
  <c r="AH432" i="1"/>
  <c r="X432" i="1" s="1"/>
  <c r="Y432" i="1" s="1"/>
  <c r="AJ432" i="1"/>
  <c r="AM432" i="1" s="1"/>
  <c r="AN432" i="1"/>
  <c r="AP432" i="1" s="1"/>
  <c r="AQ432" i="1"/>
  <c r="AR432" i="1" s="1"/>
  <c r="AT432" i="1"/>
  <c r="AB432" i="1" l="1"/>
  <c r="AO432" i="1"/>
  <c r="Z432" i="1"/>
  <c r="AS432" i="1"/>
  <c r="AE432" i="1"/>
  <c r="AU432" i="1"/>
  <c r="AK432" i="1"/>
  <c r="AI432" i="1"/>
  <c r="AW432" i="1"/>
  <c r="AC432" i="1"/>
  <c r="AA432" i="1"/>
  <c r="AV432" i="1" l="1"/>
  <c r="AX432" i="1" s="1"/>
  <c r="G1" i="17" l="1"/>
  <c r="G14" i="3"/>
  <c r="N392" i="1" l="1"/>
  <c r="N391" i="1"/>
  <c r="N383" i="1"/>
  <c r="B144" i="1" l="1"/>
  <c r="C144" i="1" s="1"/>
  <c r="AH144" i="1"/>
  <c r="X144" i="1" s="1"/>
  <c r="AN144" i="1"/>
  <c r="AQ144" i="1"/>
  <c r="AR144" i="1" s="1"/>
  <c r="AT144" i="1"/>
  <c r="B122" i="1"/>
  <c r="C122" i="1" s="1"/>
  <c r="AH122" i="1"/>
  <c r="X122" i="1" s="1"/>
  <c r="AN122" i="1"/>
  <c r="AQ122" i="1"/>
  <c r="AR122" i="1" s="1"/>
  <c r="AT122" i="1"/>
  <c r="Y144" i="1" l="1"/>
  <c r="Z144" i="1" s="1"/>
  <c r="AG144" i="1"/>
  <c r="AP144" i="1" s="1"/>
  <c r="Y122" i="1"/>
  <c r="Z122" i="1" s="1"/>
  <c r="AG122" i="1"/>
  <c r="AP122" i="1" s="1"/>
  <c r="B123" i="1"/>
  <c r="C123" i="1" s="1"/>
  <c r="AA144" i="1" l="1"/>
  <c r="AB144" i="1" s="1"/>
  <c r="AC144" i="1" s="1"/>
  <c r="AO144" i="1"/>
  <c r="AA122" i="1"/>
  <c r="AB122" i="1" s="1"/>
  <c r="AC122" i="1" s="1"/>
  <c r="AO122" i="1"/>
  <c r="AH123" i="1"/>
  <c r="X123" i="1" s="1"/>
  <c r="Y123" i="1" l="1"/>
  <c r="Z123" i="1" s="1"/>
  <c r="AG123" i="1"/>
  <c r="AN123" i="1"/>
  <c r="AQ123" i="1"/>
  <c r="AR123" i="1" s="1"/>
  <c r="AT123" i="1"/>
  <c r="B99" i="1"/>
  <c r="C99" i="1" s="1"/>
  <c r="X99" i="1"/>
  <c r="Y99" i="1" s="1"/>
  <c r="Z99" i="1" s="1"/>
  <c r="AA99" i="1" s="1"/>
  <c r="AH99" i="1"/>
  <c r="AG99" i="1" s="1"/>
  <c r="AN99" i="1"/>
  <c r="AQ99" i="1"/>
  <c r="AR99" i="1" s="1"/>
  <c r="AT99" i="1"/>
  <c r="AO123" i="1" l="1"/>
  <c r="AP99" i="1"/>
  <c r="AP123" i="1"/>
  <c r="AA123" i="1"/>
  <c r="AB123" i="1" s="1"/>
  <c r="AC123" i="1" s="1"/>
  <c r="AO99" i="1"/>
  <c r="AB99" i="1"/>
  <c r="AC99" i="1" s="1"/>
  <c r="B59" i="1"/>
  <c r="C59" i="1" s="1"/>
  <c r="X59" i="1"/>
  <c r="Y59" i="1" s="1"/>
  <c r="Z59" i="1" s="1"/>
  <c r="AA59" i="1" s="1"/>
  <c r="AH59" i="1"/>
  <c r="AG59" i="1" s="1"/>
  <c r="AN59" i="1"/>
  <c r="AQ59" i="1"/>
  <c r="AR59" i="1" s="1"/>
  <c r="AT59" i="1"/>
  <c r="AO59" i="1" l="1"/>
  <c r="AP59" i="1"/>
  <c r="AB59" i="1"/>
  <c r="AC59" i="1" s="1"/>
  <c r="AQ4" i="1"/>
  <c r="AR4" i="1" s="1"/>
  <c r="AQ5" i="1"/>
  <c r="AR5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4" i="1"/>
  <c r="AR14" i="1" s="1"/>
  <c r="AQ15" i="1"/>
  <c r="AR15" i="1" s="1"/>
  <c r="AQ16" i="1"/>
  <c r="AR16" i="1" s="1"/>
  <c r="AQ17" i="1"/>
  <c r="AR17" i="1" s="1"/>
  <c r="AQ19" i="1"/>
  <c r="AR19" i="1" s="1"/>
  <c r="AQ20" i="1"/>
  <c r="AR20" i="1" s="1"/>
  <c r="AQ21" i="1"/>
  <c r="AR21" i="1" s="1"/>
  <c r="AQ22" i="1"/>
  <c r="AR22" i="1" s="1"/>
  <c r="AQ23" i="1"/>
  <c r="AR23" i="1" s="1"/>
  <c r="AQ25" i="1"/>
  <c r="AR25" i="1" s="1"/>
  <c r="AQ26" i="1"/>
  <c r="AR26" i="1" s="1"/>
  <c r="AQ28" i="1"/>
  <c r="AR28" i="1" s="1"/>
  <c r="AQ30" i="1"/>
  <c r="AR30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4" i="1"/>
  <c r="AR44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5" i="1"/>
  <c r="AR55" i="1" s="1"/>
  <c r="AQ57" i="1"/>
  <c r="AR57" i="1" s="1"/>
  <c r="AQ58" i="1"/>
  <c r="AR58" i="1" s="1"/>
  <c r="AQ60" i="1"/>
  <c r="AR60" i="1" s="1"/>
  <c r="AQ61" i="1"/>
  <c r="AR61" i="1" s="1"/>
  <c r="AQ62" i="1"/>
  <c r="AR62" i="1" s="1"/>
  <c r="AQ63" i="1"/>
  <c r="AR63" i="1" s="1"/>
  <c r="AQ64" i="1"/>
  <c r="AR64" i="1" s="1"/>
  <c r="AQ66" i="1"/>
  <c r="AR66" i="1" s="1"/>
  <c r="AQ67" i="1"/>
  <c r="AR67" i="1" s="1"/>
  <c r="AQ68" i="1"/>
  <c r="AR68" i="1" s="1"/>
  <c r="AQ69" i="1"/>
  <c r="AR69" i="1" s="1"/>
  <c r="AQ70" i="1"/>
  <c r="AR70" i="1" s="1"/>
  <c r="AQ71" i="1"/>
  <c r="AR71" i="1" s="1"/>
  <c r="AQ72" i="1"/>
  <c r="AR72" i="1" s="1"/>
  <c r="AQ73" i="1"/>
  <c r="AR73" i="1" s="1"/>
  <c r="AQ75" i="1"/>
  <c r="AR75" i="1" s="1"/>
  <c r="AQ76" i="1"/>
  <c r="AR76" i="1" s="1"/>
  <c r="AQ77" i="1"/>
  <c r="AR77" i="1" s="1"/>
  <c r="AQ78" i="1"/>
  <c r="AR78" i="1" s="1"/>
  <c r="AQ79" i="1"/>
  <c r="AR79" i="1" s="1"/>
  <c r="AQ80" i="1"/>
  <c r="AR80" i="1" s="1"/>
  <c r="AQ81" i="1"/>
  <c r="AR81" i="1" s="1"/>
  <c r="AQ82" i="1"/>
  <c r="AR82" i="1" s="1"/>
  <c r="AQ83" i="1"/>
  <c r="AR83" i="1" s="1"/>
  <c r="AQ85" i="1"/>
  <c r="AR85" i="1" s="1"/>
  <c r="AQ86" i="1"/>
  <c r="AR86" i="1" s="1"/>
  <c r="AQ87" i="1"/>
  <c r="AR87" i="1" s="1"/>
  <c r="AQ88" i="1"/>
  <c r="AR88" i="1" s="1"/>
  <c r="AQ89" i="1"/>
  <c r="AR89" i="1" s="1"/>
  <c r="AQ90" i="1"/>
  <c r="AR90" i="1" s="1"/>
  <c r="AQ91" i="1"/>
  <c r="AR91" i="1" s="1"/>
  <c r="AQ92" i="1"/>
  <c r="AR92" i="1" s="1"/>
  <c r="AQ93" i="1"/>
  <c r="AR93" i="1" s="1"/>
  <c r="AQ94" i="1"/>
  <c r="AR94" i="1" s="1"/>
  <c r="AQ96" i="1"/>
  <c r="AR96" i="1" s="1"/>
  <c r="AQ97" i="1"/>
  <c r="AR97" i="1" s="1"/>
  <c r="AQ98" i="1"/>
  <c r="AR98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7" i="1"/>
  <c r="AR107" i="1" s="1"/>
  <c r="AQ108" i="1"/>
  <c r="AR108" i="1" s="1"/>
  <c r="AQ110" i="1"/>
  <c r="AR110" i="1" s="1"/>
  <c r="AQ111" i="1"/>
  <c r="AR111" i="1" s="1"/>
  <c r="AQ112" i="1"/>
  <c r="AR112" i="1" s="1"/>
  <c r="AQ113" i="1"/>
  <c r="AR113" i="1" s="1"/>
  <c r="AQ115" i="1"/>
  <c r="AR115" i="1" s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4" i="1"/>
  <c r="AR124" i="1" s="1"/>
  <c r="AQ125" i="1"/>
  <c r="AR125" i="1" s="1"/>
  <c r="AQ127" i="1"/>
  <c r="AR127" i="1" s="1"/>
  <c r="AQ128" i="1"/>
  <c r="AR128" i="1" s="1"/>
  <c r="AQ129" i="1"/>
  <c r="AR129" i="1" s="1"/>
  <c r="AQ130" i="1"/>
  <c r="AR130" i="1" s="1"/>
  <c r="AQ131" i="1"/>
  <c r="AR131" i="1" s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40" i="1"/>
  <c r="AR140" i="1" s="1"/>
  <c r="AQ141" i="1"/>
  <c r="AR141" i="1" s="1"/>
  <c r="AQ142" i="1"/>
  <c r="AR142" i="1" s="1"/>
  <c r="AQ143" i="1"/>
  <c r="AR143" i="1" s="1"/>
  <c r="AQ145" i="1"/>
  <c r="AR145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2" i="1"/>
  <c r="AR152" i="1" s="1"/>
  <c r="AQ153" i="1"/>
  <c r="AR153" i="1" s="1"/>
  <c r="AQ154" i="1"/>
  <c r="AR154" i="1" s="1"/>
  <c r="AQ155" i="1"/>
  <c r="AR155" i="1" s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R163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4" i="1"/>
  <c r="AR174" i="1" s="1"/>
  <c r="AQ176" i="1"/>
  <c r="AR176" i="1" s="1"/>
  <c r="AQ178" i="1"/>
  <c r="AR178" i="1" s="1"/>
  <c r="AQ180" i="1"/>
  <c r="AR180" i="1" s="1"/>
  <c r="AQ181" i="1"/>
  <c r="AR181" i="1" s="1"/>
  <c r="AQ182" i="1"/>
  <c r="AR182" i="1" s="1"/>
  <c r="AQ184" i="1"/>
  <c r="AR184" i="1" s="1"/>
  <c r="AQ186" i="1"/>
  <c r="AR186" i="1" s="1"/>
  <c r="AQ187" i="1"/>
  <c r="AR187" i="1" s="1"/>
  <c r="AQ189" i="1"/>
  <c r="AR189" i="1" s="1"/>
  <c r="AQ190" i="1"/>
  <c r="AR190" i="1" s="1"/>
  <c r="AQ192" i="1"/>
  <c r="AR192" i="1" s="1"/>
  <c r="AQ193" i="1"/>
  <c r="AR193" i="1" s="1"/>
  <c r="AQ195" i="1"/>
  <c r="AR195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3" i="1"/>
  <c r="AR203" i="1" s="1"/>
  <c r="AQ204" i="1"/>
  <c r="AR204" i="1" s="1"/>
  <c r="AQ206" i="1"/>
  <c r="AR206" i="1" s="1"/>
  <c r="AQ208" i="1"/>
  <c r="AR208" i="1" s="1"/>
  <c r="AQ209" i="1"/>
  <c r="AR209" i="1" s="1"/>
  <c r="AQ210" i="1"/>
  <c r="AR210" i="1" s="1"/>
  <c r="AQ211" i="1"/>
  <c r="AR211" i="1" s="1"/>
  <c r="AQ213" i="1"/>
  <c r="AR213" i="1" s="1"/>
  <c r="AQ214" i="1"/>
  <c r="AR214" i="1" s="1"/>
  <c r="AQ215" i="1"/>
  <c r="AR215" i="1" s="1"/>
  <c r="AQ216" i="1"/>
  <c r="AR216" i="1" s="1"/>
  <c r="AQ218" i="1"/>
  <c r="AR218" i="1" s="1"/>
  <c r="AQ219" i="1"/>
  <c r="AR219" i="1" s="1"/>
  <c r="AQ221" i="1"/>
  <c r="AR221" i="1" s="1"/>
  <c r="AQ222" i="1"/>
  <c r="AR222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9" i="1"/>
  <c r="AR229" i="1" s="1"/>
  <c r="AQ230" i="1"/>
  <c r="AR230" i="1" s="1"/>
  <c r="AQ231" i="1"/>
  <c r="AR231" i="1" s="1"/>
  <c r="AQ233" i="1"/>
  <c r="AR233" i="1" s="1"/>
  <c r="AQ234" i="1"/>
  <c r="AR234" i="1" s="1"/>
  <c r="AQ235" i="1"/>
  <c r="AR235" i="1" s="1"/>
  <c r="AQ236" i="1"/>
  <c r="AR236" i="1" s="1"/>
  <c r="AQ237" i="1"/>
  <c r="AR237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5" i="1"/>
  <c r="AR245" i="1" s="1"/>
  <c r="AQ246" i="1"/>
  <c r="AR246" i="1" s="1"/>
  <c r="AQ248" i="1"/>
  <c r="AR248" i="1" s="1"/>
  <c r="AQ249" i="1"/>
  <c r="AR249" i="1" s="1"/>
  <c r="AQ250" i="1"/>
  <c r="AR250" i="1" s="1"/>
  <c r="AQ251" i="1"/>
  <c r="AR251" i="1" s="1"/>
  <c r="AQ252" i="1"/>
  <c r="AR252" i="1" s="1"/>
  <c r="AQ254" i="1"/>
  <c r="AR254" i="1" s="1"/>
  <c r="AQ255" i="1"/>
  <c r="AR255" i="1" s="1"/>
  <c r="AQ256" i="1"/>
  <c r="AR256" i="1" s="1"/>
  <c r="AQ258" i="1"/>
  <c r="AR258" i="1" s="1"/>
  <c r="AQ259" i="1"/>
  <c r="AR259" i="1" s="1"/>
  <c r="AQ260" i="1"/>
  <c r="AR260" i="1" s="1"/>
  <c r="AQ261" i="1"/>
  <c r="AR261" i="1" s="1"/>
  <c r="AQ263" i="1"/>
  <c r="AR263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2" i="1"/>
  <c r="AR272" i="1" s="1"/>
  <c r="AQ273" i="1"/>
  <c r="AR273" i="1" s="1"/>
  <c r="AQ275" i="1"/>
  <c r="AR275" i="1" s="1"/>
  <c r="AQ276" i="1"/>
  <c r="AR276" i="1" s="1"/>
  <c r="AQ277" i="1"/>
  <c r="AR277" i="1" s="1"/>
  <c r="AQ278" i="1"/>
  <c r="AR278" i="1" s="1"/>
  <c r="AQ279" i="1"/>
  <c r="AR279" i="1" s="1"/>
  <c r="AQ280" i="1"/>
  <c r="AR280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8" i="1"/>
  <c r="AR288" i="1" s="1"/>
  <c r="AQ290" i="1"/>
  <c r="AR290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9" i="1"/>
  <c r="AR299" i="1" s="1"/>
  <c r="AQ301" i="1"/>
  <c r="AR301" i="1" s="1"/>
  <c r="AQ302" i="1"/>
  <c r="AR302" i="1" s="1"/>
  <c r="AQ304" i="1"/>
  <c r="AR304" i="1" s="1"/>
  <c r="AQ306" i="1"/>
  <c r="AR306" i="1" s="1"/>
  <c r="AQ307" i="1"/>
  <c r="AR307" i="1" s="1"/>
  <c r="AQ308" i="1"/>
  <c r="AR308" i="1" s="1"/>
  <c r="AQ309" i="1"/>
  <c r="AR309" i="1" s="1"/>
  <c r="AQ310" i="1"/>
  <c r="AR310" i="1" s="1"/>
  <c r="AQ311" i="1"/>
  <c r="AR311" i="1" s="1"/>
  <c r="AQ312" i="1"/>
  <c r="AR312" i="1" s="1"/>
  <c r="AQ314" i="1"/>
  <c r="AR314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2" i="1"/>
  <c r="AR322" i="1" s="1"/>
  <c r="AQ324" i="1"/>
  <c r="AR324" i="1" s="1"/>
  <c r="AQ325" i="1"/>
  <c r="AR325" i="1" s="1"/>
  <c r="AQ326" i="1"/>
  <c r="AR326" i="1" s="1"/>
  <c r="AQ327" i="1"/>
  <c r="AR327" i="1" s="1"/>
  <c r="AQ328" i="1"/>
  <c r="AR328" i="1" s="1"/>
  <c r="AQ329" i="1"/>
  <c r="AR329" i="1" s="1"/>
  <c r="AQ330" i="1"/>
  <c r="AR330" i="1" s="1"/>
  <c r="AQ331" i="1"/>
  <c r="AR331" i="1" s="1"/>
  <c r="AQ333" i="1"/>
  <c r="AR333" i="1" s="1"/>
  <c r="AQ334" i="1"/>
  <c r="AR334" i="1" s="1"/>
  <c r="AQ335" i="1"/>
  <c r="AR335" i="1" s="1"/>
  <c r="AQ336" i="1"/>
  <c r="AR336" i="1" s="1"/>
  <c r="AQ337" i="1"/>
  <c r="AR337" i="1" s="1"/>
  <c r="AQ338" i="1"/>
  <c r="AR338" i="1" s="1"/>
  <c r="AQ339" i="1"/>
  <c r="AR339" i="1" s="1"/>
  <c r="AQ341" i="1"/>
  <c r="AR341" i="1" s="1"/>
  <c r="AQ342" i="1"/>
  <c r="AR342" i="1" s="1"/>
  <c r="AQ343" i="1"/>
  <c r="AR343" i="1" s="1"/>
  <c r="AQ345" i="1"/>
  <c r="AR345" i="1" s="1"/>
  <c r="AQ346" i="1"/>
  <c r="AR346" i="1" s="1"/>
  <c r="AQ348" i="1"/>
  <c r="AR348" i="1" s="1"/>
  <c r="AQ349" i="1"/>
  <c r="AR349" i="1" s="1"/>
  <c r="AQ350" i="1"/>
  <c r="AR350" i="1" s="1"/>
  <c r="AQ351" i="1"/>
  <c r="AR351" i="1" s="1"/>
  <c r="AQ352" i="1"/>
  <c r="AR352" i="1" s="1"/>
  <c r="AQ353" i="1"/>
  <c r="AR353" i="1" s="1"/>
  <c r="AQ354" i="1"/>
  <c r="AR354" i="1" s="1"/>
  <c r="AQ355" i="1"/>
  <c r="AR355" i="1" s="1"/>
  <c r="AQ356" i="1"/>
  <c r="AR356" i="1" s="1"/>
  <c r="AQ357" i="1"/>
  <c r="AR357" i="1" s="1"/>
  <c r="AQ358" i="1"/>
  <c r="AR358" i="1" s="1"/>
  <c r="AQ360" i="1"/>
  <c r="AR360" i="1" s="1"/>
  <c r="AQ361" i="1"/>
  <c r="AR361" i="1" s="1"/>
  <c r="AQ362" i="1"/>
  <c r="AR362" i="1" s="1"/>
  <c r="AQ363" i="1"/>
  <c r="AR363" i="1" s="1"/>
  <c r="AQ364" i="1"/>
  <c r="AR364" i="1" s="1"/>
  <c r="AQ365" i="1"/>
  <c r="AR365" i="1" s="1"/>
  <c r="AQ366" i="1"/>
  <c r="AR366" i="1" s="1"/>
  <c r="AQ367" i="1"/>
  <c r="AR367" i="1" s="1"/>
  <c r="AQ368" i="1"/>
  <c r="AR368" i="1" s="1"/>
  <c r="AQ369" i="1"/>
  <c r="AR369" i="1" s="1"/>
  <c r="AQ370" i="1"/>
  <c r="AR370" i="1" s="1"/>
  <c r="AQ371" i="1"/>
  <c r="AR371" i="1" s="1"/>
  <c r="AQ373" i="1"/>
  <c r="AR373" i="1" s="1"/>
  <c r="AQ374" i="1"/>
  <c r="AR374" i="1" s="1"/>
  <c r="AQ375" i="1"/>
  <c r="AR375" i="1" s="1"/>
  <c r="AQ376" i="1"/>
  <c r="AR376" i="1" s="1"/>
  <c r="AQ377" i="1"/>
  <c r="AR377" i="1" s="1"/>
  <c r="AQ378" i="1"/>
  <c r="AR378" i="1" s="1"/>
  <c r="AQ379" i="1"/>
  <c r="AR379" i="1" s="1"/>
  <c r="AQ380" i="1"/>
  <c r="AR380" i="1" s="1"/>
  <c r="AQ381" i="1"/>
  <c r="AR381" i="1" s="1"/>
  <c r="AQ382" i="1"/>
  <c r="AR382" i="1" s="1"/>
  <c r="AQ384" i="1"/>
  <c r="AR384" i="1" s="1"/>
  <c r="AQ386" i="1"/>
  <c r="AR386" i="1" s="1"/>
  <c r="AQ387" i="1"/>
  <c r="AR387" i="1" s="1"/>
  <c r="AQ389" i="1"/>
  <c r="AR389" i="1" s="1"/>
  <c r="AQ390" i="1"/>
  <c r="AR390" i="1" s="1"/>
  <c r="AQ392" i="1"/>
  <c r="AR392" i="1" s="1"/>
  <c r="AQ393" i="1"/>
  <c r="AR393" i="1" s="1"/>
  <c r="AQ395" i="1"/>
  <c r="AR395" i="1" s="1"/>
  <c r="AQ397" i="1"/>
  <c r="AR397" i="1" s="1"/>
  <c r="AQ399" i="1"/>
  <c r="AR399" i="1" s="1"/>
  <c r="AQ401" i="1"/>
  <c r="AR401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10" i="1"/>
  <c r="AR410" i="1" s="1"/>
  <c r="AQ412" i="1"/>
  <c r="AR412" i="1" s="1"/>
  <c r="AQ414" i="1"/>
  <c r="AR414" i="1" s="1"/>
  <c r="AQ415" i="1"/>
  <c r="AR415" i="1" s="1"/>
  <c r="AQ416" i="1"/>
  <c r="AR416" i="1" s="1"/>
  <c r="AQ417" i="1"/>
  <c r="AR417" i="1" s="1"/>
  <c r="AQ419" i="1"/>
  <c r="AR419" i="1" s="1"/>
  <c r="AQ420" i="1"/>
  <c r="AR420" i="1" s="1"/>
  <c r="AQ421" i="1"/>
  <c r="AR421" i="1" s="1"/>
  <c r="AQ423" i="1"/>
  <c r="AR423" i="1" s="1"/>
  <c r="AQ424" i="1"/>
  <c r="AR424" i="1" s="1"/>
  <c r="AQ425" i="1"/>
  <c r="AR425" i="1" s="1"/>
  <c r="AQ426" i="1"/>
  <c r="AR426" i="1" s="1"/>
  <c r="AQ427" i="1"/>
  <c r="AR427" i="1" s="1"/>
  <c r="AQ428" i="1"/>
  <c r="AR428" i="1" s="1"/>
  <c r="AQ429" i="1"/>
  <c r="AR429" i="1" s="1"/>
  <c r="AQ431" i="1"/>
  <c r="AR431" i="1" s="1"/>
  <c r="AQ434" i="1"/>
  <c r="AR434" i="1" s="1"/>
  <c r="AQ435" i="1"/>
  <c r="AR435" i="1" s="1"/>
  <c r="AQ436" i="1"/>
  <c r="AR436" i="1" s="1"/>
  <c r="AQ437" i="1"/>
  <c r="AR437" i="1" s="1"/>
  <c r="AQ439" i="1"/>
  <c r="AR439" i="1" s="1"/>
  <c r="AQ440" i="1"/>
  <c r="AR440" i="1" s="1"/>
  <c r="AQ442" i="1"/>
  <c r="AR442" i="1" s="1"/>
  <c r="AQ443" i="1"/>
  <c r="AR443" i="1" s="1"/>
  <c r="AQ444" i="1"/>
  <c r="AR444" i="1" s="1"/>
  <c r="AQ445" i="1"/>
  <c r="AR445" i="1" s="1"/>
  <c r="AQ446" i="1"/>
  <c r="AR446" i="1" s="1"/>
  <c r="AQ447" i="1"/>
  <c r="AR447" i="1" s="1"/>
  <c r="AQ448" i="1"/>
  <c r="AR448" i="1" s="1"/>
  <c r="AQ449" i="1"/>
  <c r="AR449" i="1" s="1"/>
  <c r="AQ450" i="1"/>
  <c r="AR450" i="1" s="1"/>
  <c r="AQ451" i="1"/>
  <c r="AR451" i="1" s="1"/>
  <c r="AQ452" i="1"/>
  <c r="AR452" i="1" s="1"/>
  <c r="AQ454" i="1"/>
  <c r="AR454" i="1" s="1"/>
  <c r="AQ455" i="1"/>
  <c r="AR455" i="1" s="1"/>
  <c r="AQ456" i="1"/>
  <c r="AR456" i="1" s="1"/>
  <c r="AQ457" i="1"/>
  <c r="AR457" i="1" s="1"/>
  <c r="AQ458" i="1"/>
  <c r="AR458" i="1" s="1"/>
  <c r="AQ459" i="1"/>
  <c r="AR459" i="1" s="1"/>
  <c r="AQ460" i="1"/>
  <c r="AR460" i="1" s="1"/>
  <c r="AQ461" i="1"/>
  <c r="AR461" i="1" s="1"/>
  <c r="AQ462" i="1"/>
  <c r="AR462" i="1" s="1"/>
  <c r="AQ463" i="1"/>
  <c r="AR463" i="1" s="1"/>
  <c r="AQ465" i="1"/>
  <c r="AR465" i="1" s="1"/>
  <c r="AQ466" i="1"/>
  <c r="AR466" i="1" s="1"/>
  <c r="AQ467" i="1"/>
  <c r="AR467" i="1" s="1"/>
  <c r="AQ469" i="1"/>
  <c r="AR469" i="1" s="1"/>
  <c r="AQ471" i="1"/>
  <c r="AR471" i="1" s="1"/>
  <c r="AQ473" i="1"/>
  <c r="AR473" i="1" s="1"/>
  <c r="AQ475" i="1"/>
  <c r="AR475" i="1" s="1"/>
  <c r="AQ476" i="1"/>
  <c r="AR476" i="1" s="1"/>
  <c r="AQ478" i="1"/>
  <c r="AR478" i="1" s="1"/>
  <c r="AQ480" i="1"/>
  <c r="AR480" i="1" s="1"/>
  <c r="AQ482" i="1"/>
  <c r="AR482" i="1" s="1"/>
  <c r="AQ483" i="1"/>
  <c r="AR483" i="1" s="1"/>
  <c r="AQ485" i="1"/>
  <c r="AR485" i="1" s="1"/>
  <c r="AQ486" i="1"/>
  <c r="AR486" i="1" s="1"/>
  <c r="AQ488" i="1"/>
  <c r="AR488" i="1" s="1"/>
  <c r="AQ489" i="1"/>
  <c r="AR489" i="1" s="1"/>
  <c r="AQ491" i="1"/>
  <c r="AR491" i="1" s="1"/>
  <c r="AQ492" i="1"/>
  <c r="AR492" i="1" s="1"/>
  <c r="AQ494" i="1"/>
  <c r="AR494" i="1" s="1"/>
  <c r="AQ495" i="1"/>
  <c r="AR495" i="1" s="1"/>
  <c r="AQ496" i="1"/>
  <c r="AR496" i="1" s="1"/>
  <c r="AQ497" i="1"/>
  <c r="AR497" i="1" s="1"/>
  <c r="AQ498" i="1"/>
  <c r="AR498" i="1" s="1"/>
  <c r="AQ500" i="1"/>
  <c r="AR500" i="1" s="1"/>
  <c r="AQ501" i="1"/>
  <c r="AR501" i="1" s="1"/>
  <c r="AQ503" i="1"/>
  <c r="AR503" i="1" s="1"/>
  <c r="AQ504" i="1"/>
  <c r="AR504" i="1" s="1"/>
  <c r="AQ505" i="1"/>
  <c r="AR505" i="1" s="1"/>
  <c r="AQ507" i="1"/>
  <c r="AR507" i="1" s="1"/>
  <c r="AQ508" i="1"/>
  <c r="AR508" i="1" s="1"/>
  <c r="AQ509" i="1"/>
  <c r="AR509" i="1" s="1"/>
  <c r="AQ510" i="1"/>
  <c r="AR510" i="1" s="1"/>
  <c r="AQ511" i="1"/>
  <c r="AR511" i="1" s="1"/>
  <c r="AQ512" i="1"/>
  <c r="AR512" i="1" s="1"/>
  <c r="AQ513" i="1"/>
  <c r="AR513" i="1" s="1"/>
  <c r="AQ514" i="1"/>
  <c r="AR514" i="1" s="1"/>
  <c r="AQ515" i="1"/>
  <c r="AR515" i="1" s="1"/>
  <c r="AQ516" i="1"/>
  <c r="AR516" i="1" s="1"/>
  <c r="AQ518" i="1"/>
  <c r="AR518" i="1" s="1"/>
  <c r="AQ519" i="1"/>
  <c r="AR519" i="1" s="1"/>
  <c r="AQ520" i="1"/>
  <c r="AR520" i="1" s="1"/>
  <c r="AQ521" i="1"/>
  <c r="AR521" i="1" s="1"/>
  <c r="AQ522" i="1"/>
  <c r="AR522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3" i="1"/>
  <c r="AR533" i="1" s="1"/>
  <c r="AQ535" i="1"/>
  <c r="AR535" i="1" s="1"/>
  <c r="AQ536" i="1"/>
  <c r="AR536" i="1" s="1"/>
  <c r="AQ537" i="1"/>
  <c r="AR537" i="1" s="1"/>
  <c r="AQ539" i="1"/>
  <c r="AR539" i="1" s="1"/>
  <c r="AQ541" i="1"/>
  <c r="AR541" i="1" s="1"/>
  <c r="AQ542" i="1"/>
  <c r="AR542" i="1" s="1"/>
  <c r="AQ544" i="1"/>
  <c r="AR544" i="1" s="1"/>
  <c r="AQ546" i="1"/>
  <c r="AR546" i="1" s="1"/>
  <c r="AQ548" i="1"/>
  <c r="AR548" i="1" s="1"/>
  <c r="AQ550" i="1"/>
  <c r="AR550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9" i="1"/>
  <c r="AR559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6" i="1"/>
  <c r="AR566" i="1" s="1"/>
  <c r="AQ567" i="1"/>
  <c r="AR567" i="1" s="1"/>
  <c r="AQ568" i="1"/>
  <c r="AR568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0" i="1"/>
  <c r="AR580" i="1" s="1"/>
  <c r="AQ581" i="1"/>
  <c r="AR581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0" i="1"/>
  <c r="AR590" i="1" s="1"/>
  <c r="AQ591" i="1"/>
  <c r="AR591" i="1" s="1"/>
  <c r="AQ592" i="1"/>
  <c r="AR592" i="1" s="1"/>
  <c r="AQ593" i="1"/>
  <c r="AR593" i="1" s="1"/>
  <c r="AQ594" i="1"/>
  <c r="AR594" i="1" s="1"/>
  <c r="AQ595" i="1"/>
  <c r="AR595" i="1" s="1"/>
  <c r="AQ596" i="1"/>
  <c r="AR596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7" i="1"/>
  <c r="AR607" i="1" s="1"/>
  <c r="AQ608" i="1"/>
  <c r="AR608" i="1" s="1"/>
  <c r="AQ609" i="1"/>
  <c r="AR609" i="1" s="1"/>
  <c r="AQ610" i="1"/>
  <c r="AR610" i="1" s="1"/>
  <c r="AQ611" i="1"/>
  <c r="AR611" i="1" s="1"/>
  <c r="AQ612" i="1"/>
  <c r="AR612" i="1" s="1"/>
  <c r="AQ613" i="1"/>
  <c r="AR613" i="1" s="1"/>
  <c r="AQ614" i="1"/>
  <c r="AR614" i="1" s="1"/>
  <c r="AQ615" i="1"/>
  <c r="AR615" i="1" s="1"/>
  <c r="AQ616" i="1"/>
  <c r="AR616" i="1" s="1"/>
  <c r="AQ617" i="1"/>
  <c r="AR617" i="1" s="1"/>
  <c r="AQ618" i="1"/>
  <c r="AR618" i="1" s="1"/>
  <c r="AQ619" i="1"/>
  <c r="AR619" i="1" s="1"/>
  <c r="AQ620" i="1"/>
  <c r="AR620" i="1" s="1"/>
  <c r="AQ621" i="1"/>
  <c r="AR621" i="1" s="1"/>
  <c r="AQ622" i="1"/>
  <c r="AR622" i="1" s="1"/>
  <c r="AQ623" i="1"/>
  <c r="AR623" i="1" s="1"/>
  <c r="AQ624" i="1"/>
  <c r="AR624" i="1" s="1"/>
  <c r="AQ625" i="1"/>
  <c r="AR625" i="1" s="1"/>
  <c r="AQ626" i="1"/>
  <c r="AR626" i="1" s="1"/>
  <c r="AQ627" i="1"/>
  <c r="AR627" i="1" s="1"/>
  <c r="AQ628" i="1"/>
  <c r="AR628" i="1" s="1"/>
  <c r="AQ629" i="1"/>
  <c r="AR629" i="1" s="1"/>
  <c r="AQ630" i="1"/>
  <c r="AR630" i="1" s="1"/>
  <c r="AQ631" i="1"/>
  <c r="AR631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H3" i="1"/>
  <c r="AG3" i="1" s="1"/>
  <c r="AH4" i="1"/>
  <c r="AG4" i="1" s="1"/>
  <c r="AH5" i="1"/>
  <c r="X5" i="1" s="1"/>
  <c r="AH6" i="1"/>
  <c r="AG6" i="1" s="1"/>
  <c r="AH7" i="1"/>
  <c r="AG7" i="1" s="1"/>
  <c r="AH8" i="1"/>
  <c r="AG8" i="1" s="1"/>
  <c r="AH9" i="1"/>
  <c r="AG9" i="1" s="1"/>
  <c r="AH10" i="1"/>
  <c r="AG10" i="1" s="1"/>
  <c r="AH11" i="1"/>
  <c r="AG11" i="1" s="1"/>
  <c r="AH12" i="1"/>
  <c r="X12" i="1" s="1"/>
  <c r="AB12" i="1" s="1"/>
  <c r="AH13" i="1"/>
  <c r="AG13" i="1" s="1"/>
  <c r="AH14" i="1"/>
  <c r="AG14" i="1" s="1"/>
  <c r="AH15" i="1"/>
  <c r="AG15" i="1" s="1"/>
  <c r="AH16" i="1"/>
  <c r="AG16" i="1" s="1"/>
  <c r="AH17" i="1"/>
  <c r="X17" i="1" s="1"/>
  <c r="AH18" i="1"/>
  <c r="AG18" i="1" s="1"/>
  <c r="AH19" i="1"/>
  <c r="AG19" i="1" s="1"/>
  <c r="AH20" i="1"/>
  <c r="AG20" i="1" s="1"/>
  <c r="AH21" i="1"/>
  <c r="AG21" i="1" s="1"/>
  <c r="AH22" i="1"/>
  <c r="AG22" i="1" s="1"/>
  <c r="AH23" i="1"/>
  <c r="X23" i="1" s="1"/>
  <c r="AH24" i="1"/>
  <c r="AH25" i="1"/>
  <c r="X25" i="1" s="1"/>
  <c r="AH26" i="1"/>
  <c r="AH27" i="1"/>
  <c r="X27" i="1" s="1"/>
  <c r="AH28" i="1"/>
  <c r="X28" i="1" s="1"/>
  <c r="AH29" i="1"/>
  <c r="X29" i="1" s="1"/>
  <c r="AH30" i="1"/>
  <c r="X30" i="1" s="1"/>
  <c r="AB30" i="1" s="1"/>
  <c r="AH31" i="1"/>
  <c r="X31" i="1" s="1"/>
  <c r="AH32" i="1"/>
  <c r="AH33" i="1"/>
  <c r="X33" i="1" s="1"/>
  <c r="AH34" i="1"/>
  <c r="AH35" i="1"/>
  <c r="X35" i="1" s="1"/>
  <c r="AH36" i="1"/>
  <c r="AH37" i="1"/>
  <c r="X37" i="1" s="1"/>
  <c r="AH39" i="1"/>
  <c r="AH40" i="1"/>
  <c r="X40" i="1" s="1"/>
  <c r="AH41" i="1"/>
  <c r="X41" i="1" s="1"/>
  <c r="AH42" i="1"/>
  <c r="X42" i="1" s="1"/>
  <c r="AH43" i="1"/>
  <c r="AH44" i="1"/>
  <c r="X44" i="1" s="1"/>
  <c r="AH45" i="1"/>
  <c r="AH46" i="1"/>
  <c r="X46" i="1" s="1"/>
  <c r="AH47" i="1"/>
  <c r="AH48" i="1"/>
  <c r="X48" i="1" s="1"/>
  <c r="AH49" i="1"/>
  <c r="AH50" i="1"/>
  <c r="X50" i="1" s="1"/>
  <c r="AH51" i="1"/>
  <c r="AH52" i="1"/>
  <c r="X52" i="1" s="1"/>
  <c r="AH53" i="1"/>
  <c r="AH54" i="1"/>
  <c r="X54" i="1" s="1"/>
  <c r="AH55" i="1"/>
  <c r="X55" i="1" s="1"/>
  <c r="AH56" i="1"/>
  <c r="X56" i="1" s="1"/>
  <c r="AH57" i="1"/>
  <c r="AH58" i="1"/>
  <c r="X58" i="1" s="1"/>
  <c r="AH60" i="1"/>
  <c r="AH61" i="1"/>
  <c r="X61" i="1" s="1"/>
  <c r="AH62" i="1"/>
  <c r="AH63" i="1"/>
  <c r="X63" i="1" s="1"/>
  <c r="AH64" i="1"/>
  <c r="X64" i="1" s="1"/>
  <c r="AB64" i="1" s="1"/>
  <c r="AH65" i="1"/>
  <c r="X65" i="1" s="1"/>
  <c r="AH66" i="1"/>
  <c r="AH67" i="1"/>
  <c r="X67" i="1" s="1"/>
  <c r="AH68" i="1"/>
  <c r="AH69" i="1"/>
  <c r="X69" i="1" s="1"/>
  <c r="AH70" i="1"/>
  <c r="AH71" i="1"/>
  <c r="X71" i="1" s="1"/>
  <c r="AH72" i="1"/>
  <c r="AH73" i="1"/>
  <c r="X73" i="1" s="1"/>
  <c r="AH74" i="1"/>
  <c r="AH75" i="1"/>
  <c r="X75" i="1" s="1"/>
  <c r="AH76" i="1"/>
  <c r="X76" i="1" s="1"/>
  <c r="AH77" i="1"/>
  <c r="X77" i="1" s="1"/>
  <c r="AH78" i="1"/>
  <c r="X78" i="1" s="1"/>
  <c r="AH79" i="1"/>
  <c r="X79" i="1" s="1"/>
  <c r="AH80" i="1"/>
  <c r="AH81" i="1"/>
  <c r="X81" i="1" s="1"/>
  <c r="AH82" i="1"/>
  <c r="AH83" i="1"/>
  <c r="X83" i="1" s="1"/>
  <c r="AH84" i="1"/>
  <c r="AH85" i="1"/>
  <c r="X85" i="1" s="1"/>
  <c r="AH86" i="1"/>
  <c r="AH87" i="1"/>
  <c r="X87" i="1" s="1"/>
  <c r="AH88" i="1"/>
  <c r="AH89" i="1"/>
  <c r="X89" i="1" s="1"/>
  <c r="AH90" i="1"/>
  <c r="AH91" i="1"/>
  <c r="X91" i="1" s="1"/>
  <c r="AH92" i="1"/>
  <c r="AH93" i="1"/>
  <c r="X93" i="1" s="1"/>
  <c r="AH94" i="1"/>
  <c r="X94" i="1" s="1"/>
  <c r="AH95" i="1"/>
  <c r="X95" i="1" s="1"/>
  <c r="AH96" i="1"/>
  <c r="AH97" i="1"/>
  <c r="X97" i="1" s="1"/>
  <c r="AH98" i="1"/>
  <c r="AH100" i="1"/>
  <c r="X100" i="1" s="1"/>
  <c r="AH101" i="1"/>
  <c r="AH102" i="1"/>
  <c r="X102" i="1" s="1"/>
  <c r="AH103" i="1"/>
  <c r="AH104" i="1"/>
  <c r="X104" i="1" s="1"/>
  <c r="AH105" i="1"/>
  <c r="X105" i="1" s="1"/>
  <c r="AB105" i="1" s="1"/>
  <c r="AH106" i="1"/>
  <c r="X106" i="1" s="1"/>
  <c r="AH107" i="1"/>
  <c r="X107" i="1" s="1"/>
  <c r="AH108" i="1"/>
  <c r="X108" i="1" s="1"/>
  <c r="AH109" i="1"/>
  <c r="X109" i="1" s="1"/>
  <c r="AH110" i="1"/>
  <c r="X110" i="1" s="1"/>
  <c r="AH111" i="1"/>
  <c r="AH112" i="1"/>
  <c r="X112" i="1" s="1"/>
  <c r="AH113" i="1"/>
  <c r="X113" i="1" s="1"/>
  <c r="AB113" i="1" s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4" i="1"/>
  <c r="X124" i="1" s="1"/>
  <c r="AH125" i="1"/>
  <c r="X125" i="1" s="1"/>
  <c r="AH126" i="1"/>
  <c r="X126" i="1" s="1"/>
  <c r="AH127" i="1"/>
  <c r="X127" i="1" s="1"/>
  <c r="AH128" i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B138" i="1" s="1"/>
  <c r="AH139" i="1"/>
  <c r="X139" i="1" s="1"/>
  <c r="AH140" i="1"/>
  <c r="X140" i="1" s="1"/>
  <c r="AH141" i="1"/>
  <c r="X141" i="1" s="1"/>
  <c r="AH142" i="1"/>
  <c r="X142" i="1" s="1"/>
  <c r="AH143" i="1"/>
  <c r="X143" i="1" s="1"/>
  <c r="AH145" i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B163" i="1" s="1"/>
  <c r="AH164" i="1"/>
  <c r="X164" i="1" s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B187" i="1" s="1"/>
  <c r="AH188" i="1"/>
  <c r="X188" i="1" s="1"/>
  <c r="AH189" i="1"/>
  <c r="X189" i="1" s="1"/>
  <c r="AH190" i="1"/>
  <c r="X190" i="1" s="1"/>
  <c r="AH191" i="1"/>
  <c r="X191" i="1" s="1"/>
  <c r="AH192" i="1"/>
  <c r="X192" i="1" s="1"/>
  <c r="AH193" i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AH210" i="1"/>
  <c r="X210" i="1" s="1"/>
  <c r="AH211" i="1"/>
  <c r="X211" i="1" s="1"/>
  <c r="AB211" i="1" s="1"/>
  <c r="AH212" i="1"/>
  <c r="X212" i="1" s="1"/>
  <c r="AH213" i="1"/>
  <c r="X213" i="1" s="1"/>
  <c r="AH214" i="1"/>
  <c r="X214" i="1" s="1"/>
  <c r="AH215" i="1"/>
  <c r="X215" i="1" s="1"/>
  <c r="AH216" i="1"/>
  <c r="X216" i="1" s="1"/>
  <c r="AH217" i="1"/>
  <c r="X217" i="1" s="1"/>
  <c r="AH218" i="1"/>
  <c r="X218" i="1" s="1"/>
  <c r="AH219" i="1"/>
  <c r="X219" i="1" s="1"/>
  <c r="AB219" i="1" s="1"/>
  <c r="AH220" i="1"/>
  <c r="X220" i="1" s="1"/>
  <c r="AH221" i="1"/>
  <c r="X221" i="1" s="1"/>
  <c r="AH222" i="1"/>
  <c r="X222" i="1" s="1"/>
  <c r="AH223" i="1"/>
  <c r="X223" i="1" s="1"/>
  <c r="AH224" i="1"/>
  <c r="X224" i="1" s="1"/>
  <c r="AH225" i="1"/>
  <c r="AH226" i="1"/>
  <c r="X226" i="1" s="1"/>
  <c r="AH227" i="1"/>
  <c r="X227" i="1" s="1"/>
  <c r="AB227" i="1" s="1"/>
  <c r="AH228" i="1"/>
  <c r="X228" i="1" s="1"/>
  <c r="AH229" i="1"/>
  <c r="X229" i="1" s="1"/>
  <c r="AH230" i="1"/>
  <c r="X230" i="1" s="1"/>
  <c r="AH231" i="1"/>
  <c r="X231" i="1" s="1"/>
  <c r="AB231" i="1" s="1"/>
  <c r="AH232" i="1"/>
  <c r="X232" i="1" s="1"/>
  <c r="AH233" i="1"/>
  <c r="X233" i="1" s="1"/>
  <c r="AH234" i="1"/>
  <c r="X234" i="1" s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AH242" i="1"/>
  <c r="X242" i="1" s="1"/>
  <c r="AH243" i="1"/>
  <c r="X243" i="1" s="1"/>
  <c r="AB243" i="1" s="1"/>
  <c r="AH244" i="1"/>
  <c r="X244" i="1" s="1"/>
  <c r="AH245" i="1"/>
  <c r="X245" i="1" s="1"/>
  <c r="AH246" i="1"/>
  <c r="X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AH290" i="1"/>
  <c r="X290" i="1" s="1"/>
  <c r="AH291" i="1"/>
  <c r="X291" i="1" s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A297" i="1" s="1"/>
  <c r="AH298" i="1"/>
  <c r="X298" i="1" s="1"/>
  <c r="AH299" i="1"/>
  <c r="X299" i="1" s="1"/>
  <c r="AB299" i="1" s="1"/>
  <c r="AH300" i="1"/>
  <c r="X300" i="1" s="1"/>
  <c r="AH301" i="1"/>
  <c r="X301" i="1" s="1"/>
  <c r="AH302" i="1"/>
  <c r="X302" i="1" s="1"/>
  <c r="AH303" i="1"/>
  <c r="X303" i="1" s="1"/>
  <c r="AH304" i="1"/>
  <c r="X304" i="1" s="1"/>
  <c r="AH305" i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B331" i="1" s="1"/>
  <c r="AH332" i="1"/>
  <c r="X332" i="1" s="1"/>
  <c r="AH333" i="1"/>
  <c r="X333" i="1" s="1"/>
  <c r="AH334" i="1"/>
  <c r="X334" i="1" s="1"/>
  <c r="AH335" i="1"/>
  <c r="X335" i="1" s="1"/>
  <c r="AH336" i="1"/>
  <c r="X336" i="1" s="1"/>
  <c r="AH337" i="1"/>
  <c r="AH338" i="1"/>
  <c r="X338" i="1" s="1"/>
  <c r="AH339" i="1"/>
  <c r="X339" i="1" s="1"/>
  <c r="AB339" i="1" s="1"/>
  <c r="AH340" i="1"/>
  <c r="X340" i="1" s="1"/>
  <c r="AH341" i="1"/>
  <c r="X341" i="1" s="1"/>
  <c r="AH342" i="1"/>
  <c r="X342" i="1" s="1"/>
  <c r="AH343" i="1"/>
  <c r="X343" i="1" s="1"/>
  <c r="AB343" i="1" s="1"/>
  <c r="AH344" i="1"/>
  <c r="X344" i="1" s="1"/>
  <c r="AH345" i="1"/>
  <c r="X345" i="1" s="1"/>
  <c r="AH346" i="1"/>
  <c r="X346" i="1" s="1"/>
  <c r="AH347" i="1"/>
  <c r="X347" i="1" s="1"/>
  <c r="AH348" i="1"/>
  <c r="X348" i="1" s="1"/>
  <c r="AH349" i="1"/>
  <c r="X349" i="1" s="1"/>
  <c r="AH350" i="1"/>
  <c r="X350" i="1" s="1"/>
  <c r="AH351" i="1"/>
  <c r="X351" i="1" s="1"/>
  <c r="AB351" i="1" s="1"/>
  <c r="AH352" i="1"/>
  <c r="X352" i="1" s="1"/>
  <c r="AH353" i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B371" i="1" s="1"/>
  <c r="AH372" i="1"/>
  <c r="X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AH386" i="1"/>
  <c r="X386" i="1" s="1"/>
  <c r="AH387" i="1"/>
  <c r="X387" i="1" s="1"/>
  <c r="AB387" i="1" s="1"/>
  <c r="AH388" i="1"/>
  <c r="X388" i="1" s="1"/>
  <c r="AH389" i="1"/>
  <c r="X389" i="1" s="1"/>
  <c r="AH390" i="1"/>
  <c r="X390" i="1" s="1"/>
  <c r="AH391" i="1"/>
  <c r="X391" i="1" s="1"/>
  <c r="AH392" i="1"/>
  <c r="X392" i="1" s="1"/>
  <c r="AH393" i="1"/>
  <c r="X393" i="1" s="1"/>
  <c r="AB393" i="1" s="1"/>
  <c r="AH394" i="1"/>
  <c r="X394" i="1" s="1"/>
  <c r="AH395" i="1"/>
  <c r="X395" i="1" s="1"/>
  <c r="AB395" i="1" s="1"/>
  <c r="AH396" i="1"/>
  <c r="X396" i="1" s="1"/>
  <c r="AH397" i="1"/>
  <c r="X397" i="1" s="1"/>
  <c r="AB397" i="1" s="1"/>
  <c r="AH398" i="1"/>
  <c r="X398" i="1" s="1"/>
  <c r="AH399" i="1"/>
  <c r="X399" i="1" s="1"/>
  <c r="AB399" i="1" s="1"/>
  <c r="AH400" i="1"/>
  <c r="X400" i="1" s="1"/>
  <c r="AH401" i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AH418" i="1"/>
  <c r="X418" i="1" s="1"/>
  <c r="AH419" i="1"/>
  <c r="X419" i="1" s="1"/>
  <c r="AH420" i="1"/>
  <c r="X420" i="1" s="1"/>
  <c r="AH421" i="1"/>
  <c r="X421" i="1" s="1"/>
  <c r="AB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AH430" i="1"/>
  <c r="X430" i="1" s="1"/>
  <c r="AH431" i="1"/>
  <c r="X431" i="1" s="1"/>
  <c r="AH433" i="1"/>
  <c r="X433" i="1" s="1"/>
  <c r="AH434" i="1"/>
  <c r="X434" i="1" s="1"/>
  <c r="AH435" i="1"/>
  <c r="X435" i="1" s="1"/>
  <c r="AH436" i="1"/>
  <c r="X436" i="1" s="1"/>
  <c r="AH437" i="1"/>
  <c r="X437" i="1" s="1"/>
  <c r="AH438" i="1"/>
  <c r="AH439" i="1"/>
  <c r="X439" i="1" s="1"/>
  <c r="AH440" i="1"/>
  <c r="X440" i="1" s="1"/>
  <c r="AB440" i="1" s="1"/>
  <c r="AH441" i="1"/>
  <c r="X441" i="1" s="1"/>
  <c r="AH442" i="1"/>
  <c r="X442" i="1" s="1"/>
  <c r="AH443" i="1"/>
  <c r="X443" i="1" s="1"/>
  <c r="AH444" i="1"/>
  <c r="X444" i="1" s="1"/>
  <c r="AH445" i="1"/>
  <c r="X445" i="1" s="1"/>
  <c r="AH446" i="1"/>
  <c r="AG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B452" i="1" s="1"/>
  <c r="AH453" i="1"/>
  <c r="X453" i="1" s="1"/>
  <c r="AH454" i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B476" i="1" s="1"/>
  <c r="AH477" i="1"/>
  <c r="X477" i="1" s="1"/>
  <c r="AH478" i="1"/>
  <c r="AH479" i="1"/>
  <c r="X479" i="1" s="1"/>
  <c r="AH480" i="1"/>
  <c r="X480" i="1" s="1"/>
  <c r="AB480" i="1" s="1"/>
  <c r="AH481" i="1"/>
  <c r="X481" i="1" s="1"/>
  <c r="AH482" i="1"/>
  <c r="X482" i="1" s="1"/>
  <c r="AH483" i="1"/>
  <c r="X483" i="1" s="1"/>
  <c r="AH484" i="1"/>
  <c r="X484" i="1" s="1"/>
  <c r="AH485" i="1"/>
  <c r="X485" i="1" s="1"/>
  <c r="AH486" i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B492" i="1" s="1"/>
  <c r="AH493" i="1"/>
  <c r="X493" i="1" s="1"/>
  <c r="AH494" i="1"/>
  <c r="AH495" i="1"/>
  <c r="X495" i="1" s="1"/>
  <c r="AH496" i="1"/>
  <c r="X496" i="1" s="1"/>
  <c r="AH497" i="1"/>
  <c r="X497" i="1" s="1"/>
  <c r="AH498" i="1"/>
  <c r="X498" i="1" s="1"/>
  <c r="AB498" i="1" s="1"/>
  <c r="AH499" i="1"/>
  <c r="X499" i="1" s="1"/>
  <c r="AH500" i="1"/>
  <c r="X500" i="1" s="1"/>
  <c r="AB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AH519" i="1"/>
  <c r="X519" i="1" s="1"/>
  <c r="AH520" i="1"/>
  <c r="X520" i="1" s="1"/>
  <c r="AH521" i="1"/>
  <c r="X521" i="1" s="1"/>
  <c r="AH522" i="1"/>
  <c r="X522" i="1" s="1"/>
  <c r="Y522" i="1" s="1"/>
  <c r="AH523" i="1"/>
  <c r="X523" i="1" s="1"/>
  <c r="AH524" i="1"/>
  <c r="X524" i="1" s="1"/>
  <c r="AH525" i="1"/>
  <c r="X525" i="1" s="1"/>
  <c r="AH526" i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AH535" i="1"/>
  <c r="X535" i="1" s="1"/>
  <c r="AH536" i="1"/>
  <c r="X536" i="1" s="1"/>
  <c r="AH537" i="1"/>
  <c r="X537" i="1" s="1"/>
  <c r="AH538" i="1"/>
  <c r="X538" i="1" s="1"/>
  <c r="Y538" i="1" s="1"/>
  <c r="AH539" i="1"/>
  <c r="X539" i="1" s="1"/>
  <c r="AH540" i="1"/>
  <c r="X540" i="1" s="1"/>
  <c r="AH541" i="1"/>
  <c r="X541" i="1" s="1"/>
  <c r="AH542" i="1"/>
  <c r="AH543" i="1"/>
  <c r="X543" i="1" s="1"/>
  <c r="AH544" i="1"/>
  <c r="X544" i="1" s="1"/>
  <c r="AH545" i="1"/>
  <c r="X545" i="1" s="1"/>
  <c r="AH546" i="1"/>
  <c r="X546" i="1" s="1"/>
  <c r="AA546" i="1" s="1"/>
  <c r="AH547" i="1"/>
  <c r="X547" i="1" s="1"/>
  <c r="AH548" i="1"/>
  <c r="X548" i="1" s="1"/>
  <c r="AH549" i="1"/>
  <c r="X549" i="1" s="1"/>
  <c r="AH550" i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AH567" i="1"/>
  <c r="X567" i="1" s="1"/>
  <c r="AA567" i="1" s="1"/>
  <c r="AH568" i="1"/>
  <c r="X568" i="1" s="1"/>
  <c r="AH569" i="1"/>
  <c r="X569" i="1" s="1"/>
  <c r="AH570" i="1"/>
  <c r="X570" i="1" s="1"/>
  <c r="AA570" i="1" s="1"/>
  <c r="AH571" i="1"/>
  <c r="X571" i="1" s="1"/>
  <c r="AH572" i="1"/>
  <c r="X572" i="1" s="1"/>
  <c r="AH573" i="1"/>
  <c r="X573" i="1" s="1"/>
  <c r="AH574" i="1"/>
  <c r="AH575" i="1"/>
  <c r="X575" i="1" s="1"/>
  <c r="AA575" i="1" s="1"/>
  <c r="AH576" i="1"/>
  <c r="X576" i="1" s="1"/>
  <c r="AH577" i="1"/>
  <c r="X577" i="1" s="1"/>
  <c r="AH578" i="1"/>
  <c r="X578" i="1" s="1"/>
  <c r="AA578" i="1" s="1"/>
  <c r="AH579" i="1"/>
  <c r="X579" i="1" s="1"/>
  <c r="AH580" i="1"/>
  <c r="X580" i="1" s="1"/>
  <c r="AH581" i="1"/>
  <c r="X581" i="1" s="1"/>
  <c r="AH582" i="1"/>
  <c r="AH583" i="1"/>
  <c r="X583" i="1" s="1"/>
  <c r="AA583" i="1" s="1"/>
  <c r="AH584" i="1"/>
  <c r="X584" i="1" s="1"/>
  <c r="AH585" i="1"/>
  <c r="X585" i="1" s="1"/>
  <c r="AH586" i="1"/>
  <c r="X586" i="1" s="1"/>
  <c r="AA586" i="1" s="1"/>
  <c r="AH587" i="1"/>
  <c r="X587" i="1" s="1"/>
  <c r="AH588" i="1"/>
  <c r="X588" i="1" s="1"/>
  <c r="AH589" i="1"/>
  <c r="X589" i="1" s="1"/>
  <c r="AH590" i="1"/>
  <c r="AH591" i="1"/>
  <c r="X591" i="1" s="1"/>
  <c r="AA591" i="1" s="1"/>
  <c r="AH592" i="1"/>
  <c r="X592" i="1" s="1"/>
  <c r="AH593" i="1"/>
  <c r="X593" i="1" s="1"/>
  <c r="AH594" i="1"/>
  <c r="X594" i="1" s="1"/>
  <c r="AA594" i="1" s="1"/>
  <c r="AH595" i="1"/>
  <c r="X595" i="1" s="1"/>
  <c r="AH596" i="1"/>
  <c r="X596" i="1" s="1"/>
  <c r="AH597" i="1"/>
  <c r="X597" i="1" s="1"/>
  <c r="AH598" i="1"/>
  <c r="AH599" i="1"/>
  <c r="X599" i="1" s="1"/>
  <c r="AA599" i="1" s="1"/>
  <c r="AH600" i="1"/>
  <c r="X600" i="1" s="1"/>
  <c r="AH601" i="1"/>
  <c r="X601" i="1" s="1"/>
  <c r="AH602" i="1"/>
  <c r="X602" i="1" s="1"/>
  <c r="AA602" i="1" s="1"/>
  <c r="AH603" i="1"/>
  <c r="X603" i="1" s="1"/>
  <c r="AH604" i="1"/>
  <c r="X604" i="1" s="1"/>
  <c r="AH605" i="1"/>
  <c r="X605" i="1" s="1"/>
  <c r="AH606" i="1"/>
  <c r="AH607" i="1"/>
  <c r="X607" i="1" s="1"/>
  <c r="AA607" i="1" s="1"/>
  <c r="AH608" i="1"/>
  <c r="X608" i="1" s="1"/>
  <c r="AH609" i="1"/>
  <c r="X609" i="1" s="1"/>
  <c r="AH610" i="1"/>
  <c r="X610" i="1" s="1"/>
  <c r="AA610" i="1" s="1"/>
  <c r="AH611" i="1"/>
  <c r="X611" i="1" s="1"/>
  <c r="AH612" i="1"/>
  <c r="X612" i="1" s="1"/>
  <c r="AH613" i="1"/>
  <c r="X613" i="1" s="1"/>
  <c r="AH614" i="1"/>
  <c r="AH615" i="1"/>
  <c r="X615" i="1" s="1"/>
  <c r="AA615" i="1" s="1"/>
  <c r="AH616" i="1"/>
  <c r="X616" i="1" s="1"/>
  <c r="AH617" i="1"/>
  <c r="X617" i="1" s="1"/>
  <c r="AH618" i="1"/>
  <c r="X618" i="1" s="1"/>
  <c r="AA618" i="1" s="1"/>
  <c r="AH619" i="1"/>
  <c r="X619" i="1" s="1"/>
  <c r="AH620" i="1"/>
  <c r="X620" i="1" s="1"/>
  <c r="AH621" i="1"/>
  <c r="X621" i="1" s="1"/>
  <c r="AH622" i="1"/>
  <c r="AH623" i="1"/>
  <c r="X623" i="1" s="1"/>
  <c r="AA623" i="1" s="1"/>
  <c r="AH624" i="1"/>
  <c r="X624" i="1" s="1"/>
  <c r="AH625" i="1"/>
  <c r="X625" i="1" s="1"/>
  <c r="AH626" i="1"/>
  <c r="X626" i="1" s="1"/>
  <c r="AA626" i="1" s="1"/>
  <c r="AH627" i="1"/>
  <c r="X627" i="1" s="1"/>
  <c r="AH628" i="1"/>
  <c r="X628" i="1" s="1"/>
  <c r="AH629" i="1"/>
  <c r="X629" i="1" s="1"/>
  <c r="AH630" i="1"/>
  <c r="AH631" i="1"/>
  <c r="X631" i="1" s="1"/>
  <c r="AA631" i="1" s="1"/>
  <c r="AH632" i="1"/>
  <c r="X632" i="1" s="1"/>
  <c r="AB632" i="1" s="1"/>
  <c r="AH633" i="1"/>
  <c r="X633" i="1" s="1"/>
  <c r="AH634" i="1"/>
  <c r="X634" i="1" s="1"/>
  <c r="AB634" i="1" s="1"/>
  <c r="AH635" i="1"/>
  <c r="X635" i="1" s="1"/>
  <c r="AH636" i="1"/>
  <c r="X636" i="1" s="1"/>
  <c r="AB636" i="1" s="1"/>
  <c r="AH637" i="1"/>
  <c r="X637" i="1" s="1"/>
  <c r="AH638" i="1"/>
  <c r="AH639" i="1"/>
  <c r="X639" i="1" s="1"/>
  <c r="AA639" i="1" s="1"/>
  <c r="AH640" i="1"/>
  <c r="X640" i="1" s="1"/>
  <c r="AB640" i="1" s="1"/>
  <c r="AH641" i="1"/>
  <c r="X641" i="1" s="1"/>
  <c r="AH642" i="1"/>
  <c r="X642" i="1" s="1"/>
  <c r="AB642" i="1" s="1"/>
  <c r="AH643" i="1"/>
  <c r="X643" i="1" s="1"/>
  <c r="AH644" i="1"/>
  <c r="X644" i="1" s="1"/>
  <c r="AB644" i="1" s="1"/>
  <c r="AH645" i="1"/>
  <c r="X645" i="1" s="1"/>
  <c r="AH646" i="1"/>
  <c r="AH647" i="1"/>
  <c r="X647" i="1" s="1"/>
  <c r="AA647" i="1" s="1"/>
  <c r="AH648" i="1"/>
  <c r="X648" i="1" s="1"/>
  <c r="AH649" i="1"/>
  <c r="X649" i="1" s="1"/>
  <c r="AH650" i="1"/>
  <c r="X650" i="1" s="1"/>
  <c r="AB650" i="1" s="1"/>
  <c r="AH651" i="1"/>
  <c r="X651" i="1" s="1"/>
  <c r="AH652" i="1"/>
  <c r="X652" i="1" s="1"/>
  <c r="AB652" i="1" s="1"/>
  <c r="AH653" i="1"/>
  <c r="X653" i="1" s="1"/>
  <c r="AH654" i="1"/>
  <c r="AH655" i="1"/>
  <c r="X655" i="1" s="1"/>
  <c r="AA655" i="1" s="1"/>
  <c r="AH656" i="1"/>
  <c r="X656" i="1" s="1"/>
  <c r="AB656" i="1" s="1"/>
  <c r="AH657" i="1"/>
  <c r="X657" i="1" s="1"/>
  <c r="AH658" i="1"/>
  <c r="X658" i="1" s="1"/>
  <c r="AB658" i="1" s="1"/>
  <c r="AH659" i="1"/>
  <c r="X659" i="1" s="1"/>
  <c r="AH660" i="1"/>
  <c r="X660" i="1" s="1"/>
  <c r="AH661" i="1"/>
  <c r="X661" i="1" s="1"/>
  <c r="AH662" i="1"/>
  <c r="AH663" i="1"/>
  <c r="X663" i="1" s="1"/>
  <c r="AA663" i="1" s="1"/>
  <c r="AH664" i="1"/>
  <c r="X664" i="1" s="1"/>
  <c r="AH665" i="1"/>
  <c r="X665" i="1" s="1"/>
  <c r="AB665" i="1" s="1"/>
  <c r="AH666" i="1"/>
  <c r="X666" i="1" s="1"/>
  <c r="AB666" i="1" s="1"/>
  <c r="AH667" i="1"/>
  <c r="X667" i="1" s="1"/>
  <c r="AB667" i="1" s="1"/>
  <c r="AH668" i="1"/>
  <c r="X668" i="1" s="1"/>
  <c r="AB668" i="1" s="1"/>
  <c r="AH669" i="1"/>
  <c r="X669" i="1" s="1"/>
  <c r="AB669" i="1" s="1"/>
  <c r="AH670" i="1"/>
  <c r="AH671" i="1"/>
  <c r="X671" i="1" s="1"/>
  <c r="AB671" i="1" s="1"/>
  <c r="AH672" i="1"/>
  <c r="X672" i="1" s="1"/>
  <c r="AB672" i="1" s="1"/>
  <c r="AH673" i="1"/>
  <c r="X673" i="1" s="1"/>
  <c r="AB673" i="1" s="1"/>
  <c r="AH674" i="1"/>
  <c r="X674" i="1" s="1"/>
  <c r="AB674" i="1" s="1"/>
  <c r="AH675" i="1"/>
  <c r="X675" i="1" s="1"/>
  <c r="AB675" i="1" s="1"/>
  <c r="AH676" i="1"/>
  <c r="X676" i="1" s="1"/>
  <c r="AH677" i="1"/>
  <c r="X677" i="1" s="1"/>
  <c r="AB677" i="1" s="1"/>
  <c r="AH678" i="1"/>
  <c r="AH679" i="1"/>
  <c r="X679" i="1" s="1"/>
  <c r="AB679" i="1" s="1"/>
  <c r="AH680" i="1"/>
  <c r="X680" i="1" s="1"/>
  <c r="AH681" i="1"/>
  <c r="X681" i="1" s="1"/>
  <c r="AB681" i="1" s="1"/>
  <c r="AH682" i="1"/>
  <c r="X682" i="1" s="1"/>
  <c r="AB682" i="1" s="1"/>
  <c r="AH683" i="1"/>
  <c r="X683" i="1" s="1"/>
  <c r="AB683" i="1" s="1"/>
  <c r="AH684" i="1"/>
  <c r="X684" i="1" s="1"/>
  <c r="AB684" i="1" s="1"/>
  <c r="AH685" i="1"/>
  <c r="X685" i="1" s="1"/>
  <c r="AB685" i="1" s="1"/>
  <c r="AH686" i="1"/>
  <c r="AH687" i="1"/>
  <c r="X687" i="1" s="1"/>
  <c r="AB687" i="1" s="1"/>
  <c r="AH688" i="1"/>
  <c r="X688" i="1" s="1"/>
  <c r="AB688" i="1" s="1"/>
  <c r="AH689" i="1"/>
  <c r="X689" i="1" s="1"/>
  <c r="AB689" i="1" s="1"/>
  <c r="AH690" i="1"/>
  <c r="X690" i="1" s="1"/>
  <c r="AH691" i="1"/>
  <c r="X691" i="1" s="1"/>
  <c r="AB691" i="1" s="1"/>
  <c r="AH692" i="1"/>
  <c r="X692" i="1" s="1"/>
  <c r="AH693" i="1"/>
  <c r="X693" i="1" s="1"/>
  <c r="AB693" i="1" s="1"/>
  <c r="AH694" i="1"/>
  <c r="AH695" i="1"/>
  <c r="X695" i="1" s="1"/>
  <c r="AB695" i="1" s="1"/>
  <c r="AH696" i="1"/>
  <c r="X696" i="1" s="1"/>
  <c r="AB696" i="1" s="1"/>
  <c r="AH697" i="1"/>
  <c r="X697" i="1" s="1"/>
  <c r="AB697" i="1" s="1"/>
  <c r="AH698" i="1"/>
  <c r="X698" i="1" s="1"/>
  <c r="AH699" i="1"/>
  <c r="X699" i="1" s="1"/>
  <c r="AB699" i="1" s="1"/>
  <c r="AH700" i="1"/>
  <c r="X700" i="1" s="1"/>
  <c r="AH701" i="1"/>
  <c r="X701" i="1" s="1"/>
  <c r="AB701" i="1" s="1"/>
  <c r="AH702" i="1"/>
  <c r="AH703" i="1"/>
  <c r="X703" i="1" s="1"/>
  <c r="AB703" i="1" s="1"/>
  <c r="AH704" i="1"/>
  <c r="X704" i="1" s="1"/>
  <c r="AH705" i="1"/>
  <c r="X705" i="1" s="1"/>
  <c r="AB705" i="1" s="1"/>
  <c r="AH706" i="1"/>
  <c r="X706" i="1" s="1"/>
  <c r="AB706" i="1" s="1"/>
  <c r="AH707" i="1"/>
  <c r="X707" i="1" s="1"/>
  <c r="AB707" i="1" s="1"/>
  <c r="AH708" i="1"/>
  <c r="X708" i="1" s="1"/>
  <c r="AH709" i="1"/>
  <c r="X709" i="1" s="1"/>
  <c r="AB709" i="1" s="1"/>
  <c r="AH710" i="1"/>
  <c r="AH711" i="1"/>
  <c r="X711" i="1" s="1"/>
  <c r="AB711" i="1" s="1"/>
  <c r="AH712" i="1"/>
  <c r="X712" i="1" s="1"/>
  <c r="AH713" i="1"/>
  <c r="X713" i="1" s="1"/>
  <c r="AB713" i="1" s="1"/>
  <c r="AH714" i="1"/>
  <c r="X714" i="1" s="1"/>
  <c r="AB714" i="1" s="1"/>
  <c r="AH715" i="1"/>
  <c r="X715" i="1" s="1"/>
  <c r="AB715" i="1" s="1"/>
  <c r="AH716" i="1"/>
  <c r="X716" i="1" s="1"/>
  <c r="AB716" i="1" s="1"/>
  <c r="AH717" i="1"/>
  <c r="X717" i="1" s="1"/>
  <c r="AB717" i="1" s="1"/>
  <c r="AH718" i="1"/>
  <c r="AH719" i="1"/>
  <c r="X719" i="1" s="1"/>
  <c r="AB719" i="1" s="1"/>
  <c r="AH720" i="1"/>
  <c r="X720" i="1" s="1"/>
  <c r="AB720" i="1" s="1"/>
  <c r="AH721" i="1"/>
  <c r="X721" i="1" s="1"/>
  <c r="AB721" i="1" s="1"/>
  <c r="AH722" i="1"/>
  <c r="X722" i="1" s="1"/>
  <c r="Y722" i="1" s="1"/>
  <c r="AH723" i="1"/>
  <c r="X723" i="1" s="1"/>
  <c r="AB723" i="1" s="1"/>
  <c r="AH724" i="1"/>
  <c r="X724" i="1" s="1"/>
  <c r="AB724" i="1" s="1"/>
  <c r="AH725" i="1"/>
  <c r="X725" i="1" s="1"/>
  <c r="AB725" i="1" s="1"/>
  <c r="AH726" i="1"/>
  <c r="AH727" i="1"/>
  <c r="X727" i="1" s="1"/>
  <c r="AB727" i="1" s="1"/>
  <c r="AH728" i="1"/>
  <c r="X728" i="1" s="1"/>
  <c r="AH729" i="1"/>
  <c r="X729" i="1" s="1"/>
  <c r="AB729" i="1" s="1"/>
  <c r="AH730" i="1"/>
  <c r="X730" i="1" s="1"/>
  <c r="AA730" i="1" s="1"/>
  <c r="AH731" i="1"/>
  <c r="X731" i="1" s="1"/>
  <c r="AB731" i="1" s="1"/>
  <c r="AH732" i="1"/>
  <c r="X732" i="1" s="1"/>
  <c r="AH733" i="1"/>
  <c r="X733" i="1" s="1"/>
  <c r="AB733" i="1" s="1"/>
  <c r="AH734" i="1"/>
  <c r="AH735" i="1"/>
  <c r="X735" i="1" s="1"/>
  <c r="AB735" i="1" s="1"/>
  <c r="AH736" i="1"/>
  <c r="X736" i="1" s="1"/>
  <c r="AH737" i="1"/>
  <c r="X737" i="1" s="1"/>
  <c r="AB737" i="1" s="1"/>
  <c r="AH738" i="1"/>
  <c r="X738" i="1" s="1"/>
  <c r="AA738" i="1" s="1"/>
  <c r="AH739" i="1"/>
  <c r="X739" i="1" s="1"/>
  <c r="AB739" i="1" s="1"/>
  <c r="AH740" i="1"/>
  <c r="X740" i="1" s="1"/>
  <c r="AH741" i="1"/>
  <c r="X741" i="1" s="1"/>
  <c r="AB741" i="1" s="1"/>
  <c r="AH742" i="1"/>
  <c r="AH743" i="1"/>
  <c r="X743" i="1" s="1"/>
  <c r="AB743" i="1" s="1"/>
  <c r="AH744" i="1"/>
  <c r="X744" i="1" s="1"/>
  <c r="AH745" i="1"/>
  <c r="X745" i="1" s="1"/>
  <c r="AB745" i="1" s="1"/>
  <c r="AH746" i="1"/>
  <c r="X746" i="1" s="1"/>
  <c r="AA746" i="1" s="1"/>
  <c r="AH747" i="1"/>
  <c r="X747" i="1" s="1"/>
  <c r="AB747" i="1" s="1"/>
  <c r="AH748" i="1"/>
  <c r="X748" i="1" s="1"/>
  <c r="AB748" i="1" s="1"/>
  <c r="AH749" i="1"/>
  <c r="X749" i="1" s="1"/>
  <c r="AB749" i="1" s="1"/>
  <c r="AH750" i="1"/>
  <c r="AH751" i="1"/>
  <c r="X751" i="1" s="1"/>
  <c r="AB751" i="1" s="1"/>
  <c r="AH752" i="1"/>
  <c r="X752" i="1" s="1"/>
  <c r="AB752" i="1" s="1"/>
  <c r="AH753" i="1"/>
  <c r="X753" i="1" s="1"/>
  <c r="AB753" i="1" s="1"/>
  <c r="AH754" i="1"/>
  <c r="X754" i="1" s="1"/>
  <c r="Y754" i="1" s="1"/>
  <c r="AH755" i="1"/>
  <c r="X755" i="1" s="1"/>
  <c r="AB755" i="1" s="1"/>
  <c r="AH756" i="1"/>
  <c r="X756" i="1" s="1"/>
  <c r="AB756" i="1" s="1"/>
  <c r="AH757" i="1"/>
  <c r="X757" i="1" s="1"/>
  <c r="AB757" i="1" s="1"/>
  <c r="AH758" i="1"/>
  <c r="AH759" i="1"/>
  <c r="X759" i="1" s="1"/>
  <c r="AB759" i="1" s="1"/>
  <c r="AH760" i="1"/>
  <c r="X760" i="1" s="1"/>
  <c r="AB760" i="1" s="1"/>
  <c r="AH761" i="1"/>
  <c r="X761" i="1" s="1"/>
  <c r="AB761" i="1" s="1"/>
  <c r="AH762" i="1"/>
  <c r="X762" i="1" s="1"/>
  <c r="Y762" i="1" s="1"/>
  <c r="AH763" i="1"/>
  <c r="X763" i="1" s="1"/>
  <c r="AB763" i="1" s="1"/>
  <c r="AH764" i="1"/>
  <c r="X764" i="1" s="1"/>
  <c r="AB764" i="1" s="1"/>
  <c r="AH765" i="1"/>
  <c r="X765" i="1" s="1"/>
  <c r="AB765" i="1" s="1"/>
  <c r="AH766" i="1"/>
  <c r="AH767" i="1"/>
  <c r="X767" i="1" s="1"/>
  <c r="AB767" i="1" s="1"/>
  <c r="AH768" i="1"/>
  <c r="X768" i="1" s="1"/>
  <c r="AH769" i="1"/>
  <c r="X769" i="1" s="1"/>
  <c r="AB769" i="1" s="1"/>
  <c r="AH770" i="1"/>
  <c r="X770" i="1" s="1"/>
  <c r="AA770" i="1" s="1"/>
  <c r="AH771" i="1"/>
  <c r="X771" i="1" s="1"/>
  <c r="AB771" i="1" s="1"/>
  <c r="AH772" i="1"/>
  <c r="X772" i="1" s="1"/>
  <c r="AH773" i="1"/>
  <c r="X773" i="1" s="1"/>
  <c r="AB773" i="1" s="1"/>
  <c r="AH774" i="1"/>
  <c r="AH775" i="1"/>
  <c r="X775" i="1" s="1"/>
  <c r="AB775" i="1" s="1"/>
  <c r="AH776" i="1"/>
  <c r="X776" i="1" s="1"/>
  <c r="AH777" i="1"/>
  <c r="X777" i="1" s="1"/>
  <c r="AB777" i="1" s="1"/>
  <c r="AH778" i="1"/>
  <c r="X778" i="1" s="1"/>
  <c r="AA778" i="1" s="1"/>
  <c r="AH779" i="1"/>
  <c r="X779" i="1" s="1"/>
  <c r="AB779" i="1" s="1"/>
  <c r="AH780" i="1"/>
  <c r="X780" i="1" s="1"/>
  <c r="AH781" i="1"/>
  <c r="X781" i="1" s="1"/>
  <c r="AB781" i="1" s="1"/>
  <c r="AH782" i="1"/>
  <c r="AH783" i="1"/>
  <c r="X783" i="1" s="1"/>
  <c r="AB783" i="1" s="1"/>
  <c r="AH784" i="1"/>
  <c r="X784" i="1" s="1"/>
  <c r="AB784" i="1" s="1"/>
  <c r="AH785" i="1"/>
  <c r="X785" i="1" s="1"/>
  <c r="AB785" i="1" s="1"/>
  <c r="AH786" i="1"/>
  <c r="X786" i="1" s="1"/>
  <c r="Y786" i="1" s="1"/>
  <c r="AH787" i="1"/>
  <c r="X787" i="1" s="1"/>
  <c r="AB787" i="1" s="1"/>
  <c r="AH788" i="1"/>
  <c r="X788" i="1" s="1"/>
  <c r="AB788" i="1" s="1"/>
  <c r="AH789" i="1"/>
  <c r="X789" i="1" s="1"/>
  <c r="AB789" i="1" s="1"/>
  <c r="AH790" i="1"/>
  <c r="AH791" i="1"/>
  <c r="X791" i="1" s="1"/>
  <c r="AB791" i="1" s="1"/>
  <c r="AH792" i="1"/>
  <c r="X792" i="1" s="1"/>
  <c r="AB792" i="1" s="1"/>
  <c r="AH793" i="1"/>
  <c r="X793" i="1" s="1"/>
  <c r="AB793" i="1" s="1"/>
  <c r="AH794" i="1"/>
  <c r="X794" i="1" s="1"/>
  <c r="Y794" i="1" s="1"/>
  <c r="AH795" i="1"/>
  <c r="X795" i="1" s="1"/>
  <c r="AB795" i="1" s="1"/>
  <c r="AH796" i="1"/>
  <c r="X796" i="1" s="1"/>
  <c r="AB796" i="1" s="1"/>
  <c r="AH797" i="1"/>
  <c r="X797" i="1" s="1"/>
  <c r="AB797" i="1" s="1"/>
  <c r="AH798" i="1"/>
  <c r="AH799" i="1"/>
  <c r="X799" i="1" s="1"/>
  <c r="AB799" i="1" s="1"/>
  <c r="AH800" i="1"/>
  <c r="X800" i="1" s="1"/>
  <c r="AB800" i="1" s="1"/>
  <c r="AH801" i="1"/>
  <c r="X801" i="1" s="1"/>
  <c r="AB801" i="1" s="1"/>
  <c r="AH802" i="1"/>
  <c r="X802" i="1" s="1"/>
  <c r="Y802" i="1" s="1"/>
  <c r="AH803" i="1"/>
  <c r="X803" i="1" s="1"/>
  <c r="AB803" i="1" s="1"/>
  <c r="AH804" i="1"/>
  <c r="X804" i="1" s="1"/>
  <c r="AB804" i="1" s="1"/>
  <c r="AH805" i="1"/>
  <c r="X805" i="1" s="1"/>
  <c r="AB805" i="1" s="1"/>
  <c r="AH806" i="1"/>
  <c r="AH807" i="1"/>
  <c r="X807" i="1" s="1"/>
  <c r="AB807" i="1" s="1"/>
  <c r="AH808" i="1"/>
  <c r="X808" i="1" s="1"/>
  <c r="AH809" i="1"/>
  <c r="X809" i="1" s="1"/>
  <c r="AB809" i="1" s="1"/>
  <c r="AH810" i="1"/>
  <c r="X810" i="1" s="1"/>
  <c r="AA810" i="1" s="1"/>
  <c r="AH811" i="1"/>
  <c r="X811" i="1" s="1"/>
  <c r="AB811" i="1" s="1"/>
  <c r="AH812" i="1"/>
  <c r="X812" i="1" s="1"/>
  <c r="AH813" i="1"/>
  <c r="X813" i="1" s="1"/>
  <c r="AB813" i="1" s="1"/>
  <c r="AH814" i="1"/>
  <c r="AH815" i="1"/>
  <c r="X815" i="1" s="1"/>
  <c r="AB815" i="1" s="1"/>
  <c r="AH816" i="1"/>
  <c r="X816" i="1" s="1"/>
  <c r="AH817" i="1"/>
  <c r="X817" i="1" s="1"/>
  <c r="AB817" i="1" s="1"/>
  <c r="AH818" i="1"/>
  <c r="X818" i="1" s="1"/>
  <c r="AA818" i="1" s="1"/>
  <c r="AH819" i="1"/>
  <c r="X819" i="1" s="1"/>
  <c r="AB819" i="1" s="1"/>
  <c r="AH820" i="1"/>
  <c r="X820" i="1" s="1"/>
  <c r="AB820" i="1" s="1"/>
  <c r="AH821" i="1"/>
  <c r="X821" i="1" s="1"/>
  <c r="AB821" i="1" s="1"/>
  <c r="AH822" i="1"/>
  <c r="AH823" i="1"/>
  <c r="X823" i="1" s="1"/>
  <c r="AB823" i="1" s="1"/>
  <c r="AH824" i="1"/>
  <c r="X824" i="1" s="1"/>
  <c r="AH825" i="1"/>
  <c r="X825" i="1" s="1"/>
  <c r="AB825" i="1" s="1"/>
  <c r="AH826" i="1"/>
  <c r="X826" i="1" s="1"/>
  <c r="AA826" i="1" s="1"/>
  <c r="AH827" i="1"/>
  <c r="X827" i="1" s="1"/>
  <c r="AB827" i="1" s="1"/>
  <c r="AH828" i="1"/>
  <c r="X828" i="1" s="1"/>
  <c r="AB828" i="1" s="1"/>
  <c r="AH829" i="1"/>
  <c r="X829" i="1" s="1"/>
  <c r="AB829" i="1" s="1"/>
  <c r="AH830" i="1"/>
  <c r="AH831" i="1"/>
  <c r="X831" i="1" s="1"/>
  <c r="AB831" i="1" s="1"/>
  <c r="AH832" i="1"/>
  <c r="X832" i="1" s="1"/>
  <c r="AB832" i="1" s="1"/>
  <c r="AH833" i="1"/>
  <c r="X833" i="1" s="1"/>
  <c r="AB833" i="1" s="1"/>
  <c r="AH834" i="1"/>
  <c r="X834" i="1" s="1"/>
  <c r="AA834" i="1" s="1"/>
  <c r="AH835" i="1"/>
  <c r="X835" i="1" s="1"/>
  <c r="AB835" i="1" s="1"/>
  <c r="AH836" i="1"/>
  <c r="X836" i="1" s="1"/>
  <c r="AH837" i="1"/>
  <c r="X837" i="1" s="1"/>
  <c r="AB837" i="1" s="1"/>
  <c r="AH838" i="1"/>
  <c r="AH839" i="1"/>
  <c r="X839" i="1" s="1"/>
  <c r="AB839" i="1" s="1"/>
  <c r="AH840" i="1"/>
  <c r="X840" i="1" s="1"/>
  <c r="AH841" i="1"/>
  <c r="X841" i="1" s="1"/>
  <c r="AB841" i="1" s="1"/>
  <c r="AH842" i="1"/>
  <c r="X842" i="1" s="1"/>
  <c r="AA842" i="1" s="1"/>
  <c r="AH843" i="1"/>
  <c r="X843" i="1" s="1"/>
  <c r="AB843" i="1" s="1"/>
  <c r="AH844" i="1"/>
  <c r="X844" i="1" s="1"/>
  <c r="AB844" i="1" s="1"/>
  <c r="AH845" i="1"/>
  <c r="X845" i="1" s="1"/>
  <c r="AB845" i="1" s="1"/>
  <c r="AH846" i="1"/>
  <c r="AH847" i="1"/>
  <c r="X847" i="1" s="1"/>
  <c r="AB847" i="1" s="1"/>
  <c r="AH848" i="1"/>
  <c r="X848" i="1" s="1"/>
  <c r="AB848" i="1" s="1"/>
  <c r="AH849" i="1"/>
  <c r="X849" i="1" s="1"/>
  <c r="AB849" i="1" s="1"/>
  <c r="AH850" i="1"/>
  <c r="X850" i="1" s="1"/>
  <c r="AA850" i="1" s="1"/>
  <c r="AH851" i="1"/>
  <c r="X851" i="1" s="1"/>
  <c r="AB851" i="1" s="1"/>
  <c r="AH852" i="1"/>
  <c r="X852" i="1" s="1"/>
  <c r="AH853" i="1"/>
  <c r="X853" i="1" s="1"/>
  <c r="AB853" i="1" s="1"/>
  <c r="AH854" i="1"/>
  <c r="X854" i="1" s="1"/>
  <c r="AB854" i="1" s="1"/>
  <c r="AH855" i="1"/>
  <c r="X855" i="1" s="1"/>
  <c r="AB855" i="1" s="1"/>
  <c r="AH856" i="1"/>
  <c r="X856" i="1" s="1"/>
  <c r="AH857" i="1"/>
  <c r="X857" i="1" s="1"/>
  <c r="AB857" i="1" s="1"/>
  <c r="AH858" i="1"/>
  <c r="X858" i="1" s="1"/>
  <c r="AA858" i="1" s="1"/>
  <c r="AH859" i="1"/>
  <c r="X859" i="1" s="1"/>
  <c r="AB859" i="1" s="1"/>
  <c r="AH860" i="1"/>
  <c r="X860" i="1" s="1"/>
  <c r="AB860" i="1" s="1"/>
  <c r="AH861" i="1"/>
  <c r="X861" i="1" s="1"/>
  <c r="AB861" i="1" s="1"/>
  <c r="AH862" i="1"/>
  <c r="AH863" i="1"/>
  <c r="X863" i="1" s="1"/>
  <c r="AB863" i="1" s="1"/>
  <c r="AH864" i="1"/>
  <c r="X864" i="1" s="1"/>
  <c r="AB864" i="1" s="1"/>
  <c r="AH865" i="1"/>
  <c r="X865" i="1" s="1"/>
  <c r="AB865" i="1" s="1"/>
  <c r="AH866" i="1"/>
  <c r="X866" i="1" s="1"/>
  <c r="Y866" i="1" s="1"/>
  <c r="AH867" i="1"/>
  <c r="X867" i="1" s="1"/>
  <c r="AB867" i="1" s="1"/>
  <c r="AH868" i="1"/>
  <c r="X868" i="1" s="1"/>
  <c r="AB868" i="1" s="1"/>
  <c r="AH869" i="1"/>
  <c r="X869" i="1" s="1"/>
  <c r="AB869" i="1" s="1"/>
  <c r="AH870" i="1"/>
  <c r="X870" i="1" s="1"/>
  <c r="Y870" i="1" s="1"/>
  <c r="AH871" i="1"/>
  <c r="X871" i="1" s="1"/>
  <c r="AB871" i="1" s="1"/>
  <c r="AH872" i="1"/>
  <c r="X872" i="1" s="1"/>
  <c r="AB872" i="1" s="1"/>
  <c r="AH873" i="1"/>
  <c r="X873" i="1" s="1"/>
  <c r="AB873" i="1" s="1"/>
  <c r="AH874" i="1"/>
  <c r="X874" i="1" s="1"/>
  <c r="AA874" i="1" s="1"/>
  <c r="AH875" i="1"/>
  <c r="X875" i="1" s="1"/>
  <c r="AB875" i="1" s="1"/>
  <c r="AH876" i="1"/>
  <c r="X876" i="1" s="1"/>
  <c r="AH877" i="1"/>
  <c r="X877" i="1" s="1"/>
  <c r="AB877" i="1" s="1"/>
  <c r="AH878" i="1"/>
  <c r="AH879" i="1"/>
  <c r="X879" i="1" s="1"/>
  <c r="AB879" i="1" s="1"/>
  <c r="AH880" i="1"/>
  <c r="X880" i="1" s="1"/>
  <c r="AH881" i="1"/>
  <c r="X881" i="1" s="1"/>
  <c r="AB881" i="1" s="1"/>
  <c r="AH882" i="1"/>
  <c r="X882" i="1" s="1"/>
  <c r="AA882" i="1" s="1"/>
  <c r="AH883" i="1"/>
  <c r="X883" i="1" s="1"/>
  <c r="AB883" i="1" s="1"/>
  <c r="AH884" i="1"/>
  <c r="X884" i="1" s="1"/>
  <c r="AH885" i="1"/>
  <c r="X885" i="1" s="1"/>
  <c r="AB885" i="1" s="1"/>
  <c r="AH886" i="1"/>
  <c r="X886" i="1" s="1"/>
  <c r="AB886" i="1" s="1"/>
  <c r="AH887" i="1"/>
  <c r="X887" i="1" s="1"/>
  <c r="AB887" i="1" s="1"/>
  <c r="AH888" i="1"/>
  <c r="X888" i="1" s="1"/>
  <c r="AH889" i="1"/>
  <c r="X889" i="1" s="1"/>
  <c r="AB889" i="1" s="1"/>
  <c r="AH890" i="1"/>
  <c r="X890" i="1" s="1"/>
  <c r="AA890" i="1" s="1"/>
  <c r="AH891" i="1"/>
  <c r="X891" i="1" s="1"/>
  <c r="AB891" i="1" s="1"/>
  <c r="AH892" i="1"/>
  <c r="X892" i="1" s="1"/>
  <c r="AH893" i="1"/>
  <c r="X893" i="1" s="1"/>
  <c r="AB893" i="1" s="1"/>
  <c r="AH894" i="1"/>
  <c r="AH895" i="1"/>
  <c r="X895" i="1" s="1"/>
  <c r="AB895" i="1" s="1"/>
  <c r="AH896" i="1"/>
  <c r="X896" i="1" s="1"/>
  <c r="AH897" i="1"/>
  <c r="X897" i="1" s="1"/>
  <c r="AB897" i="1" s="1"/>
  <c r="AH898" i="1"/>
  <c r="X898" i="1" s="1"/>
  <c r="AA898" i="1" s="1"/>
  <c r="AH899" i="1"/>
  <c r="X899" i="1" s="1"/>
  <c r="AB899" i="1" s="1"/>
  <c r="AH900" i="1"/>
  <c r="X900" i="1" s="1"/>
  <c r="AH901" i="1"/>
  <c r="X901" i="1" s="1"/>
  <c r="AB901" i="1" s="1"/>
  <c r="AH902" i="1"/>
  <c r="X902" i="1" s="1"/>
  <c r="AB902" i="1" s="1"/>
  <c r="AH903" i="1"/>
  <c r="X903" i="1" s="1"/>
  <c r="AB903" i="1" s="1"/>
  <c r="AH904" i="1"/>
  <c r="X904" i="1" s="1"/>
  <c r="AH905" i="1"/>
  <c r="X905" i="1" s="1"/>
  <c r="AB905" i="1" s="1"/>
  <c r="AH906" i="1"/>
  <c r="X906" i="1" s="1"/>
  <c r="AA906" i="1" s="1"/>
  <c r="AH907" i="1"/>
  <c r="X907" i="1" s="1"/>
  <c r="AB907" i="1" s="1"/>
  <c r="AH908" i="1"/>
  <c r="X908" i="1" s="1"/>
  <c r="AH909" i="1"/>
  <c r="X909" i="1" s="1"/>
  <c r="AB909" i="1" s="1"/>
  <c r="AH910" i="1"/>
  <c r="AH911" i="1"/>
  <c r="X911" i="1" s="1"/>
  <c r="AB911" i="1" s="1"/>
  <c r="AH912" i="1"/>
  <c r="X912" i="1" s="1"/>
  <c r="AH913" i="1"/>
  <c r="X913" i="1" s="1"/>
  <c r="AB913" i="1" s="1"/>
  <c r="AH914" i="1"/>
  <c r="X914" i="1" s="1"/>
  <c r="AA914" i="1" s="1"/>
  <c r="AH915" i="1"/>
  <c r="X915" i="1" s="1"/>
  <c r="AB915" i="1" s="1"/>
  <c r="AH916" i="1"/>
  <c r="X916" i="1" s="1"/>
  <c r="AH917" i="1"/>
  <c r="X917" i="1" s="1"/>
  <c r="AB917" i="1" s="1"/>
  <c r="AH918" i="1"/>
  <c r="X918" i="1" s="1"/>
  <c r="AB918" i="1" s="1"/>
  <c r="AH919" i="1"/>
  <c r="X919" i="1" s="1"/>
  <c r="AB919" i="1" s="1"/>
  <c r="AH920" i="1"/>
  <c r="X920" i="1" s="1"/>
  <c r="AH921" i="1"/>
  <c r="X921" i="1" s="1"/>
  <c r="AB921" i="1" s="1"/>
  <c r="AH922" i="1"/>
  <c r="X922" i="1" s="1"/>
  <c r="AA922" i="1" s="1"/>
  <c r="AH923" i="1"/>
  <c r="X923" i="1" s="1"/>
  <c r="AB923" i="1" s="1"/>
  <c r="AH924" i="1"/>
  <c r="X924" i="1" s="1"/>
  <c r="AH925" i="1"/>
  <c r="X925" i="1" s="1"/>
  <c r="AB925" i="1" s="1"/>
  <c r="AH926" i="1"/>
  <c r="AH927" i="1"/>
  <c r="X927" i="1" s="1"/>
  <c r="AB927" i="1" s="1"/>
  <c r="AH928" i="1"/>
  <c r="X928" i="1" s="1"/>
  <c r="AH929" i="1"/>
  <c r="X929" i="1" s="1"/>
  <c r="AB929" i="1" s="1"/>
  <c r="AH930" i="1"/>
  <c r="X930" i="1" s="1"/>
  <c r="AA930" i="1" s="1"/>
  <c r="AH931" i="1"/>
  <c r="X931" i="1" s="1"/>
  <c r="AB931" i="1" s="1"/>
  <c r="AH932" i="1"/>
  <c r="X932" i="1" s="1"/>
  <c r="AH933" i="1"/>
  <c r="X933" i="1" s="1"/>
  <c r="AB933" i="1" s="1"/>
  <c r="AH934" i="1"/>
  <c r="X934" i="1" s="1"/>
  <c r="Y934" i="1" s="1"/>
  <c r="AH935" i="1"/>
  <c r="X935" i="1" s="1"/>
  <c r="AB935" i="1" s="1"/>
  <c r="AH936" i="1"/>
  <c r="X936" i="1" s="1"/>
  <c r="AB936" i="1" s="1"/>
  <c r="AH937" i="1"/>
  <c r="X937" i="1" s="1"/>
  <c r="AB937" i="1" s="1"/>
  <c r="AH938" i="1"/>
  <c r="X938" i="1" s="1"/>
  <c r="Y938" i="1" s="1"/>
  <c r="AH939" i="1"/>
  <c r="X939" i="1" s="1"/>
  <c r="AB939" i="1" s="1"/>
  <c r="AH940" i="1"/>
  <c r="X940" i="1" s="1"/>
  <c r="AH941" i="1"/>
  <c r="X941" i="1" s="1"/>
  <c r="AB941" i="1" s="1"/>
  <c r="AH942" i="1"/>
  <c r="AH943" i="1"/>
  <c r="X943" i="1" s="1"/>
  <c r="AB943" i="1" s="1"/>
  <c r="AH944" i="1"/>
  <c r="X944" i="1" s="1"/>
  <c r="AG5" i="1"/>
  <c r="AG12" i="1"/>
  <c r="AG17" i="1"/>
  <c r="AG23" i="1"/>
  <c r="AG26" i="1"/>
  <c r="AG28" i="1"/>
  <c r="AG30" i="1"/>
  <c r="AG32" i="1"/>
  <c r="AG34" i="1"/>
  <c r="AG36" i="1"/>
  <c r="AG39" i="1"/>
  <c r="AG41" i="1"/>
  <c r="AG43" i="1"/>
  <c r="AG44" i="1"/>
  <c r="AG45" i="1"/>
  <c r="AG47" i="1"/>
  <c r="AG49" i="1"/>
  <c r="AG51" i="1"/>
  <c r="AG53" i="1"/>
  <c r="AG55" i="1"/>
  <c r="AG57" i="1"/>
  <c r="AG60" i="1"/>
  <c r="AG62" i="1"/>
  <c r="AG64" i="1"/>
  <c r="AG66" i="1"/>
  <c r="AG68" i="1"/>
  <c r="AG70" i="1"/>
  <c r="AG72" i="1"/>
  <c r="AG73" i="1"/>
  <c r="AG74" i="1"/>
  <c r="AG76" i="1"/>
  <c r="AG78" i="1"/>
  <c r="AG80" i="1"/>
  <c r="AG82" i="1"/>
  <c r="AG83" i="1"/>
  <c r="AG84" i="1"/>
  <c r="AG86" i="1"/>
  <c r="AG88" i="1"/>
  <c r="AG90" i="1"/>
  <c r="AG92" i="1"/>
  <c r="AG94" i="1"/>
  <c r="AG96" i="1"/>
  <c r="AG98" i="1"/>
  <c r="AG101" i="1"/>
  <c r="AG103" i="1"/>
  <c r="AG105" i="1"/>
  <c r="AG107" i="1"/>
  <c r="AG108" i="1"/>
  <c r="AG109" i="1"/>
  <c r="AG111" i="1"/>
  <c r="AG113" i="1"/>
  <c r="AG115" i="1"/>
  <c r="AG117" i="1"/>
  <c r="AG119" i="1"/>
  <c r="AG121" i="1"/>
  <c r="AG125" i="1"/>
  <c r="AG128" i="1"/>
  <c r="AG132" i="1"/>
  <c r="AG136" i="1"/>
  <c r="AG138" i="1"/>
  <c r="AG140" i="1"/>
  <c r="AG145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3" i="1"/>
  <c r="AG434" i="1"/>
  <c r="AG435" i="1"/>
  <c r="AG436" i="1"/>
  <c r="AG437" i="1"/>
  <c r="AG438" i="1"/>
  <c r="AG439" i="1"/>
  <c r="AG440" i="1"/>
  <c r="AG441" i="1"/>
  <c r="AG443" i="1"/>
  <c r="AG445" i="1"/>
  <c r="AG447" i="1"/>
  <c r="AG449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X3" i="1"/>
  <c r="X4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22" i="1"/>
  <c r="X26" i="1"/>
  <c r="X32" i="1"/>
  <c r="X34" i="1"/>
  <c r="X36" i="1"/>
  <c r="X39" i="1"/>
  <c r="X43" i="1"/>
  <c r="X45" i="1"/>
  <c r="X47" i="1"/>
  <c r="X49" i="1"/>
  <c r="X51" i="1"/>
  <c r="X53" i="1"/>
  <c r="X57" i="1"/>
  <c r="X60" i="1"/>
  <c r="X62" i="1"/>
  <c r="X66" i="1"/>
  <c r="X68" i="1"/>
  <c r="X70" i="1"/>
  <c r="X72" i="1"/>
  <c r="X74" i="1"/>
  <c r="X80" i="1"/>
  <c r="X82" i="1"/>
  <c r="X84" i="1"/>
  <c r="X86" i="1"/>
  <c r="X88" i="1"/>
  <c r="X90" i="1"/>
  <c r="X92" i="1"/>
  <c r="X96" i="1"/>
  <c r="X98" i="1"/>
  <c r="X101" i="1"/>
  <c r="X103" i="1"/>
  <c r="X111" i="1"/>
  <c r="X128" i="1"/>
  <c r="X145" i="1"/>
  <c r="X193" i="1"/>
  <c r="X209" i="1"/>
  <c r="X225" i="1"/>
  <c r="X241" i="1"/>
  <c r="X257" i="1"/>
  <c r="X273" i="1"/>
  <c r="X289" i="1"/>
  <c r="X305" i="1"/>
  <c r="X337" i="1"/>
  <c r="X353" i="1"/>
  <c r="X385" i="1"/>
  <c r="X401" i="1"/>
  <c r="X417" i="1"/>
  <c r="AB417" i="1" s="1"/>
  <c r="X429" i="1"/>
  <c r="AB429" i="1" s="1"/>
  <c r="X438" i="1"/>
  <c r="X454" i="1"/>
  <c r="X470" i="1"/>
  <c r="X478" i="1"/>
  <c r="AB478" i="1" s="1"/>
  <c r="X486" i="1"/>
  <c r="AB486" i="1" s="1"/>
  <c r="X494" i="1"/>
  <c r="X510" i="1"/>
  <c r="X518" i="1"/>
  <c r="X526" i="1"/>
  <c r="X534" i="1"/>
  <c r="X542" i="1"/>
  <c r="AA542" i="1" s="1"/>
  <c r="X550" i="1"/>
  <c r="AA550" i="1" s="1"/>
  <c r="X558" i="1"/>
  <c r="X566" i="1"/>
  <c r="AA566" i="1" s="1"/>
  <c r="X574" i="1"/>
  <c r="AA574" i="1" s="1"/>
  <c r="X582" i="1"/>
  <c r="AA582" i="1" s="1"/>
  <c r="X590" i="1"/>
  <c r="AA590" i="1" s="1"/>
  <c r="X598" i="1"/>
  <c r="AA598" i="1" s="1"/>
  <c r="X606" i="1"/>
  <c r="AA606" i="1" s="1"/>
  <c r="X614" i="1"/>
  <c r="AA614" i="1" s="1"/>
  <c r="X622" i="1"/>
  <c r="AA622" i="1" s="1"/>
  <c r="X630" i="1"/>
  <c r="AA630" i="1" s="1"/>
  <c r="X638" i="1"/>
  <c r="AB638" i="1" s="1"/>
  <c r="X646" i="1"/>
  <c r="AB646" i="1" s="1"/>
  <c r="X654" i="1"/>
  <c r="AB654" i="1" s="1"/>
  <c r="X662" i="1"/>
  <c r="AB662" i="1" s="1"/>
  <c r="X670" i="1"/>
  <c r="X678" i="1"/>
  <c r="AB678" i="1" s="1"/>
  <c r="X686" i="1"/>
  <c r="X694" i="1"/>
  <c r="X702" i="1"/>
  <c r="AB702" i="1" s="1"/>
  <c r="X710" i="1"/>
  <c r="AB710" i="1" s="1"/>
  <c r="X718" i="1"/>
  <c r="Y718" i="1" s="1"/>
  <c r="X726" i="1"/>
  <c r="AB726" i="1" s="1"/>
  <c r="X734" i="1"/>
  <c r="AB734" i="1" s="1"/>
  <c r="X742" i="1"/>
  <c r="AB742" i="1" s="1"/>
  <c r="X750" i="1"/>
  <c r="Y750" i="1" s="1"/>
  <c r="X758" i="1"/>
  <c r="Y758" i="1" s="1"/>
  <c r="X766" i="1"/>
  <c r="AB766" i="1" s="1"/>
  <c r="X774" i="1"/>
  <c r="AB774" i="1" s="1"/>
  <c r="X782" i="1"/>
  <c r="AB782" i="1" s="1"/>
  <c r="X790" i="1"/>
  <c r="Y790" i="1" s="1"/>
  <c r="X798" i="1"/>
  <c r="Y798" i="1" s="1"/>
  <c r="X806" i="1"/>
  <c r="AB806" i="1" s="1"/>
  <c r="X814" i="1"/>
  <c r="AB814" i="1" s="1"/>
  <c r="X822" i="1"/>
  <c r="AB822" i="1" s="1"/>
  <c r="X830" i="1"/>
  <c r="Y830" i="1" s="1"/>
  <c r="X838" i="1"/>
  <c r="AB838" i="1" s="1"/>
  <c r="X846" i="1"/>
  <c r="Y846" i="1" s="1"/>
  <c r="X862" i="1"/>
  <c r="Y862" i="1" s="1"/>
  <c r="X878" i="1"/>
  <c r="AB878" i="1" s="1"/>
  <c r="X894" i="1"/>
  <c r="AB894" i="1" s="1"/>
  <c r="X910" i="1"/>
  <c r="AB910" i="1" s="1"/>
  <c r="X926" i="1"/>
  <c r="AB926" i="1" s="1"/>
  <c r="X942" i="1"/>
  <c r="AB942" i="1" s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Q29" i="1" s="1"/>
  <c r="AR29" i="1" s="1"/>
  <c r="AN30" i="1"/>
  <c r="AN31" i="1"/>
  <c r="AQ31" i="1" s="1"/>
  <c r="AR31" i="1" s="1"/>
  <c r="AN32" i="1"/>
  <c r="AN33" i="1"/>
  <c r="AN34" i="1"/>
  <c r="AN35" i="1"/>
  <c r="AN36" i="1"/>
  <c r="AN37" i="1"/>
  <c r="AN38" i="1"/>
  <c r="AN39" i="1"/>
  <c r="AN40" i="1"/>
  <c r="AN41" i="1"/>
  <c r="AN42" i="1"/>
  <c r="AQ42" i="1" s="1"/>
  <c r="AR42" i="1" s="1"/>
  <c r="AN43" i="1"/>
  <c r="AN44" i="1"/>
  <c r="AN45" i="1"/>
  <c r="AQ45" i="1" s="1"/>
  <c r="AR45" i="1" s="1"/>
  <c r="AN46" i="1"/>
  <c r="AN47" i="1"/>
  <c r="AN48" i="1"/>
  <c r="AN49" i="1"/>
  <c r="AN50" i="1"/>
  <c r="AN51" i="1"/>
  <c r="AN52" i="1"/>
  <c r="AN53" i="1"/>
  <c r="AN54" i="1"/>
  <c r="AN55" i="1"/>
  <c r="AN56" i="1"/>
  <c r="AQ56" i="1" s="1"/>
  <c r="AR56" i="1" s="1"/>
  <c r="AN57" i="1"/>
  <c r="AN58" i="1"/>
  <c r="AN60" i="1"/>
  <c r="AN61" i="1"/>
  <c r="AN62" i="1"/>
  <c r="AN63" i="1"/>
  <c r="AN64" i="1"/>
  <c r="AN65" i="1"/>
  <c r="AQ65" i="1" s="1"/>
  <c r="AR65" i="1" s="1"/>
  <c r="AN66" i="1"/>
  <c r="AN67" i="1"/>
  <c r="AN68" i="1"/>
  <c r="AN69" i="1"/>
  <c r="AN70" i="1"/>
  <c r="AN71" i="1"/>
  <c r="AN72" i="1"/>
  <c r="AN73" i="1"/>
  <c r="AN74" i="1"/>
  <c r="AQ74" i="1" s="1"/>
  <c r="AR74" i="1" s="1"/>
  <c r="AN75" i="1"/>
  <c r="AN76" i="1"/>
  <c r="AN77" i="1"/>
  <c r="AN78" i="1"/>
  <c r="AN79" i="1"/>
  <c r="AN80" i="1"/>
  <c r="AN81" i="1"/>
  <c r="AN82" i="1"/>
  <c r="AN83" i="1"/>
  <c r="AN84" i="1"/>
  <c r="AQ84" i="1" s="1"/>
  <c r="AR84" i="1" s="1"/>
  <c r="AN85" i="1"/>
  <c r="AN86" i="1"/>
  <c r="AN87" i="1"/>
  <c r="AN88" i="1"/>
  <c r="AN89" i="1"/>
  <c r="AN90" i="1"/>
  <c r="AN91" i="1"/>
  <c r="AN92" i="1"/>
  <c r="AN93" i="1"/>
  <c r="AN94" i="1"/>
  <c r="AN95" i="1"/>
  <c r="AQ95" i="1" s="1"/>
  <c r="AR95" i="1" s="1"/>
  <c r="AN96" i="1"/>
  <c r="AN97" i="1"/>
  <c r="AN98" i="1"/>
  <c r="AN100" i="1"/>
  <c r="AN101" i="1"/>
  <c r="AN102" i="1"/>
  <c r="AN103" i="1"/>
  <c r="AN104" i="1"/>
  <c r="AN105" i="1"/>
  <c r="AN106" i="1"/>
  <c r="AQ106" i="1" s="1"/>
  <c r="AR106" i="1" s="1"/>
  <c r="AN107" i="1"/>
  <c r="AN108" i="1"/>
  <c r="AN109" i="1"/>
  <c r="AQ109" i="1" s="1"/>
  <c r="AR109" i="1" s="1"/>
  <c r="AN110" i="1"/>
  <c r="AN111" i="1"/>
  <c r="AN112" i="1"/>
  <c r="AN113" i="1"/>
  <c r="AN114" i="1"/>
  <c r="AQ114" i="1" s="1"/>
  <c r="AR114" i="1" s="1"/>
  <c r="AN115" i="1"/>
  <c r="AN116" i="1"/>
  <c r="AN117" i="1"/>
  <c r="AN118" i="1"/>
  <c r="AN119" i="1"/>
  <c r="AN120" i="1"/>
  <c r="AN121" i="1"/>
  <c r="AN124" i="1"/>
  <c r="AN125" i="1"/>
  <c r="AN126" i="1"/>
  <c r="AQ126" i="1" s="1"/>
  <c r="AR126" i="1" s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Q139" i="1" s="1"/>
  <c r="AR139" i="1" s="1"/>
  <c r="AN140" i="1"/>
  <c r="AN141" i="1"/>
  <c r="AN142" i="1"/>
  <c r="AN143" i="1"/>
  <c r="AN145" i="1"/>
  <c r="AN146" i="1"/>
  <c r="AN147" i="1"/>
  <c r="AN148" i="1"/>
  <c r="AN149" i="1"/>
  <c r="AN150" i="1"/>
  <c r="AN151" i="1"/>
  <c r="AQ151" i="1" s="1"/>
  <c r="AR151" i="1" s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Q164" i="1" s="1"/>
  <c r="AR164" i="1" s="1"/>
  <c r="AN165" i="1"/>
  <c r="AN166" i="1"/>
  <c r="AN167" i="1"/>
  <c r="AN168" i="1"/>
  <c r="AN169" i="1"/>
  <c r="AN170" i="1"/>
  <c r="AN171" i="1"/>
  <c r="AN172" i="1"/>
  <c r="AN173" i="1"/>
  <c r="AQ173" i="1" s="1"/>
  <c r="AR173" i="1" s="1"/>
  <c r="AN174" i="1"/>
  <c r="AN175" i="1"/>
  <c r="AQ175" i="1" s="1"/>
  <c r="AR175" i="1" s="1"/>
  <c r="AN176" i="1"/>
  <c r="AN177" i="1"/>
  <c r="AQ177" i="1" s="1"/>
  <c r="AR177" i="1" s="1"/>
  <c r="AN178" i="1"/>
  <c r="AN179" i="1"/>
  <c r="AQ179" i="1" s="1"/>
  <c r="AR179" i="1" s="1"/>
  <c r="AN180" i="1"/>
  <c r="AN181" i="1"/>
  <c r="AN182" i="1"/>
  <c r="AN183" i="1"/>
  <c r="AQ183" i="1" s="1"/>
  <c r="AR183" i="1" s="1"/>
  <c r="AN184" i="1"/>
  <c r="AN185" i="1"/>
  <c r="AQ185" i="1" s="1"/>
  <c r="AR185" i="1" s="1"/>
  <c r="AN186" i="1"/>
  <c r="AN187" i="1"/>
  <c r="AN188" i="1"/>
  <c r="AQ188" i="1" s="1"/>
  <c r="AR188" i="1" s="1"/>
  <c r="AN189" i="1"/>
  <c r="AN190" i="1"/>
  <c r="AN191" i="1"/>
  <c r="AQ191" i="1" s="1"/>
  <c r="AR191" i="1" s="1"/>
  <c r="AN192" i="1"/>
  <c r="AN193" i="1"/>
  <c r="AN194" i="1"/>
  <c r="AQ194" i="1" s="1"/>
  <c r="AR194" i="1" s="1"/>
  <c r="AN195" i="1"/>
  <c r="AN196" i="1"/>
  <c r="AN197" i="1"/>
  <c r="AN198" i="1"/>
  <c r="AN199" i="1"/>
  <c r="AN200" i="1"/>
  <c r="AN201" i="1"/>
  <c r="AN202" i="1"/>
  <c r="AQ202" i="1" s="1"/>
  <c r="AR202" i="1" s="1"/>
  <c r="AN203" i="1"/>
  <c r="AN204" i="1"/>
  <c r="AN205" i="1"/>
  <c r="AQ205" i="1" s="1"/>
  <c r="AR205" i="1" s="1"/>
  <c r="AN206" i="1"/>
  <c r="AN207" i="1"/>
  <c r="AQ207" i="1" s="1"/>
  <c r="AR207" i="1" s="1"/>
  <c r="AN208" i="1"/>
  <c r="AN209" i="1"/>
  <c r="AN210" i="1"/>
  <c r="AN211" i="1"/>
  <c r="AN212" i="1"/>
  <c r="AQ212" i="1" s="1"/>
  <c r="AR212" i="1" s="1"/>
  <c r="AN213" i="1"/>
  <c r="AN214" i="1"/>
  <c r="AN215" i="1"/>
  <c r="AN216" i="1"/>
  <c r="AN217" i="1"/>
  <c r="AQ217" i="1" s="1"/>
  <c r="AR217" i="1" s="1"/>
  <c r="AN218" i="1"/>
  <c r="AN219" i="1"/>
  <c r="AN220" i="1"/>
  <c r="AQ220" i="1" s="1"/>
  <c r="AR220" i="1" s="1"/>
  <c r="AN221" i="1"/>
  <c r="AN222" i="1"/>
  <c r="AN223" i="1"/>
  <c r="AN224" i="1"/>
  <c r="AN225" i="1"/>
  <c r="AN226" i="1"/>
  <c r="AN227" i="1"/>
  <c r="AN228" i="1"/>
  <c r="AQ228" i="1" s="1"/>
  <c r="AR228" i="1" s="1"/>
  <c r="AN229" i="1"/>
  <c r="AN230" i="1"/>
  <c r="AN231" i="1"/>
  <c r="AN232" i="1"/>
  <c r="AQ232" i="1" s="1"/>
  <c r="AR232" i="1" s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Q244" i="1" s="1"/>
  <c r="AR244" i="1" s="1"/>
  <c r="AN245" i="1"/>
  <c r="AN246" i="1"/>
  <c r="AN247" i="1"/>
  <c r="AQ247" i="1" s="1"/>
  <c r="AR247" i="1" s="1"/>
  <c r="AN248" i="1"/>
  <c r="AN249" i="1"/>
  <c r="AN250" i="1"/>
  <c r="AN251" i="1"/>
  <c r="AN252" i="1"/>
  <c r="AN253" i="1"/>
  <c r="AQ253" i="1" s="1"/>
  <c r="AR253" i="1" s="1"/>
  <c r="AN254" i="1"/>
  <c r="AN255" i="1"/>
  <c r="AN256" i="1"/>
  <c r="AN257" i="1"/>
  <c r="AQ257" i="1" s="1"/>
  <c r="AR257" i="1" s="1"/>
  <c r="AN258" i="1"/>
  <c r="AN259" i="1"/>
  <c r="AN260" i="1"/>
  <c r="AN261" i="1"/>
  <c r="AN262" i="1"/>
  <c r="AQ262" i="1" s="1"/>
  <c r="AR262" i="1" s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Q274" i="1" s="1"/>
  <c r="AR274" i="1" s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Q287" i="1" s="1"/>
  <c r="AR287" i="1" s="1"/>
  <c r="AN288" i="1"/>
  <c r="AN289" i="1"/>
  <c r="AQ289" i="1" s="1"/>
  <c r="AR289" i="1" s="1"/>
  <c r="AN290" i="1"/>
  <c r="AN291" i="1"/>
  <c r="AN292" i="1"/>
  <c r="AN293" i="1"/>
  <c r="AN294" i="1"/>
  <c r="AN295" i="1"/>
  <c r="AN296" i="1"/>
  <c r="AN297" i="1"/>
  <c r="AN298" i="1"/>
  <c r="AQ298" i="1" s="1"/>
  <c r="AR298" i="1" s="1"/>
  <c r="AN299" i="1"/>
  <c r="AN300" i="1"/>
  <c r="AQ300" i="1" s="1"/>
  <c r="AR300" i="1" s="1"/>
  <c r="AN301" i="1"/>
  <c r="AN302" i="1"/>
  <c r="AN303" i="1"/>
  <c r="AQ303" i="1" s="1"/>
  <c r="AR303" i="1" s="1"/>
  <c r="AN304" i="1"/>
  <c r="AN305" i="1"/>
  <c r="AQ305" i="1" s="1"/>
  <c r="AR305" i="1" s="1"/>
  <c r="AN306" i="1"/>
  <c r="AP306" i="1" s="1"/>
  <c r="AN307" i="1"/>
  <c r="AN308" i="1"/>
  <c r="AP308" i="1" s="1"/>
  <c r="AN309" i="1"/>
  <c r="AN310" i="1"/>
  <c r="AP310" i="1" s="1"/>
  <c r="AN311" i="1"/>
  <c r="AN312" i="1"/>
  <c r="AP312" i="1" s="1"/>
  <c r="AN313" i="1"/>
  <c r="AQ313" i="1" s="1"/>
  <c r="AR313" i="1" s="1"/>
  <c r="AN314" i="1"/>
  <c r="AP314" i="1" s="1"/>
  <c r="AN315" i="1"/>
  <c r="AN316" i="1"/>
  <c r="AP316" i="1" s="1"/>
  <c r="AN317" i="1"/>
  <c r="AN318" i="1"/>
  <c r="AP318" i="1" s="1"/>
  <c r="AN319" i="1"/>
  <c r="AN320" i="1"/>
  <c r="AP320" i="1" s="1"/>
  <c r="AN321" i="1"/>
  <c r="AN322" i="1"/>
  <c r="AP322" i="1" s="1"/>
  <c r="AN323" i="1"/>
  <c r="AQ323" i="1" s="1"/>
  <c r="AR323" i="1" s="1"/>
  <c r="AN324" i="1"/>
  <c r="AN325" i="1"/>
  <c r="AP325" i="1" s="1"/>
  <c r="AN326" i="1"/>
  <c r="AN327" i="1"/>
  <c r="AP327" i="1" s="1"/>
  <c r="AN328" i="1"/>
  <c r="AN329" i="1"/>
  <c r="AP329" i="1" s="1"/>
  <c r="AN330" i="1"/>
  <c r="AN331" i="1"/>
  <c r="AP331" i="1" s="1"/>
  <c r="AN332" i="1"/>
  <c r="AN333" i="1"/>
  <c r="AN334" i="1"/>
  <c r="AP334" i="1" s="1"/>
  <c r="AN335" i="1"/>
  <c r="AN336" i="1"/>
  <c r="AN337" i="1"/>
  <c r="AN338" i="1"/>
  <c r="AN339" i="1"/>
  <c r="AP339" i="1" s="1"/>
  <c r="AN340" i="1"/>
  <c r="AN341" i="1"/>
  <c r="AN342" i="1"/>
  <c r="AN343" i="1"/>
  <c r="AP343" i="1" s="1"/>
  <c r="AN344" i="1"/>
  <c r="AP344" i="1" s="1"/>
  <c r="AN345" i="1"/>
  <c r="AN346" i="1"/>
  <c r="AP346" i="1" s="1"/>
  <c r="AN347" i="1"/>
  <c r="AP347" i="1" s="1"/>
  <c r="AN348" i="1"/>
  <c r="AN349" i="1"/>
  <c r="AP349" i="1" s="1"/>
  <c r="AN350" i="1"/>
  <c r="AN351" i="1"/>
  <c r="AP351" i="1" s="1"/>
  <c r="AN352" i="1"/>
  <c r="AN353" i="1"/>
  <c r="AP353" i="1" s="1"/>
  <c r="AN354" i="1"/>
  <c r="AN355" i="1"/>
  <c r="AP355" i="1" s="1"/>
  <c r="AN356" i="1"/>
  <c r="AN357" i="1"/>
  <c r="AN358" i="1"/>
  <c r="AP358" i="1" s="1"/>
  <c r="AN359" i="1"/>
  <c r="AN360" i="1"/>
  <c r="AP360" i="1" s="1"/>
  <c r="AN361" i="1"/>
  <c r="AN362" i="1"/>
  <c r="AP362" i="1" s="1"/>
  <c r="AN363" i="1"/>
  <c r="AN364" i="1"/>
  <c r="AP364" i="1" s="1"/>
  <c r="AN365" i="1"/>
  <c r="AN366" i="1"/>
  <c r="AP366" i="1" s="1"/>
  <c r="AN367" i="1"/>
  <c r="AN368" i="1"/>
  <c r="AP368" i="1" s="1"/>
  <c r="AN369" i="1"/>
  <c r="AN370" i="1"/>
  <c r="AP370" i="1" s="1"/>
  <c r="AN371" i="1"/>
  <c r="AP371" i="1" s="1"/>
  <c r="AN372" i="1"/>
  <c r="AP372" i="1" s="1"/>
  <c r="AN373" i="1"/>
  <c r="AP373" i="1" s="1"/>
  <c r="AN374" i="1"/>
  <c r="AP374" i="1" s="1"/>
  <c r="AN375" i="1"/>
  <c r="AP375" i="1" s="1"/>
  <c r="AN376" i="1"/>
  <c r="AP376" i="1" s="1"/>
  <c r="AN377" i="1"/>
  <c r="AP377" i="1" s="1"/>
  <c r="AN378" i="1"/>
  <c r="AP378" i="1" s="1"/>
  <c r="AN379" i="1"/>
  <c r="AP379" i="1" s="1"/>
  <c r="AN380" i="1"/>
  <c r="AP380" i="1" s="1"/>
  <c r="AN381" i="1"/>
  <c r="AP381" i="1" s="1"/>
  <c r="AN382" i="1"/>
  <c r="AP382" i="1" s="1"/>
  <c r="AN383" i="1"/>
  <c r="AP383" i="1" s="1"/>
  <c r="AN384" i="1"/>
  <c r="AP384" i="1" s="1"/>
  <c r="AN385" i="1"/>
  <c r="AP385" i="1" s="1"/>
  <c r="AN386" i="1"/>
  <c r="AP386" i="1" s="1"/>
  <c r="AN387" i="1"/>
  <c r="AP387" i="1" s="1"/>
  <c r="AN388" i="1"/>
  <c r="AP388" i="1" s="1"/>
  <c r="AN389" i="1"/>
  <c r="AP389" i="1" s="1"/>
  <c r="AN390" i="1"/>
  <c r="AP390" i="1" s="1"/>
  <c r="AN391" i="1"/>
  <c r="AP391" i="1" s="1"/>
  <c r="AN392" i="1"/>
  <c r="AP392" i="1" s="1"/>
  <c r="AN393" i="1"/>
  <c r="AP393" i="1" s="1"/>
  <c r="AN394" i="1"/>
  <c r="AP394" i="1" s="1"/>
  <c r="AN395" i="1"/>
  <c r="AP395" i="1" s="1"/>
  <c r="AN396" i="1"/>
  <c r="AP396" i="1" s="1"/>
  <c r="AN397" i="1"/>
  <c r="AP397" i="1" s="1"/>
  <c r="AN398" i="1"/>
  <c r="AP398" i="1" s="1"/>
  <c r="AN399" i="1"/>
  <c r="AP399" i="1" s="1"/>
  <c r="AN400" i="1"/>
  <c r="AP400" i="1" s="1"/>
  <c r="AN401" i="1"/>
  <c r="AP401" i="1" s="1"/>
  <c r="AN402" i="1"/>
  <c r="AP402" i="1" s="1"/>
  <c r="AN403" i="1"/>
  <c r="AP403" i="1" s="1"/>
  <c r="AN404" i="1"/>
  <c r="AP404" i="1" s="1"/>
  <c r="AN405" i="1"/>
  <c r="AP405" i="1" s="1"/>
  <c r="AN406" i="1"/>
  <c r="AP406" i="1" s="1"/>
  <c r="AN407" i="1"/>
  <c r="AP407" i="1" s="1"/>
  <c r="AN408" i="1"/>
  <c r="AP408" i="1" s="1"/>
  <c r="AN409" i="1"/>
  <c r="AP409" i="1" s="1"/>
  <c r="AN410" i="1"/>
  <c r="AP410" i="1" s="1"/>
  <c r="AN411" i="1"/>
  <c r="AP411" i="1" s="1"/>
  <c r="AN412" i="1"/>
  <c r="AP412" i="1" s="1"/>
  <c r="AN413" i="1"/>
  <c r="AP413" i="1" s="1"/>
  <c r="AN414" i="1"/>
  <c r="AP414" i="1" s="1"/>
  <c r="AN415" i="1"/>
  <c r="AP415" i="1" s="1"/>
  <c r="AN416" i="1"/>
  <c r="AP416" i="1" s="1"/>
  <c r="AN417" i="1"/>
  <c r="AP417" i="1" s="1"/>
  <c r="AN418" i="1"/>
  <c r="AP418" i="1" s="1"/>
  <c r="AN419" i="1"/>
  <c r="AP419" i="1" s="1"/>
  <c r="AN420" i="1"/>
  <c r="AP420" i="1" s="1"/>
  <c r="AN421" i="1"/>
  <c r="AP421" i="1" s="1"/>
  <c r="AN422" i="1"/>
  <c r="AP422" i="1" s="1"/>
  <c r="AN423" i="1"/>
  <c r="AP423" i="1" s="1"/>
  <c r="AN424" i="1"/>
  <c r="AP424" i="1" s="1"/>
  <c r="AN425" i="1"/>
  <c r="AP425" i="1" s="1"/>
  <c r="AN426" i="1"/>
  <c r="AP426" i="1" s="1"/>
  <c r="AN427" i="1"/>
  <c r="AP427" i="1" s="1"/>
  <c r="AN428" i="1"/>
  <c r="AP428" i="1" s="1"/>
  <c r="AN429" i="1"/>
  <c r="AP429" i="1" s="1"/>
  <c r="AN430" i="1"/>
  <c r="AP430" i="1" s="1"/>
  <c r="AN431" i="1"/>
  <c r="AP431" i="1" s="1"/>
  <c r="AN433" i="1"/>
  <c r="AP433" i="1" s="1"/>
  <c r="AN434" i="1"/>
  <c r="AP434" i="1" s="1"/>
  <c r="AN435" i="1"/>
  <c r="AP435" i="1" s="1"/>
  <c r="AN436" i="1"/>
  <c r="AP436" i="1" s="1"/>
  <c r="AN437" i="1"/>
  <c r="AP437" i="1" s="1"/>
  <c r="AN438" i="1"/>
  <c r="AP438" i="1" s="1"/>
  <c r="AN439" i="1"/>
  <c r="AP439" i="1" s="1"/>
  <c r="AN440" i="1"/>
  <c r="AP440" i="1" s="1"/>
  <c r="AN441" i="1"/>
  <c r="AP441" i="1" s="1"/>
  <c r="AN442" i="1"/>
  <c r="AN443" i="1"/>
  <c r="AP443" i="1" s="1"/>
  <c r="AN444" i="1"/>
  <c r="AN445" i="1"/>
  <c r="AP445" i="1" s="1"/>
  <c r="AN446" i="1"/>
  <c r="AN447" i="1"/>
  <c r="AP447" i="1" s="1"/>
  <c r="AN448" i="1"/>
  <c r="AN449" i="1"/>
  <c r="AP449" i="1" s="1"/>
  <c r="AN450" i="1"/>
  <c r="AN451" i="1"/>
  <c r="AP451" i="1" s="1"/>
  <c r="AN452" i="1"/>
  <c r="AP452" i="1" s="1"/>
  <c r="AN453" i="1"/>
  <c r="AN454" i="1"/>
  <c r="AP454" i="1" s="1"/>
  <c r="AN455" i="1"/>
  <c r="AN456" i="1"/>
  <c r="AP456" i="1" s="1"/>
  <c r="AN457" i="1"/>
  <c r="AN458" i="1"/>
  <c r="AN459" i="1"/>
  <c r="AP459" i="1" s="1"/>
  <c r="AN460" i="1"/>
  <c r="AN461" i="1"/>
  <c r="AP461" i="1" s="1"/>
  <c r="AN462" i="1"/>
  <c r="AN463" i="1"/>
  <c r="AP463" i="1" s="1"/>
  <c r="AN464" i="1"/>
  <c r="AP464" i="1" s="1"/>
  <c r="AN465" i="1"/>
  <c r="AP465" i="1" s="1"/>
  <c r="AN466" i="1"/>
  <c r="AP466" i="1" s="1"/>
  <c r="AN467" i="1"/>
  <c r="AP467" i="1" s="1"/>
  <c r="AN468" i="1"/>
  <c r="AP468" i="1" s="1"/>
  <c r="AN469" i="1"/>
  <c r="AP469" i="1" s="1"/>
  <c r="AN470" i="1"/>
  <c r="AP470" i="1" s="1"/>
  <c r="AN471" i="1"/>
  <c r="AP471" i="1" s="1"/>
  <c r="AN472" i="1"/>
  <c r="AP472" i="1" s="1"/>
  <c r="AN473" i="1"/>
  <c r="AP473" i="1" s="1"/>
  <c r="AN474" i="1"/>
  <c r="AP474" i="1" s="1"/>
  <c r="AN475" i="1"/>
  <c r="AP475" i="1" s="1"/>
  <c r="AN476" i="1"/>
  <c r="AP476" i="1" s="1"/>
  <c r="AN477" i="1"/>
  <c r="AP477" i="1" s="1"/>
  <c r="AN478" i="1"/>
  <c r="AP478" i="1" s="1"/>
  <c r="AN479" i="1"/>
  <c r="AP479" i="1" s="1"/>
  <c r="AN480" i="1"/>
  <c r="AP480" i="1" s="1"/>
  <c r="AN481" i="1"/>
  <c r="AP481" i="1" s="1"/>
  <c r="AN482" i="1"/>
  <c r="AP482" i="1" s="1"/>
  <c r="AN483" i="1"/>
  <c r="AP483" i="1" s="1"/>
  <c r="AN484" i="1"/>
  <c r="AP484" i="1" s="1"/>
  <c r="AN485" i="1"/>
  <c r="AP485" i="1" s="1"/>
  <c r="AN486" i="1"/>
  <c r="AP486" i="1" s="1"/>
  <c r="AN487" i="1"/>
  <c r="AP487" i="1" s="1"/>
  <c r="AN488" i="1"/>
  <c r="AP488" i="1" s="1"/>
  <c r="AN489" i="1"/>
  <c r="AP489" i="1" s="1"/>
  <c r="AN490" i="1"/>
  <c r="AP490" i="1" s="1"/>
  <c r="AN491" i="1"/>
  <c r="AP491" i="1" s="1"/>
  <c r="AN492" i="1"/>
  <c r="AP492" i="1" s="1"/>
  <c r="AN493" i="1"/>
  <c r="AP493" i="1" s="1"/>
  <c r="AN494" i="1"/>
  <c r="AP494" i="1" s="1"/>
  <c r="AN495" i="1"/>
  <c r="AP495" i="1" s="1"/>
  <c r="AN496" i="1"/>
  <c r="AP496" i="1" s="1"/>
  <c r="AN497" i="1"/>
  <c r="AP497" i="1" s="1"/>
  <c r="AN498" i="1"/>
  <c r="AP498" i="1" s="1"/>
  <c r="AN499" i="1"/>
  <c r="AP499" i="1" s="1"/>
  <c r="AN500" i="1"/>
  <c r="AP500" i="1" s="1"/>
  <c r="AN501" i="1"/>
  <c r="AP501" i="1" s="1"/>
  <c r="AN502" i="1"/>
  <c r="AP502" i="1" s="1"/>
  <c r="AN503" i="1"/>
  <c r="AP503" i="1" s="1"/>
  <c r="AN504" i="1"/>
  <c r="AP504" i="1" s="1"/>
  <c r="AN505" i="1"/>
  <c r="AP505" i="1" s="1"/>
  <c r="AN506" i="1"/>
  <c r="AP506" i="1" s="1"/>
  <c r="AN507" i="1"/>
  <c r="AN508" i="1"/>
  <c r="AP508" i="1" s="1"/>
  <c r="AN509" i="1"/>
  <c r="AN510" i="1"/>
  <c r="AP510" i="1" s="1"/>
  <c r="AN511" i="1"/>
  <c r="AN512" i="1"/>
  <c r="AP512" i="1" s="1"/>
  <c r="AN513" i="1"/>
  <c r="AN514" i="1"/>
  <c r="AP514" i="1" s="1"/>
  <c r="AN515" i="1"/>
  <c r="AN516" i="1"/>
  <c r="AP516" i="1" s="1"/>
  <c r="AN517" i="1"/>
  <c r="AN518" i="1"/>
  <c r="AN519" i="1"/>
  <c r="AP519" i="1" s="1"/>
  <c r="AN520" i="1"/>
  <c r="AN521" i="1"/>
  <c r="AP521" i="1" s="1"/>
  <c r="AN522" i="1"/>
  <c r="AP522" i="1" s="1"/>
  <c r="AN523" i="1"/>
  <c r="AN524" i="1"/>
  <c r="AP524" i="1" s="1"/>
  <c r="AN525" i="1"/>
  <c r="AN526" i="1"/>
  <c r="AP526" i="1" s="1"/>
  <c r="AN527" i="1"/>
  <c r="AN528" i="1"/>
  <c r="AP528" i="1" s="1"/>
  <c r="AN529" i="1"/>
  <c r="AN530" i="1"/>
  <c r="AP530" i="1" s="1"/>
  <c r="AN531" i="1"/>
  <c r="AP531" i="1" s="1"/>
  <c r="AN532" i="1"/>
  <c r="AN533" i="1"/>
  <c r="AP533" i="1" s="1"/>
  <c r="AN534" i="1"/>
  <c r="AN535" i="1"/>
  <c r="AN536" i="1"/>
  <c r="AN537" i="1"/>
  <c r="AP537" i="1" s="1"/>
  <c r="AN538" i="1"/>
  <c r="AN539" i="1"/>
  <c r="AP539" i="1" s="1"/>
  <c r="AN540" i="1"/>
  <c r="AN541" i="1"/>
  <c r="AP541" i="1" s="1"/>
  <c r="AN542" i="1"/>
  <c r="AP542" i="1" s="1"/>
  <c r="AN543" i="1"/>
  <c r="AN544" i="1"/>
  <c r="AP544" i="1" s="1"/>
  <c r="AN545" i="1"/>
  <c r="AN546" i="1"/>
  <c r="AP546" i="1" s="1"/>
  <c r="AN547" i="1"/>
  <c r="AN548" i="1"/>
  <c r="AP548" i="1" s="1"/>
  <c r="AN549" i="1"/>
  <c r="AN550" i="1"/>
  <c r="AP550" i="1" s="1"/>
  <c r="AN551" i="1"/>
  <c r="AN552" i="1"/>
  <c r="AN553" i="1"/>
  <c r="AN554" i="1"/>
  <c r="AP554" i="1" s="1"/>
  <c r="AN555" i="1"/>
  <c r="AN556" i="1"/>
  <c r="AN557" i="1"/>
  <c r="AP557" i="1" s="1"/>
  <c r="AN558" i="1"/>
  <c r="AN559" i="1"/>
  <c r="AN560" i="1"/>
  <c r="AN561" i="1"/>
  <c r="AP561" i="1" s="1"/>
  <c r="AN562" i="1"/>
  <c r="AN563" i="1"/>
  <c r="AN564" i="1"/>
  <c r="AN565" i="1"/>
  <c r="AP565" i="1" s="1"/>
  <c r="AN566" i="1"/>
  <c r="AP566" i="1" s="1"/>
  <c r="AN567" i="1"/>
  <c r="AP567" i="1" s="1"/>
  <c r="AN568" i="1"/>
  <c r="AP568" i="1" s="1"/>
  <c r="AN569" i="1"/>
  <c r="AP569" i="1" s="1"/>
  <c r="AN570" i="1"/>
  <c r="AP570" i="1" s="1"/>
  <c r="AN571" i="1"/>
  <c r="AP571" i="1" s="1"/>
  <c r="AN572" i="1"/>
  <c r="AP572" i="1" s="1"/>
  <c r="AN573" i="1"/>
  <c r="AP573" i="1" s="1"/>
  <c r="AN574" i="1"/>
  <c r="AP574" i="1" s="1"/>
  <c r="AN575" i="1"/>
  <c r="AP575" i="1" s="1"/>
  <c r="AN576" i="1"/>
  <c r="AP576" i="1" s="1"/>
  <c r="AN577" i="1"/>
  <c r="AP577" i="1" s="1"/>
  <c r="AN578" i="1"/>
  <c r="AP578" i="1" s="1"/>
  <c r="AN579" i="1"/>
  <c r="AP579" i="1" s="1"/>
  <c r="AN580" i="1"/>
  <c r="AP580" i="1" s="1"/>
  <c r="AN581" i="1"/>
  <c r="AP581" i="1" s="1"/>
  <c r="AN582" i="1"/>
  <c r="AP582" i="1" s="1"/>
  <c r="AN583" i="1"/>
  <c r="AP583" i="1" s="1"/>
  <c r="AN584" i="1"/>
  <c r="AP584" i="1" s="1"/>
  <c r="AN585" i="1"/>
  <c r="AP585" i="1" s="1"/>
  <c r="AN586" i="1"/>
  <c r="AP586" i="1" s="1"/>
  <c r="AN587" i="1"/>
  <c r="AP587" i="1" s="1"/>
  <c r="AN588" i="1"/>
  <c r="AP588" i="1" s="1"/>
  <c r="AN589" i="1"/>
  <c r="AP589" i="1" s="1"/>
  <c r="AN590" i="1"/>
  <c r="AP590" i="1" s="1"/>
  <c r="AN591" i="1"/>
  <c r="AP591" i="1" s="1"/>
  <c r="AN592" i="1"/>
  <c r="AP592" i="1" s="1"/>
  <c r="AN593" i="1"/>
  <c r="AP593" i="1" s="1"/>
  <c r="AN594" i="1"/>
  <c r="AP594" i="1" s="1"/>
  <c r="AN595" i="1"/>
  <c r="AP595" i="1" s="1"/>
  <c r="AN596" i="1"/>
  <c r="AP596" i="1" s="1"/>
  <c r="AN597" i="1"/>
  <c r="AP597" i="1" s="1"/>
  <c r="AN598" i="1"/>
  <c r="AP598" i="1" s="1"/>
  <c r="AN599" i="1"/>
  <c r="AP599" i="1" s="1"/>
  <c r="AN600" i="1"/>
  <c r="AP600" i="1" s="1"/>
  <c r="AN601" i="1"/>
  <c r="AP601" i="1" s="1"/>
  <c r="AN602" i="1"/>
  <c r="AP602" i="1" s="1"/>
  <c r="AN603" i="1"/>
  <c r="AP603" i="1" s="1"/>
  <c r="AN604" i="1"/>
  <c r="AP604" i="1" s="1"/>
  <c r="AN605" i="1"/>
  <c r="AP605" i="1" s="1"/>
  <c r="AN606" i="1"/>
  <c r="AP606" i="1" s="1"/>
  <c r="AN607" i="1"/>
  <c r="AP607" i="1" s="1"/>
  <c r="AN608" i="1"/>
  <c r="AP608" i="1" s="1"/>
  <c r="AN609" i="1"/>
  <c r="AP609" i="1" s="1"/>
  <c r="AN610" i="1"/>
  <c r="AP610" i="1" s="1"/>
  <c r="AN611" i="1"/>
  <c r="AP611" i="1" s="1"/>
  <c r="AN612" i="1"/>
  <c r="AP612" i="1" s="1"/>
  <c r="AN613" i="1"/>
  <c r="AP613" i="1" s="1"/>
  <c r="AN614" i="1"/>
  <c r="AP614" i="1" s="1"/>
  <c r="AN615" i="1"/>
  <c r="AP615" i="1" s="1"/>
  <c r="AN616" i="1"/>
  <c r="AP616" i="1" s="1"/>
  <c r="AN617" i="1"/>
  <c r="AP617" i="1" s="1"/>
  <c r="AN618" i="1"/>
  <c r="AP618" i="1" s="1"/>
  <c r="AN619" i="1"/>
  <c r="AP619" i="1" s="1"/>
  <c r="AN620" i="1"/>
  <c r="AP620" i="1" s="1"/>
  <c r="AN621" i="1"/>
  <c r="AP621" i="1" s="1"/>
  <c r="AN622" i="1"/>
  <c r="AP622" i="1" s="1"/>
  <c r="AN623" i="1"/>
  <c r="AP623" i="1" s="1"/>
  <c r="AN624" i="1"/>
  <c r="AP624" i="1" s="1"/>
  <c r="AN625" i="1"/>
  <c r="AP625" i="1" s="1"/>
  <c r="AN626" i="1"/>
  <c r="AP626" i="1" s="1"/>
  <c r="AN627" i="1"/>
  <c r="AP627" i="1" s="1"/>
  <c r="AN628" i="1"/>
  <c r="AP628" i="1" s="1"/>
  <c r="AN629" i="1"/>
  <c r="AP629" i="1" s="1"/>
  <c r="AN630" i="1"/>
  <c r="AP630" i="1" s="1"/>
  <c r="AN631" i="1"/>
  <c r="AP631" i="1" s="1"/>
  <c r="AN632" i="1"/>
  <c r="AP632" i="1" s="1"/>
  <c r="AN633" i="1"/>
  <c r="AP633" i="1" s="1"/>
  <c r="AN634" i="1"/>
  <c r="AP634" i="1" s="1"/>
  <c r="AN635" i="1"/>
  <c r="AP635" i="1" s="1"/>
  <c r="AN636" i="1"/>
  <c r="AP636" i="1" s="1"/>
  <c r="AN637" i="1"/>
  <c r="AP637" i="1" s="1"/>
  <c r="AN638" i="1"/>
  <c r="AP638" i="1" s="1"/>
  <c r="AN639" i="1"/>
  <c r="AP639" i="1" s="1"/>
  <c r="AN640" i="1"/>
  <c r="AP640" i="1" s="1"/>
  <c r="AN641" i="1"/>
  <c r="AP641" i="1" s="1"/>
  <c r="AN642" i="1"/>
  <c r="AP642" i="1" s="1"/>
  <c r="AN643" i="1"/>
  <c r="AP643" i="1" s="1"/>
  <c r="AN644" i="1"/>
  <c r="AP644" i="1" s="1"/>
  <c r="AN645" i="1"/>
  <c r="AP645" i="1" s="1"/>
  <c r="AN646" i="1"/>
  <c r="AP646" i="1" s="1"/>
  <c r="AN647" i="1"/>
  <c r="AP647" i="1" s="1"/>
  <c r="AN648" i="1"/>
  <c r="AP648" i="1" s="1"/>
  <c r="AN649" i="1"/>
  <c r="AP649" i="1" s="1"/>
  <c r="AN650" i="1"/>
  <c r="AP650" i="1" s="1"/>
  <c r="AN651" i="1"/>
  <c r="AP651" i="1" s="1"/>
  <c r="AN652" i="1"/>
  <c r="AP652" i="1" s="1"/>
  <c r="AN653" i="1"/>
  <c r="AP653" i="1" s="1"/>
  <c r="AN654" i="1"/>
  <c r="AP654" i="1" s="1"/>
  <c r="AN655" i="1"/>
  <c r="AP655" i="1" s="1"/>
  <c r="AN656" i="1"/>
  <c r="AP656" i="1" s="1"/>
  <c r="AN657" i="1"/>
  <c r="AP657" i="1" s="1"/>
  <c r="AN658" i="1"/>
  <c r="AP658" i="1" s="1"/>
  <c r="AN659" i="1"/>
  <c r="AP659" i="1" s="1"/>
  <c r="AN660" i="1"/>
  <c r="AP660" i="1" s="1"/>
  <c r="AN661" i="1"/>
  <c r="AP661" i="1" s="1"/>
  <c r="AN662" i="1"/>
  <c r="AP662" i="1" s="1"/>
  <c r="AN663" i="1"/>
  <c r="AP663" i="1" s="1"/>
  <c r="AN664" i="1"/>
  <c r="AP664" i="1" s="1"/>
  <c r="AN665" i="1"/>
  <c r="AP665" i="1" s="1"/>
  <c r="AN666" i="1"/>
  <c r="AP666" i="1" s="1"/>
  <c r="AN667" i="1"/>
  <c r="AP667" i="1" s="1"/>
  <c r="AN668" i="1"/>
  <c r="AP668" i="1" s="1"/>
  <c r="AN669" i="1"/>
  <c r="AP669" i="1" s="1"/>
  <c r="AN670" i="1"/>
  <c r="AP670" i="1" s="1"/>
  <c r="AN671" i="1"/>
  <c r="AP671" i="1" s="1"/>
  <c r="AN672" i="1"/>
  <c r="AP672" i="1" s="1"/>
  <c r="AN673" i="1"/>
  <c r="AP673" i="1" s="1"/>
  <c r="AN674" i="1"/>
  <c r="AP674" i="1" s="1"/>
  <c r="AN675" i="1"/>
  <c r="AP675" i="1" s="1"/>
  <c r="AN676" i="1"/>
  <c r="AP676" i="1" s="1"/>
  <c r="AN677" i="1"/>
  <c r="AP677" i="1" s="1"/>
  <c r="AN678" i="1"/>
  <c r="AP678" i="1" s="1"/>
  <c r="AN679" i="1"/>
  <c r="AP679" i="1" s="1"/>
  <c r="AN680" i="1"/>
  <c r="AP680" i="1" s="1"/>
  <c r="AN681" i="1"/>
  <c r="AP681" i="1" s="1"/>
  <c r="AN682" i="1"/>
  <c r="AP682" i="1" s="1"/>
  <c r="AN683" i="1"/>
  <c r="AP683" i="1" s="1"/>
  <c r="AN684" i="1"/>
  <c r="AP684" i="1" s="1"/>
  <c r="AN685" i="1"/>
  <c r="AP685" i="1" s="1"/>
  <c r="AN686" i="1"/>
  <c r="AP686" i="1" s="1"/>
  <c r="AN687" i="1"/>
  <c r="AP687" i="1" s="1"/>
  <c r="AN688" i="1"/>
  <c r="AP688" i="1" s="1"/>
  <c r="AN689" i="1"/>
  <c r="AP689" i="1" s="1"/>
  <c r="AN690" i="1"/>
  <c r="AP690" i="1" s="1"/>
  <c r="AN691" i="1"/>
  <c r="AP691" i="1" s="1"/>
  <c r="AN692" i="1"/>
  <c r="AP692" i="1" s="1"/>
  <c r="AN693" i="1"/>
  <c r="AP693" i="1" s="1"/>
  <c r="AN694" i="1"/>
  <c r="AP694" i="1" s="1"/>
  <c r="AN695" i="1"/>
  <c r="AP695" i="1" s="1"/>
  <c r="AN696" i="1"/>
  <c r="AP696" i="1" s="1"/>
  <c r="AN697" i="1"/>
  <c r="AP697" i="1" s="1"/>
  <c r="AN698" i="1"/>
  <c r="AP698" i="1" s="1"/>
  <c r="AN699" i="1"/>
  <c r="AP699" i="1" s="1"/>
  <c r="AN700" i="1"/>
  <c r="AP700" i="1" s="1"/>
  <c r="AN701" i="1"/>
  <c r="AP701" i="1" s="1"/>
  <c r="AN702" i="1"/>
  <c r="AP702" i="1" s="1"/>
  <c r="AN703" i="1"/>
  <c r="AP703" i="1" s="1"/>
  <c r="AN704" i="1"/>
  <c r="AP704" i="1" s="1"/>
  <c r="AN705" i="1"/>
  <c r="AP705" i="1" s="1"/>
  <c r="AN706" i="1"/>
  <c r="AP706" i="1" s="1"/>
  <c r="AN707" i="1"/>
  <c r="AP707" i="1" s="1"/>
  <c r="AN708" i="1"/>
  <c r="AP708" i="1" s="1"/>
  <c r="AN709" i="1"/>
  <c r="AP709" i="1" s="1"/>
  <c r="AN710" i="1"/>
  <c r="AP710" i="1" s="1"/>
  <c r="AN711" i="1"/>
  <c r="AP711" i="1" s="1"/>
  <c r="AN712" i="1"/>
  <c r="AP712" i="1" s="1"/>
  <c r="AN713" i="1"/>
  <c r="AP713" i="1" s="1"/>
  <c r="AN714" i="1"/>
  <c r="AP714" i="1" s="1"/>
  <c r="AN715" i="1"/>
  <c r="AP715" i="1" s="1"/>
  <c r="AN716" i="1"/>
  <c r="AP716" i="1" s="1"/>
  <c r="AN717" i="1"/>
  <c r="AP717" i="1" s="1"/>
  <c r="AN718" i="1"/>
  <c r="AP718" i="1" s="1"/>
  <c r="AN719" i="1"/>
  <c r="AP719" i="1" s="1"/>
  <c r="AN720" i="1"/>
  <c r="AP720" i="1" s="1"/>
  <c r="AN721" i="1"/>
  <c r="AP721" i="1" s="1"/>
  <c r="AN722" i="1"/>
  <c r="AP722" i="1" s="1"/>
  <c r="AN723" i="1"/>
  <c r="AP723" i="1" s="1"/>
  <c r="AN724" i="1"/>
  <c r="AP724" i="1" s="1"/>
  <c r="AN725" i="1"/>
  <c r="AP725" i="1" s="1"/>
  <c r="AN726" i="1"/>
  <c r="AP726" i="1" s="1"/>
  <c r="AN727" i="1"/>
  <c r="AP727" i="1" s="1"/>
  <c r="AN728" i="1"/>
  <c r="AP728" i="1" s="1"/>
  <c r="AN729" i="1"/>
  <c r="AP729" i="1" s="1"/>
  <c r="AN730" i="1"/>
  <c r="AP730" i="1" s="1"/>
  <c r="AN731" i="1"/>
  <c r="AP731" i="1" s="1"/>
  <c r="AN732" i="1"/>
  <c r="AP732" i="1" s="1"/>
  <c r="AN733" i="1"/>
  <c r="AP733" i="1" s="1"/>
  <c r="AN734" i="1"/>
  <c r="AP734" i="1" s="1"/>
  <c r="AN735" i="1"/>
  <c r="AP735" i="1" s="1"/>
  <c r="AN736" i="1"/>
  <c r="AP736" i="1" s="1"/>
  <c r="AN737" i="1"/>
  <c r="AP737" i="1" s="1"/>
  <c r="AN738" i="1"/>
  <c r="AP738" i="1" s="1"/>
  <c r="AN739" i="1"/>
  <c r="AP739" i="1" s="1"/>
  <c r="AN740" i="1"/>
  <c r="AP740" i="1" s="1"/>
  <c r="AN741" i="1"/>
  <c r="AP741" i="1" s="1"/>
  <c r="AN742" i="1"/>
  <c r="AP742" i="1" s="1"/>
  <c r="AN743" i="1"/>
  <c r="AP743" i="1" s="1"/>
  <c r="AN744" i="1"/>
  <c r="AP744" i="1" s="1"/>
  <c r="AN745" i="1"/>
  <c r="AP745" i="1" s="1"/>
  <c r="AN746" i="1"/>
  <c r="AP746" i="1" s="1"/>
  <c r="AN747" i="1"/>
  <c r="AP747" i="1" s="1"/>
  <c r="AN748" i="1"/>
  <c r="AP748" i="1" s="1"/>
  <c r="AN749" i="1"/>
  <c r="AP749" i="1" s="1"/>
  <c r="AN750" i="1"/>
  <c r="AP750" i="1" s="1"/>
  <c r="AN751" i="1"/>
  <c r="AP751" i="1" s="1"/>
  <c r="AN752" i="1"/>
  <c r="AP752" i="1" s="1"/>
  <c r="AN753" i="1"/>
  <c r="AP753" i="1" s="1"/>
  <c r="AN754" i="1"/>
  <c r="AP754" i="1" s="1"/>
  <c r="AN755" i="1"/>
  <c r="AP755" i="1" s="1"/>
  <c r="AN756" i="1"/>
  <c r="AP756" i="1" s="1"/>
  <c r="AN757" i="1"/>
  <c r="AP757" i="1" s="1"/>
  <c r="AN758" i="1"/>
  <c r="AP758" i="1" s="1"/>
  <c r="AN759" i="1"/>
  <c r="AP759" i="1" s="1"/>
  <c r="AN760" i="1"/>
  <c r="AP760" i="1" s="1"/>
  <c r="AN761" i="1"/>
  <c r="AP761" i="1" s="1"/>
  <c r="AN762" i="1"/>
  <c r="AP762" i="1" s="1"/>
  <c r="AN763" i="1"/>
  <c r="AP763" i="1" s="1"/>
  <c r="AN764" i="1"/>
  <c r="AP764" i="1" s="1"/>
  <c r="AN765" i="1"/>
  <c r="AP765" i="1" s="1"/>
  <c r="AN766" i="1"/>
  <c r="AP766" i="1" s="1"/>
  <c r="AN767" i="1"/>
  <c r="AP767" i="1" s="1"/>
  <c r="AN768" i="1"/>
  <c r="AP768" i="1" s="1"/>
  <c r="AN769" i="1"/>
  <c r="AP769" i="1" s="1"/>
  <c r="AN770" i="1"/>
  <c r="AP770" i="1" s="1"/>
  <c r="AN771" i="1"/>
  <c r="AP771" i="1" s="1"/>
  <c r="AN772" i="1"/>
  <c r="AP772" i="1" s="1"/>
  <c r="AN773" i="1"/>
  <c r="AP773" i="1" s="1"/>
  <c r="AN774" i="1"/>
  <c r="AP774" i="1" s="1"/>
  <c r="AN775" i="1"/>
  <c r="AP775" i="1" s="1"/>
  <c r="AN776" i="1"/>
  <c r="AP776" i="1" s="1"/>
  <c r="AN777" i="1"/>
  <c r="AP777" i="1" s="1"/>
  <c r="AN778" i="1"/>
  <c r="AP778" i="1" s="1"/>
  <c r="AN779" i="1"/>
  <c r="AP779" i="1" s="1"/>
  <c r="AN780" i="1"/>
  <c r="AP780" i="1" s="1"/>
  <c r="AN781" i="1"/>
  <c r="AP781" i="1" s="1"/>
  <c r="AN782" i="1"/>
  <c r="AP782" i="1" s="1"/>
  <c r="AN783" i="1"/>
  <c r="AP783" i="1" s="1"/>
  <c r="AN784" i="1"/>
  <c r="AP784" i="1" s="1"/>
  <c r="AN785" i="1"/>
  <c r="AP785" i="1" s="1"/>
  <c r="AN786" i="1"/>
  <c r="AP786" i="1" s="1"/>
  <c r="AN787" i="1"/>
  <c r="AP787" i="1" s="1"/>
  <c r="AN788" i="1"/>
  <c r="AP788" i="1" s="1"/>
  <c r="AN789" i="1"/>
  <c r="AP789" i="1" s="1"/>
  <c r="AN790" i="1"/>
  <c r="AP790" i="1" s="1"/>
  <c r="AN791" i="1"/>
  <c r="AP791" i="1" s="1"/>
  <c r="AN792" i="1"/>
  <c r="AP792" i="1" s="1"/>
  <c r="AN793" i="1"/>
  <c r="AP793" i="1" s="1"/>
  <c r="AN794" i="1"/>
  <c r="AP794" i="1" s="1"/>
  <c r="AN795" i="1"/>
  <c r="AP795" i="1" s="1"/>
  <c r="AN796" i="1"/>
  <c r="AP796" i="1" s="1"/>
  <c r="AN797" i="1"/>
  <c r="AP797" i="1" s="1"/>
  <c r="AN798" i="1"/>
  <c r="AP798" i="1" s="1"/>
  <c r="AN799" i="1"/>
  <c r="AP799" i="1" s="1"/>
  <c r="AN800" i="1"/>
  <c r="AP800" i="1" s="1"/>
  <c r="AN801" i="1"/>
  <c r="AP801" i="1" s="1"/>
  <c r="AN802" i="1"/>
  <c r="AP802" i="1" s="1"/>
  <c r="AN803" i="1"/>
  <c r="AP803" i="1" s="1"/>
  <c r="AN804" i="1"/>
  <c r="AP804" i="1" s="1"/>
  <c r="AN805" i="1"/>
  <c r="AP805" i="1" s="1"/>
  <c r="AN806" i="1"/>
  <c r="AP806" i="1" s="1"/>
  <c r="AN807" i="1"/>
  <c r="AP807" i="1" s="1"/>
  <c r="AN808" i="1"/>
  <c r="AP808" i="1" s="1"/>
  <c r="AN809" i="1"/>
  <c r="AP809" i="1" s="1"/>
  <c r="AN810" i="1"/>
  <c r="AP810" i="1" s="1"/>
  <c r="AN811" i="1"/>
  <c r="AP811" i="1" s="1"/>
  <c r="AN812" i="1"/>
  <c r="AP812" i="1" s="1"/>
  <c r="AN813" i="1"/>
  <c r="AP813" i="1" s="1"/>
  <c r="AN814" i="1"/>
  <c r="AP814" i="1" s="1"/>
  <c r="AN815" i="1"/>
  <c r="AP815" i="1" s="1"/>
  <c r="AN816" i="1"/>
  <c r="AP816" i="1" s="1"/>
  <c r="AN817" i="1"/>
  <c r="AP817" i="1" s="1"/>
  <c r="AN818" i="1"/>
  <c r="AP818" i="1" s="1"/>
  <c r="AN819" i="1"/>
  <c r="AP819" i="1" s="1"/>
  <c r="AN820" i="1"/>
  <c r="AP820" i="1" s="1"/>
  <c r="AN821" i="1"/>
  <c r="AP821" i="1" s="1"/>
  <c r="AN822" i="1"/>
  <c r="AP822" i="1" s="1"/>
  <c r="AN823" i="1"/>
  <c r="AP823" i="1" s="1"/>
  <c r="AN824" i="1"/>
  <c r="AP824" i="1" s="1"/>
  <c r="AN825" i="1"/>
  <c r="AP825" i="1" s="1"/>
  <c r="AN826" i="1"/>
  <c r="AP826" i="1" s="1"/>
  <c r="AN827" i="1"/>
  <c r="AP827" i="1" s="1"/>
  <c r="AN828" i="1"/>
  <c r="AP828" i="1" s="1"/>
  <c r="AN829" i="1"/>
  <c r="AP829" i="1" s="1"/>
  <c r="AN830" i="1"/>
  <c r="AP830" i="1" s="1"/>
  <c r="AN831" i="1"/>
  <c r="AP831" i="1" s="1"/>
  <c r="AN832" i="1"/>
  <c r="AP832" i="1" s="1"/>
  <c r="AN833" i="1"/>
  <c r="AP833" i="1" s="1"/>
  <c r="AN834" i="1"/>
  <c r="AP834" i="1" s="1"/>
  <c r="AN835" i="1"/>
  <c r="AP835" i="1" s="1"/>
  <c r="AN836" i="1"/>
  <c r="AP836" i="1" s="1"/>
  <c r="AN837" i="1"/>
  <c r="AP837" i="1" s="1"/>
  <c r="AN838" i="1"/>
  <c r="AP838" i="1" s="1"/>
  <c r="AN839" i="1"/>
  <c r="AP839" i="1" s="1"/>
  <c r="AN840" i="1"/>
  <c r="AP840" i="1" s="1"/>
  <c r="AN841" i="1"/>
  <c r="AP841" i="1" s="1"/>
  <c r="AN842" i="1"/>
  <c r="AP842" i="1" s="1"/>
  <c r="AN843" i="1"/>
  <c r="AP843" i="1" s="1"/>
  <c r="AN844" i="1"/>
  <c r="AP844" i="1" s="1"/>
  <c r="AN845" i="1"/>
  <c r="AP845" i="1" s="1"/>
  <c r="AN846" i="1"/>
  <c r="AP846" i="1" s="1"/>
  <c r="AN847" i="1"/>
  <c r="AP847" i="1" s="1"/>
  <c r="AN848" i="1"/>
  <c r="AP848" i="1" s="1"/>
  <c r="AN849" i="1"/>
  <c r="AP849" i="1" s="1"/>
  <c r="AN850" i="1"/>
  <c r="AP850" i="1" s="1"/>
  <c r="AN851" i="1"/>
  <c r="AP851" i="1" s="1"/>
  <c r="AN852" i="1"/>
  <c r="AP852" i="1" s="1"/>
  <c r="AN853" i="1"/>
  <c r="AP853" i="1" s="1"/>
  <c r="AN854" i="1"/>
  <c r="AP854" i="1" s="1"/>
  <c r="AN855" i="1"/>
  <c r="AP855" i="1" s="1"/>
  <c r="AN856" i="1"/>
  <c r="AP856" i="1" s="1"/>
  <c r="AN857" i="1"/>
  <c r="AP857" i="1" s="1"/>
  <c r="AN858" i="1"/>
  <c r="AP858" i="1" s="1"/>
  <c r="AN859" i="1"/>
  <c r="AP859" i="1" s="1"/>
  <c r="AN860" i="1"/>
  <c r="AP860" i="1" s="1"/>
  <c r="AN861" i="1"/>
  <c r="AP861" i="1" s="1"/>
  <c r="AN862" i="1"/>
  <c r="AP862" i="1" s="1"/>
  <c r="AN863" i="1"/>
  <c r="AP863" i="1" s="1"/>
  <c r="AN864" i="1"/>
  <c r="AP864" i="1" s="1"/>
  <c r="AN865" i="1"/>
  <c r="AP865" i="1" s="1"/>
  <c r="AN866" i="1"/>
  <c r="AP866" i="1" s="1"/>
  <c r="AN867" i="1"/>
  <c r="AP867" i="1" s="1"/>
  <c r="AN868" i="1"/>
  <c r="AP868" i="1" s="1"/>
  <c r="AN869" i="1"/>
  <c r="AP869" i="1" s="1"/>
  <c r="AN870" i="1"/>
  <c r="AP870" i="1" s="1"/>
  <c r="AN871" i="1"/>
  <c r="AP871" i="1" s="1"/>
  <c r="AN872" i="1"/>
  <c r="AP872" i="1" s="1"/>
  <c r="AN873" i="1"/>
  <c r="AP873" i="1" s="1"/>
  <c r="AN874" i="1"/>
  <c r="AP874" i="1" s="1"/>
  <c r="AN875" i="1"/>
  <c r="AP875" i="1" s="1"/>
  <c r="AN876" i="1"/>
  <c r="AP876" i="1" s="1"/>
  <c r="AN877" i="1"/>
  <c r="AP877" i="1" s="1"/>
  <c r="AN878" i="1"/>
  <c r="AP878" i="1" s="1"/>
  <c r="AN879" i="1"/>
  <c r="AP879" i="1" s="1"/>
  <c r="AN880" i="1"/>
  <c r="AP880" i="1" s="1"/>
  <c r="AN881" i="1"/>
  <c r="AP881" i="1" s="1"/>
  <c r="AN882" i="1"/>
  <c r="AP882" i="1" s="1"/>
  <c r="AN883" i="1"/>
  <c r="AP883" i="1" s="1"/>
  <c r="AN884" i="1"/>
  <c r="AP884" i="1" s="1"/>
  <c r="AN885" i="1"/>
  <c r="AP885" i="1" s="1"/>
  <c r="AN886" i="1"/>
  <c r="AP886" i="1" s="1"/>
  <c r="AN887" i="1"/>
  <c r="AP887" i="1" s="1"/>
  <c r="AN888" i="1"/>
  <c r="AP888" i="1" s="1"/>
  <c r="AN889" i="1"/>
  <c r="AP889" i="1" s="1"/>
  <c r="AN890" i="1"/>
  <c r="AP890" i="1" s="1"/>
  <c r="AN891" i="1"/>
  <c r="AP891" i="1" s="1"/>
  <c r="AN892" i="1"/>
  <c r="AP892" i="1" s="1"/>
  <c r="AN893" i="1"/>
  <c r="AP893" i="1" s="1"/>
  <c r="AN894" i="1"/>
  <c r="AP894" i="1" s="1"/>
  <c r="AN895" i="1"/>
  <c r="AP895" i="1" s="1"/>
  <c r="AN896" i="1"/>
  <c r="AP896" i="1" s="1"/>
  <c r="AN897" i="1"/>
  <c r="AP897" i="1" s="1"/>
  <c r="AN898" i="1"/>
  <c r="AP898" i="1" s="1"/>
  <c r="AN899" i="1"/>
  <c r="AP899" i="1" s="1"/>
  <c r="AN900" i="1"/>
  <c r="AP900" i="1" s="1"/>
  <c r="AN901" i="1"/>
  <c r="AP901" i="1" s="1"/>
  <c r="AN902" i="1"/>
  <c r="AP902" i="1" s="1"/>
  <c r="AN903" i="1"/>
  <c r="AP903" i="1" s="1"/>
  <c r="AN904" i="1"/>
  <c r="AP904" i="1" s="1"/>
  <c r="AN905" i="1"/>
  <c r="AP905" i="1" s="1"/>
  <c r="AN906" i="1"/>
  <c r="AP906" i="1" s="1"/>
  <c r="AN907" i="1"/>
  <c r="AP907" i="1" s="1"/>
  <c r="AN908" i="1"/>
  <c r="AP908" i="1" s="1"/>
  <c r="AN909" i="1"/>
  <c r="AP909" i="1" s="1"/>
  <c r="AN910" i="1"/>
  <c r="AP910" i="1" s="1"/>
  <c r="AN911" i="1"/>
  <c r="AP911" i="1" s="1"/>
  <c r="AN912" i="1"/>
  <c r="AP912" i="1" s="1"/>
  <c r="AN913" i="1"/>
  <c r="AP913" i="1" s="1"/>
  <c r="AN914" i="1"/>
  <c r="AP914" i="1" s="1"/>
  <c r="AN915" i="1"/>
  <c r="AP915" i="1" s="1"/>
  <c r="AN916" i="1"/>
  <c r="AP916" i="1" s="1"/>
  <c r="AN917" i="1"/>
  <c r="AP917" i="1" s="1"/>
  <c r="AN918" i="1"/>
  <c r="AP918" i="1" s="1"/>
  <c r="AN919" i="1"/>
  <c r="AP919" i="1" s="1"/>
  <c r="AN920" i="1"/>
  <c r="AP920" i="1" s="1"/>
  <c r="AN921" i="1"/>
  <c r="AP921" i="1" s="1"/>
  <c r="AN922" i="1"/>
  <c r="AP922" i="1" s="1"/>
  <c r="AN923" i="1"/>
  <c r="AP923" i="1" s="1"/>
  <c r="AN924" i="1"/>
  <c r="AP924" i="1" s="1"/>
  <c r="AN925" i="1"/>
  <c r="AP925" i="1" s="1"/>
  <c r="AN926" i="1"/>
  <c r="AP926" i="1" s="1"/>
  <c r="AN927" i="1"/>
  <c r="AP927" i="1" s="1"/>
  <c r="AN928" i="1"/>
  <c r="AP928" i="1" s="1"/>
  <c r="AN929" i="1"/>
  <c r="AP929" i="1" s="1"/>
  <c r="AN930" i="1"/>
  <c r="AP930" i="1" s="1"/>
  <c r="AN931" i="1"/>
  <c r="AP931" i="1" s="1"/>
  <c r="AN932" i="1"/>
  <c r="AP932" i="1" s="1"/>
  <c r="AN933" i="1"/>
  <c r="AP933" i="1" s="1"/>
  <c r="AN934" i="1"/>
  <c r="AP934" i="1" s="1"/>
  <c r="AN935" i="1"/>
  <c r="AP935" i="1" s="1"/>
  <c r="AN936" i="1"/>
  <c r="AP936" i="1" s="1"/>
  <c r="AN937" i="1"/>
  <c r="AP937" i="1" s="1"/>
  <c r="AN938" i="1"/>
  <c r="AP938" i="1" s="1"/>
  <c r="AN939" i="1"/>
  <c r="AP939" i="1" s="1"/>
  <c r="AN940" i="1"/>
  <c r="AP940" i="1" s="1"/>
  <c r="AN941" i="1"/>
  <c r="AP941" i="1" s="1"/>
  <c r="AN942" i="1"/>
  <c r="AP942" i="1" s="1"/>
  <c r="AN943" i="1"/>
  <c r="AP943" i="1" s="1"/>
  <c r="AN944" i="1"/>
  <c r="AP944" i="1" s="1"/>
  <c r="D5" i="1"/>
  <c r="D12" i="1"/>
  <c r="D17" i="1"/>
  <c r="D23" i="1"/>
  <c r="D26" i="1"/>
  <c r="D28" i="1"/>
  <c r="D30" i="1"/>
  <c r="D41" i="1"/>
  <c r="D44" i="1"/>
  <c r="D55" i="1"/>
  <c r="D64" i="1"/>
  <c r="D73" i="1"/>
  <c r="D83" i="1"/>
  <c r="D94" i="1"/>
  <c r="D105" i="1"/>
  <c r="D108" i="1"/>
  <c r="D113" i="1"/>
  <c r="D125" i="1"/>
  <c r="D138" i="1"/>
  <c r="D150" i="1"/>
  <c r="D163" i="1"/>
  <c r="D172" i="1"/>
  <c r="D174" i="1"/>
  <c r="D176" i="1"/>
  <c r="D178" i="1"/>
  <c r="D182" i="1"/>
  <c r="D184" i="1"/>
  <c r="D187" i="1"/>
  <c r="D190" i="1"/>
  <c r="D193" i="1"/>
  <c r="D201" i="1"/>
  <c r="D204" i="1"/>
  <c r="D206" i="1"/>
  <c r="D211" i="1"/>
  <c r="D216" i="1"/>
  <c r="D219" i="1"/>
  <c r="D227" i="1"/>
  <c r="D231" i="1"/>
  <c r="D243" i="1"/>
  <c r="D246" i="1"/>
  <c r="D252" i="1"/>
  <c r="D256" i="1"/>
  <c r="D261" i="1"/>
  <c r="D273" i="1"/>
  <c r="D286" i="1"/>
  <c r="D288" i="1"/>
  <c r="D297" i="1"/>
  <c r="D299" i="1"/>
  <c r="D302" i="1"/>
  <c r="D304" i="1"/>
  <c r="D312" i="1"/>
  <c r="D322" i="1"/>
  <c r="D331" i="1"/>
  <c r="D339" i="1"/>
  <c r="D343" i="1"/>
  <c r="D346" i="1"/>
  <c r="D358" i="1"/>
  <c r="D371" i="1"/>
  <c r="D382" i="1"/>
  <c r="D384" i="1"/>
  <c r="D387" i="1"/>
  <c r="D390" i="1"/>
  <c r="D393" i="1"/>
  <c r="D395" i="1"/>
  <c r="D397" i="1"/>
  <c r="D399" i="1"/>
  <c r="D408" i="1"/>
  <c r="D410" i="1"/>
  <c r="D412" i="1"/>
  <c r="D417" i="1"/>
  <c r="D421" i="1"/>
  <c r="D429" i="1"/>
  <c r="D437" i="1"/>
  <c r="D440" i="1"/>
  <c r="D452" i="1"/>
  <c r="D463" i="1"/>
  <c r="D467" i="1"/>
  <c r="D469" i="1"/>
  <c r="D471" i="1"/>
  <c r="D473" i="1"/>
  <c r="D476" i="1"/>
  <c r="D478" i="1"/>
  <c r="D480" i="1"/>
  <c r="D483" i="1"/>
  <c r="D486" i="1"/>
  <c r="D489" i="1"/>
  <c r="D492" i="1"/>
  <c r="D498" i="1"/>
  <c r="D501" i="1"/>
  <c r="D505" i="1"/>
  <c r="D516" i="1"/>
  <c r="D522" i="1"/>
  <c r="D531" i="1"/>
  <c r="D533" i="1"/>
  <c r="D537" i="1"/>
  <c r="D539" i="1"/>
  <c r="D542" i="1"/>
  <c r="D544" i="1"/>
  <c r="D546" i="1"/>
  <c r="D548" i="1"/>
  <c r="D550" i="1"/>
  <c r="D557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AJ5" i="1"/>
  <c r="AJ12" i="1"/>
  <c r="AJ17" i="1"/>
  <c r="AJ23" i="1"/>
  <c r="AJ26" i="1"/>
  <c r="AJ28" i="1"/>
  <c r="AJ30" i="1"/>
  <c r="AJ41" i="1"/>
  <c r="AJ44" i="1"/>
  <c r="AJ55" i="1"/>
  <c r="AJ64" i="1"/>
  <c r="AJ73" i="1"/>
  <c r="AJ83" i="1"/>
  <c r="AJ94" i="1"/>
  <c r="AJ105" i="1"/>
  <c r="AJ108" i="1"/>
  <c r="AJ113" i="1"/>
  <c r="AJ125" i="1"/>
  <c r="AJ138" i="1"/>
  <c r="AJ150" i="1"/>
  <c r="AJ163" i="1"/>
  <c r="AJ172" i="1"/>
  <c r="AJ174" i="1"/>
  <c r="AJ176" i="1"/>
  <c r="AJ178" i="1"/>
  <c r="AJ182" i="1"/>
  <c r="AJ184" i="1"/>
  <c r="AJ187" i="1"/>
  <c r="AJ190" i="1"/>
  <c r="AJ193" i="1"/>
  <c r="AJ201" i="1"/>
  <c r="AJ204" i="1"/>
  <c r="AJ206" i="1"/>
  <c r="AJ211" i="1"/>
  <c r="AJ216" i="1"/>
  <c r="AJ219" i="1"/>
  <c r="AJ227" i="1"/>
  <c r="AJ231" i="1"/>
  <c r="AJ243" i="1"/>
  <c r="AJ246" i="1"/>
  <c r="AJ252" i="1"/>
  <c r="AJ256" i="1"/>
  <c r="AJ261" i="1"/>
  <c r="AJ273" i="1"/>
  <c r="AJ286" i="1"/>
  <c r="AJ288" i="1"/>
  <c r="AJ297" i="1"/>
  <c r="AJ299" i="1"/>
  <c r="AJ302" i="1"/>
  <c r="AJ304" i="1"/>
  <c r="AJ312" i="1"/>
  <c r="AJ322" i="1"/>
  <c r="AJ331" i="1"/>
  <c r="AJ339" i="1"/>
  <c r="AJ343" i="1"/>
  <c r="AJ346" i="1"/>
  <c r="AJ358" i="1"/>
  <c r="AJ371" i="1"/>
  <c r="AJ382" i="1"/>
  <c r="AJ384" i="1"/>
  <c r="AJ387" i="1"/>
  <c r="AJ390" i="1"/>
  <c r="AJ393" i="1"/>
  <c r="AJ395" i="1"/>
  <c r="AJ397" i="1"/>
  <c r="AJ399" i="1"/>
  <c r="AJ408" i="1"/>
  <c r="AJ410" i="1"/>
  <c r="AJ412" i="1"/>
  <c r="AJ417" i="1"/>
  <c r="AJ421" i="1"/>
  <c r="AJ429" i="1"/>
  <c r="AJ437" i="1"/>
  <c r="AJ440" i="1"/>
  <c r="AJ452" i="1"/>
  <c r="AJ463" i="1"/>
  <c r="AJ467" i="1"/>
  <c r="AJ469" i="1"/>
  <c r="AJ471" i="1"/>
  <c r="AJ473" i="1"/>
  <c r="AJ476" i="1"/>
  <c r="AJ478" i="1"/>
  <c r="AJ480" i="1"/>
  <c r="AJ483" i="1"/>
  <c r="AJ486" i="1"/>
  <c r="AJ489" i="1"/>
  <c r="AJ492" i="1"/>
  <c r="AJ498" i="1"/>
  <c r="AJ501" i="1"/>
  <c r="AJ505" i="1"/>
  <c r="AJ516" i="1"/>
  <c r="AJ522" i="1"/>
  <c r="AJ531" i="1"/>
  <c r="AJ533" i="1"/>
  <c r="AJ537" i="1"/>
  <c r="AJ539" i="1"/>
  <c r="AJ542" i="1"/>
  <c r="AJ544" i="1"/>
  <c r="AJ546" i="1"/>
  <c r="AJ548" i="1"/>
  <c r="AJ550" i="1"/>
  <c r="AJ557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M3" i="1"/>
  <c r="AM6" i="1"/>
  <c r="AM13" i="1"/>
  <c r="AM18" i="1"/>
  <c r="AM24" i="1"/>
  <c r="AP564" i="1" l="1"/>
  <c r="AP563" i="1"/>
  <c r="AP562" i="1"/>
  <c r="AP560" i="1"/>
  <c r="AP559" i="1"/>
  <c r="AP558" i="1"/>
  <c r="AQ558" i="1"/>
  <c r="AR558" i="1" s="1"/>
  <c r="AP556" i="1"/>
  <c r="AP555" i="1"/>
  <c r="AP553" i="1"/>
  <c r="AP552" i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3" i="1"/>
  <c r="AQ543" i="1"/>
  <c r="AR543" i="1" s="1"/>
  <c r="AP540" i="1"/>
  <c r="AQ540" i="1"/>
  <c r="AR540" i="1" s="1"/>
  <c r="AP538" i="1"/>
  <c r="AQ538" i="1"/>
  <c r="AR538" i="1" s="1"/>
  <c r="AP536" i="1"/>
  <c r="AP535" i="1"/>
  <c r="AP534" i="1"/>
  <c r="AQ534" i="1"/>
  <c r="AR534" i="1" s="1"/>
  <c r="AP532" i="1"/>
  <c r="AQ532" i="1"/>
  <c r="AR532" i="1" s="1"/>
  <c r="AP529" i="1"/>
  <c r="AP527" i="1"/>
  <c r="AP525" i="1"/>
  <c r="AP523" i="1"/>
  <c r="AQ523" i="1"/>
  <c r="AR523" i="1" s="1"/>
  <c r="AP520" i="1"/>
  <c r="AP518" i="1"/>
  <c r="AP517" i="1"/>
  <c r="AQ517" i="1"/>
  <c r="AR517" i="1" s="1"/>
  <c r="AQ499" i="1"/>
  <c r="AR499" i="1" s="1"/>
  <c r="AQ474" i="1"/>
  <c r="AR474" i="1" s="1"/>
  <c r="AQ472" i="1"/>
  <c r="AR472" i="1" s="1"/>
  <c r="AQ470" i="1"/>
  <c r="AR470" i="1" s="1"/>
  <c r="AQ468" i="1"/>
  <c r="AR468" i="1" s="1"/>
  <c r="AQ479" i="1"/>
  <c r="AR479" i="1" s="1"/>
  <c r="AQ477" i="1"/>
  <c r="AR477" i="1" s="1"/>
  <c r="AQ506" i="1"/>
  <c r="AR506" i="1" s="1"/>
  <c r="AP515" i="1"/>
  <c r="AP513" i="1"/>
  <c r="AP511" i="1"/>
  <c r="AP509" i="1"/>
  <c r="AP507" i="1"/>
  <c r="AQ502" i="1"/>
  <c r="AR502" i="1" s="1"/>
  <c r="AQ493" i="1"/>
  <c r="AR493" i="1" s="1"/>
  <c r="AQ490" i="1"/>
  <c r="AR490" i="1" s="1"/>
  <c r="AQ487" i="1"/>
  <c r="AR487" i="1" s="1"/>
  <c r="AQ484" i="1"/>
  <c r="AR484" i="1" s="1"/>
  <c r="AQ481" i="1"/>
  <c r="AR481" i="1" s="1"/>
  <c r="AQ464" i="1"/>
  <c r="AR464" i="1" s="1"/>
  <c r="AP462" i="1"/>
  <c r="AP460" i="1"/>
  <c r="AP458" i="1"/>
  <c r="AP457" i="1"/>
  <c r="AP455" i="1"/>
  <c r="AP453" i="1"/>
  <c r="AQ453" i="1"/>
  <c r="AR453" i="1" s="1"/>
  <c r="AQ441" i="1"/>
  <c r="AR441" i="1" s="1"/>
  <c r="AP446" i="1"/>
  <c r="AP442" i="1"/>
  <c r="X446" i="1"/>
  <c r="AG450" i="1"/>
  <c r="AO450" i="1" s="1"/>
  <c r="AG448" i="1"/>
  <c r="AP448" i="1" s="1"/>
  <c r="AG444" i="1"/>
  <c r="AP444" i="1" s="1"/>
  <c r="AG442" i="1"/>
  <c r="AQ438" i="1"/>
  <c r="AR438" i="1" s="1"/>
  <c r="AQ433" i="1"/>
  <c r="AR433" i="1" s="1"/>
  <c r="AQ430" i="1"/>
  <c r="AR430" i="1" s="1"/>
  <c r="AQ422" i="1"/>
  <c r="AR422" i="1" s="1"/>
  <c r="AQ409" i="1"/>
  <c r="AR409" i="1" s="1"/>
  <c r="AQ398" i="1"/>
  <c r="AR398" i="1" s="1"/>
  <c r="AQ396" i="1"/>
  <c r="AR396" i="1" s="1"/>
  <c r="AQ394" i="1"/>
  <c r="AR394" i="1" s="1"/>
  <c r="AQ385" i="1"/>
  <c r="AR385" i="1" s="1"/>
  <c r="AQ383" i="1"/>
  <c r="AR383" i="1" s="1"/>
  <c r="AG147" i="1"/>
  <c r="AG142" i="1"/>
  <c r="AG134" i="1"/>
  <c r="AG130" i="1"/>
  <c r="AG126" i="1"/>
  <c r="AG124" i="1"/>
  <c r="AG120" i="1"/>
  <c r="AG118" i="1"/>
  <c r="AG116" i="1"/>
  <c r="AG114" i="1"/>
  <c r="AG112" i="1"/>
  <c r="AG110" i="1"/>
  <c r="AG106" i="1"/>
  <c r="AG104" i="1"/>
  <c r="AG102" i="1"/>
  <c r="AG100" i="1"/>
  <c r="AG97" i="1"/>
  <c r="AG95" i="1"/>
  <c r="AG93" i="1"/>
  <c r="AG91" i="1"/>
  <c r="AG89" i="1"/>
  <c r="AG87" i="1"/>
  <c r="AG85" i="1"/>
  <c r="AG81" i="1"/>
  <c r="AG79" i="1"/>
  <c r="AG77" i="1"/>
  <c r="AG75" i="1"/>
  <c r="AG71" i="1"/>
  <c r="AG69" i="1"/>
  <c r="AG67" i="1"/>
  <c r="AG65" i="1"/>
  <c r="AG63" i="1"/>
  <c r="AG61" i="1"/>
  <c r="AG58" i="1"/>
  <c r="AG56" i="1"/>
  <c r="AG54" i="1"/>
  <c r="AG52" i="1"/>
  <c r="AG50" i="1"/>
  <c r="AG48" i="1"/>
  <c r="AG46" i="1"/>
  <c r="AG42" i="1"/>
  <c r="AG40" i="1"/>
  <c r="AG37" i="1"/>
  <c r="AG35" i="1"/>
  <c r="AG33" i="1"/>
  <c r="AG31" i="1"/>
  <c r="AG29" i="1"/>
  <c r="AQ391" i="1"/>
  <c r="AR391" i="1" s="1"/>
  <c r="AQ418" i="1"/>
  <c r="AR418" i="1" s="1"/>
  <c r="AQ413" i="1"/>
  <c r="AR413" i="1" s="1"/>
  <c r="AQ411" i="1"/>
  <c r="AR411" i="1" s="1"/>
  <c r="AQ400" i="1"/>
  <c r="AR400" i="1" s="1"/>
  <c r="AQ388" i="1"/>
  <c r="AR388" i="1" s="1"/>
  <c r="AQ372" i="1"/>
  <c r="AR372" i="1" s="1"/>
  <c r="AP369" i="1"/>
  <c r="AP367" i="1"/>
  <c r="AP365" i="1"/>
  <c r="AP363" i="1"/>
  <c r="AP361" i="1"/>
  <c r="AP359" i="1"/>
  <c r="AQ359" i="1"/>
  <c r="AR359" i="1" s="1"/>
  <c r="AP357" i="1"/>
  <c r="AQ347" i="1"/>
  <c r="AR347" i="1" s="1"/>
  <c r="AP356" i="1"/>
  <c r="AP354" i="1"/>
  <c r="AP352" i="1"/>
  <c r="AP350" i="1"/>
  <c r="AP348" i="1"/>
  <c r="AQ344" i="1"/>
  <c r="AR344" i="1" s="1"/>
  <c r="AP345" i="1"/>
  <c r="AP341" i="1"/>
  <c r="AP342" i="1"/>
  <c r="AP340" i="1"/>
  <c r="AQ340" i="1"/>
  <c r="AR340" i="1" s="1"/>
  <c r="AP338" i="1"/>
  <c r="AP332" i="1"/>
  <c r="AP336" i="1"/>
  <c r="AQ332" i="1"/>
  <c r="AR332" i="1" s="1"/>
  <c r="AP337" i="1"/>
  <c r="AP335" i="1"/>
  <c r="AP333" i="1"/>
  <c r="AP330" i="1"/>
  <c r="AP328" i="1"/>
  <c r="AP326" i="1"/>
  <c r="AP324" i="1"/>
  <c r="AG148" i="1"/>
  <c r="AO148" i="1" s="1"/>
  <c r="AG146" i="1"/>
  <c r="AG143" i="1"/>
  <c r="AO143" i="1" s="1"/>
  <c r="AG141" i="1"/>
  <c r="AG139" i="1"/>
  <c r="AO139" i="1" s="1"/>
  <c r="AG137" i="1"/>
  <c r="AG135" i="1"/>
  <c r="AO135" i="1" s="1"/>
  <c r="AG133" i="1"/>
  <c r="AG131" i="1"/>
  <c r="AO131" i="1" s="1"/>
  <c r="AG129" i="1"/>
  <c r="AP129" i="1" s="1"/>
  <c r="AG127" i="1"/>
  <c r="AP127" i="1" s="1"/>
  <c r="AG24" i="1"/>
  <c r="X24" i="1"/>
  <c r="Y944" i="1"/>
  <c r="AB944" i="1"/>
  <c r="Y940" i="1"/>
  <c r="AB940" i="1"/>
  <c r="Y932" i="1"/>
  <c r="AB932" i="1"/>
  <c r="Y928" i="1"/>
  <c r="AB928" i="1"/>
  <c r="Y924" i="1"/>
  <c r="AB924" i="1"/>
  <c r="Y920" i="1"/>
  <c r="AB920" i="1"/>
  <c r="Y916" i="1"/>
  <c r="AB916" i="1"/>
  <c r="Y912" i="1"/>
  <c r="AB912" i="1"/>
  <c r="Y908" i="1"/>
  <c r="AB908" i="1"/>
  <c r="Y904" i="1"/>
  <c r="AB904" i="1"/>
  <c r="Y900" i="1"/>
  <c r="AB900" i="1"/>
  <c r="Y896" i="1"/>
  <c r="AB896" i="1"/>
  <c r="Y892" i="1"/>
  <c r="AB892" i="1"/>
  <c r="Y888" i="1"/>
  <c r="AB888" i="1"/>
  <c r="Y884" i="1"/>
  <c r="AB884" i="1"/>
  <c r="Y880" i="1"/>
  <c r="AB880" i="1"/>
  <c r="Y876" i="1"/>
  <c r="AB876" i="1"/>
  <c r="Y856" i="1"/>
  <c r="AB856" i="1"/>
  <c r="Y852" i="1"/>
  <c r="AB852" i="1"/>
  <c r="Y840" i="1"/>
  <c r="AB840" i="1"/>
  <c r="Y836" i="1"/>
  <c r="AB836" i="1"/>
  <c r="Y824" i="1"/>
  <c r="AB824" i="1"/>
  <c r="Y816" i="1"/>
  <c r="AB816" i="1"/>
  <c r="Y812" i="1"/>
  <c r="AB812" i="1"/>
  <c r="Y808" i="1"/>
  <c r="AB808" i="1"/>
  <c r="Y780" i="1"/>
  <c r="AB780" i="1"/>
  <c r="Y776" i="1"/>
  <c r="AB776" i="1"/>
  <c r="Y772" i="1"/>
  <c r="AB772" i="1"/>
  <c r="Y768" i="1"/>
  <c r="AB768" i="1"/>
  <c r="Y744" i="1"/>
  <c r="AB744" i="1"/>
  <c r="Y740" i="1"/>
  <c r="AB740" i="1"/>
  <c r="Y736" i="1"/>
  <c r="AB736" i="1"/>
  <c r="Y732" i="1"/>
  <c r="AB732" i="1"/>
  <c r="Y728" i="1"/>
  <c r="AB728" i="1"/>
  <c r="Y712" i="1"/>
  <c r="AB712" i="1"/>
  <c r="Y708" i="1"/>
  <c r="AB708" i="1"/>
  <c r="Y704" i="1"/>
  <c r="AB704" i="1"/>
  <c r="Y700" i="1"/>
  <c r="AB700" i="1"/>
  <c r="Y692" i="1"/>
  <c r="AB692" i="1"/>
  <c r="Y680" i="1"/>
  <c r="AB680" i="1"/>
  <c r="Y676" i="1"/>
  <c r="AB676" i="1"/>
  <c r="Y664" i="1"/>
  <c r="AB664" i="1"/>
  <c r="Y660" i="1"/>
  <c r="AB660" i="1"/>
  <c r="Y648" i="1"/>
  <c r="AB648" i="1"/>
  <c r="Y628" i="1"/>
  <c r="AB628" i="1"/>
  <c r="Y624" i="1"/>
  <c r="AB624" i="1"/>
  <c r="Y620" i="1"/>
  <c r="AB620" i="1"/>
  <c r="Y616" i="1"/>
  <c r="AB616" i="1"/>
  <c r="Y612" i="1"/>
  <c r="AB612" i="1"/>
  <c r="Y608" i="1"/>
  <c r="AB608" i="1"/>
  <c r="Y604" i="1"/>
  <c r="AB604" i="1"/>
  <c r="Y600" i="1"/>
  <c r="AB600" i="1"/>
  <c r="Y596" i="1"/>
  <c r="AB596" i="1"/>
  <c r="Y592" i="1"/>
  <c r="AB592" i="1"/>
  <c r="Y588" i="1"/>
  <c r="AB588" i="1"/>
  <c r="Y584" i="1"/>
  <c r="AB584" i="1"/>
  <c r="Y580" i="1"/>
  <c r="AB580" i="1"/>
  <c r="Y576" i="1"/>
  <c r="AB576" i="1"/>
  <c r="Y572" i="1"/>
  <c r="AB572" i="1"/>
  <c r="Y568" i="1"/>
  <c r="AB568" i="1"/>
  <c r="Y564" i="1"/>
  <c r="Y560" i="1"/>
  <c r="Y556" i="1"/>
  <c r="Y552" i="1"/>
  <c r="Y548" i="1"/>
  <c r="AB548" i="1"/>
  <c r="Y544" i="1"/>
  <c r="AB544" i="1"/>
  <c r="Y540" i="1"/>
  <c r="Y536" i="1"/>
  <c r="Y532" i="1"/>
  <c r="Y528" i="1"/>
  <c r="Y524" i="1"/>
  <c r="Y520" i="1"/>
  <c r="Y516" i="1"/>
  <c r="AB516" i="1"/>
  <c r="Y512" i="1"/>
  <c r="AB55" i="1"/>
  <c r="AA55" i="1"/>
  <c r="AB26" i="1"/>
  <c r="AA26" i="1"/>
  <c r="AB661" i="1"/>
  <c r="AA661" i="1"/>
  <c r="AB659" i="1"/>
  <c r="AA659" i="1"/>
  <c r="AB657" i="1"/>
  <c r="AA657" i="1"/>
  <c r="AB653" i="1"/>
  <c r="AA653" i="1"/>
  <c r="AB651" i="1"/>
  <c r="AA651" i="1"/>
  <c r="AB649" i="1"/>
  <c r="AA649" i="1"/>
  <c r="AB645" i="1"/>
  <c r="AA645" i="1"/>
  <c r="AB643" i="1"/>
  <c r="AA643" i="1"/>
  <c r="AB641" i="1"/>
  <c r="AA641" i="1"/>
  <c r="AB637" i="1"/>
  <c r="AA637" i="1"/>
  <c r="AB635" i="1"/>
  <c r="AA635" i="1"/>
  <c r="AB633" i="1"/>
  <c r="AA633" i="1"/>
  <c r="AB629" i="1"/>
  <c r="AA629" i="1"/>
  <c r="AB627" i="1"/>
  <c r="AA627" i="1"/>
  <c r="AB625" i="1"/>
  <c r="AA625" i="1"/>
  <c r="AB621" i="1"/>
  <c r="AA621" i="1"/>
  <c r="AB619" i="1"/>
  <c r="AA619" i="1"/>
  <c r="AB617" i="1"/>
  <c r="AA617" i="1"/>
  <c r="AB613" i="1"/>
  <c r="AA613" i="1"/>
  <c r="AB611" i="1"/>
  <c r="AA611" i="1"/>
  <c r="AB609" i="1"/>
  <c r="AA609" i="1"/>
  <c r="AB605" i="1"/>
  <c r="AA605" i="1"/>
  <c r="AB603" i="1"/>
  <c r="AA603" i="1"/>
  <c r="AB601" i="1"/>
  <c r="AA601" i="1"/>
  <c r="AB597" i="1"/>
  <c r="AA597" i="1"/>
  <c r="AB595" i="1"/>
  <c r="AA595" i="1"/>
  <c r="AB593" i="1"/>
  <c r="AA593" i="1"/>
  <c r="AB589" i="1"/>
  <c r="AA589" i="1"/>
  <c r="AB587" i="1"/>
  <c r="AA587" i="1"/>
  <c r="AB585" i="1"/>
  <c r="AA585" i="1"/>
  <c r="AB581" i="1"/>
  <c r="AA581" i="1"/>
  <c r="AB579" i="1"/>
  <c r="AA579" i="1"/>
  <c r="AB577" i="1"/>
  <c r="AA577" i="1"/>
  <c r="AB573" i="1"/>
  <c r="AA573" i="1"/>
  <c r="AB571" i="1"/>
  <c r="AA571" i="1"/>
  <c r="AB569" i="1"/>
  <c r="AA569" i="1"/>
  <c r="AB565" i="1"/>
  <c r="AA565" i="1"/>
  <c r="AB557" i="1"/>
  <c r="AA557" i="1"/>
  <c r="AB539" i="1"/>
  <c r="AA539" i="1"/>
  <c r="AB537" i="1"/>
  <c r="AA537" i="1"/>
  <c r="AB533" i="1"/>
  <c r="AA533" i="1"/>
  <c r="AB531" i="1"/>
  <c r="AA531" i="1"/>
  <c r="AB505" i="1"/>
  <c r="AA505" i="1"/>
  <c r="AB501" i="1"/>
  <c r="AA501" i="1"/>
  <c r="AB489" i="1"/>
  <c r="AA489" i="1"/>
  <c r="AB483" i="1"/>
  <c r="AA483" i="1"/>
  <c r="AB473" i="1"/>
  <c r="AA473" i="1"/>
  <c r="AB471" i="1"/>
  <c r="AA471" i="1"/>
  <c r="AB469" i="1"/>
  <c r="AA469" i="1"/>
  <c r="AB467" i="1"/>
  <c r="AA467" i="1"/>
  <c r="AB463" i="1"/>
  <c r="AA463" i="1"/>
  <c r="AB437" i="1"/>
  <c r="AA437" i="1"/>
  <c r="AB412" i="1"/>
  <c r="AA412" i="1"/>
  <c r="AB410" i="1"/>
  <c r="AA410" i="1"/>
  <c r="AB408" i="1"/>
  <c r="AA408" i="1"/>
  <c r="AB390" i="1"/>
  <c r="AA390" i="1"/>
  <c r="AB384" i="1"/>
  <c r="AA384" i="1"/>
  <c r="AB382" i="1"/>
  <c r="AA382" i="1"/>
  <c r="AB358" i="1"/>
  <c r="AA358" i="1"/>
  <c r="AB346" i="1"/>
  <c r="AA346" i="1"/>
  <c r="AB322" i="1"/>
  <c r="AA322" i="1"/>
  <c r="AB312" i="1"/>
  <c r="AA312" i="1"/>
  <c r="AB304" i="1"/>
  <c r="AA304" i="1"/>
  <c r="AB302" i="1"/>
  <c r="AA302" i="1"/>
  <c r="AB292" i="1"/>
  <c r="AA292" i="1"/>
  <c r="AB288" i="1"/>
  <c r="AA288" i="1"/>
  <c r="AB286" i="1"/>
  <c r="AA286" i="1"/>
  <c r="AB256" i="1"/>
  <c r="AA256" i="1"/>
  <c r="AB252" i="1"/>
  <c r="AA252" i="1"/>
  <c r="AB246" i="1"/>
  <c r="AA246" i="1"/>
  <c r="AB216" i="1"/>
  <c r="AA216" i="1"/>
  <c r="AB206" i="1"/>
  <c r="AA206" i="1"/>
  <c r="AB204" i="1"/>
  <c r="AA204" i="1"/>
  <c r="AB190" i="1"/>
  <c r="AA190" i="1"/>
  <c r="AB184" i="1"/>
  <c r="AA184" i="1"/>
  <c r="AB182" i="1"/>
  <c r="AA182" i="1"/>
  <c r="AB178" i="1"/>
  <c r="AA178" i="1"/>
  <c r="AA176" i="1"/>
  <c r="AB176" i="1"/>
  <c r="AB174" i="1"/>
  <c r="AA174" i="1"/>
  <c r="AB172" i="1"/>
  <c r="AA172" i="1"/>
  <c r="AB150" i="1"/>
  <c r="AA150" i="1"/>
  <c r="AB125" i="1"/>
  <c r="AA125" i="1"/>
  <c r="AB108" i="1"/>
  <c r="AA108" i="1"/>
  <c r="AB83" i="1"/>
  <c r="AA83" i="1"/>
  <c r="AB73" i="1"/>
  <c r="AA73" i="1"/>
  <c r="AB44" i="1"/>
  <c r="AA44" i="1"/>
  <c r="AB23" i="1"/>
  <c r="AA23" i="1"/>
  <c r="AB17" i="1"/>
  <c r="AA17" i="1"/>
  <c r="AB5" i="1"/>
  <c r="AA5" i="1"/>
  <c r="AA943" i="1"/>
  <c r="AA941" i="1"/>
  <c r="AA939" i="1"/>
  <c r="AA937" i="1"/>
  <c r="AA935" i="1"/>
  <c r="AA933" i="1"/>
  <c r="AA931" i="1"/>
  <c r="AA929" i="1"/>
  <c r="AA927" i="1"/>
  <c r="AA925" i="1"/>
  <c r="AA923" i="1"/>
  <c r="AA921" i="1"/>
  <c r="AA919" i="1"/>
  <c r="AA917" i="1"/>
  <c r="AA915" i="1"/>
  <c r="AA913" i="1"/>
  <c r="AA911" i="1"/>
  <c r="AA909" i="1"/>
  <c r="AA907" i="1"/>
  <c r="AA905" i="1"/>
  <c r="AA903" i="1"/>
  <c r="AA901" i="1"/>
  <c r="AA899" i="1"/>
  <c r="AA897" i="1"/>
  <c r="AA895" i="1"/>
  <c r="AA893" i="1"/>
  <c r="AA891" i="1"/>
  <c r="AA889" i="1"/>
  <c r="AA887" i="1"/>
  <c r="AA885" i="1"/>
  <c r="AA883" i="1"/>
  <c r="AA881" i="1"/>
  <c r="AA879" i="1"/>
  <c r="AA877" i="1"/>
  <c r="AA875" i="1"/>
  <c r="AA873" i="1"/>
  <c r="AA871" i="1"/>
  <c r="AA869" i="1"/>
  <c r="AA867" i="1"/>
  <c r="AA865" i="1"/>
  <c r="AA863" i="1"/>
  <c r="AA861" i="1"/>
  <c r="AA859" i="1"/>
  <c r="AA857" i="1"/>
  <c r="AA855" i="1"/>
  <c r="AA853" i="1"/>
  <c r="AA851" i="1"/>
  <c r="AA849" i="1"/>
  <c r="AA847" i="1"/>
  <c r="AA845" i="1"/>
  <c r="AA843" i="1"/>
  <c r="AA841" i="1"/>
  <c r="AA839" i="1"/>
  <c r="AA837" i="1"/>
  <c r="AA835" i="1"/>
  <c r="AA833" i="1"/>
  <c r="AA831" i="1"/>
  <c r="AA829" i="1"/>
  <c r="AA827" i="1"/>
  <c r="AA825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9" i="1"/>
  <c r="AA777" i="1"/>
  <c r="AA775" i="1"/>
  <c r="AA773" i="1"/>
  <c r="AA771" i="1"/>
  <c r="AA769" i="1"/>
  <c r="AA767" i="1"/>
  <c r="AA765" i="1"/>
  <c r="AA763" i="1"/>
  <c r="AA761" i="1"/>
  <c r="AA759" i="1"/>
  <c r="AA757" i="1"/>
  <c r="AA755" i="1"/>
  <c r="AA753" i="1"/>
  <c r="AA751" i="1"/>
  <c r="AA749" i="1"/>
  <c r="AA747" i="1"/>
  <c r="AA745" i="1"/>
  <c r="AA743" i="1"/>
  <c r="AA741" i="1"/>
  <c r="AA739" i="1"/>
  <c r="AA737" i="1"/>
  <c r="AA735" i="1"/>
  <c r="AA733" i="1"/>
  <c r="AA731" i="1"/>
  <c r="AA729" i="1"/>
  <c r="AA727" i="1"/>
  <c r="AA725" i="1"/>
  <c r="AA723" i="1"/>
  <c r="AA721" i="1"/>
  <c r="AA719" i="1"/>
  <c r="AA717" i="1"/>
  <c r="AA715" i="1"/>
  <c r="AA713" i="1"/>
  <c r="AA711" i="1"/>
  <c r="AA709" i="1"/>
  <c r="AA707" i="1"/>
  <c r="AA705" i="1"/>
  <c r="AA703" i="1"/>
  <c r="AA701" i="1"/>
  <c r="AA699" i="1"/>
  <c r="AA697" i="1"/>
  <c r="AA695" i="1"/>
  <c r="AA693" i="1"/>
  <c r="AA691" i="1"/>
  <c r="AA689" i="1"/>
  <c r="AA687" i="1"/>
  <c r="AA685" i="1"/>
  <c r="AA683" i="1"/>
  <c r="AA681" i="1"/>
  <c r="AA679" i="1"/>
  <c r="AA677" i="1"/>
  <c r="AA675" i="1"/>
  <c r="AA673" i="1"/>
  <c r="AA671" i="1"/>
  <c r="AA669" i="1"/>
  <c r="AA667" i="1"/>
  <c r="AA665" i="1"/>
  <c r="AA662" i="1"/>
  <c r="AA658" i="1"/>
  <c r="AA654" i="1"/>
  <c r="AA650" i="1"/>
  <c r="AA646" i="1"/>
  <c r="AA642" i="1"/>
  <c r="AA638" i="1"/>
  <c r="AA634" i="1"/>
  <c r="AA522" i="1"/>
  <c r="AA498" i="1"/>
  <c r="AA486" i="1"/>
  <c r="AA478" i="1"/>
  <c r="AA429" i="1"/>
  <c r="AA421" i="1"/>
  <c r="AA417" i="1"/>
  <c r="AA397" i="1"/>
  <c r="AA393" i="1"/>
  <c r="AA231" i="1"/>
  <c r="AA30" i="1"/>
  <c r="AA12" i="1"/>
  <c r="AB938" i="1"/>
  <c r="AB930" i="1"/>
  <c r="AB922" i="1"/>
  <c r="AB914" i="1"/>
  <c r="AB906" i="1"/>
  <c r="AB898" i="1"/>
  <c r="AB890" i="1"/>
  <c r="AB882" i="1"/>
  <c r="AB874" i="1"/>
  <c r="AB866" i="1"/>
  <c r="AB858" i="1"/>
  <c r="AB850" i="1"/>
  <c r="AB842" i="1"/>
  <c r="AB834" i="1"/>
  <c r="AB826" i="1"/>
  <c r="AB818" i="1"/>
  <c r="AB810" i="1"/>
  <c r="AB802" i="1"/>
  <c r="AB794" i="1"/>
  <c r="AB786" i="1"/>
  <c r="AB778" i="1"/>
  <c r="AB770" i="1"/>
  <c r="AB762" i="1"/>
  <c r="AB754" i="1"/>
  <c r="AB746" i="1"/>
  <c r="AB738" i="1"/>
  <c r="AB730" i="1"/>
  <c r="AB722" i="1"/>
  <c r="AB663" i="1"/>
  <c r="AB647" i="1"/>
  <c r="AB631" i="1"/>
  <c r="AB615" i="1"/>
  <c r="AB599" i="1"/>
  <c r="AB583" i="1"/>
  <c r="AB567" i="1"/>
  <c r="AB522" i="1"/>
  <c r="AB297" i="1"/>
  <c r="Y698" i="1"/>
  <c r="AB698" i="1"/>
  <c r="Y694" i="1"/>
  <c r="AB694" i="1"/>
  <c r="Y690" i="1"/>
  <c r="AB690" i="1"/>
  <c r="Y686" i="1"/>
  <c r="AB686" i="1"/>
  <c r="Y670" i="1"/>
  <c r="AB670" i="1"/>
  <c r="Y630" i="1"/>
  <c r="AB630" i="1"/>
  <c r="Y626" i="1"/>
  <c r="AB626" i="1"/>
  <c r="Y622" i="1"/>
  <c r="AB622" i="1"/>
  <c r="Y618" i="1"/>
  <c r="AB618" i="1"/>
  <c r="Y614" i="1"/>
  <c r="AB614" i="1"/>
  <c r="Y610" i="1"/>
  <c r="AB610" i="1"/>
  <c r="Y606" i="1"/>
  <c r="AB606" i="1"/>
  <c r="Y602" i="1"/>
  <c r="AB602" i="1"/>
  <c r="Y598" i="1"/>
  <c r="AB598" i="1"/>
  <c r="Y594" i="1"/>
  <c r="AB594" i="1"/>
  <c r="Y590" i="1"/>
  <c r="AB590" i="1"/>
  <c r="Y586" i="1"/>
  <c r="AB586" i="1"/>
  <c r="Y582" i="1"/>
  <c r="AB582" i="1"/>
  <c r="Y578" i="1"/>
  <c r="AB578" i="1"/>
  <c r="Y574" i="1"/>
  <c r="AB574" i="1"/>
  <c r="Y570" i="1"/>
  <c r="AB570" i="1"/>
  <c r="Y566" i="1"/>
  <c r="AB566" i="1"/>
  <c r="Y562" i="1"/>
  <c r="Y558" i="1"/>
  <c r="Y554" i="1"/>
  <c r="Y550" i="1"/>
  <c r="AB550" i="1"/>
  <c r="Y546" i="1"/>
  <c r="AB546" i="1"/>
  <c r="Y542" i="1"/>
  <c r="AB542" i="1"/>
  <c r="Y534" i="1"/>
  <c r="Y530" i="1"/>
  <c r="Y526" i="1"/>
  <c r="Z526" i="1" s="1"/>
  <c r="AB273" i="1"/>
  <c r="AA273" i="1"/>
  <c r="AB261" i="1"/>
  <c r="AA261" i="1"/>
  <c r="AB201" i="1"/>
  <c r="AA201" i="1"/>
  <c r="AB193" i="1"/>
  <c r="AA193" i="1"/>
  <c r="AB94" i="1"/>
  <c r="AA94" i="1"/>
  <c r="AB41" i="1"/>
  <c r="AA41" i="1"/>
  <c r="AB28" i="1"/>
  <c r="AA28" i="1"/>
  <c r="AA944" i="1"/>
  <c r="AA942" i="1"/>
  <c r="AA940" i="1"/>
  <c r="AA938" i="1"/>
  <c r="AA936" i="1"/>
  <c r="AA934" i="1"/>
  <c r="AA932" i="1"/>
  <c r="AA928" i="1"/>
  <c r="AA926" i="1"/>
  <c r="AA924" i="1"/>
  <c r="AA920" i="1"/>
  <c r="AA918" i="1"/>
  <c r="AA916" i="1"/>
  <c r="AA912" i="1"/>
  <c r="AA910" i="1"/>
  <c r="AA908" i="1"/>
  <c r="AA904" i="1"/>
  <c r="AA902" i="1"/>
  <c r="AA900" i="1"/>
  <c r="AA896" i="1"/>
  <c r="AA894" i="1"/>
  <c r="AA892" i="1"/>
  <c r="AA888" i="1"/>
  <c r="AA886" i="1"/>
  <c r="AA884" i="1"/>
  <c r="AA880" i="1"/>
  <c r="AA878" i="1"/>
  <c r="AA876" i="1"/>
  <c r="AA872" i="1"/>
  <c r="AA870" i="1"/>
  <c r="AA868" i="1"/>
  <c r="AA866" i="1"/>
  <c r="AA864" i="1"/>
  <c r="AA862" i="1"/>
  <c r="AA860" i="1"/>
  <c r="AA856" i="1"/>
  <c r="AA854" i="1"/>
  <c r="AA852" i="1"/>
  <c r="AA848" i="1"/>
  <c r="AA846" i="1"/>
  <c r="AA844" i="1"/>
  <c r="AA840" i="1"/>
  <c r="AA838" i="1"/>
  <c r="AA836" i="1"/>
  <c r="AA832" i="1"/>
  <c r="AA830" i="1"/>
  <c r="AA828" i="1"/>
  <c r="AA824" i="1"/>
  <c r="AA822" i="1"/>
  <c r="AA820" i="1"/>
  <c r="AA816" i="1"/>
  <c r="AA814" i="1"/>
  <c r="AA812" i="1"/>
  <c r="AA808" i="1"/>
  <c r="AA806" i="1"/>
  <c r="AA804" i="1"/>
  <c r="AA802" i="1"/>
  <c r="AA800" i="1"/>
  <c r="AA798" i="1"/>
  <c r="AA796" i="1"/>
  <c r="AA794" i="1"/>
  <c r="AA792" i="1"/>
  <c r="AA790" i="1"/>
  <c r="AA788" i="1"/>
  <c r="AA786" i="1"/>
  <c r="AA784" i="1"/>
  <c r="AA782" i="1"/>
  <c r="AA780" i="1"/>
  <c r="AA776" i="1"/>
  <c r="AA774" i="1"/>
  <c r="AA772" i="1"/>
  <c r="AA768" i="1"/>
  <c r="AA766" i="1"/>
  <c r="AA764" i="1"/>
  <c r="AA762" i="1"/>
  <c r="AA760" i="1"/>
  <c r="AA758" i="1"/>
  <c r="AA756" i="1"/>
  <c r="AA754" i="1"/>
  <c r="AA752" i="1"/>
  <c r="AA750" i="1"/>
  <c r="AA748" i="1"/>
  <c r="AA744" i="1"/>
  <c r="AA742" i="1"/>
  <c r="AA740" i="1"/>
  <c r="AA736" i="1"/>
  <c r="AA734" i="1"/>
  <c r="AA732" i="1"/>
  <c r="AA728" i="1"/>
  <c r="AA726" i="1"/>
  <c r="AA724" i="1"/>
  <c r="AA722" i="1"/>
  <c r="AA720" i="1"/>
  <c r="AA718" i="1"/>
  <c r="AA716" i="1"/>
  <c r="AA714" i="1"/>
  <c r="AA712" i="1"/>
  <c r="AA710" i="1"/>
  <c r="AA708" i="1"/>
  <c r="AA706" i="1"/>
  <c r="AA704" i="1"/>
  <c r="AA702" i="1"/>
  <c r="AA700" i="1"/>
  <c r="AA698" i="1"/>
  <c r="AA696" i="1"/>
  <c r="AA694" i="1"/>
  <c r="AA692" i="1"/>
  <c r="AA690" i="1"/>
  <c r="AA688" i="1"/>
  <c r="AA686" i="1"/>
  <c r="AA684" i="1"/>
  <c r="AA682" i="1"/>
  <c r="AA680" i="1"/>
  <c r="AA678" i="1"/>
  <c r="AA676" i="1"/>
  <c r="AA674" i="1"/>
  <c r="AA672" i="1"/>
  <c r="AA670" i="1"/>
  <c r="AA668" i="1"/>
  <c r="AA666" i="1"/>
  <c r="AA664" i="1"/>
  <c r="AA660" i="1"/>
  <c r="AA656" i="1"/>
  <c r="AA652" i="1"/>
  <c r="AA648" i="1"/>
  <c r="AA644" i="1"/>
  <c r="AA640" i="1"/>
  <c r="AA636" i="1"/>
  <c r="AA632" i="1"/>
  <c r="AA628" i="1"/>
  <c r="AA624" i="1"/>
  <c r="AA620" i="1"/>
  <c r="AA616" i="1"/>
  <c r="AA612" i="1"/>
  <c r="AA608" i="1"/>
  <c r="AA604" i="1"/>
  <c r="AA600" i="1"/>
  <c r="AA596" i="1"/>
  <c r="AA592" i="1"/>
  <c r="AA588" i="1"/>
  <c r="AA584" i="1"/>
  <c r="AA580" i="1"/>
  <c r="AA576" i="1"/>
  <c r="AA572" i="1"/>
  <c r="AA568" i="1"/>
  <c r="AA548" i="1"/>
  <c r="AA544" i="1"/>
  <c r="AA516" i="1"/>
  <c r="AA500" i="1"/>
  <c r="AA492" i="1"/>
  <c r="AA480" i="1"/>
  <c r="AA476" i="1"/>
  <c r="AA452" i="1"/>
  <c r="AA440" i="1"/>
  <c r="AA399" i="1"/>
  <c r="AA395" i="1"/>
  <c r="AA387" i="1"/>
  <c r="AA371" i="1"/>
  <c r="AA351" i="1"/>
  <c r="AA343" i="1"/>
  <c r="AA339" i="1"/>
  <c r="AA331" i="1"/>
  <c r="AA299" i="1"/>
  <c r="AA243" i="1"/>
  <c r="AA227" i="1"/>
  <c r="AA219" i="1"/>
  <c r="AA211" i="1"/>
  <c r="AA187" i="1"/>
  <c r="AA163" i="1"/>
  <c r="AA138" i="1"/>
  <c r="AA113" i="1"/>
  <c r="AA105" i="1"/>
  <c r="AA64" i="1"/>
  <c r="AB934" i="1"/>
  <c r="AB870" i="1"/>
  <c r="AB862" i="1"/>
  <c r="AB846" i="1"/>
  <c r="AB830" i="1"/>
  <c r="AB798" i="1"/>
  <c r="AB790" i="1"/>
  <c r="AB758" i="1"/>
  <c r="AB750" i="1"/>
  <c r="AB718" i="1"/>
  <c r="AB655" i="1"/>
  <c r="AB639" i="1"/>
  <c r="AB623" i="1"/>
  <c r="AB607" i="1"/>
  <c r="AB591" i="1"/>
  <c r="AB575" i="1"/>
  <c r="AG27" i="1"/>
  <c r="AP27" i="1" s="1"/>
  <c r="AG25" i="1"/>
  <c r="AO25" i="1" s="1"/>
  <c r="AP323" i="1"/>
  <c r="AO323" i="1"/>
  <c r="AP321" i="1"/>
  <c r="AO321" i="1"/>
  <c r="AP319" i="1"/>
  <c r="AO319" i="1"/>
  <c r="AP317" i="1"/>
  <c r="AO317" i="1"/>
  <c r="AP315" i="1"/>
  <c r="AO315" i="1"/>
  <c r="AP313" i="1"/>
  <c r="AO313" i="1"/>
  <c r="AP311" i="1"/>
  <c r="AO311" i="1"/>
  <c r="AP309" i="1"/>
  <c r="AO309" i="1"/>
  <c r="AP307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3" i="1"/>
  <c r="AO153" i="1"/>
  <c r="AP151" i="1"/>
  <c r="AO151" i="1"/>
  <c r="AP149" i="1"/>
  <c r="AO149" i="1"/>
  <c r="AP147" i="1"/>
  <c r="AO147" i="1"/>
  <c r="AP145" i="1"/>
  <c r="AO145" i="1"/>
  <c r="AP142" i="1"/>
  <c r="AO142" i="1"/>
  <c r="AP140" i="1"/>
  <c r="AO140" i="1"/>
  <c r="AP138" i="1"/>
  <c r="AO138" i="1"/>
  <c r="AP136" i="1"/>
  <c r="AO136" i="1"/>
  <c r="AP134" i="1"/>
  <c r="AO134" i="1"/>
  <c r="AP132" i="1"/>
  <c r="AO132" i="1"/>
  <c r="AP130" i="1"/>
  <c r="AO130" i="1"/>
  <c r="AP128" i="1"/>
  <c r="AO128" i="1"/>
  <c r="AP126" i="1"/>
  <c r="AO126" i="1"/>
  <c r="AP124" i="1"/>
  <c r="AO124" i="1"/>
  <c r="AP121" i="1"/>
  <c r="AO121" i="1"/>
  <c r="AP119" i="1"/>
  <c r="AO119" i="1"/>
  <c r="AP117" i="1"/>
  <c r="AO117" i="1"/>
  <c r="AP115" i="1"/>
  <c r="AO115" i="1"/>
  <c r="AP113" i="1"/>
  <c r="AO113" i="1"/>
  <c r="AP111" i="1"/>
  <c r="AO111" i="1"/>
  <c r="AP109" i="1"/>
  <c r="AO109" i="1"/>
  <c r="AP107" i="1"/>
  <c r="AO107" i="1"/>
  <c r="AP105" i="1"/>
  <c r="AO105" i="1"/>
  <c r="AP103" i="1"/>
  <c r="AO103" i="1"/>
  <c r="AP101" i="1"/>
  <c r="AO101" i="1"/>
  <c r="AP98" i="1"/>
  <c r="AO98" i="1"/>
  <c r="AP96" i="1"/>
  <c r="AO96" i="1"/>
  <c r="AP94" i="1"/>
  <c r="AO94" i="1"/>
  <c r="AP92" i="1"/>
  <c r="AO92" i="1"/>
  <c r="AP90" i="1"/>
  <c r="AO90" i="1"/>
  <c r="AP88" i="1"/>
  <c r="AO88" i="1"/>
  <c r="AP86" i="1"/>
  <c r="AO86" i="1"/>
  <c r="AP84" i="1"/>
  <c r="AO84" i="1"/>
  <c r="AP82" i="1"/>
  <c r="AO82" i="1"/>
  <c r="AP80" i="1"/>
  <c r="AO80" i="1"/>
  <c r="AP78" i="1"/>
  <c r="AO78" i="1"/>
  <c r="AP76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60" i="1"/>
  <c r="AO60" i="1"/>
  <c r="AP57" i="1"/>
  <c r="AO57" i="1"/>
  <c r="AP55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P41" i="1"/>
  <c r="AO41" i="1"/>
  <c r="AP39" i="1"/>
  <c r="AO39" i="1"/>
  <c r="AP37" i="1"/>
  <c r="AO37" i="1"/>
  <c r="AP33" i="1"/>
  <c r="AO33" i="1"/>
  <c r="AP31" i="1"/>
  <c r="AO31" i="1"/>
  <c r="AP29" i="1"/>
  <c r="AO29" i="1"/>
  <c r="AQ27" i="1"/>
  <c r="AR27" i="1" s="1"/>
  <c r="AP25" i="1"/>
  <c r="AP23" i="1"/>
  <c r="AO23" i="1"/>
  <c r="AP21" i="1"/>
  <c r="AO21" i="1"/>
  <c r="AP19" i="1"/>
  <c r="AO19" i="1"/>
  <c r="AP17" i="1"/>
  <c r="AO17" i="1"/>
  <c r="AP15" i="1"/>
  <c r="AO15" i="1"/>
  <c r="AQ13" i="1"/>
  <c r="AR13" i="1" s="1"/>
  <c r="AP13" i="1"/>
  <c r="AO13" i="1"/>
  <c r="AP11" i="1"/>
  <c r="AO11" i="1"/>
  <c r="AP9" i="1"/>
  <c r="AO9" i="1"/>
  <c r="AP7" i="1"/>
  <c r="AO7" i="1"/>
  <c r="AP5" i="1"/>
  <c r="AO5" i="1"/>
  <c r="AQ3" i="1"/>
  <c r="AR3" i="1" s="1"/>
  <c r="AP3" i="1"/>
  <c r="AO3" i="1"/>
  <c r="AO94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48" i="1"/>
  <c r="AO446" i="1"/>
  <c r="AO444" i="1"/>
  <c r="AO442" i="1"/>
  <c r="AO440" i="1"/>
  <c r="AO438" i="1"/>
  <c r="AO436" i="1"/>
  <c r="AO434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9" i="1"/>
  <c r="AO337" i="1"/>
  <c r="AO335" i="1"/>
  <c r="AO333" i="1"/>
  <c r="AO331" i="1"/>
  <c r="AO329" i="1"/>
  <c r="AO327" i="1"/>
  <c r="AO325" i="1"/>
  <c r="AO322" i="1"/>
  <c r="AO318" i="1"/>
  <c r="AO314" i="1"/>
  <c r="AO310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P150" i="1"/>
  <c r="AO150" i="1"/>
  <c r="AP146" i="1"/>
  <c r="AO146" i="1"/>
  <c r="AP141" i="1"/>
  <c r="AO141" i="1"/>
  <c r="AP137" i="1"/>
  <c r="AO137" i="1"/>
  <c r="AP135" i="1"/>
  <c r="AP133" i="1"/>
  <c r="AO133" i="1"/>
  <c r="AP131" i="1"/>
  <c r="AO129" i="1"/>
  <c r="AO127" i="1"/>
  <c r="AP125" i="1"/>
  <c r="AO125" i="1"/>
  <c r="AP120" i="1"/>
  <c r="AO120" i="1"/>
  <c r="AP118" i="1"/>
  <c r="AO118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100" i="1"/>
  <c r="AO100" i="1"/>
  <c r="AP97" i="1"/>
  <c r="AO97" i="1"/>
  <c r="AP95" i="1"/>
  <c r="AO95" i="1"/>
  <c r="AP93" i="1"/>
  <c r="AO93" i="1"/>
  <c r="AP91" i="1"/>
  <c r="AO91" i="1"/>
  <c r="AP89" i="1"/>
  <c r="AO89" i="1"/>
  <c r="AP87" i="1"/>
  <c r="AO87" i="1"/>
  <c r="AP85" i="1"/>
  <c r="AO85" i="1"/>
  <c r="AP83" i="1"/>
  <c r="AO83" i="1"/>
  <c r="AP81" i="1"/>
  <c r="AO81" i="1"/>
  <c r="AP79" i="1"/>
  <c r="AO79" i="1"/>
  <c r="AP77" i="1"/>
  <c r="AO77" i="1"/>
  <c r="AP75" i="1"/>
  <c r="AO75" i="1"/>
  <c r="AP73" i="1"/>
  <c r="AO73" i="1"/>
  <c r="AP71" i="1"/>
  <c r="AO71" i="1"/>
  <c r="AP69" i="1"/>
  <c r="AO69" i="1"/>
  <c r="AP67" i="1"/>
  <c r="AO67" i="1"/>
  <c r="AP65" i="1"/>
  <c r="AO65" i="1"/>
  <c r="AP63" i="1"/>
  <c r="AO63" i="1"/>
  <c r="AP61" i="1"/>
  <c r="AO61" i="1"/>
  <c r="AP58" i="1"/>
  <c r="AO58" i="1"/>
  <c r="AP56" i="1"/>
  <c r="AO56" i="1"/>
  <c r="AP54" i="1"/>
  <c r="AO54" i="1"/>
  <c r="AP52" i="1"/>
  <c r="AO52" i="1"/>
  <c r="AP50" i="1"/>
  <c r="AO50" i="1"/>
  <c r="AP48" i="1"/>
  <c r="AO48" i="1"/>
  <c r="AP46" i="1"/>
  <c r="AO46" i="1"/>
  <c r="AP44" i="1"/>
  <c r="AO44" i="1"/>
  <c r="AP42" i="1"/>
  <c r="AO42" i="1"/>
  <c r="AP40" i="1"/>
  <c r="AO40" i="1"/>
  <c r="AP36" i="1"/>
  <c r="AO36" i="1"/>
  <c r="AP34" i="1"/>
  <c r="AO34" i="1"/>
  <c r="AP32" i="1"/>
  <c r="AO32" i="1"/>
  <c r="AP30" i="1"/>
  <c r="AO30" i="1"/>
  <c r="AP28" i="1"/>
  <c r="AO28" i="1"/>
  <c r="AP26" i="1"/>
  <c r="AO26" i="1"/>
  <c r="AP24" i="1"/>
  <c r="AQ24" i="1"/>
  <c r="AR24" i="1" s="1"/>
  <c r="AO24" i="1"/>
  <c r="AP22" i="1"/>
  <c r="AO22" i="1"/>
  <c r="AP20" i="1"/>
  <c r="AO20" i="1"/>
  <c r="AQ18" i="1"/>
  <c r="AR18" i="1" s="1"/>
  <c r="AP18" i="1"/>
  <c r="AO18" i="1"/>
  <c r="AP16" i="1"/>
  <c r="AO16" i="1"/>
  <c r="AP14" i="1"/>
  <c r="AO14" i="1"/>
  <c r="AP12" i="1"/>
  <c r="AO12" i="1"/>
  <c r="AP10" i="1"/>
  <c r="AO10" i="1"/>
  <c r="AP8" i="1"/>
  <c r="AO8" i="1"/>
  <c r="AQ6" i="1"/>
  <c r="AR6" i="1" s="1"/>
  <c r="AP6" i="1"/>
  <c r="AO6" i="1"/>
  <c r="AP4" i="1"/>
  <c r="AO4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51" i="1"/>
  <c r="AO449" i="1"/>
  <c r="AO447" i="1"/>
  <c r="AO445" i="1"/>
  <c r="AO443" i="1"/>
  <c r="AO441" i="1"/>
  <c r="AO439" i="1"/>
  <c r="AO437" i="1"/>
  <c r="AO435" i="1"/>
  <c r="AO433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8" i="1"/>
  <c r="AO336" i="1"/>
  <c r="AO334" i="1"/>
  <c r="AO332" i="1"/>
  <c r="AO330" i="1"/>
  <c r="AO328" i="1"/>
  <c r="AO326" i="1"/>
  <c r="AO324" i="1"/>
  <c r="AO320" i="1"/>
  <c r="AO316" i="1"/>
  <c r="AO312" i="1"/>
  <c r="AO308" i="1"/>
  <c r="AC942" i="1"/>
  <c r="Z942" i="1"/>
  <c r="AC936" i="1"/>
  <c r="Z936" i="1"/>
  <c r="AC930" i="1"/>
  <c r="Z930" i="1"/>
  <c r="AC926" i="1"/>
  <c r="Z926" i="1"/>
  <c r="AC922" i="1"/>
  <c r="Z922" i="1"/>
  <c r="AC918" i="1"/>
  <c r="Z918" i="1"/>
  <c r="AC914" i="1"/>
  <c r="Z914" i="1"/>
  <c r="AC910" i="1"/>
  <c r="Z910" i="1"/>
  <c r="AC906" i="1"/>
  <c r="Z906" i="1"/>
  <c r="AC902" i="1"/>
  <c r="Z902" i="1"/>
  <c r="AC898" i="1"/>
  <c r="Z898" i="1"/>
  <c r="AC894" i="1"/>
  <c r="Z894" i="1"/>
  <c r="AC890" i="1"/>
  <c r="Z890" i="1"/>
  <c r="AC886" i="1"/>
  <c r="Z886" i="1"/>
  <c r="AC882" i="1"/>
  <c r="Z882" i="1"/>
  <c r="AC878" i="1"/>
  <c r="Z878" i="1"/>
  <c r="AC874" i="1"/>
  <c r="Z874" i="1"/>
  <c r="AC872" i="1"/>
  <c r="Z872" i="1"/>
  <c r="AC868" i="1"/>
  <c r="Z868" i="1"/>
  <c r="AC864" i="1"/>
  <c r="Z864" i="1"/>
  <c r="AC860" i="1"/>
  <c r="Z860" i="1"/>
  <c r="AC858" i="1"/>
  <c r="Z858" i="1"/>
  <c r="AC854" i="1"/>
  <c r="Z854" i="1"/>
  <c r="AC850" i="1"/>
  <c r="Z850" i="1"/>
  <c r="AC848" i="1"/>
  <c r="Z848" i="1"/>
  <c r="AC844" i="1"/>
  <c r="Z844" i="1"/>
  <c r="AC842" i="1"/>
  <c r="Z842" i="1"/>
  <c r="AC838" i="1"/>
  <c r="Z838" i="1"/>
  <c r="AC834" i="1"/>
  <c r="Z834" i="1"/>
  <c r="AC832" i="1"/>
  <c r="Z832" i="1"/>
  <c r="AC828" i="1"/>
  <c r="Z828" i="1"/>
  <c r="AC826" i="1"/>
  <c r="Z826" i="1"/>
  <c r="AC822" i="1"/>
  <c r="Z822" i="1"/>
  <c r="AC820" i="1"/>
  <c r="Z820" i="1"/>
  <c r="AC818" i="1"/>
  <c r="Z818" i="1"/>
  <c r="AC814" i="1"/>
  <c r="Z814" i="1"/>
  <c r="AC810" i="1"/>
  <c r="Z810" i="1"/>
  <c r="AC806" i="1"/>
  <c r="Z806" i="1"/>
  <c r="AC804" i="1"/>
  <c r="Z804" i="1"/>
  <c r="AC800" i="1"/>
  <c r="Z800" i="1"/>
  <c r="AC796" i="1"/>
  <c r="Z796" i="1"/>
  <c r="AC792" i="1"/>
  <c r="Z792" i="1"/>
  <c r="AC788" i="1"/>
  <c r="Z788" i="1"/>
  <c r="AC784" i="1"/>
  <c r="Z784" i="1"/>
  <c r="AC782" i="1"/>
  <c r="Z782" i="1"/>
  <c r="AC778" i="1"/>
  <c r="Z778" i="1"/>
  <c r="AC774" i="1"/>
  <c r="Z774" i="1"/>
  <c r="AC770" i="1"/>
  <c r="Z770" i="1"/>
  <c r="AC766" i="1"/>
  <c r="Z766" i="1"/>
  <c r="AC764" i="1"/>
  <c r="Z764" i="1"/>
  <c r="AC760" i="1"/>
  <c r="Z760" i="1"/>
  <c r="AC756" i="1"/>
  <c r="Z756" i="1"/>
  <c r="AC752" i="1"/>
  <c r="Z752" i="1"/>
  <c r="AC748" i="1"/>
  <c r="Z748" i="1"/>
  <c r="AC746" i="1"/>
  <c r="Z746" i="1"/>
  <c r="AC742" i="1"/>
  <c r="Z742" i="1"/>
  <c r="AC738" i="1"/>
  <c r="Z738" i="1"/>
  <c r="AC734" i="1"/>
  <c r="Z734" i="1"/>
  <c r="AC730" i="1"/>
  <c r="Z730" i="1"/>
  <c r="AC726" i="1"/>
  <c r="Z726" i="1"/>
  <c r="AC724" i="1"/>
  <c r="Z724" i="1"/>
  <c r="AC720" i="1"/>
  <c r="Z720" i="1"/>
  <c r="AC716" i="1"/>
  <c r="Z716" i="1"/>
  <c r="AC714" i="1"/>
  <c r="Z714" i="1"/>
  <c r="AC710" i="1"/>
  <c r="Z710" i="1"/>
  <c r="AC706" i="1"/>
  <c r="Z706" i="1"/>
  <c r="AC702" i="1"/>
  <c r="Z702" i="1"/>
  <c r="AC696" i="1"/>
  <c r="Z696" i="1"/>
  <c r="AC688" i="1"/>
  <c r="Z688" i="1"/>
  <c r="AC684" i="1"/>
  <c r="Z684" i="1"/>
  <c r="AC682" i="1"/>
  <c r="Z682" i="1"/>
  <c r="AC678" i="1"/>
  <c r="Z678" i="1"/>
  <c r="AC674" i="1"/>
  <c r="Z674" i="1"/>
  <c r="AC672" i="1"/>
  <c r="Z672" i="1"/>
  <c r="AC668" i="1"/>
  <c r="Z668" i="1"/>
  <c r="AC666" i="1"/>
  <c r="Z666" i="1"/>
  <c r="AC662" i="1"/>
  <c r="Z662" i="1"/>
  <c r="AC658" i="1"/>
  <c r="Z658" i="1"/>
  <c r="AC656" i="1"/>
  <c r="Z656" i="1"/>
  <c r="AC654" i="1"/>
  <c r="Z654" i="1"/>
  <c r="AC652" i="1"/>
  <c r="Z652" i="1"/>
  <c r="AC650" i="1"/>
  <c r="Z650" i="1"/>
  <c r="AC646" i="1"/>
  <c r="Z646" i="1"/>
  <c r="AC644" i="1"/>
  <c r="Z644" i="1"/>
  <c r="AC642" i="1"/>
  <c r="Z642" i="1"/>
  <c r="AC640" i="1"/>
  <c r="Z640" i="1"/>
  <c r="AC638" i="1"/>
  <c r="Z638" i="1"/>
  <c r="AC636" i="1"/>
  <c r="Z636" i="1"/>
  <c r="AC634" i="1"/>
  <c r="Z634" i="1"/>
  <c r="AC632" i="1"/>
  <c r="Z632" i="1"/>
  <c r="AC943" i="1"/>
  <c r="Z943" i="1"/>
  <c r="AC941" i="1"/>
  <c r="Z941" i="1"/>
  <c r="AC939" i="1"/>
  <c r="Z939" i="1"/>
  <c r="AC937" i="1"/>
  <c r="Z937" i="1"/>
  <c r="AC935" i="1"/>
  <c r="Z935" i="1"/>
  <c r="AC933" i="1"/>
  <c r="Z933" i="1"/>
  <c r="AC931" i="1"/>
  <c r="Z931" i="1"/>
  <c r="AC929" i="1"/>
  <c r="Z929" i="1"/>
  <c r="AC927" i="1"/>
  <c r="Z927" i="1"/>
  <c r="AC925" i="1"/>
  <c r="Z925" i="1"/>
  <c r="AC923" i="1"/>
  <c r="Z923" i="1"/>
  <c r="AC921" i="1"/>
  <c r="Z921" i="1"/>
  <c r="AC919" i="1"/>
  <c r="Z919" i="1"/>
  <c r="AC917" i="1"/>
  <c r="Z917" i="1"/>
  <c r="AC915" i="1"/>
  <c r="Z915" i="1"/>
  <c r="AC913" i="1"/>
  <c r="Z913" i="1"/>
  <c r="AC911" i="1"/>
  <c r="Z911" i="1"/>
  <c r="AC909" i="1"/>
  <c r="Z909" i="1"/>
  <c r="AC907" i="1"/>
  <c r="Z907" i="1"/>
  <c r="AC905" i="1"/>
  <c r="Z905" i="1"/>
  <c r="AC903" i="1"/>
  <c r="Z903" i="1"/>
  <c r="AC901" i="1"/>
  <c r="Z901" i="1"/>
  <c r="AC899" i="1"/>
  <c r="Z899" i="1"/>
  <c r="AC897" i="1"/>
  <c r="Z897" i="1"/>
  <c r="AC895" i="1"/>
  <c r="Z895" i="1"/>
  <c r="AC893" i="1"/>
  <c r="Z893" i="1"/>
  <c r="AC891" i="1"/>
  <c r="Z891" i="1"/>
  <c r="AC889" i="1"/>
  <c r="Z889" i="1"/>
  <c r="AC887" i="1"/>
  <c r="Z887" i="1"/>
  <c r="AC885" i="1"/>
  <c r="Z885" i="1"/>
  <c r="AC883" i="1"/>
  <c r="Z883" i="1"/>
  <c r="AC881" i="1"/>
  <c r="Z881" i="1"/>
  <c r="AC879" i="1"/>
  <c r="Z879" i="1"/>
  <c r="AC877" i="1"/>
  <c r="Z877" i="1"/>
  <c r="AC875" i="1"/>
  <c r="Z875" i="1"/>
  <c r="AC873" i="1"/>
  <c r="Z873" i="1"/>
  <c r="AC871" i="1"/>
  <c r="Z871" i="1"/>
  <c r="AC869" i="1"/>
  <c r="Z869" i="1"/>
  <c r="AC867" i="1"/>
  <c r="Z867" i="1"/>
  <c r="AC865" i="1"/>
  <c r="Z865" i="1"/>
  <c r="AC863" i="1"/>
  <c r="Z863" i="1"/>
  <c r="AC861" i="1"/>
  <c r="Z861" i="1"/>
  <c r="AC859" i="1"/>
  <c r="Z859" i="1"/>
  <c r="AC857" i="1"/>
  <c r="Z857" i="1"/>
  <c r="AC855" i="1"/>
  <c r="Z855" i="1"/>
  <c r="AC853" i="1"/>
  <c r="Z853" i="1"/>
  <c r="AC851" i="1"/>
  <c r="Z851" i="1"/>
  <c r="AC849" i="1"/>
  <c r="Z849" i="1"/>
  <c r="AC847" i="1"/>
  <c r="Z847" i="1"/>
  <c r="AC845" i="1"/>
  <c r="Z845" i="1"/>
  <c r="AC843" i="1"/>
  <c r="Z843" i="1"/>
  <c r="AC841" i="1"/>
  <c r="Z841" i="1"/>
  <c r="AC839" i="1"/>
  <c r="Z839" i="1"/>
  <c r="AC837" i="1"/>
  <c r="Z837" i="1"/>
  <c r="AC835" i="1"/>
  <c r="Z835" i="1"/>
  <c r="AC833" i="1"/>
  <c r="Z833" i="1"/>
  <c r="AC831" i="1"/>
  <c r="Z831" i="1"/>
  <c r="AC829" i="1"/>
  <c r="Z829" i="1"/>
  <c r="AC827" i="1"/>
  <c r="Z827" i="1"/>
  <c r="AC825" i="1"/>
  <c r="Z825" i="1"/>
  <c r="AC823" i="1"/>
  <c r="Z823" i="1"/>
  <c r="AC821" i="1"/>
  <c r="Z821" i="1"/>
  <c r="AC819" i="1"/>
  <c r="Z819" i="1"/>
  <c r="AC817" i="1"/>
  <c r="Z817" i="1"/>
  <c r="AC815" i="1"/>
  <c r="Z815" i="1"/>
  <c r="AC813" i="1"/>
  <c r="Z813" i="1"/>
  <c r="AC811" i="1"/>
  <c r="Z811" i="1"/>
  <c r="AC809" i="1"/>
  <c r="Z809" i="1"/>
  <c r="AC807" i="1"/>
  <c r="Z807" i="1"/>
  <c r="AC805" i="1"/>
  <c r="Z805" i="1"/>
  <c r="AC803" i="1"/>
  <c r="Z803" i="1"/>
  <c r="AC801" i="1"/>
  <c r="Z801" i="1"/>
  <c r="AC799" i="1"/>
  <c r="Z799" i="1"/>
  <c r="AC797" i="1"/>
  <c r="Z797" i="1"/>
  <c r="AC795" i="1"/>
  <c r="Z795" i="1"/>
  <c r="AC793" i="1"/>
  <c r="Z793" i="1"/>
  <c r="AC791" i="1"/>
  <c r="Z791" i="1"/>
  <c r="AC789" i="1"/>
  <c r="Z789" i="1"/>
  <c r="AC787" i="1"/>
  <c r="Z787" i="1"/>
  <c r="AC785" i="1"/>
  <c r="Z785" i="1"/>
  <c r="AC783" i="1"/>
  <c r="Z783" i="1"/>
  <c r="AC781" i="1"/>
  <c r="Z781" i="1"/>
  <c r="AC779" i="1"/>
  <c r="Z779" i="1"/>
  <c r="AC777" i="1"/>
  <c r="Z777" i="1"/>
  <c r="AC775" i="1"/>
  <c r="Z775" i="1"/>
  <c r="AC773" i="1"/>
  <c r="Z773" i="1"/>
  <c r="AC771" i="1"/>
  <c r="Z771" i="1"/>
  <c r="AC769" i="1"/>
  <c r="Z769" i="1"/>
  <c r="AC767" i="1"/>
  <c r="Z767" i="1"/>
  <c r="AC765" i="1"/>
  <c r="Z765" i="1"/>
  <c r="AC763" i="1"/>
  <c r="Z763" i="1"/>
  <c r="AC761" i="1"/>
  <c r="Z761" i="1"/>
  <c r="AC759" i="1"/>
  <c r="Z759" i="1"/>
  <c r="AC757" i="1"/>
  <c r="Z757" i="1"/>
  <c r="AC755" i="1"/>
  <c r="Z755" i="1"/>
  <c r="AC753" i="1"/>
  <c r="Z753" i="1"/>
  <c r="AC751" i="1"/>
  <c r="Z751" i="1"/>
  <c r="AC749" i="1"/>
  <c r="Z749" i="1"/>
  <c r="AC747" i="1"/>
  <c r="Z747" i="1"/>
  <c r="AC745" i="1"/>
  <c r="Z745" i="1"/>
  <c r="AC743" i="1"/>
  <c r="Z743" i="1"/>
  <c r="AC741" i="1"/>
  <c r="Z741" i="1"/>
  <c r="AC739" i="1"/>
  <c r="Z739" i="1"/>
  <c r="AC737" i="1"/>
  <c r="Z737" i="1"/>
  <c r="AC735" i="1"/>
  <c r="Z735" i="1"/>
  <c r="AC733" i="1"/>
  <c r="Z733" i="1"/>
  <c r="AC731" i="1"/>
  <c r="Z731" i="1"/>
  <c r="AC729" i="1"/>
  <c r="Z729" i="1"/>
  <c r="AC727" i="1"/>
  <c r="Z727" i="1"/>
  <c r="AC725" i="1"/>
  <c r="Z725" i="1"/>
  <c r="AC723" i="1"/>
  <c r="Z723" i="1"/>
  <c r="AC721" i="1"/>
  <c r="Z721" i="1"/>
  <c r="AC719" i="1"/>
  <c r="Z719" i="1"/>
  <c r="AC717" i="1"/>
  <c r="Z717" i="1"/>
  <c r="AC715" i="1"/>
  <c r="Z715" i="1"/>
  <c r="AC713" i="1"/>
  <c r="Z713" i="1"/>
  <c r="AC711" i="1"/>
  <c r="Z711" i="1"/>
  <c r="AC709" i="1"/>
  <c r="Z709" i="1"/>
  <c r="AC707" i="1"/>
  <c r="Z707" i="1"/>
  <c r="AC705" i="1"/>
  <c r="Z705" i="1"/>
  <c r="AC703" i="1"/>
  <c r="Z703" i="1"/>
  <c r="AC701" i="1"/>
  <c r="Z701" i="1"/>
  <c r="AC699" i="1"/>
  <c r="Z699" i="1"/>
  <c r="AC697" i="1"/>
  <c r="Z697" i="1"/>
  <c r="AC695" i="1"/>
  <c r="Z695" i="1"/>
  <c r="AC693" i="1"/>
  <c r="Z693" i="1"/>
  <c r="AC691" i="1"/>
  <c r="Z691" i="1"/>
  <c r="AC689" i="1"/>
  <c r="Z689" i="1"/>
  <c r="AC687" i="1"/>
  <c r="Z687" i="1"/>
  <c r="AC685" i="1"/>
  <c r="Z685" i="1"/>
  <c r="AC683" i="1"/>
  <c r="Z683" i="1"/>
  <c r="AC681" i="1"/>
  <c r="Z681" i="1"/>
  <c r="AC679" i="1"/>
  <c r="Z679" i="1"/>
  <c r="AC677" i="1"/>
  <c r="Z677" i="1"/>
  <c r="AC675" i="1"/>
  <c r="Z675" i="1"/>
  <c r="AC673" i="1"/>
  <c r="Z673" i="1"/>
  <c r="AC671" i="1"/>
  <c r="Z671" i="1"/>
  <c r="AC669" i="1"/>
  <c r="Z669" i="1"/>
  <c r="AC667" i="1"/>
  <c r="Z667" i="1"/>
  <c r="AC665" i="1"/>
  <c r="Z665" i="1"/>
  <c r="AC663" i="1"/>
  <c r="Z663" i="1"/>
  <c r="AC661" i="1"/>
  <c r="Z661" i="1"/>
  <c r="AC659" i="1"/>
  <c r="Z659" i="1"/>
  <c r="AC657" i="1"/>
  <c r="Z657" i="1"/>
  <c r="AC655" i="1"/>
  <c r="Z655" i="1"/>
  <c r="AC653" i="1"/>
  <c r="Z653" i="1"/>
  <c r="AC651" i="1"/>
  <c r="Z651" i="1"/>
  <c r="AC649" i="1"/>
  <c r="Z649" i="1"/>
  <c r="AC647" i="1"/>
  <c r="Z647" i="1"/>
  <c r="AC645" i="1"/>
  <c r="Z645" i="1"/>
  <c r="AC643" i="1"/>
  <c r="Z643" i="1"/>
  <c r="AC641" i="1"/>
  <c r="Z641" i="1"/>
  <c r="AC639" i="1"/>
  <c r="Z639" i="1"/>
  <c r="AC637" i="1"/>
  <c r="Z637" i="1"/>
  <c r="AC635" i="1"/>
  <c r="Z635" i="1"/>
  <c r="AC633" i="1"/>
  <c r="Z633" i="1"/>
  <c r="AC631" i="1"/>
  <c r="Z631" i="1"/>
  <c r="AC629" i="1"/>
  <c r="Z629" i="1"/>
  <c r="AC627" i="1"/>
  <c r="Z627" i="1"/>
  <c r="AC625" i="1"/>
  <c r="Z625" i="1"/>
  <c r="AC623" i="1"/>
  <c r="Z623" i="1"/>
  <c r="AC621" i="1"/>
  <c r="Z621" i="1"/>
  <c r="AC619" i="1"/>
  <c r="Z619" i="1"/>
  <c r="AC617" i="1"/>
  <c r="Z617" i="1"/>
  <c r="AC615" i="1"/>
  <c r="Z615" i="1"/>
  <c r="AC613" i="1"/>
  <c r="Z613" i="1"/>
  <c r="AC611" i="1"/>
  <c r="Z611" i="1"/>
  <c r="AC609" i="1"/>
  <c r="Z609" i="1"/>
  <c r="AC607" i="1"/>
  <c r="Z607" i="1"/>
  <c r="AC605" i="1"/>
  <c r="Z605" i="1"/>
  <c r="AC603" i="1"/>
  <c r="Z603" i="1"/>
  <c r="AC601" i="1"/>
  <c r="Z601" i="1"/>
  <c r="AC599" i="1"/>
  <c r="Z599" i="1"/>
  <c r="AC597" i="1"/>
  <c r="Z597" i="1"/>
  <c r="AC595" i="1"/>
  <c r="Z595" i="1"/>
  <c r="AC593" i="1"/>
  <c r="Z593" i="1"/>
  <c r="AC591" i="1"/>
  <c r="Z591" i="1"/>
  <c r="AC589" i="1"/>
  <c r="Z589" i="1"/>
  <c r="AC587" i="1"/>
  <c r="Z587" i="1"/>
  <c r="AC585" i="1"/>
  <c r="Z585" i="1"/>
  <c r="AC583" i="1"/>
  <c r="Z583" i="1"/>
  <c r="AC581" i="1"/>
  <c r="Z581" i="1"/>
  <c r="AC579" i="1"/>
  <c r="Z579" i="1"/>
  <c r="AC577" i="1"/>
  <c r="Z577" i="1"/>
  <c r="AC575" i="1"/>
  <c r="Z575" i="1"/>
  <c r="AC573" i="1"/>
  <c r="Z573" i="1"/>
  <c r="AC571" i="1"/>
  <c r="Z571" i="1"/>
  <c r="AC569" i="1"/>
  <c r="Z569" i="1"/>
  <c r="AC567" i="1"/>
  <c r="Z567" i="1"/>
  <c r="AC565" i="1"/>
  <c r="Z565" i="1"/>
  <c r="AC557" i="1"/>
  <c r="Z557" i="1"/>
  <c r="AC539" i="1"/>
  <c r="Z539" i="1"/>
  <c r="AC537" i="1"/>
  <c r="Z537" i="1"/>
  <c r="AC533" i="1"/>
  <c r="Z533" i="1"/>
  <c r="AC531" i="1"/>
  <c r="Z531" i="1"/>
  <c r="Y519" i="1"/>
  <c r="Z519" i="1" s="1"/>
  <c r="Y517" i="1"/>
  <c r="Y515" i="1"/>
  <c r="Z515" i="1" s="1"/>
  <c r="Y513" i="1"/>
  <c r="Z511" i="1"/>
  <c r="Y511" i="1"/>
  <c r="Y509" i="1"/>
  <c r="Y507" i="1"/>
  <c r="Z507" i="1" s="1"/>
  <c r="AC505" i="1"/>
  <c r="Z505" i="1"/>
  <c r="Y505" i="1"/>
  <c r="Y503" i="1"/>
  <c r="AC501" i="1"/>
  <c r="Z501" i="1"/>
  <c r="Y501" i="1"/>
  <c r="Y499" i="1"/>
  <c r="Z499" i="1" s="1"/>
  <c r="Y497" i="1"/>
  <c r="Y495" i="1"/>
  <c r="Y493" i="1"/>
  <c r="Z493" i="1" s="1"/>
  <c r="Y491" i="1"/>
  <c r="AC489" i="1"/>
  <c r="Z489" i="1"/>
  <c r="Y489" i="1"/>
  <c r="Y487" i="1"/>
  <c r="Y485" i="1"/>
  <c r="AC483" i="1"/>
  <c r="Z483" i="1"/>
  <c r="Y483" i="1"/>
  <c r="Z481" i="1"/>
  <c r="AA481" i="1" s="1"/>
  <c r="Y481" i="1"/>
  <c r="Y479" i="1"/>
  <c r="Y477" i="1"/>
  <c r="Y475" i="1"/>
  <c r="AC473" i="1"/>
  <c r="Z473" i="1"/>
  <c r="Y473" i="1"/>
  <c r="AC471" i="1"/>
  <c r="Z471" i="1"/>
  <c r="Y471" i="1"/>
  <c r="AC469" i="1"/>
  <c r="Z469" i="1"/>
  <c r="Y469" i="1"/>
  <c r="AC467" i="1"/>
  <c r="Z467" i="1"/>
  <c r="Y467" i="1"/>
  <c r="Y465" i="1"/>
  <c r="AC463" i="1"/>
  <c r="Z463" i="1"/>
  <c r="Y463" i="1"/>
  <c r="Y461" i="1"/>
  <c r="Y459" i="1"/>
  <c r="Z459" i="1" s="1"/>
  <c r="Y457" i="1"/>
  <c r="Z455" i="1"/>
  <c r="Y455" i="1"/>
  <c r="Y453" i="1"/>
  <c r="Y451" i="1"/>
  <c r="Z449" i="1"/>
  <c r="Y449" i="1"/>
  <c r="Y447" i="1"/>
  <c r="Y445" i="1"/>
  <c r="Y443" i="1"/>
  <c r="Y441" i="1"/>
  <c r="Z441" i="1" s="1"/>
  <c r="Y439" i="1"/>
  <c r="Z439" i="1" s="1"/>
  <c r="AC437" i="1"/>
  <c r="Z437" i="1"/>
  <c r="Y437" i="1"/>
  <c r="Y435" i="1"/>
  <c r="Y433" i="1"/>
  <c r="Z433" i="1" s="1"/>
  <c r="AA433" i="1" s="1"/>
  <c r="Y430" i="1"/>
  <c r="Y428" i="1"/>
  <c r="Y426" i="1"/>
  <c r="Z426" i="1" s="1"/>
  <c r="Y424" i="1"/>
  <c r="Y422" i="1"/>
  <c r="Z422" i="1" s="1"/>
  <c r="Y420" i="1"/>
  <c r="Z420" i="1" s="1"/>
  <c r="Y418" i="1"/>
  <c r="Y416" i="1"/>
  <c r="Y414" i="1"/>
  <c r="Z414" i="1" s="1"/>
  <c r="AA414" i="1" s="1"/>
  <c r="AC412" i="1"/>
  <c r="Z412" i="1"/>
  <c r="Y412" i="1"/>
  <c r="AC410" i="1"/>
  <c r="Z410" i="1"/>
  <c r="Y410" i="1"/>
  <c r="AC408" i="1"/>
  <c r="Z408" i="1"/>
  <c r="Y408" i="1"/>
  <c r="Y406" i="1"/>
  <c r="Y404" i="1"/>
  <c r="Z404" i="1" s="1"/>
  <c r="Y402" i="1"/>
  <c r="Y400" i="1"/>
  <c r="Z400" i="1" s="1"/>
  <c r="Y398" i="1"/>
  <c r="Z398" i="1" s="1"/>
  <c r="AA398" i="1" s="1"/>
  <c r="Y396" i="1"/>
  <c r="Y394" i="1"/>
  <c r="Z394" i="1" s="1"/>
  <c r="AA394" i="1" s="1"/>
  <c r="Y392" i="1"/>
  <c r="AC390" i="1"/>
  <c r="Z390" i="1"/>
  <c r="Y390" i="1"/>
  <c r="Y388" i="1"/>
  <c r="Z388" i="1" s="1"/>
  <c r="Y386" i="1"/>
  <c r="AC384" i="1"/>
  <c r="Z384" i="1"/>
  <c r="Y384" i="1"/>
  <c r="AC382" i="1"/>
  <c r="Z382" i="1"/>
  <c r="Y382" i="1"/>
  <c r="Y380" i="1"/>
  <c r="Y378" i="1"/>
  <c r="Z378" i="1" s="1"/>
  <c r="Y376" i="1"/>
  <c r="Y374" i="1"/>
  <c r="Z374" i="1" s="1"/>
  <c r="Y372" i="1"/>
  <c r="Y370" i="1"/>
  <c r="Y368" i="1"/>
  <c r="Z368" i="1" s="1"/>
  <c r="Y366" i="1"/>
  <c r="Y364" i="1"/>
  <c r="Z364" i="1" s="1"/>
  <c r="Y362" i="1"/>
  <c r="Y360" i="1"/>
  <c r="Z360" i="1" s="1"/>
  <c r="AC358" i="1"/>
  <c r="Z358" i="1"/>
  <c r="Y358" i="1"/>
  <c r="Y356" i="1"/>
  <c r="Y354" i="1"/>
  <c r="Z354" i="1" s="1"/>
  <c r="Y352" i="1"/>
  <c r="Y350" i="1"/>
  <c r="Z350" i="1" s="1"/>
  <c r="Y348" i="1"/>
  <c r="AC346" i="1"/>
  <c r="Z346" i="1"/>
  <c r="Y346" i="1"/>
  <c r="Y344" i="1"/>
  <c r="Y342" i="1"/>
  <c r="Y340" i="1"/>
  <c r="Z340" i="1" s="1"/>
  <c r="Y338" i="1"/>
  <c r="Z338" i="1" s="1"/>
  <c r="Y336" i="1"/>
  <c r="Y334" i="1"/>
  <c r="Z334" i="1" s="1"/>
  <c r="Y332" i="1"/>
  <c r="Y330" i="1"/>
  <c r="Z330" i="1" s="1"/>
  <c r="Y328" i="1"/>
  <c r="Y326" i="1"/>
  <c r="Z326" i="1" s="1"/>
  <c r="Y324" i="1"/>
  <c r="AC322" i="1"/>
  <c r="Z322" i="1"/>
  <c r="Y322" i="1"/>
  <c r="Y320" i="1"/>
  <c r="Z318" i="1"/>
  <c r="AA318" i="1" s="1"/>
  <c r="Y318" i="1"/>
  <c r="Y316" i="1"/>
  <c r="Y314" i="1"/>
  <c r="Z314" i="1" s="1"/>
  <c r="AA314" i="1" s="1"/>
  <c r="AC312" i="1"/>
  <c r="Z312" i="1"/>
  <c r="Y312" i="1"/>
  <c r="Y310" i="1"/>
  <c r="Z310" i="1" s="1"/>
  <c r="AA310" i="1" s="1"/>
  <c r="Y308" i="1"/>
  <c r="Y306" i="1"/>
  <c r="Z306" i="1" s="1"/>
  <c r="AA306" i="1" s="1"/>
  <c r="AC304" i="1"/>
  <c r="Z304" i="1"/>
  <c r="Y304" i="1"/>
  <c r="AC302" i="1"/>
  <c r="Z302" i="1"/>
  <c r="Y302" i="1"/>
  <c r="Y300" i="1"/>
  <c r="Z300" i="1" s="1"/>
  <c r="Y298" i="1"/>
  <c r="Y296" i="1"/>
  <c r="Z296" i="1" s="1"/>
  <c r="Y294" i="1"/>
  <c r="AC292" i="1"/>
  <c r="Z292" i="1"/>
  <c r="Y292" i="1"/>
  <c r="Y290" i="1"/>
  <c r="AC288" i="1"/>
  <c r="Z288" i="1"/>
  <c r="Y288" i="1"/>
  <c r="AC286" i="1"/>
  <c r="Z286" i="1"/>
  <c r="Y286" i="1"/>
  <c r="Y284" i="1"/>
  <c r="Y282" i="1"/>
  <c r="Z282" i="1" s="1"/>
  <c r="Y280" i="1"/>
  <c r="Y278" i="1"/>
  <c r="Z278" i="1" s="1"/>
  <c r="Y276" i="1"/>
  <c r="Y274" i="1"/>
  <c r="Z274" i="1" s="1"/>
  <c r="Y272" i="1"/>
  <c r="Y270" i="1"/>
  <c r="Z270" i="1" s="1"/>
  <c r="AA270" i="1" s="1"/>
  <c r="Y268" i="1"/>
  <c r="Y266" i="1"/>
  <c r="Z266" i="1" s="1"/>
  <c r="AA266" i="1" s="1"/>
  <c r="Y264" i="1"/>
  <c r="Y262" i="1"/>
  <c r="Z262" i="1" s="1"/>
  <c r="AA262" i="1" s="1"/>
  <c r="Y260" i="1"/>
  <c r="Z260" i="1" s="1"/>
  <c r="AA260" i="1" s="1"/>
  <c r="Y258" i="1"/>
  <c r="AC256" i="1"/>
  <c r="Z256" i="1"/>
  <c r="Y256" i="1"/>
  <c r="Y254" i="1"/>
  <c r="Z254" i="1" s="1"/>
  <c r="AA254" i="1" s="1"/>
  <c r="AC252" i="1"/>
  <c r="Z252" i="1"/>
  <c r="Y252" i="1"/>
  <c r="Y250" i="1"/>
  <c r="Y248" i="1"/>
  <c r="Z248" i="1" s="1"/>
  <c r="AC246" i="1"/>
  <c r="Z246" i="1"/>
  <c r="Y246" i="1"/>
  <c r="Y244" i="1"/>
  <c r="Y242" i="1"/>
  <c r="Z242" i="1" s="1"/>
  <c r="Y240" i="1"/>
  <c r="Y238" i="1"/>
  <c r="Z238" i="1" s="1"/>
  <c r="Y236" i="1"/>
  <c r="Y234" i="1"/>
  <c r="Z234" i="1" s="1"/>
  <c r="Y232" i="1"/>
  <c r="Y230" i="1"/>
  <c r="Z230" i="1" s="1"/>
  <c r="Y228" i="1"/>
  <c r="Z226" i="1"/>
  <c r="Y226" i="1"/>
  <c r="Y224" i="1"/>
  <c r="Y222" i="1"/>
  <c r="Z222" i="1" s="1"/>
  <c r="Y220" i="1"/>
  <c r="Y218" i="1"/>
  <c r="Z218" i="1" s="1"/>
  <c r="AC216" i="1"/>
  <c r="Z216" i="1"/>
  <c r="Y216" i="1"/>
  <c r="Y214" i="1"/>
  <c r="Z214" i="1" s="1"/>
  <c r="AA214" i="1" s="1"/>
  <c r="Y212" i="1"/>
  <c r="Z212" i="1" s="1"/>
  <c r="Y210" i="1"/>
  <c r="Z210" i="1" s="1"/>
  <c r="Y208" i="1"/>
  <c r="AC206" i="1"/>
  <c r="Z206" i="1"/>
  <c r="Y206" i="1"/>
  <c r="AC204" i="1"/>
  <c r="Z204" i="1"/>
  <c r="Y204" i="1"/>
  <c r="Y202" i="1"/>
  <c r="Z202" i="1" s="1"/>
  <c r="AA202" i="1" s="1"/>
  <c r="Y200" i="1"/>
  <c r="Z200" i="1" s="1"/>
  <c r="Y198" i="1"/>
  <c r="Y196" i="1"/>
  <c r="Z196" i="1" s="1"/>
  <c r="Y194" i="1"/>
  <c r="Y192" i="1"/>
  <c r="Z192" i="1" s="1"/>
  <c r="AC190" i="1"/>
  <c r="Z190" i="1"/>
  <c r="Y190" i="1"/>
  <c r="Y188" i="1"/>
  <c r="Y186" i="1"/>
  <c r="Z186" i="1" s="1"/>
  <c r="AC184" i="1"/>
  <c r="Z184" i="1"/>
  <c r="Y184" i="1"/>
  <c r="AC182" i="1"/>
  <c r="Z182" i="1"/>
  <c r="Y182" i="1"/>
  <c r="Y180" i="1"/>
  <c r="Z180" i="1" s="1"/>
  <c r="AA180" i="1" s="1"/>
  <c r="AC178" i="1"/>
  <c r="Z178" i="1"/>
  <c r="Y178" i="1"/>
  <c r="AC176" i="1"/>
  <c r="Z176" i="1"/>
  <c r="Y176" i="1"/>
  <c r="AC174" i="1"/>
  <c r="Z174" i="1"/>
  <c r="Y174" i="1"/>
  <c r="AC172" i="1"/>
  <c r="Z172" i="1"/>
  <c r="Y172" i="1"/>
  <c r="Y170" i="1"/>
  <c r="Z170" i="1" s="1"/>
  <c r="Y168" i="1"/>
  <c r="Y166" i="1"/>
  <c r="Z166" i="1" s="1"/>
  <c r="Y164" i="1"/>
  <c r="Y162" i="1"/>
  <c r="Y160" i="1"/>
  <c r="Z160" i="1" s="1"/>
  <c r="Y158" i="1"/>
  <c r="Y156" i="1"/>
  <c r="Z156" i="1" s="1"/>
  <c r="Y154" i="1"/>
  <c r="Y152" i="1"/>
  <c r="Z152" i="1" s="1"/>
  <c r="AC150" i="1"/>
  <c r="Z150" i="1"/>
  <c r="Y150" i="1"/>
  <c r="Y148" i="1"/>
  <c r="Y146" i="1"/>
  <c r="Z143" i="1"/>
  <c r="Y143" i="1"/>
  <c r="Y141" i="1"/>
  <c r="Y139" i="1"/>
  <c r="Y137" i="1"/>
  <c r="Y135" i="1"/>
  <c r="Z135" i="1" s="1"/>
  <c r="Y133" i="1"/>
  <c r="Y131" i="1"/>
  <c r="Z131" i="1" s="1"/>
  <c r="Y129" i="1"/>
  <c r="Y127" i="1"/>
  <c r="Z127" i="1" s="1"/>
  <c r="AA127" i="1" s="1"/>
  <c r="AC125" i="1"/>
  <c r="Z125" i="1"/>
  <c r="Y125" i="1"/>
  <c r="Y120" i="1"/>
  <c r="Y118" i="1"/>
  <c r="Z118" i="1" s="1"/>
  <c r="Y116" i="1"/>
  <c r="Y114" i="1"/>
  <c r="Z114" i="1" s="1"/>
  <c r="Y112" i="1"/>
  <c r="Y110" i="1"/>
  <c r="Z110" i="1" s="1"/>
  <c r="AC108" i="1"/>
  <c r="Y108" i="1"/>
  <c r="Z108" i="1"/>
  <c r="Y106" i="1"/>
  <c r="Y104" i="1"/>
  <c r="Y102" i="1"/>
  <c r="Y100" i="1"/>
  <c r="Y97" i="1"/>
  <c r="Y95" i="1"/>
  <c r="Y93" i="1"/>
  <c r="Y91" i="1"/>
  <c r="Y89" i="1"/>
  <c r="Y87" i="1"/>
  <c r="Y85" i="1"/>
  <c r="AC83" i="1"/>
  <c r="Y83" i="1"/>
  <c r="Z83" i="1"/>
  <c r="Y81" i="1"/>
  <c r="Y79" i="1"/>
  <c r="Y77" i="1"/>
  <c r="Y75" i="1"/>
  <c r="Z75" i="1" s="1"/>
  <c r="AC73" i="1"/>
  <c r="Z73" i="1"/>
  <c r="Y73" i="1"/>
  <c r="Y71" i="1"/>
  <c r="Z71" i="1" s="1"/>
  <c r="Y69" i="1"/>
  <c r="Z69" i="1" s="1"/>
  <c r="Y67" i="1"/>
  <c r="Z67" i="1" s="1"/>
  <c r="Y65" i="1"/>
  <c r="Y63" i="1"/>
  <c r="Z63" i="1" s="1"/>
  <c r="Y61" i="1"/>
  <c r="Y58" i="1"/>
  <c r="Z58" i="1" s="1"/>
  <c r="AA58" i="1" s="1"/>
  <c r="Y56" i="1"/>
  <c r="Y54" i="1"/>
  <c r="Y52" i="1"/>
  <c r="Y50" i="1"/>
  <c r="Z50" i="1" s="1"/>
  <c r="Y48" i="1"/>
  <c r="Z48" i="1" s="1"/>
  <c r="Y46" i="1"/>
  <c r="Z46" i="1" s="1"/>
  <c r="AC44" i="1"/>
  <c r="Z44" i="1"/>
  <c r="Y44" i="1"/>
  <c r="Y42" i="1"/>
  <c r="Z42" i="1" s="1"/>
  <c r="Y40" i="1"/>
  <c r="Y36" i="1"/>
  <c r="Y34" i="1"/>
  <c r="Y32" i="1"/>
  <c r="Z32" i="1" s="1"/>
  <c r="AC30" i="1"/>
  <c r="Z30" i="1"/>
  <c r="Y30" i="1"/>
  <c r="AC28" i="1"/>
  <c r="Z28" i="1"/>
  <c r="Y28" i="1"/>
  <c r="AC26" i="1"/>
  <c r="Z26" i="1"/>
  <c r="Y26" i="1"/>
  <c r="Y24" i="1"/>
  <c r="Z24" i="1" s="1"/>
  <c r="Y22" i="1"/>
  <c r="Z22" i="1" s="1"/>
  <c r="Y20" i="1"/>
  <c r="Z20" i="1" s="1"/>
  <c r="Y16" i="1"/>
  <c r="Z16" i="1" s="1"/>
  <c r="Y14" i="1"/>
  <c r="Z14" i="1" s="1"/>
  <c r="AC12" i="1"/>
  <c r="Z12" i="1"/>
  <c r="Y12" i="1"/>
  <c r="Y10" i="1"/>
  <c r="Z10" i="1" s="1"/>
  <c r="Y8" i="1"/>
  <c r="Z8" i="1" s="1"/>
  <c r="Y6" i="1"/>
  <c r="Z6" i="1" s="1"/>
  <c r="Y4" i="1"/>
  <c r="Z4" i="1" s="1"/>
  <c r="Y942" i="1"/>
  <c r="Y936" i="1"/>
  <c r="Y930" i="1"/>
  <c r="Y926" i="1"/>
  <c r="Y922" i="1"/>
  <c r="Y918" i="1"/>
  <c r="Y914" i="1"/>
  <c r="Y910" i="1"/>
  <c r="Y906" i="1"/>
  <c r="Y902" i="1"/>
  <c r="Y898" i="1"/>
  <c r="Y894" i="1"/>
  <c r="Y890" i="1"/>
  <c r="Y886" i="1"/>
  <c r="Y882" i="1"/>
  <c r="Y878" i="1"/>
  <c r="Y874" i="1"/>
  <c r="Y872" i="1"/>
  <c r="Y868" i="1"/>
  <c r="Y864" i="1"/>
  <c r="Y860" i="1"/>
  <c r="Y858" i="1"/>
  <c r="Y854" i="1"/>
  <c r="Y850" i="1"/>
  <c r="Y848" i="1"/>
  <c r="Y844" i="1"/>
  <c r="Y842" i="1"/>
  <c r="Y838" i="1"/>
  <c r="Y834" i="1"/>
  <c r="Y832" i="1"/>
  <c r="Y828" i="1"/>
  <c r="Y826" i="1"/>
  <c r="Y822" i="1"/>
  <c r="Y820" i="1"/>
  <c r="Y818" i="1"/>
  <c r="Y814" i="1"/>
  <c r="Y810" i="1"/>
  <c r="Y806" i="1"/>
  <c r="Y804" i="1"/>
  <c r="Y800" i="1"/>
  <c r="Y796" i="1"/>
  <c r="Y792" i="1"/>
  <c r="Y788" i="1"/>
  <c r="Y784" i="1"/>
  <c r="Y782" i="1"/>
  <c r="Y778" i="1"/>
  <c r="Y774" i="1"/>
  <c r="Y770" i="1"/>
  <c r="Y766" i="1"/>
  <c r="Y764" i="1"/>
  <c r="Y760" i="1"/>
  <c r="Y756" i="1"/>
  <c r="Y752" i="1"/>
  <c r="Y748" i="1"/>
  <c r="Y746" i="1"/>
  <c r="Y742" i="1"/>
  <c r="Y738" i="1"/>
  <c r="Y734" i="1"/>
  <c r="Y730" i="1"/>
  <c r="Y726" i="1"/>
  <c r="Y724" i="1"/>
  <c r="Y720" i="1"/>
  <c r="Y716" i="1"/>
  <c r="Y714" i="1"/>
  <c r="Y710" i="1"/>
  <c r="Y706" i="1"/>
  <c r="Y702" i="1"/>
  <c r="Y696" i="1"/>
  <c r="Y688" i="1"/>
  <c r="Y684" i="1"/>
  <c r="Y682" i="1"/>
  <c r="Y678" i="1"/>
  <c r="Y674" i="1"/>
  <c r="Y672" i="1"/>
  <c r="Y668" i="1"/>
  <c r="Y666" i="1"/>
  <c r="Y662" i="1"/>
  <c r="Y658" i="1"/>
  <c r="Y656" i="1"/>
  <c r="Y654" i="1"/>
  <c r="Y652" i="1"/>
  <c r="Y650" i="1"/>
  <c r="Y646" i="1"/>
  <c r="Y644" i="1"/>
  <c r="Y642" i="1"/>
  <c r="Y640" i="1"/>
  <c r="Y638" i="1"/>
  <c r="Y636" i="1"/>
  <c r="Y634" i="1"/>
  <c r="Y632" i="1"/>
  <c r="AC944" i="1"/>
  <c r="Z944" i="1"/>
  <c r="AC940" i="1"/>
  <c r="Z940" i="1"/>
  <c r="AC938" i="1"/>
  <c r="Z938" i="1"/>
  <c r="AC934" i="1"/>
  <c r="Z934" i="1"/>
  <c r="AC932" i="1"/>
  <c r="Z932" i="1"/>
  <c r="AC928" i="1"/>
  <c r="Z928" i="1"/>
  <c r="AC924" i="1"/>
  <c r="Z924" i="1"/>
  <c r="AC920" i="1"/>
  <c r="Z920" i="1"/>
  <c r="AC916" i="1"/>
  <c r="Z916" i="1"/>
  <c r="AC912" i="1"/>
  <c r="Z912" i="1"/>
  <c r="AC908" i="1"/>
  <c r="Z908" i="1"/>
  <c r="AC904" i="1"/>
  <c r="Z904" i="1"/>
  <c r="AC900" i="1"/>
  <c r="Z900" i="1"/>
  <c r="AC896" i="1"/>
  <c r="Z896" i="1"/>
  <c r="AC892" i="1"/>
  <c r="Z892" i="1"/>
  <c r="AC888" i="1"/>
  <c r="Z888" i="1"/>
  <c r="AC884" i="1"/>
  <c r="Z884" i="1"/>
  <c r="AC880" i="1"/>
  <c r="Z880" i="1"/>
  <c r="AC876" i="1"/>
  <c r="Z876" i="1"/>
  <c r="AC870" i="1"/>
  <c r="Z870" i="1"/>
  <c r="AC866" i="1"/>
  <c r="Z866" i="1"/>
  <c r="AC862" i="1"/>
  <c r="Z862" i="1"/>
  <c r="AC856" i="1"/>
  <c r="Z856" i="1"/>
  <c r="AC852" i="1"/>
  <c r="Z852" i="1"/>
  <c r="AC846" i="1"/>
  <c r="Z846" i="1"/>
  <c r="AC840" i="1"/>
  <c r="Z840" i="1"/>
  <c r="AC836" i="1"/>
  <c r="Z836" i="1"/>
  <c r="AC830" i="1"/>
  <c r="Z830" i="1"/>
  <c r="AC824" i="1"/>
  <c r="Z824" i="1"/>
  <c r="AC816" i="1"/>
  <c r="Z816" i="1"/>
  <c r="AC812" i="1"/>
  <c r="Z812" i="1"/>
  <c r="AC808" i="1"/>
  <c r="Z808" i="1"/>
  <c r="AC802" i="1"/>
  <c r="Z802" i="1"/>
  <c r="AC798" i="1"/>
  <c r="Z798" i="1"/>
  <c r="AC794" i="1"/>
  <c r="Z794" i="1"/>
  <c r="AC790" i="1"/>
  <c r="Z790" i="1"/>
  <c r="AC786" i="1"/>
  <c r="Z786" i="1"/>
  <c r="AC780" i="1"/>
  <c r="Z780" i="1"/>
  <c r="AC776" i="1"/>
  <c r="Z776" i="1"/>
  <c r="AC772" i="1"/>
  <c r="Z772" i="1"/>
  <c r="AC768" i="1"/>
  <c r="Z768" i="1"/>
  <c r="AC762" i="1"/>
  <c r="Z762" i="1"/>
  <c r="AC758" i="1"/>
  <c r="Z758" i="1"/>
  <c r="AC754" i="1"/>
  <c r="Z754" i="1"/>
  <c r="AC750" i="1"/>
  <c r="Z750" i="1"/>
  <c r="AC744" i="1"/>
  <c r="Z744" i="1"/>
  <c r="AC740" i="1"/>
  <c r="Z740" i="1"/>
  <c r="AC736" i="1"/>
  <c r="Z736" i="1"/>
  <c r="AC732" i="1"/>
  <c r="Z732" i="1"/>
  <c r="AC728" i="1"/>
  <c r="Z728" i="1"/>
  <c r="AC722" i="1"/>
  <c r="Z722" i="1"/>
  <c r="AC718" i="1"/>
  <c r="Z718" i="1"/>
  <c r="AC712" i="1"/>
  <c r="Z712" i="1"/>
  <c r="AC708" i="1"/>
  <c r="Z708" i="1"/>
  <c r="AC704" i="1"/>
  <c r="Z704" i="1"/>
  <c r="AC700" i="1"/>
  <c r="Z700" i="1"/>
  <c r="AC698" i="1"/>
  <c r="Z698" i="1"/>
  <c r="AC694" i="1"/>
  <c r="Z694" i="1"/>
  <c r="AC692" i="1"/>
  <c r="Z692" i="1"/>
  <c r="AC690" i="1"/>
  <c r="Z690" i="1"/>
  <c r="AC686" i="1"/>
  <c r="Z686" i="1"/>
  <c r="AC680" i="1"/>
  <c r="Z680" i="1"/>
  <c r="AC676" i="1"/>
  <c r="Z676" i="1"/>
  <c r="AC670" i="1"/>
  <c r="Z670" i="1"/>
  <c r="AC664" i="1"/>
  <c r="Z664" i="1"/>
  <c r="AC660" i="1"/>
  <c r="Z660" i="1"/>
  <c r="AC648" i="1"/>
  <c r="Z648" i="1"/>
  <c r="AC630" i="1"/>
  <c r="Z630" i="1"/>
  <c r="AC628" i="1"/>
  <c r="Z628" i="1"/>
  <c r="AC626" i="1"/>
  <c r="Z626" i="1"/>
  <c r="AC624" i="1"/>
  <c r="Z624" i="1"/>
  <c r="AC622" i="1"/>
  <c r="Z622" i="1"/>
  <c r="AC620" i="1"/>
  <c r="Z620" i="1"/>
  <c r="AC618" i="1"/>
  <c r="Z618" i="1"/>
  <c r="AC616" i="1"/>
  <c r="Z616" i="1"/>
  <c r="AC614" i="1"/>
  <c r="Z614" i="1"/>
  <c r="AC612" i="1"/>
  <c r="Z612" i="1"/>
  <c r="AC610" i="1"/>
  <c r="Z610" i="1"/>
  <c r="AC608" i="1"/>
  <c r="Z608" i="1"/>
  <c r="AC606" i="1"/>
  <c r="Z606" i="1"/>
  <c r="AC604" i="1"/>
  <c r="Z604" i="1"/>
  <c r="AC602" i="1"/>
  <c r="Z602" i="1"/>
  <c r="AC600" i="1"/>
  <c r="Z600" i="1"/>
  <c r="AC598" i="1"/>
  <c r="Z598" i="1"/>
  <c r="AC596" i="1"/>
  <c r="Z596" i="1"/>
  <c r="AC594" i="1"/>
  <c r="Z594" i="1"/>
  <c r="AC592" i="1"/>
  <c r="Z592" i="1"/>
  <c r="AC590" i="1"/>
  <c r="Z590" i="1"/>
  <c r="AC588" i="1"/>
  <c r="Z588" i="1"/>
  <c r="AC586" i="1"/>
  <c r="Z586" i="1"/>
  <c r="AC584" i="1"/>
  <c r="Z584" i="1"/>
  <c r="AC582" i="1"/>
  <c r="Z582" i="1"/>
  <c r="AC580" i="1"/>
  <c r="Z580" i="1"/>
  <c r="AC578" i="1"/>
  <c r="Z578" i="1"/>
  <c r="AC576" i="1"/>
  <c r="Z576" i="1"/>
  <c r="AC574" i="1"/>
  <c r="Z574" i="1"/>
  <c r="AC572" i="1"/>
  <c r="Z572" i="1"/>
  <c r="AC570" i="1"/>
  <c r="Z570" i="1"/>
  <c r="AC568" i="1"/>
  <c r="Z568" i="1"/>
  <c r="AC566" i="1"/>
  <c r="Z566" i="1"/>
  <c r="Z564" i="1"/>
  <c r="AA564" i="1" s="1"/>
  <c r="Z562" i="1"/>
  <c r="AA562" i="1" s="1"/>
  <c r="Z560" i="1"/>
  <c r="AA560" i="1" s="1"/>
  <c r="AB560" i="1" s="1"/>
  <c r="AC560" i="1" s="1"/>
  <c r="Z558" i="1"/>
  <c r="Z556" i="1"/>
  <c r="AA556" i="1" s="1"/>
  <c r="AB556" i="1" s="1"/>
  <c r="AC556" i="1" s="1"/>
  <c r="Z554" i="1"/>
  <c r="AC550" i="1"/>
  <c r="Z550" i="1"/>
  <c r="AC548" i="1"/>
  <c r="Z548" i="1"/>
  <c r="AC546" i="1"/>
  <c r="Z546" i="1"/>
  <c r="AC544" i="1"/>
  <c r="Z544" i="1"/>
  <c r="AC542" i="1"/>
  <c r="Z542" i="1"/>
  <c r="Z540" i="1"/>
  <c r="AA540" i="1" s="1"/>
  <c r="AB540" i="1" s="1"/>
  <c r="AC540" i="1" s="1"/>
  <c r="Z538" i="1"/>
  <c r="AA538" i="1" s="1"/>
  <c r="AB538" i="1" s="1"/>
  <c r="AC538" i="1" s="1"/>
  <c r="Z536" i="1"/>
  <c r="AA536" i="1" s="1"/>
  <c r="AB536" i="1" s="1"/>
  <c r="AC536" i="1" s="1"/>
  <c r="Z534" i="1"/>
  <c r="Z532" i="1"/>
  <c r="AA532" i="1" s="1"/>
  <c r="Z530" i="1"/>
  <c r="Z528" i="1"/>
  <c r="AC522" i="1"/>
  <c r="Z522" i="1"/>
  <c r="Z520" i="1"/>
  <c r="AA520" i="1" s="1"/>
  <c r="AC516" i="1"/>
  <c r="Z516" i="1"/>
  <c r="Z512" i="1"/>
  <c r="Y508" i="1"/>
  <c r="Y506" i="1"/>
  <c r="Z506" i="1" s="1"/>
  <c r="Y504" i="1"/>
  <c r="Y502" i="1"/>
  <c r="AC500" i="1"/>
  <c r="Z500" i="1"/>
  <c r="Y500" i="1"/>
  <c r="AC498" i="1"/>
  <c r="Z498" i="1"/>
  <c r="Y498" i="1"/>
  <c r="Z496" i="1"/>
  <c r="Y496" i="1"/>
  <c r="Y494" i="1"/>
  <c r="AC492" i="1"/>
  <c r="Z492" i="1"/>
  <c r="Y492" i="1"/>
  <c r="Y490" i="1"/>
  <c r="Y488" i="1"/>
  <c r="Z488" i="1" s="1"/>
  <c r="AC486" i="1"/>
  <c r="Z486" i="1"/>
  <c r="Y486" i="1"/>
  <c r="Y484" i="1"/>
  <c r="Y482" i="1"/>
  <c r="AC480" i="1"/>
  <c r="Z480" i="1"/>
  <c r="Y480" i="1"/>
  <c r="AC478" i="1"/>
  <c r="Z478" i="1"/>
  <c r="Y478" i="1"/>
  <c r="AC476" i="1"/>
  <c r="Z476" i="1"/>
  <c r="Y476" i="1"/>
  <c r="Y474" i="1"/>
  <c r="Y472" i="1"/>
  <c r="Z472" i="1" s="1"/>
  <c r="Y470" i="1"/>
  <c r="Z470" i="1" s="1"/>
  <c r="Y468" i="1"/>
  <c r="Y466" i="1"/>
  <c r="Z466" i="1" s="1"/>
  <c r="AA466" i="1" s="1"/>
  <c r="Y464" i="1"/>
  <c r="Z462" i="1"/>
  <c r="Y462" i="1"/>
  <c r="Y460" i="1"/>
  <c r="Z460" i="1" s="1"/>
  <c r="Y458" i="1"/>
  <c r="Z458" i="1" s="1"/>
  <c r="Y456" i="1"/>
  <c r="Z456" i="1" s="1"/>
  <c r="Y454" i="1"/>
  <c r="AC452" i="1"/>
  <c r="Z452" i="1"/>
  <c r="Y452" i="1"/>
  <c r="Y450" i="1"/>
  <c r="Z448" i="1"/>
  <c r="Y448" i="1"/>
  <c r="Y446" i="1"/>
  <c r="Z446" i="1" s="1"/>
  <c r="Y444" i="1"/>
  <c r="Z444" i="1" s="1"/>
  <c r="Y442" i="1"/>
  <c r="AC440" i="1"/>
  <c r="Z440" i="1"/>
  <c r="Y440" i="1"/>
  <c r="Y438" i="1"/>
  <c r="Z438" i="1" s="1"/>
  <c r="Y436" i="1"/>
  <c r="Z436" i="1" s="1"/>
  <c r="AA436" i="1" s="1"/>
  <c r="Y434" i="1"/>
  <c r="Y431" i="1"/>
  <c r="AC429" i="1"/>
  <c r="Z429" i="1"/>
  <c r="Y429" i="1"/>
  <c r="Y427" i="1"/>
  <c r="Z427" i="1" s="1"/>
  <c r="AA427" i="1" s="1"/>
  <c r="Y425" i="1"/>
  <c r="Y423" i="1"/>
  <c r="Z423" i="1" s="1"/>
  <c r="AC421" i="1"/>
  <c r="Z421" i="1"/>
  <c r="Y421" i="1"/>
  <c r="Z419" i="1"/>
  <c r="Y419" i="1"/>
  <c r="AC417" i="1"/>
  <c r="Z417" i="1"/>
  <c r="Y417" i="1"/>
  <c r="Y415" i="1"/>
  <c r="Z415" i="1" s="1"/>
  <c r="Y413" i="1"/>
  <c r="Y411" i="1"/>
  <c r="Y409" i="1"/>
  <c r="Z409" i="1" s="1"/>
  <c r="Y407" i="1"/>
  <c r="Y405" i="1"/>
  <c r="Y403" i="1"/>
  <c r="Z403" i="1" s="1"/>
  <c r="Y401" i="1"/>
  <c r="AC399" i="1"/>
  <c r="Z399" i="1"/>
  <c r="Y399" i="1"/>
  <c r="AC397" i="1"/>
  <c r="Z397" i="1"/>
  <c r="Y397" i="1"/>
  <c r="AC395" i="1"/>
  <c r="Z395" i="1"/>
  <c r="Y395" i="1"/>
  <c r="AC393" i="1"/>
  <c r="Z393" i="1"/>
  <c r="Y393" i="1"/>
  <c r="Y391" i="1"/>
  <c r="Y389" i="1"/>
  <c r="Z389" i="1" s="1"/>
  <c r="AA389" i="1" s="1"/>
  <c r="AC387" i="1"/>
  <c r="Z387" i="1"/>
  <c r="Y387" i="1"/>
  <c r="Y385" i="1"/>
  <c r="Z385" i="1" s="1"/>
  <c r="AA385" i="1" s="1"/>
  <c r="Y383" i="1"/>
  <c r="Z383" i="1" s="1"/>
  <c r="AA383" i="1" s="1"/>
  <c r="Y381" i="1"/>
  <c r="Y379" i="1"/>
  <c r="Z379" i="1" s="1"/>
  <c r="Y377" i="1"/>
  <c r="Y375" i="1"/>
  <c r="Y373" i="1"/>
  <c r="AC371" i="1"/>
  <c r="Z371" i="1"/>
  <c r="Y371" i="1"/>
  <c r="Y369" i="1"/>
  <c r="Y367" i="1"/>
  <c r="Z367" i="1" s="1"/>
  <c r="Y365" i="1"/>
  <c r="Y363" i="1"/>
  <c r="Z363" i="1" s="1"/>
  <c r="Y361" i="1"/>
  <c r="Y359" i="1"/>
  <c r="Z359" i="1" s="1"/>
  <c r="AA359" i="1" s="1"/>
  <c r="Y357" i="1"/>
  <c r="Z357" i="1" s="1"/>
  <c r="Y355" i="1"/>
  <c r="Y353" i="1"/>
  <c r="Z353" i="1" s="1"/>
  <c r="AC351" i="1"/>
  <c r="Z351" i="1"/>
  <c r="Y351" i="1"/>
  <c r="Y349" i="1"/>
  <c r="Z349" i="1" s="1"/>
  <c r="Y347" i="1"/>
  <c r="Y345" i="1"/>
  <c r="Z345" i="1" s="1"/>
  <c r="AC343" i="1"/>
  <c r="Z343" i="1"/>
  <c r="Y343" i="1"/>
  <c r="Y341" i="1"/>
  <c r="Z341" i="1" s="1"/>
  <c r="AC339" i="1"/>
  <c r="Z339" i="1"/>
  <c r="Y339" i="1"/>
  <c r="Y337" i="1"/>
  <c r="Y335" i="1"/>
  <c r="Z335" i="1" s="1"/>
  <c r="AA335" i="1" s="1"/>
  <c r="Y333" i="1"/>
  <c r="AC331" i="1"/>
  <c r="Z331" i="1"/>
  <c r="Y331" i="1"/>
  <c r="Y329" i="1"/>
  <c r="Y327" i="1"/>
  <c r="Z327" i="1" s="1"/>
  <c r="Y325" i="1"/>
  <c r="Y323" i="1"/>
  <c r="Z323" i="1" s="1"/>
  <c r="Y321" i="1"/>
  <c r="Y319" i="1"/>
  <c r="Z319" i="1" s="1"/>
  <c r="AA319" i="1" s="1"/>
  <c r="Y317" i="1"/>
  <c r="Y315" i="1"/>
  <c r="Z315" i="1" s="1"/>
  <c r="Y313" i="1"/>
  <c r="Y311" i="1"/>
  <c r="Y309" i="1"/>
  <c r="Z307" i="1"/>
  <c r="AA307" i="1" s="1"/>
  <c r="Y307" i="1"/>
  <c r="Y305" i="1"/>
  <c r="Y303" i="1"/>
  <c r="Y301" i="1"/>
  <c r="AC299" i="1"/>
  <c r="Z299" i="1"/>
  <c r="Y299" i="1"/>
  <c r="AC297" i="1"/>
  <c r="Z297" i="1"/>
  <c r="Y297" i="1"/>
  <c r="Y295" i="1"/>
  <c r="Y293" i="1"/>
  <c r="Y291" i="1"/>
  <c r="Z289" i="1"/>
  <c r="Y289" i="1"/>
  <c r="Z287" i="1"/>
  <c r="AA287" i="1" s="1"/>
  <c r="Y287" i="1"/>
  <c r="Z285" i="1"/>
  <c r="Y285" i="1"/>
  <c r="Y283" i="1"/>
  <c r="Y281" i="1"/>
  <c r="Z281" i="1" s="1"/>
  <c r="Y279" i="1"/>
  <c r="Y277" i="1"/>
  <c r="Z277" i="1" s="1"/>
  <c r="Y275" i="1"/>
  <c r="AC273" i="1"/>
  <c r="Z273" i="1"/>
  <c r="Y273" i="1"/>
  <c r="Y271" i="1"/>
  <c r="Z271" i="1" s="1"/>
  <c r="AA271" i="1" s="1"/>
  <c r="Y269" i="1"/>
  <c r="Y267" i="1"/>
  <c r="Z267" i="1" s="1"/>
  <c r="Y265" i="1"/>
  <c r="Y263" i="1"/>
  <c r="Z263" i="1" s="1"/>
  <c r="AC261" i="1"/>
  <c r="Z261" i="1"/>
  <c r="Y261" i="1"/>
  <c r="Y259" i="1"/>
  <c r="Z259" i="1" s="1"/>
  <c r="AA259" i="1" s="1"/>
  <c r="Y257" i="1"/>
  <c r="Z255" i="1"/>
  <c r="AA255" i="1" s="1"/>
  <c r="Y255" i="1"/>
  <c r="Y253" i="1"/>
  <c r="Y251" i="1"/>
  <c r="Z251" i="1" s="1"/>
  <c r="AA251" i="1" s="1"/>
  <c r="Y249" i="1"/>
  <c r="Y247" i="1"/>
  <c r="Z247" i="1" s="1"/>
  <c r="Y245" i="1"/>
  <c r="Z245" i="1" s="1"/>
  <c r="AC243" i="1"/>
  <c r="Z243" i="1"/>
  <c r="Y243" i="1"/>
  <c r="Y241" i="1"/>
  <c r="Z241" i="1" s="1"/>
  <c r="Y239" i="1"/>
  <c r="Z237" i="1"/>
  <c r="Y237" i="1"/>
  <c r="Y235" i="1"/>
  <c r="Y233" i="1"/>
  <c r="Z233" i="1" s="1"/>
  <c r="AC231" i="1"/>
  <c r="Z231" i="1"/>
  <c r="Y231" i="1"/>
  <c r="Y229" i="1"/>
  <c r="AC227" i="1"/>
  <c r="Z227" i="1"/>
  <c r="Y227" i="1"/>
  <c r="Y225" i="1"/>
  <c r="Y223" i="1"/>
  <c r="Z223" i="1" s="1"/>
  <c r="Y221" i="1"/>
  <c r="AC219" i="1"/>
  <c r="Z219" i="1"/>
  <c r="Y219" i="1"/>
  <c r="Y217" i="1"/>
  <c r="Z215" i="1"/>
  <c r="Y215" i="1"/>
  <c r="Y213" i="1"/>
  <c r="AC211" i="1"/>
  <c r="Z211" i="1"/>
  <c r="Y211" i="1"/>
  <c r="Y209" i="1"/>
  <c r="Y207" i="1"/>
  <c r="Y205" i="1"/>
  <c r="Y203" i="1"/>
  <c r="AC201" i="1"/>
  <c r="Z201" i="1"/>
  <c r="Y201" i="1"/>
  <c r="Y199" i="1"/>
  <c r="Y197" i="1"/>
  <c r="Y195" i="1"/>
  <c r="Z195" i="1" s="1"/>
  <c r="AC193" i="1"/>
  <c r="Z193" i="1"/>
  <c r="Y193" i="1"/>
  <c r="Y191" i="1"/>
  <c r="Y189" i="1"/>
  <c r="AC187" i="1"/>
  <c r="Z187" i="1"/>
  <c r="Y187" i="1"/>
  <c r="Y185" i="1"/>
  <c r="Z185" i="1" s="1"/>
  <c r="Y183" i="1"/>
  <c r="Y181" i="1"/>
  <c r="Y179" i="1"/>
  <c r="Z177" i="1"/>
  <c r="Y177" i="1"/>
  <c r="Z175" i="1"/>
  <c r="AA175" i="1" s="1"/>
  <c r="Y175" i="1"/>
  <c r="Y173" i="1"/>
  <c r="Y171" i="1"/>
  <c r="Z171" i="1" s="1"/>
  <c r="Y169" i="1"/>
  <c r="Y167" i="1"/>
  <c r="Z167" i="1" s="1"/>
  <c r="Y165" i="1"/>
  <c r="AC163" i="1"/>
  <c r="Z163" i="1"/>
  <c r="Y163" i="1"/>
  <c r="Y161" i="1"/>
  <c r="Y159" i="1"/>
  <c r="Z159" i="1" s="1"/>
  <c r="Y157" i="1"/>
  <c r="Y155" i="1"/>
  <c r="Z155" i="1" s="1"/>
  <c r="Y153" i="1"/>
  <c r="Y151" i="1"/>
  <c r="Z151" i="1" s="1"/>
  <c r="Y149" i="1"/>
  <c r="Y147" i="1"/>
  <c r="Z147" i="1" s="1"/>
  <c r="Y145" i="1"/>
  <c r="Y142" i="1"/>
  <c r="Z142" i="1" s="1"/>
  <c r="Y140" i="1"/>
  <c r="AC138" i="1"/>
  <c r="Z138" i="1"/>
  <c r="Y138" i="1"/>
  <c r="Y136" i="1"/>
  <c r="Y134" i="1"/>
  <c r="Z134" i="1" s="1"/>
  <c r="Y132" i="1"/>
  <c r="Y130" i="1"/>
  <c r="Z130" i="1" s="1"/>
  <c r="Y128" i="1"/>
  <c r="Y126" i="1"/>
  <c r="Y124" i="1"/>
  <c r="Y121" i="1"/>
  <c r="Z121" i="1" s="1"/>
  <c r="Y119" i="1"/>
  <c r="Y117" i="1"/>
  <c r="Y115" i="1"/>
  <c r="AC113" i="1"/>
  <c r="Z113" i="1"/>
  <c r="Y113" i="1"/>
  <c r="Y111" i="1"/>
  <c r="Z111" i="1" s="1"/>
  <c r="Y109" i="1"/>
  <c r="Y107" i="1"/>
  <c r="AC105" i="1"/>
  <c r="Z105" i="1"/>
  <c r="Y105" i="1"/>
  <c r="Y103" i="1"/>
  <c r="Z103" i="1" s="1"/>
  <c r="Y101" i="1"/>
  <c r="Y98" i="1"/>
  <c r="Z98" i="1" s="1"/>
  <c r="Y96" i="1"/>
  <c r="Z96" i="1" s="1"/>
  <c r="AC94" i="1"/>
  <c r="Z94" i="1"/>
  <c r="Y94" i="1"/>
  <c r="Y92" i="1"/>
  <c r="Y90" i="1"/>
  <c r="Y88" i="1"/>
  <c r="Z88" i="1" s="1"/>
  <c r="Y86" i="1"/>
  <c r="Z86" i="1" s="1"/>
  <c r="Y84" i="1"/>
  <c r="Y82" i="1"/>
  <c r="Z82" i="1" s="1"/>
  <c r="Y80" i="1"/>
  <c r="Y78" i="1"/>
  <c r="Z78" i="1" s="1"/>
  <c r="Y76" i="1"/>
  <c r="Y74" i="1"/>
  <c r="Y72" i="1"/>
  <c r="Y70" i="1"/>
  <c r="Y68" i="1"/>
  <c r="Y66" i="1"/>
  <c r="AC64" i="1"/>
  <c r="Z64" i="1"/>
  <c r="Y64" i="1"/>
  <c r="Y62" i="1"/>
  <c r="Y60" i="1"/>
  <c r="Z60" i="1" s="1"/>
  <c r="Y57" i="1"/>
  <c r="AC55" i="1"/>
  <c r="Z55" i="1"/>
  <c r="Y55" i="1"/>
  <c r="Y53" i="1"/>
  <c r="Z53" i="1" s="1"/>
  <c r="Y51" i="1"/>
  <c r="Z51" i="1" s="1"/>
  <c r="AA51" i="1" s="1"/>
  <c r="Y49" i="1"/>
  <c r="Y47" i="1"/>
  <c r="Z47" i="1" s="1"/>
  <c r="Y45" i="1"/>
  <c r="Z45" i="1" s="1"/>
  <c r="Y43" i="1"/>
  <c r="AC41" i="1"/>
  <c r="Z41" i="1"/>
  <c r="Y41" i="1"/>
  <c r="Y39" i="1"/>
  <c r="Y37" i="1"/>
  <c r="Z37" i="1" s="1"/>
  <c r="Y35" i="1"/>
  <c r="Y33" i="1"/>
  <c r="Z33" i="1" s="1"/>
  <c r="Y31" i="1"/>
  <c r="Z31" i="1" s="1"/>
  <c r="Y29" i="1"/>
  <c r="Z29" i="1" s="1"/>
  <c r="Y27" i="1"/>
  <c r="Y25" i="1"/>
  <c r="Z25" i="1" s="1"/>
  <c r="AC23" i="1"/>
  <c r="Z23" i="1"/>
  <c r="Y23" i="1"/>
  <c r="Y21" i="1"/>
  <c r="Y19" i="1"/>
  <c r="Z19" i="1" s="1"/>
  <c r="AC17" i="1"/>
  <c r="Z17" i="1"/>
  <c r="Y17" i="1"/>
  <c r="Y15" i="1"/>
  <c r="Y13" i="1"/>
  <c r="Z13" i="1" s="1"/>
  <c r="Y11" i="1"/>
  <c r="Y9" i="1"/>
  <c r="Z9" i="1" s="1"/>
  <c r="Y7" i="1"/>
  <c r="AC5" i="1"/>
  <c r="Z5" i="1"/>
  <c r="Y5" i="1"/>
  <c r="Y3" i="1"/>
  <c r="Y943" i="1"/>
  <c r="Y941" i="1"/>
  <c r="Y939" i="1"/>
  <c r="Y937" i="1"/>
  <c r="Y935" i="1"/>
  <c r="Y933" i="1"/>
  <c r="Y931" i="1"/>
  <c r="Y929" i="1"/>
  <c r="Y927" i="1"/>
  <c r="Y925" i="1"/>
  <c r="Y923" i="1"/>
  <c r="Y921" i="1"/>
  <c r="Y919" i="1"/>
  <c r="Y917" i="1"/>
  <c r="Y915" i="1"/>
  <c r="Y913" i="1"/>
  <c r="Y911" i="1"/>
  <c r="Y909" i="1"/>
  <c r="Y907" i="1"/>
  <c r="Y905" i="1"/>
  <c r="Y903" i="1"/>
  <c r="Y901" i="1"/>
  <c r="Y899" i="1"/>
  <c r="Y897" i="1"/>
  <c r="Y895" i="1"/>
  <c r="Y893" i="1"/>
  <c r="Y891" i="1"/>
  <c r="Y889" i="1"/>
  <c r="Y887" i="1"/>
  <c r="Y885" i="1"/>
  <c r="Y883" i="1"/>
  <c r="Y881" i="1"/>
  <c r="Y879" i="1"/>
  <c r="Y877" i="1"/>
  <c r="Y875" i="1"/>
  <c r="Y873" i="1"/>
  <c r="Y871" i="1"/>
  <c r="Y869" i="1"/>
  <c r="Y867" i="1"/>
  <c r="Y865" i="1"/>
  <c r="Y863" i="1"/>
  <c r="Y861" i="1"/>
  <c r="Y859" i="1"/>
  <c r="Y857" i="1"/>
  <c r="Y855" i="1"/>
  <c r="Y853" i="1"/>
  <c r="Y851" i="1"/>
  <c r="Y849" i="1"/>
  <c r="Y847" i="1"/>
  <c r="Y845" i="1"/>
  <c r="Y843" i="1"/>
  <c r="Y841" i="1"/>
  <c r="Y839" i="1"/>
  <c r="Y837" i="1"/>
  <c r="Y835" i="1"/>
  <c r="Y833" i="1"/>
  <c r="Y831" i="1"/>
  <c r="Y829" i="1"/>
  <c r="Y827" i="1"/>
  <c r="Y825" i="1"/>
  <c r="Y823" i="1"/>
  <c r="Y821" i="1"/>
  <c r="Y819" i="1"/>
  <c r="Y817" i="1"/>
  <c r="Y815" i="1"/>
  <c r="Y813" i="1"/>
  <c r="Y811" i="1"/>
  <c r="Y809" i="1"/>
  <c r="Y807" i="1"/>
  <c r="Y805" i="1"/>
  <c r="Y803" i="1"/>
  <c r="Y801" i="1"/>
  <c r="Y799" i="1"/>
  <c r="Y797" i="1"/>
  <c r="Y795" i="1"/>
  <c r="Y793" i="1"/>
  <c r="Y791" i="1"/>
  <c r="Y789" i="1"/>
  <c r="Y787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7" i="1"/>
  <c r="Y665" i="1"/>
  <c r="Y663" i="1"/>
  <c r="Y661" i="1"/>
  <c r="Y659" i="1"/>
  <c r="Y657" i="1"/>
  <c r="Y655" i="1"/>
  <c r="Y653" i="1"/>
  <c r="Y651" i="1"/>
  <c r="Y649" i="1"/>
  <c r="Y647" i="1"/>
  <c r="Y645" i="1"/>
  <c r="Y643" i="1"/>
  <c r="Y641" i="1"/>
  <c r="Y639" i="1"/>
  <c r="Y637" i="1"/>
  <c r="Y635" i="1"/>
  <c r="Y633" i="1"/>
  <c r="Y631" i="1"/>
  <c r="Y629" i="1"/>
  <c r="Y627" i="1"/>
  <c r="Y625" i="1"/>
  <c r="Y623" i="1"/>
  <c r="Y621" i="1"/>
  <c r="Y619" i="1"/>
  <c r="Y617" i="1"/>
  <c r="Y615" i="1"/>
  <c r="Y613" i="1"/>
  <c r="Y611" i="1"/>
  <c r="Y609" i="1"/>
  <c r="Y607" i="1"/>
  <c r="Y605" i="1"/>
  <c r="Y603" i="1"/>
  <c r="Y601" i="1"/>
  <c r="Y599" i="1"/>
  <c r="Y597" i="1"/>
  <c r="Y595" i="1"/>
  <c r="Y593" i="1"/>
  <c r="Y591" i="1"/>
  <c r="Y589" i="1"/>
  <c r="Y587" i="1"/>
  <c r="Y585" i="1"/>
  <c r="Y583" i="1"/>
  <c r="Y581" i="1"/>
  <c r="Y579" i="1"/>
  <c r="Y577" i="1"/>
  <c r="Y575" i="1"/>
  <c r="Y573" i="1"/>
  <c r="Y571" i="1"/>
  <c r="Y569" i="1"/>
  <c r="Y567" i="1"/>
  <c r="Y565" i="1"/>
  <c r="Y563" i="1"/>
  <c r="Z563" i="1" s="1"/>
  <c r="AA563" i="1" s="1"/>
  <c r="Y561" i="1"/>
  <c r="Y559" i="1"/>
  <c r="Y557" i="1"/>
  <c r="Y555" i="1"/>
  <c r="Y553" i="1"/>
  <c r="Z553" i="1" s="1"/>
  <c r="AA553" i="1" s="1"/>
  <c r="Y551" i="1"/>
  <c r="Y549" i="1"/>
  <c r="Y547" i="1"/>
  <c r="Y545" i="1"/>
  <c r="Y543" i="1"/>
  <c r="Y541" i="1"/>
  <c r="Y539" i="1"/>
  <c r="Y537" i="1"/>
  <c r="Y535" i="1"/>
  <c r="Y533" i="1"/>
  <c r="Y531" i="1"/>
  <c r="Y529" i="1"/>
  <c r="Y527" i="1"/>
  <c r="Y525" i="1"/>
  <c r="Y523" i="1"/>
  <c r="Y521" i="1"/>
  <c r="Z521" i="1" s="1"/>
  <c r="AA521" i="1" s="1"/>
  <c r="Y518" i="1"/>
  <c r="Y514" i="1"/>
  <c r="Y510" i="1"/>
  <c r="Y18" i="1"/>
  <c r="A3" i="1"/>
  <c r="AB564" i="1" l="1"/>
  <c r="AC564" i="1" s="1"/>
  <c r="AB563" i="1"/>
  <c r="AC563" i="1" s="1"/>
  <c r="AB562" i="1"/>
  <c r="AC562" i="1" s="1"/>
  <c r="Z561" i="1"/>
  <c r="Z559" i="1"/>
  <c r="AA559" i="1" s="1"/>
  <c r="AA558" i="1"/>
  <c r="AB558" i="1" s="1"/>
  <c r="AC558" i="1" s="1"/>
  <c r="Z555" i="1"/>
  <c r="AA554" i="1"/>
  <c r="AB554" i="1" s="1"/>
  <c r="AC554" i="1" s="1"/>
  <c r="AB553" i="1"/>
  <c r="AC553" i="1" s="1"/>
  <c r="Z552" i="1"/>
  <c r="Z551" i="1"/>
  <c r="AA551" i="1" s="1"/>
  <c r="Z549" i="1"/>
  <c r="AA549" i="1" s="1"/>
  <c r="AB549" i="1" s="1"/>
  <c r="AC549" i="1" s="1"/>
  <c r="Z547" i="1"/>
  <c r="Z545" i="1"/>
  <c r="AA545" i="1" s="1"/>
  <c r="AB545" i="1" s="1"/>
  <c r="AC545" i="1" s="1"/>
  <c r="Z543" i="1"/>
  <c r="Z541" i="1"/>
  <c r="Z535" i="1"/>
  <c r="AA534" i="1"/>
  <c r="AB534" i="1" s="1"/>
  <c r="AC534" i="1" s="1"/>
  <c r="AB532" i="1"/>
  <c r="AC532" i="1" s="1"/>
  <c r="AA530" i="1"/>
  <c r="AB530" i="1"/>
  <c r="AC530" i="1" s="1"/>
  <c r="Z529" i="1"/>
  <c r="AA529" i="1"/>
  <c r="AA528" i="1"/>
  <c r="AB528" i="1" s="1"/>
  <c r="AC528" i="1" s="1"/>
  <c r="Z527" i="1"/>
  <c r="AA526" i="1"/>
  <c r="AB526" i="1" s="1"/>
  <c r="AC526" i="1" s="1"/>
  <c r="Z525" i="1"/>
  <c r="AA525" i="1" s="1"/>
  <c r="Z524" i="1"/>
  <c r="AA524" i="1" s="1"/>
  <c r="Z523" i="1"/>
  <c r="AB521" i="1"/>
  <c r="AC521" i="1" s="1"/>
  <c r="AB520" i="1"/>
  <c r="AC520" i="1" s="1"/>
  <c r="AA519" i="1"/>
  <c r="AB519" i="1"/>
  <c r="AC519" i="1" s="1"/>
  <c r="Z518" i="1"/>
  <c r="Z517" i="1"/>
  <c r="AB436" i="1"/>
  <c r="AC436" i="1" s="1"/>
  <c r="AA470" i="1"/>
  <c r="AB470" i="1" s="1"/>
  <c r="AC470" i="1" s="1"/>
  <c r="Z504" i="1"/>
  <c r="AA504" i="1" s="1"/>
  <c r="AB504" i="1" s="1"/>
  <c r="AC504" i="1" s="1"/>
  <c r="AA439" i="1"/>
  <c r="AB439" i="1" s="1"/>
  <c r="AC439" i="1" s="1"/>
  <c r="AA441" i="1"/>
  <c r="AB441" i="1" s="1"/>
  <c r="AC441" i="1" s="1"/>
  <c r="Z445" i="1"/>
  <c r="AA449" i="1"/>
  <c r="AB449" i="1" s="1"/>
  <c r="AC449" i="1" s="1"/>
  <c r="Z465" i="1"/>
  <c r="AA465" i="1" s="1"/>
  <c r="AB481" i="1"/>
  <c r="AC481" i="1" s="1"/>
  <c r="Z485" i="1"/>
  <c r="AA485" i="1" s="1"/>
  <c r="AA499" i="1"/>
  <c r="AB499" i="1" s="1"/>
  <c r="AC499" i="1" s="1"/>
  <c r="Z508" i="1"/>
  <c r="Z510" i="1"/>
  <c r="AA510" i="1" s="1"/>
  <c r="Z514" i="1"/>
  <c r="Z509" i="1"/>
  <c r="Z513" i="1"/>
  <c r="AA512" i="1"/>
  <c r="AB512" i="1" s="1"/>
  <c r="AC512" i="1" s="1"/>
  <c r="AA506" i="1"/>
  <c r="AB506" i="1" s="1"/>
  <c r="AC506" i="1" s="1"/>
  <c r="AA514" i="1"/>
  <c r="AA507" i="1"/>
  <c r="AB507" i="1" s="1"/>
  <c r="AC507" i="1" s="1"/>
  <c r="AA509" i="1"/>
  <c r="AA511" i="1"/>
  <c r="AB511" i="1" s="1"/>
  <c r="AC511" i="1" s="1"/>
  <c r="AA513" i="1"/>
  <c r="AA515" i="1"/>
  <c r="AB515" i="1" s="1"/>
  <c r="AC515" i="1" s="1"/>
  <c r="AA508" i="1"/>
  <c r="Z502" i="1"/>
  <c r="Z503" i="1"/>
  <c r="AA502" i="1"/>
  <c r="Z497" i="1"/>
  <c r="AA497" i="1" s="1"/>
  <c r="AA496" i="1"/>
  <c r="AB496" i="1" s="1"/>
  <c r="AC496" i="1" s="1"/>
  <c r="AA493" i="1"/>
  <c r="AB493" i="1" s="1"/>
  <c r="AC493" i="1" s="1"/>
  <c r="Z494" i="1"/>
  <c r="Z495" i="1"/>
  <c r="AA494" i="1"/>
  <c r="Z490" i="1"/>
  <c r="Z491" i="1"/>
  <c r="AA490" i="1"/>
  <c r="AB490" i="1" s="1"/>
  <c r="AC490" i="1" s="1"/>
  <c r="Z487" i="1"/>
  <c r="AA488" i="1"/>
  <c r="AB488" i="1" s="1"/>
  <c r="AC488" i="1" s="1"/>
  <c r="Z484" i="1"/>
  <c r="AA482" i="1"/>
  <c r="Z482" i="1"/>
  <c r="AA479" i="1"/>
  <c r="Z479" i="1"/>
  <c r="Z477" i="1"/>
  <c r="AA477" i="1" s="1"/>
  <c r="AB477" i="1" s="1"/>
  <c r="AC477" i="1" s="1"/>
  <c r="Z474" i="1"/>
  <c r="Z475" i="1"/>
  <c r="AA474" i="1"/>
  <c r="AA472" i="1"/>
  <c r="AB472" i="1" s="1"/>
  <c r="AC472" i="1" s="1"/>
  <c r="Z468" i="1"/>
  <c r="AB466" i="1"/>
  <c r="AC466" i="1" s="1"/>
  <c r="Z464" i="1"/>
  <c r="AA464" i="1" s="1"/>
  <c r="AA460" i="1"/>
  <c r="AB460" i="1" s="1"/>
  <c r="AC460" i="1" s="1"/>
  <c r="AA458" i="1"/>
  <c r="AB458" i="1" s="1"/>
  <c r="AC458" i="1" s="1"/>
  <c r="AA459" i="1"/>
  <c r="AB459" i="1" s="1"/>
  <c r="AC459" i="1" s="1"/>
  <c r="Z461" i="1"/>
  <c r="AA462" i="1"/>
  <c r="AB462" i="1" s="1"/>
  <c r="AC462" i="1" s="1"/>
  <c r="AA456" i="1"/>
  <c r="AB456" i="1" s="1"/>
  <c r="AC456" i="1" s="1"/>
  <c r="AA455" i="1"/>
  <c r="AB455" i="1" s="1"/>
  <c r="AC455" i="1" s="1"/>
  <c r="Z454" i="1"/>
  <c r="AA454" i="1" s="1"/>
  <c r="AB454" i="1" s="1"/>
  <c r="AC454" i="1" s="1"/>
  <c r="Z453" i="1"/>
  <c r="Z457" i="1"/>
  <c r="AA448" i="1"/>
  <c r="AB448" i="1" s="1"/>
  <c r="AC448" i="1" s="1"/>
  <c r="AA446" i="1"/>
  <c r="AP450" i="1"/>
  <c r="Z442" i="1"/>
  <c r="Z450" i="1"/>
  <c r="Z443" i="1"/>
  <c r="AA443" i="1" s="1"/>
  <c r="AB443" i="1" s="1"/>
  <c r="AC443" i="1" s="1"/>
  <c r="Z447" i="1"/>
  <c r="AA447" i="1" s="1"/>
  <c r="Z451" i="1"/>
  <c r="AA451" i="1" s="1"/>
  <c r="AB451" i="1" s="1"/>
  <c r="AC451" i="1" s="1"/>
  <c r="AA444" i="1"/>
  <c r="AB444" i="1" s="1"/>
  <c r="AC444" i="1" s="1"/>
  <c r="AB446" i="1"/>
  <c r="AC446" i="1" s="1"/>
  <c r="AA438" i="1"/>
  <c r="AB438" i="1" s="1"/>
  <c r="AC438" i="1" s="1"/>
  <c r="AB433" i="1"/>
  <c r="AC433" i="1" s="1"/>
  <c r="Z434" i="1"/>
  <c r="AA434" i="1" s="1"/>
  <c r="Z435" i="1"/>
  <c r="AA435" i="1" s="1"/>
  <c r="AB435" i="1" s="1"/>
  <c r="AC435" i="1" s="1"/>
  <c r="Z199" i="1"/>
  <c r="AA199" i="1" s="1"/>
  <c r="Z207" i="1"/>
  <c r="Z303" i="1"/>
  <c r="Z181" i="1"/>
  <c r="AA181" i="1" s="1"/>
  <c r="Z205" i="1"/>
  <c r="AA205" i="1" s="1"/>
  <c r="AB205" i="1" s="1"/>
  <c r="AC205" i="1" s="1"/>
  <c r="Z293" i="1"/>
  <c r="AA293" i="1" s="1"/>
  <c r="Z311" i="1"/>
  <c r="AA311" i="1" s="1"/>
  <c r="Z375" i="1"/>
  <c r="AA375" i="1" s="1"/>
  <c r="AB175" i="1"/>
  <c r="AC175" i="1" s="1"/>
  <c r="AA185" i="1"/>
  <c r="AA245" i="1"/>
  <c r="AB245" i="1" s="1"/>
  <c r="AC245" i="1" s="1"/>
  <c r="AA267" i="1"/>
  <c r="AA289" i="1"/>
  <c r="AB307" i="1"/>
  <c r="AC307" i="1" s="1"/>
  <c r="AA323" i="1"/>
  <c r="AB323" i="1" s="1"/>
  <c r="AC323" i="1" s="1"/>
  <c r="AB359" i="1"/>
  <c r="AC359" i="1" s="1"/>
  <c r="AA367" i="1"/>
  <c r="AB367" i="1" s="1"/>
  <c r="AC367" i="1" s="1"/>
  <c r="AB389" i="1"/>
  <c r="AC389" i="1" s="1"/>
  <c r="Z407" i="1"/>
  <c r="AA407" i="1" s="1"/>
  <c r="AB407" i="1" s="1"/>
  <c r="AC407" i="1" s="1"/>
  <c r="AA170" i="1"/>
  <c r="AB180" i="1"/>
  <c r="AC180" i="1" s="1"/>
  <c r="AA186" i="1"/>
  <c r="AA200" i="1"/>
  <c r="AB202" i="1"/>
  <c r="AC202" i="1" s="1"/>
  <c r="AA218" i="1"/>
  <c r="AB218" i="1" s="1"/>
  <c r="AC218" i="1" s="1"/>
  <c r="AA238" i="1"/>
  <c r="AA296" i="1"/>
  <c r="AA330" i="1"/>
  <c r="AA338" i="1"/>
  <c r="AA350" i="1"/>
  <c r="AA364" i="1"/>
  <c r="AB364" i="1" s="1"/>
  <c r="AC364" i="1" s="1"/>
  <c r="AA378" i="1"/>
  <c r="AA388" i="1"/>
  <c r="AB388" i="1" s="1"/>
  <c r="AC388" i="1" s="1"/>
  <c r="AA400" i="1"/>
  <c r="AA426" i="1"/>
  <c r="AA415" i="1"/>
  <c r="AA166" i="1"/>
  <c r="AB166" i="1" s="1"/>
  <c r="AC166" i="1" s="1"/>
  <c r="AA196" i="1"/>
  <c r="AB196" i="1" s="1"/>
  <c r="AC196" i="1" s="1"/>
  <c r="AA210" i="1"/>
  <c r="AB210" i="1" s="1"/>
  <c r="AC210" i="1" s="1"/>
  <c r="AA212" i="1"/>
  <c r="AB214" i="1"/>
  <c r="AC214" i="1" s="1"/>
  <c r="AA234" i="1"/>
  <c r="AB234" i="1" s="1"/>
  <c r="AC234" i="1" s="1"/>
  <c r="AA242" i="1"/>
  <c r="AA248" i="1"/>
  <c r="AB254" i="1"/>
  <c r="AC254" i="1" s="1"/>
  <c r="AB260" i="1"/>
  <c r="AC260" i="1" s="1"/>
  <c r="AB306" i="1"/>
  <c r="AC306" i="1" s="1"/>
  <c r="AB314" i="1"/>
  <c r="AC314" i="1" s="1"/>
  <c r="AA326" i="1"/>
  <c r="AB330" i="1"/>
  <c r="AC330" i="1" s="1"/>
  <c r="AA334" i="1"/>
  <c r="AB338" i="1"/>
  <c r="AC338" i="1" s="1"/>
  <c r="AA354" i="1"/>
  <c r="AA360" i="1"/>
  <c r="AA368" i="1"/>
  <c r="AB368" i="1" s="1"/>
  <c r="AC368" i="1" s="1"/>
  <c r="AA374" i="1"/>
  <c r="AB378" i="1"/>
  <c r="AC378" i="1" s="1"/>
  <c r="AB400" i="1"/>
  <c r="AC400" i="1" s="1"/>
  <c r="AA404" i="1"/>
  <c r="AA420" i="1"/>
  <c r="AA422" i="1"/>
  <c r="AB422" i="1" s="1"/>
  <c r="AC422" i="1" s="1"/>
  <c r="AB426" i="1"/>
  <c r="AC426" i="1" s="1"/>
  <c r="Z431" i="1"/>
  <c r="Z430" i="1"/>
  <c r="AA430" i="1" s="1"/>
  <c r="AB427" i="1"/>
  <c r="AC427" i="1" s="1"/>
  <c r="Z425" i="1"/>
  <c r="Z424" i="1"/>
  <c r="AA424" i="1" s="1"/>
  <c r="Z428" i="1"/>
  <c r="AA428" i="1" s="1"/>
  <c r="AA423" i="1"/>
  <c r="AB423" i="1" s="1"/>
  <c r="AC423" i="1" s="1"/>
  <c r="AA419" i="1"/>
  <c r="AB419" i="1" s="1"/>
  <c r="AC419" i="1" s="1"/>
  <c r="AB420" i="1"/>
  <c r="AC420" i="1" s="1"/>
  <c r="Z418" i="1"/>
  <c r="AA418" i="1" s="1"/>
  <c r="AB415" i="1"/>
  <c r="AC415" i="1" s="1"/>
  <c r="AB414" i="1"/>
  <c r="AC414" i="1" s="1"/>
  <c r="Z413" i="1"/>
  <c r="Z416" i="1"/>
  <c r="AA416" i="1" s="1"/>
  <c r="AB416" i="1" s="1"/>
  <c r="AC416" i="1" s="1"/>
  <c r="AA413" i="1"/>
  <c r="Z411" i="1"/>
  <c r="AA409" i="1"/>
  <c r="AB409" i="1" s="1"/>
  <c r="AC409" i="1" s="1"/>
  <c r="AB404" i="1"/>
  <c r="AC404" i="1" s="1"/>
  <c r="AA403" i="1"/>
  <c r="AB403" i="1" s="1"/>
  <c r="AC403" i="1" s="1"/>
  <c r="Z401" i="1"/>
  <c r="Z405" i="1"/>
  <c r="Z402" i="1"/>
  <c r="Z406" i="1"/>
  <c r="AA406" i="1" s="1"/>
  <c r="AA401" i="1"/>
  <c r="AB398" i="1"/>
  <c r="AC398" i="1" s="1"/>
  <c r="Z396" i="1"/>
  <c r="AB394" i="1"/>
  <c r="AC394" i="1" s="1"/>
  <c r="Z392" i="1"/>
  <c r="AA392" i="1" s="1"/>
  <c r="Z391" i="1"/>
  <c r="AB385" i="1"/>
  <c r="AC385" i="1" s="1"/>
  <c r="Z386" i="1"/>
  <c r="AA386" i="1" s="1"/>
  <c r="AB383" i="1"/>
  <c r="AC383" i="1" s="1"/>
  <c r="AB374" i="1"/>
  <c r="AC374" i="1" s="1"/>
  <c r="Z373" i="1"/>
  <c r="AA373" i="1" s="1"/>
  <c r="Z377" i="1"/>
  <c r="Z381" i="1"/>
  <c r="AA381" i="1" s="1"/>
  <c r="AB381" i="1" s="1"/>
  <c r="AC381" i="1" s="1"/>
  <c r="Z372" i="1"/>
  <c r="Z376" i="1"/>
  <c r="Z380" i="1"/>
  <c r="AA379" i="1"/>
  <c r="AB379" i="1" s="1"/>
  <c r="AC379" i="1" s="1"/>
  <c r="AA377" i="1"/>
  <c r="AA376" i="1"/>
  <c r="AB360" i="1"/>
  <c r="AC360" i="1" s="1"/>
  <c r="AA363" i="1"/>
  <c r="AB363" i="1" s="1"/>
  <c r="AC363" i="1" s="1"/>
  <c r="Z361" i="1"/>
  <c r="Z365" i="1"/>
  <c r="Z369" i="1"/>
  <c r="Z362" i="1"/>
  <c r="AA362" i="1" s="1"/>
  <c r="Z366" i="1"/>
  <c r="Z370" i="1"/>
  <c r="AA370" i="1" s="1"/>
  <c r="AA361" i="1"/>
  <c r="Z347" i="1"/>
  <c r="AA347" i="1" s="1"/>
  <c r="Z355" i="1"/>
  <c r="Z348" i="1"/>
  <c r="AA348" i="1" s="1"/>
  <c r="AB348" i="1" s="1"/>
  <c r="AC348" i="1" s="1"/>
  <c r="Z352" i="1"/>
  <c r="AA352" i="1" s="1"/>
  <c r="AB352" i="1" s="1"/>
  <c r="AC352" i="1" s="1"/>
  <c r="Z356" i="1"/>
  <c r="AA356" i="1" s="1"/>
  <c r="AB356" i="1" s="1"/>
  <c r="AC356" i="1" s="1"/>
  <c r="AA349" i="1"/>
  <c r="AB349" i="1" s="1"/>
  <c r="AC349" i="1" s="1"/>
  <c r="AA357" i="1"/>
  <c r="AB357" i="1" s="1"/>
  <c r="AC357" i="1" s="1"/>
  <c r="AB350" i="1"/>
  <c r="AC350" i="1" s="1"/>
  <c r="AB354" i="1"/>
  <c r="AC354" i="1" s="1"/>
  <c r="AA355" i="1"/>
  <c r="AA353" i="1"/>
  <c r="AB353" i="1" s="1"/>
  <c r="AC353" i="1" s="1"/>
  <c r="Z344" i="1"/>
  <c r="AA344" i="1" s="1"/>
  <c r="AA345" i="1"/>
  <c r="AB345" i="1" s="1"/>
  <c r="AC345" i="1" s="1"/>
  <c r="Z342" i="1"/>
  <c r="AA340" i="1"/>
  <c r="AB340" i="1" s="1"/>
  <c r="AC340" i="1" s="1"/>
  <c r="AA342" i="1"/>
  <c r="AA341" i="1"/>
  <c r="AB341" i="1" s="1"/>
  <c r="AC341" i="1" s="1"/>
  <c r="AB334" i="1"/>
  <c r="AC334" i="1" s="1"/>
  <c r="AB335" i="1"/>
  <c r="AC335" i="1" s="1"/>
  <c r="Z333" i="1"/>
  <c r="AA333" i="1" s="1"/>
  <c r="AB333" i="1" s="1"/>
  <c r="AC333" i="1" s="1"/>
  <c r="Z337" i="1"/>
  <c r="Z332" i="1"/>
  <c r="Z336" i="1"/>
  <c r="AA336" i="1" s="1"/>
  <c r="AA332" i="1"/>
  <c r="AB332" i="1" s="1"/>
  <c r="AC332" i="1" s="1"/>
  <c r="AB326" i="1"/>
  <c r="AC326" i="1" s="1"/>
  <c r="AA327" i="1"/>
  <c r="AB327" i="1" s="1"/>
  <c r="AC327" i="1" s="1"/>
  <c r="Z325" i="1"/>
  <c r="Z329" i="1"/>
  <c r="Z324" i="1"/>
  <c r="AA324" i="1" s="1"/>
  <c r="Z328" i="1"/>
  <c r="AA328" i="1" s="1"/>
  <c r="AA329" i="1"/>
  <c r="AB319" i="1"/>
  <c r="AC319" i="1" s="1"/>
  <c r="AB318" i="1"/>
  <c r="AC318" i="1" s="1"/>
  <c r="AA315" i="1"/>
  <c r="AB315" i="1" s="1"/>
  <c r="AC315" i="1" s="1"/>
  <c r="AA320" i="1"/>
  <c r="AB320" i="1" s="1"/>
  <c r="AC320" i="1" s="1"/>
  <c r="Z313" i="1"/>
  <c r="AA313" i="1" s="1"/>
  <c r="Z317" i="1"/>
  <c r="AA317" i="1" s="1"/>
  <c r="Z321" i="1"/>
  <c r="Z316" i="1"/>
  <c r="AA316" i="1" s="1"/>
  <c r="Z320" i="1"/>
  <c r="AB310" i="1"/>
  <c r="AC310" i="1" s="1"/>
  <c r="Z305" i="1"/>
  <c r="Z309" i="1"/>
  <c r="Z308" i="1"/>
  <c r="AA308" i="1" s="1"/>
  <c r="Z173" i="1"/>
  <c r="AA173" i="1" s="1"/>
  <c r="AB173" i="1" s="1"/>
  <c r="AC173" i="1" s="1"/>
  <c r="AA300" i="1"/>
  <c r="AB300" i="1" s="1"/>
  <c r="AC300" i="1" s="1"/>
  <c r="Z301" i="1"/>
  <c r="AA301" i="1" s="1"/>
  <c r="AB301" i="1" s="1"/>
  <c r="AC301" i="1" s="1"/>
  <c r="Z298" i="1"/>
  <c r="AA298" i="1" s="1"/>
  <c r="Z291" i="1"/>
  <c r="AA291" i="1" s="1"/>
  <c r="AB291" i="1" s="1"/>
  <c r="AC291" i="1" s="1"/>
  <c r="Z295" i="1"/>
  <c r="Z290" i="1"/>
  <c r="AA290" i="1" s="1"/>
  <c r="AB290" i="1" s="1"/>
  <c r="AC290" i="1" s="1"/>
  <c r="Z294" i="1"/>
  <c r="AA294" i="1" s="1"/>
  <c r="AB289" i="1"/>
  <c r="AC289" i="1" s="1"/>
  <c r="AB296" i="1"/>
  <c r="AC296" i="1" s="1"/>
  <c r="AB287" i="1"/>
  <c r="AC287" i="1" s="1"/>
  <c r="Z275" i="1"/>
  <c r="Z279" i="1"/>
  <c r="AA279" i="1" s="1"/>
  <c r="AB279" i="1" s="1"/>
  <c r="AC279" i="1" s="1"/>
  <c r="Z283" i="1"/>
  <c r="AA283" i="1" s="1"/>
  <c r="Z276" i="1"/>
  <c r="Z280" i="1"/>
  <c r="Z284" i="1"/>
  <c r="AA284" i="1" s="1"/>
  <c r="AA275" i="1"/>
  <c r="AA277" i="1"/>
  <c r="AB277" i="1" s="1"/>
  <c r="AC277" i="1" s="1"/>
  <c r="AA281" i="1"/>
  <c r="AB281" i="1" s="1"/>
  <c r="AC281" i="1" s="1"/>
  <c r="AA285" i="1"/>
  <c r="AB285" i="1" s="1"/>
  <c r="AC285" i="1" s="1"/>
  <c r="AA274" i="1"/>
  <c r="AB274" i="1" s="1"/>
  <c r="AC274" i="1" s="1"/>
  <c r="AA276" i="1"/>
  <c r="AA278" i="1"/>
  <c r="AB278" i="1" s="1"/>
  <c r="AC278" i="1" s="1"/>
  <c r="AA282" i="1"/>
  <c r="AB282" i="1" s="1"/>
  <c r="AC282" i="1" s="1"/>
  <c r="AB267" i="1"/>
  <c r="AC267" i="1" s="1"/>
  <c r="AB271" i="1"/>
  <c r="AC271" i="1" s="1"/>
  <c r="AB266" i="1"/>
  <c r="AC266" i="1" s="1"/>
  <c r="AB262" i="1"/>
  <c r="AC262" i="1" s="1"/>
  <c r="AB270" i="1"/>
  <c r="AC270" i="1" s="1"/>
  <c r="Z265" i="1"/>
  <c r="AA265" i="1" s="1"/>
  <c r="Z269" i="1"/>
  <c r="Z264" i="1"/>
  <c r="Z268" i="1"/>
  <c r="Z272" i="1"/>
  <c r="AA272" i="1" s="1"/>
  <c r="AA263" i="1"/>
  <c r="AB263" i="1" s="1"/>
  <c r="AC263" i="1" s="1"/>
  <c r="AB259" i="1"/>
  <c r="AC259" i="1" s="1"/>
  <c r="Z257" i="1"/>
  <c r="Z258" i="1"/>
  <c r="AB255" i="1"/>
  <c r="AC255" i="1" s="1"/>
  <c r="Z253" i="1"/>
  <c r="AA253" i="1" s="1"/>
  <c r="AB251" i="1"/>
  <c r="AC251" i="1" s="1"/>
  <c r="AA247" i="1"/>
  <c r="AB247" i="1" s="1"/>
  <c r="AC247" i="1" s="1"/>
  <c r="AB248" i="1"/>
  <c r="AC248" i="1" s="1"/>
  <c r="Z249" i="1"/>
  <c r="AA249" i="1" s="1"/>
  <c r="Z250" i="1"/>
  <c r="AA250" i="1" s="1"/>
  <c r="Z244" i="1"/>
  <c r="AA244" i="1" s="1"/>
  <c r="AB244" i="1" s="1"/>
  <c r="AC244" i="1" s="1"/>
  <c r="AA235" i="1"/>
  <c r="AB235" i="1" s="1"/>
  <c r="AC235" i="1" s="1"/>
  <c r="Z235" i="1"/>
  <c r="Z239" i="1"/>
  <c r="AA239" i="1" s="1"/>
  <c r="Z232" i="1"/>
  <c r="AA232" i="1" s="1"/>
  <c r="AB232" i="1" s="1"/>
  <c r="AC232" i="1" s="1"/>
  <c r="Z236" i="1"/>
  <c r="Z240" i="1"/>
  <c r="AA240" i="1" s="1"/>
  <c r="AB240" i="1" s="1"/>
  <c r="AC240" i="1" s="1"/>
  <c r="AA233" i="1"/>
  <c r="AB233" i="1" s="1"/>
  <c r="AC233" i="1" s="1"/>
  <c r="AA237" i="1"/>
  <c r="AB237" i="1" s="1"/>
  <c r="AC237" i="1" s="1"/>
  <c r="AA241" i="1"/>
  <c r="AB241" i="1" s="1"/>
  <c r="AC241" i="1" s="1"/>
  <c r="AB238" i="1"/>
  <c r="AC238" i="1" s="1"/>
  <c r="AB242" i="1"/>
  <c r="AC242" i="1" s="1"/>
  <c r="AA230" i="1"/>
  <c r="AB230" i="1" s="1"/>
  <c r="AC230" i="1" s="1"/>
  <c r="Z229" i="1"/>
  <c r="Z228" i="1"/>
  <c r="AA228" i="1" s="1"/>
  <c r="AA229" i="1"/>
  <c r="Z221" i="1"/>
  <c r="Z225" i="1"/>
  <c r="Z220" i="1"/>
  <c r="AA220" i="1" s="1"/>
  <c r="Z224" i="1"/>
  <c r="AA224" i="1" s="1"/>
  <c r="AA221" i="1"/>
  <c r="AA225" i="1"/>
  <c r="AA223" i="1"/>
  <c r="AB223" i="1" s="1"/>
  <c r="AC223" i="1" s="1"/>
  <c r="AA222" i="1"/>
  <c r="AB222" i="1" s="1"/>
  <c r="AC222" i="1" s="1"/>
  <c r="AA226" i="1"/>
  <c r="AB226" i="1" s="1"/>
  <c r="AC226" i="1" s="1"/>
  <c r="Z217" i="1"/>
  <c r="AA217" i="1" s="1"/>
  <c r="Z213" i="1"/>
  <c r="AA213" i="1" s="1"/>
  <c r="AA215" i="1"/>
  <c r="AB215" i="1" s="1"/>
  <c r="AC215" i="1" s="1"/>
  <c r="AB212" i="1"/>
  <c r="AC212" i="1" s="1"/>
  <c r="Z209" i="1"/>
  <c r="Z208" i="1"/>
  <c r="AA208" i="1" s="1"/>
  <c r="AB208" i="1" s="1"/>
  <c r="AC208" i="1" s="1"/>
  <c r="AA209" i="1"/>
  <c r="Z203" i="1"/>
  <c r="AB200" i="1"/>
  <c r="AC200" i="1" s="1"/>
  <c r="AA195" i="1"/>
  <c r="AB195" i="1" s="1"/>
  <c r="AC195" i="1" s="1"/>
  <c r="Z197" i="1"/>
  <c r="Z194" i="1"/>
  <c r="AA194" i="1" s="1"/>
  <c r="Z198" i="1"/>
  <c r="AA192" i="1"/>
  <c r="AB192" i="1" s="1"/>
  <c r="AC192" i="1" s="1"/>
  <c r="Z191" i="1"/>
  <c r="Z189" i="1"/>
  <c r="AA189" i="1" s="1"/>
  <c r="Z188" i="1"/>
  <c r="AB185" i="1"/>
  <c r="AC185" i="1" s="1"/>
  <c r="AB186" i="1"/>
  <c r="AC186" i="1" s="1"/>
  <c r="Z183" i="1"/>
  <c r="Z179" i="1"/>
  <c r="AA177" i="1"/>
  <c r="AB177" i="1" s="1"/>
  <c r="AC177" i="1" s="1"/>
  <c r="Z165" i="1"/>
  <c r="Z169" i="1"/>
  <c r="Z164" i="1"/>
  <c r="AA164" i="1" s="1"/>
  <c r="Z168" i="1"/>
  <c r="AA168" i="1" s="1"/>
  <c r="AB168" i="1" s="1"/>
  <c r="AC168" i="1" s="1"/>
  <c r="AA165" i="1"/>
  <c r="AA169" i="1"/>
  <c r="AA167" i="1"/>
  <c r="AB167" i="1" s="1"/>
  <c r="AC167" i="1" s="1"/>
  <c r="AB170" i="1"/>
  <c r="AC170" i="1" s="1"/>
  <c r="AA171" i="1"/>
  <c r="AB171" i="1" s="1"/>
  <c r="AC171" i="1" s="1"/>
  <c r="AA155" i="1"/>
  <c r="AB155" i="1" s="1"/>
  <c r="AC155" i="1" s="1"/>
  <c r="AA159" i="1"/>
  <c r="AB159" i="1" s="1"/>
  <c r="AC159" i="1" s="1"/>
  <c r="AA152" i="1"/>
  <c r="AB152" i="1" s="1"/>
  <c r="AC152" i="1" s="1"/>
  <c r="AA156" i="1"/>
  <c r="AB156" i="1" s="1"/>
  <c r="AC156" i="1" s="1"/>
  <c r="AA160" i="1"/>
  <c r="AB160" i="1" s="1"/>
  <c r="AC160" i="1" s="1"/>
  <c r="Z153" i="1"/>
  <c r="Z157" i="1"/>
  <c r="AA157" i="1" s="1"/>
  <c r="Z161" i="1"/>
  <c r="AA161" i="1" s="1"/>
  <c r="Z154" i="1"/>
  <c r="Z158" i="1"/>
  <c r="Z162" i="1"/>
  <c r="AA151" i="1"/>
  <c r="AB151" i="1" s="1"/>
  <c r="AC151" i="1" s="1"/>
  <c r="AP143" i="1"/>
  <c r="Z128" i="1"/>
  <c r="AA128" i="1" s="1"/>
  <c r="Z139" i="1"/>
  <c r="AA139" i="1" s="1"/>
  <c r="AA143" i="1"/>
  <c r="Z148" i="1"/>
  <c r="AA148" i="1" s="1"/>
  <c r="AP139" i="1"/>
  <c r="AP148" i="1"/>
  <c r="AA142" i="1"/>
  <c r="AB142" i="1" s="1"/>
  <c r="AC142" i="1" s="1"/>
  <c r="Z140" i="1"/>
  <c r="AA140" i="1" s="1"/>
  <c r="Z145" i="1"/>
  <c r="AA145" i="1" s="1"/>
  <c r="Z149" i="1"/>
  <c r="AA149" i="1" s="1"/>
  <c r="Z141" i="1"/>
  <c r="Z146" i="1"/>
  <c r="AA146" i="1" s="1"/>
  <c r="AA147" i="1"/>
  <c r="AB147" i="1" s="1"/>
  <c r="AC147" i="1" s="1"/>
  <c r="AB143" i="1"/>
  <c r="AC143" i="1" s="1"/>
  <c r="AA130" i="1"/>
  <c r="AB130" i="1" s="1"/>
  <c r="AC130" i="1" s="1"/>
  <c r="AA131" i="1"/>
  <c r="AB131" i="1" s="1"/>
  <c r="AC131" i="1" s="1"/>
  <c r="AA135" i="1"/>
  <c r="AB135" i="1" s="1"/>
  <c r="AC135" i="1" s="1"/>
  <c r="Z132" i="1"/>
  <c r="Z136" i="1"/>
  <c r="AA136" i="1" s="1"/>
  <c r="Z133" i="1"/>
  <c r="AA133" i="1" s="1"/>
  <c r="Z137" i="1"/>
  <c r="AA137" i="1" s="1"/>
  <c r="AA134" i="1"/>
  <c r="AB134" i="1" s="1"/>
  <c r="AC134" i="1" s="1"/>
  <c r="AB127" i="1"/>
  <c r="AC127" i="1" s="1"/>
  <c r="Z126" i="1"/>
  <c r="Z129" i="1"/>
  <c r="AA129" i="1" s="1"/>
  <c r="AB129" i="1" s="1"/>
  <c r="AC129" i="1" s="1"/>
  <c r="Z117" i="1"/>
  <c r="AA117" i="1" s="1"/>
  <c r="AB117" i="1" s="1"/>
  <c r="AC117" i="1" s="1"/>
  <c r="AA114" i="1"/>
  <c r="AB114" i="1" s="1"/>
  <c r="AC114" i="1" s="1"/>
  <c r="AA118" i="1"/>
  <c r="AB118" i="1" s="1"/>
  <c r="AC118" i="1" s="1"/>
  <c r="Z115" i="1"/>
  <c r="AA115" i="1" s="1"/>
  <c r="Z119" i="1"/>
  <c r="AA119" i="1" s="1"/>
  <c r="AB119" i="1" s="1"/>
  <c r="AC119" i="1" s="1"/>
  <c r="Z124" i="1"/>
  <c r="AA124" i="1" s="1"/>
  <c r="Z116" i="1"/>
  <c r="AA116" i="1" s="1"/>
  <c r="AB116" i="1" s="1"/>
  <c r="AC116" i="1" s="1"/>
  <c r="Z120" i="1"/>
  <c r="AA120" i="1" s="1"/>
  <c r="AA121" i="1"/>
  <c r="AB121" i="1" s="1"/>
  <c r="AC121" i="1" s="1"/>
  <c r="AA111" i="1"/>
  <c r="AB111" i="1" s="1"/>
  <c r="AC111" i="1" s="1"/>
  <c r="AA110" i="1"/>
  <c r="AB110" i="1" s="1"/>
  <c r="AC110" i="1" s="1"/>
  <c r="Z109" i="1"/>
  <c r="Z112" i="1"/>
  <c r="AA112" i="1" s="1"/>
  <c r="AA109" i="1"/>
  <c r="Z107" i="1"/>
  <c r="AA107" i="1" s="1"/>
  <c r="Z106" i="1"/>
  <c r="AA96" i="1"/>
  <c r="AB96" i="1" s="1"/>
  <c r="AC96" i="1" s="1"/>
  <c r="AA98" i="1"/>
  <c r="AB98" i="1" s="1"/>
  <c r="AC98" i="1" s="1"/>
  <c r="AA103" i="1"/>
  <c r="AB103" i="1" s="1"/>
  <c r="AC103" i="1" s="1"/>
  <c r="Z101" i="1"/>
  <c r="Z95" i="1"/>
  <c r="AA95" i="1" s="1"/>
  <c r="AB95" i="1" s="1"/>
  <c r="AC95" i="1" s="1"/>
  <c r="Z97" i="1"/>
  <c r="AA97" i="1" s="1"/>
  <c r="Z100" i="1"/>
  <c r="Z102" i="1"/>
  <c r="Z104" i="1"/>
  <c r="AA104" i="1" s="1"/>
  <c r="AB104" i="1" s="1"/>
  <c r="AC104" i="1" s="1"/>
  <c r="AA101" i="1"/>
  <c r="AA86" i="1"/>
  <c r="AB86" i="1" s="1"/>
  <c r="AC86" i="1" s="1"/>
  <c r="Z90" i="1"/>
  <c r="AA90" i="1" s="1"/>
  <c r="AB90" i="1" s="1"/>
  <c r="AC90" i="1" s="1"/>
  <c r="AA88" i="1"/>
  <c r="AB88" i="1" s="1"/>
  <c r="AC88" i="1" s="1"/>
  <c r="Z84" i="1"/>
  <c r="Z92" i="1"/>
  <c r="Z85" i="1"/>
  <c r="AA85" i="1" s="1"/>
  <c r="Z87" i="1"/>
  <c r="Z89" i="1"/>
  <c r="AA89" i="1" s="1"/>
  <c r="Z91" i="1"/>
  <c r="AA91" i="1" s="1"/>
  <c r="Z93" i="1"/>
  <c r="AA93" i="1" s="1"/>
  <c r="AA92" i="1"/>
  <c r="Z76" i="1"/>
  <c r="AA76" i="1" s="1"/>
  <c r="AB76" i="1" s="1"/>
  <c r="AC76" i="1" s="1"/>
  <c r="Z80" i="1"/>
  <c r="Z77" i="1"/>
  <c r="AA77" i="1" s="1"/>
  <c r="AB77" i="1" s="1"/>
  <c r="AC77" i="1" s="1"/>
  <c r="Z79" i="1"/>
  <c r="AA79" i="1" s="1"/>
  <c r="Z81" i="1"/>
  <c r="AA81" i="1" s="1"/>
  <c r="AB81" i="1" s="1"/>
  <c r="AC81" i="1" s="1"/>
  <c r="AA80" i="1"/>
  <c r="AA78" i="1"/>
  <c r="AB78" i="1" s="1"/>
  <c r="AC78" i="1" s="1"/>
  <c r="AA82" i="1"/>
  <c r="AB82" i="1" s="1"/>
  <c r="AC82" i="1" s="1"/>
  <c r="AA75" i="1"/>
  <c r="AB75" i="1" s="1"/>
  <c r="AC75" i="1" s="1"/>
  <c r="Z74" i="1"/>
  <c r="AA74" i="1" s="1"/>
  <c r="Z72" i="1"/>
  <c r="AA71" i="1"/>
  <c r="AB71" i="1" s="1"/>
  <c r="AC71" i="1" s="1"/>
  <c r="Z70" i="1"/>
  <c r="AA69" i="1"/>
  <c r="Z68" i="1"/>
  <c r="AA68" i="1" s="1"/>
  <c r="AB68" i="1" s="1"/>
  <c r="AC68" i="1" s="1"/>
  <c r="AA67" i="1"/>
  <c r="AB67" i="1" s="1"/>
  <c r="AC67" i="1" s="1"/>
  <c r="Z66" i="1"/>
  <c r="Z65" i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3" i="1"/>
  <c r="AB63" i="1" s="1"/>
  <c r="AC63" i="1" s="1"/>
  <c r="Z62" i="1"/>
  <c r="Z61" i="1"/>
  <c r="AA61" i="1" s="1"/>
  <c r="AB61" i="1" s="1"/>
  <c r="AC61" i="1" s="1"/>
  <c r="AA60" i="1"/>
  <c r="AB60" i="1" s="1"/>
  <c r="AC60" i="1" s="1"/>
  <c r="AB58" i="1"/>
  <c r="AC58" i="1" s="1"/>
  <c r="Z57" i="1"/>
  <c r="Z56" i="1"/>
  <c r="AA56" i="1" s="1"/>
  <c r="AB56" i="1" s="1"/>
  <c r="AC56" i="1" s="1"/>
  <c r="Z54" i="1"/>
  <c r="AA53" i="1"/>
  <c r="AB53" i="1" s="1"/>
  <c r="AC53" i="1" s="1"/>
  <c r="Z52" i="1"/>
  <c r="AB51" i="1"/>
  <c r="AC51" i="1" s="1"/>
  <c r="AA50" i="1"/>
  <c r="AB50" i="1" s="1"/>
  <c r="AC50" i="1" s="1"/>
  <c r="Z49" i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Z43" i="1"/>
  <c r="AA42" i="1"/>
  <c r="AB42" i="1" s="1"/>
  <c r="AC42" i="1" s="1"/>
  <c r="Z40" i="1"/>
  <c r="AA40" i="1" s="1"/>
  <c r="Z39" i="1"/>
  <c r="AA39" i="1" s="1"/>
  <c r="AB39" i="1" s="1"/>
  <c r="AC39" i="1" s="1"/>
  <c r="AA37" i="1"/>
  <c r="AB37" i="1" s="1"/>
  <c r="AC37" i="1" s="1"/>
  <c r="Z36" i="1"/>
  <c r="AA36" i="1" s="1"/>
  <c r="Z34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Z3" i="1"/>
  <c r="Z7" i="1"/>
  <c r="Z11" i="1"/>
  <c r="Z15" i="1"/>
  <c r="Z21" i="1"/>
  <c r="Z27" i="1"/>
  <c r="Z18" i="1"/>
  <c r="A4" i="1"/>
  <c r="AA561" i="1" l="1"/>
  <c r="AB561" i="1" s="1"/>
  <c r="AC561" i="1" s="1"/>
  <c r="AB559" i="1"/>
  <c r="AC559" i="1" s="1"/>
  <c r="AA555" i="1"/>
  <c r="AB555" i="1" s="1"/>
  <c r="AC555" i="1" s="1"/>
  <c r="AA552" i="1"/>
  <c r="AB552" i="1" s="1"/>
  <c r="AC552" i="1" s="1"/>
  <c r="AB551" i="1"/>
  <c r="AC551" i="1" s="1"/>
  <c r="AA547" i="1"/>
  <c r="AB547" i="1" s="1"/>
  <c r="AC547" i="1" s="1"/>
  <c r="AA543" i="1"/>
  <c r="AB543" i="1" s="1"/>
  <c r="AC543" i="1" s="1"/>
  <c r="AB502" i="1"/>
  <c r="AC502" i="1" s="1"/>
  <c r="AA541" i="1"/>
  <c r="AB541" i="1" s="1"/>
  <c r="AC541" i="1" s="1"/>
  <c r="AA535" i="1"/>
  <c r="AB535" i="1" s="1"/>
  <c r="AC535" i="1" s="1"/>
  <c r="AB529" i="1"/>
  <c r="AC529" i="1" s="1"/>
  <c r="AA527" i="1"/>
  <c r="AB527" i="1" s="1"/>
  <c r="AC527" i="1" s="1"/>
  <c r="AB525" i="1"/>
  <c r="AC525" i="1" s="1"/>
  <c r="AB524" i="1"/>
  <c r="AC524" i="1" s="1"/>
  <c r="AA523" i="1"/>
  <c r="AB523" i="1" s="1"/>
  <c r="AC523" i="1" s="1"/>
  <c r="AA518" i="1"/>
  <c r="AB518" i="1" s="1"/>
  <c r="AC518" i="1" s="1"/>
  <c r="AB517" i="1"/>
  <c r="AC517" i="1" s="1"/>
  <c r="AA517" i="1"/>
  <c r="AB442" i="1"/>
  <c r="AC442" i="1" s="1"/>
  <c r="AA442" i="1"/>
  <c r="AB468" i="1"/>
  <c r="AC468" i="1" s="1"/>
  <c r="AA475" i="1"/>
  <c r="AB475" i="1" s="1"/>
  <c r="AC475" i="1" s="1"/>
  <c r="AB509" i="1"/>
  <c r="AC509" i="1" s="1"/>
  <c r="AB465" i="1"/>
  <c r="AC465" i="1" s="1"/>
  <c r="AA445" i="1"/>
  <c r="AB445" i="1" s="1"/>
  <c r="AC445" i="1" s="1"/>
  <c r="AB128" i="1"/>
  <c r="AC128" i="1" s="1"/>
  <c r="AB293" i="1"/>
  <c r="AC293" i="1" s="1"/>
  <c r="AA468" i="1"/>
  <c r="AB474" i="1"/>
  <c r="AC474" i="1" s="1"/>
  <c r="AB479" i="1"/>
  <c r="AC479" i="1" s="1"/>
  <c r="AB482" i="1"/>
  <c r="AC482" i="1" s="1"/>
  <c r="AA484" i="1"/>
  <c r="AB484" i="1" s="1"/>
  <c r="AC484" i="1" s="1"/>
  <c r="AB485" i="1"/>
  <c r="AC485" i="1" s="1"/>
  <c r="AB494" i="1"/>
  <c r="AC494" i="1" s="1"/>
  <c r="AB513" i="1"/>
  <c r="AC513" i="1" s="1"/>
  <c r="AB514" i="1"/>
  <c r="AC514" i="1" s="1"/>
  <c r="AB508" i="1"/>
  <c r="AC508" i="1" s="1"/>
  <c r="AB510" i="1"/>
  <c r="AC510" i="1" s="1"/>
  <c r="AA503" i="1"/>
  <c r="AB503" i="1" s="1"/>
  <c r="AC503" i="1" s="1"/>
  <c r="AB497" i="1"/>
  <c r="AC497" i="1" s="1"/>
  <c r="AA495" i="1"/>
  <c r="AB495" i="1" s="1"/>
  <c r="AC495" i="1" s="1"/>
  <c r="AA491" i="1"/>
  <c r="AB491" i="1" s="1"/>
  <c r="AC491" i="1" s="1"/>
  <c r="AA487" i="1"/>
  <c r="AB487" i="1" s="1"/>
  <c r="AC487" i="1" s="1"/>
  <c r="AB464" i="1"/>
  <c r="AC464" i="1" s="1"/>
  <c r="AA461" i="1"/>
  <c r="AB461" i="1" s="1"/>
  <c r="AC461" i="1" s="1"/>
  <c r="AA457" i="1"/>
  <c r="AB457" i="1" s="1"/>
  <c r="AC457" i="1" s="1"/>
  <c r="AA453" i="1"/>
  <c r="AB453" i="1" s="1"/>
  <c r="AC453" i="1" s="1"/>
  <c r="AA450" i="1"/>
  <c r="AB450" i="1" s="1"/>
  <c r="AC450" i="1" s="1"/>
  <c r="AB447" i="1"/>
  <c r="AC447" i="1" s="1"/>
  <c r="AB434" i="1"/>
  <c r="AC434" i="1" s="1"/>
  <c r="AA158" i="1"/>
  <c r="AB158" i="1" s="1"/>
  <c r="AC158" i="1" s="1"/>
  <c r="AB169" i="1"/>
  <c r="AC169" i="1" s="1"/>
  <c r="AB194" i="1"/>
  <c r="AC194" i="1" s="1"/>
  <c r="AB221" i="1"/>
  <c r="AC221" i="1" s="1"/>
  <c r="AB283" i="1"/>
  <c r="AC283" i="1" s="1"/>
  <c r="AB275" i="1"/>
  <c r="AC275" i="1" s="1"/>
  <c r="AA321" i="1"/>
  <c r="AB321" i="1" s="1"/>
  <c r="AC321" i="1" s="1"/>
  <c r="AB342" i="1"/>
  <c r="AC342" i="1" s="1"/>
  <c r="AB355" i="1"/>
  <c r="AC355" i="1" s="1"/>
  <c r="AB365" i="1"/>
  <c r="AC365" i="1" s="1"/>
  <c r="AA365" i="1"/>
  <c r="AB377" i="1"/>
  <c r="AC377" i="1" s="1"/>
  <c r="AA153" i="1"/>
  <c r="AB153" i="1" s="1"/>
  <c r="AC153" i="1" s="1"/>
  <c r="AB165" i="1"/>
  <c r="AC165" i="1" s="1"/>
  <c r="AB209" i="1"/>
  <c r="AC209" i="1" s="1"/>
  <c r="AB224" i="1"/>
  <c r="AC224" i="1" s="1"/>
  <c r="AB225" i="1"/>
  <c r="AC225" i="1" s="1"/>
  <c r="AA280" i="1"/>
  <c r="AB280" i="1" s="1"/>
  <c r="AC280" i="1" s="1"/>
  <c r="AB284" i="1"/>
  <c r="AC284" i="1" s="1"/>
  <c r="AB276" i="1"/>
  <c r="AC276" i="1" s="1"/>
  <c r="AB298" i="1"/>
  <c r="AC298" i="1" s="1"/>
  <c r="AA309" i="1"/>
  <c r="AB309" i="1" s="1"/>
  <c r="AC309" i="1" s="1"/>
  <c r="AB329" i="1"/>
  <c r="AC329" i="1" s="1"/>
  <c r="AB347" i="1"/>
  <c r="AC347" i="1" s="1"/>
  <c r="AB361" i="1"/>
  <c r="AC361" i="1" s="1"/>
  <c r="AB376" i="1"/>
  <c r="AC376" i="1" s="1"/>
  <c r="AB373" i="1"/>
  <c r="AC373" i="1" s="1"/>
  <c r="AB392" i="1"/>
  <c r="AC392" i="1" s="1"/>
  <c r="AA396" i="1"/>
  <c r="AB396" i="1" s="1"/>
  <c r="AC396" i="1" s="1"/>
  <c r="AB401" i="1"/>
  <c r="AC401" i="1" s="1"/>
  <c r="AB413" i="1"/>
  <c r="AC413" i="1" s="1"/>
  <c r="AB375" i="1"/>
  <c r="AC375" i="1" s="1"/>
  <c r="AB311" i="1"/>
  <c r="AC311" i="1" s="1"/>
  <c r="AB181" i="1"/>
  <c r="AC181" i="1" s="1"/>
  <c r="AA303" i="1"/>
  <c r="AB303" i="1" s="1"/>
  <c r="AC303" i="1" s="1"/>
  <c r="AA207" i="1"/>
  <c r="AB207" i="1" s="1"/>
  <c r="AC207" i="1" s="1"/>
  <c r="AB199" i="1"/>
  <c r="AC199" i="1" s="1"/>
  <c r="AB431" i="1"/>
  <c r="AC431" i="1" s="1"/>
  <c r="AA431" i="1"/>
  <c r="AB430" i="1"/>
  <c r="AC430" i="1" s="1"/>
  <c r="AB428" i="1"/>
  <c r="AC428" i="1" s="1"/>
  <c r="AA425" i="1"/>
  <c r="AB425" i="1" s="1"/>
  <c r="AC425" i="1" s="1"/>
  <c r="AB424" i="1"/>
  <c r="AC424" i="1" s="1"/>
  <c r="AB418" i="1"/>
  <c r="AC418" i="1" s="1"/>
  <c r="AA411" i="1"/>
  <c r="AB411" i="1" s="1"/>
  <c r="AC411" i="1" s="1"/>
  <c r="AB405" i="1"/>
  <c r="AC405" i="1" s="1"/>
  <c r="AA402" i="1"/>
  <c r="AB402" i="1" s="1"/>
  <c r="AC402" i="1" s="1"/>
  <c r="AB406" i="1"/>
  <c r="AC406" i="1" s="1"/>
  <c r="AA405" i="1"/>
  <c r="AA391" i="1"/>
  <c r="AB391" i="1" s="1"/>
  <c r="AC391" i="1" s="1"/>
  <c r="AB386" i="1"/>
  <c r="AC386" i="1" s="1"/>
  <c r="AA380" i="1"/>
  <c r="AB380" i="1" s="1"/>
  <c r="AC380" i="1" s="1"/>
  <c r="AA372" i="1"/>
  <c r="AB372" i="1" s="1"/>
  <c r="AC372" i="1" s="1"/>
  <c r="AB369" i="1"/>
  <c r="AC369" i="1" s="1"/>
  <c r="AA369" i="1"/>
  <c r="AB370" i="1"/>
  <c r="AC370" i="1" s="1"/>
  <c r="AB362" i="1"/>
  <c r="AC362" i="1" s="1"/>
  <c r="AA366" i="1"/>
  <c r="AB366" i="1" s="1"/>
  <c r="AC366" i="1" s="1"/>
  <c r="AB344" i="1"/>
  <c r="AC344" i="1" s="1"/>
  <c r="AB336" i="1"/>
  <c r="AC336" i="1" s="1"/>
  <c r="AA337" i="1"/>
  <c r="AB337" i="1" s="1"/>
  <c r="AC337" i="1" s="1"/>
  <c r="AB324" i="1"/>
  <c r="AC324" i="1" s="1"/>
  <c r="AB328" i="1"/>
  <c r="AC328" i="1" s="1"/>
  <c r="AA325" i="1"/>
  <c r="AB325" i="1" s="1"/>
  <c r="AC325" i="1" s="1"/>
  <c r="AB316" i="1"/>
  <c r="AC316" i="1" s="1"/>
  <c r="AB317" i="1"/>
  <c r="AC317" i="1" s="1"/>
  <c r="AB313" i="1"/>
  <c r="AC313" i="1" s="1"/>
  <c r="AB308" i="1"/>
  <c r="AC308" i="1" s="1"/>
  <c r="AA305" i="1"/>
  <c r="AB305" i="1" s="1"/>
  <c r="AC305" i="1" s="1"/>
  <c r="AB294" i="1"/>
  <c r="AC294" i="1" s="1"/>
  <c r="AA295" i="1"/>
  <c r="AB295" i="1" s="1"/>
  <c r="AC295" i="1" s="1"/>
  <c r="AB272" i="1"/>
  <c r="AC272" i="1" s="1"/>
  <c r="AB265" i="1"/>
  <c r="AC265" i="1" s="1"/>
  <c r="AA264" i="1"/>
  <c r="AB264" i="1" s="1"/>
  <c r="AC264" i="1" s="1"/>
  <c r="AA268" i="1"/>
  <c r="AB268" i="1" s="1"/>
  <c r="AC268" i="1" s="1"/>
  <c r="AA269" i="1"/>
  <c r="AB269" i="1" s="1"/>
  <c r="AC269" i="1" s="1"/>
  <c r="AA257" i="1"/>
  <c r="AB257" i="1" s="1"/>
  <c r="AC257" i="1" s="1"/>
  <c r="AA258" i="1"/>
  <c r="AB258" i="1" s="1"/>
  <c r="AC258" i="1" s="1"/>
  <c r="AB253" i="1"/>
  <c r="AC253" i="1" s="1"/>
  <c r="AB250" i="1"/>
  <c r="AC250" i="1" s="1"/>
  <c r="AB249" i="1"/>
  <c r="AC249" i="1" s="1"/>
  <c r="AB229" i="1"/>
  <c r="AC229" i="1" s="1"/>
  <c r="AA236" i="1"/>
  <c r="AB236" i="1" s="1"/>
  <c r="AC236" i="1" s="1"/>
  <c r="AB239" i="1"/>
  <c r="AC239" i="1" s="1"/>
  <c r="AB228" i="1"/>
  <c r="AC228" i="1" s="1"/>
  <c r="AB220" i="1"/>
  <c r="AC220" i="1" s="1"/>
  <c r="AB217" i="1"/>
  <c r="AC217" i="1" s="1"/>
  <c r="AB213" i="1"/>
  <c r="AC213" i="1" s="1"/>
  <c r="AA203" i="1"/>
  <c r="AB203" i="1" s="1"/>
  <c r="AC203" i="1" s="1"/>
  <c r="AA198" i="1"/>
  <c r="AB198" i="1" s="1"/>
  <c r="AC198" i="1" s="1"/>
  <c r="AA197" i="1"/>
  <c r="AB197" i="1" s="1"/>
  <c r="AC197" i="1" s="1"/>
  <c r="AA191" i="1"/>
  <c r="AB191" i="1" s="1"/>
  <c r="AC191" i="1" s="1"/>
  <c r="AB189" i="1"/>
  <c r="AC189" i="1" s="1"/>
  <c r="AB188" i="1"/>
  <c r="AC188" i="1" s="1"/>
  <c r="AA188" i="1"/>
  <c r="AA183" i="1"/>
  <c r="AB183" i="1" s="1"/>
  <c r="AC183" i="1" s="1"/>
  <c r="AA179" i="1"/>
  <c r="AB179" i="1" s="1"/>
  <c r="AC179" i="1" s="1"/>
  <c r="AB164" i="1"/>
  <c r="AC164" i="1" s="1"/>
  <c r="AA162" i="1"/>
  <c r="AB162" i="1" s="1"/>
  <c r="AC162" i="1" s="1"/>
  <c r="AA154" i="1"/>
  <c r="AB154" i="1" s="1"/>
  <c r="AC154" i="1" s="1"/>
  <c r="AB157" i="1"/>
  <c r="AC157" i="1" s="1"/>
  <c r="AB161" i="1"/>
  <c r="AC161" i="1" s="1"/>
  <c r="AB146" i="1"/>
  <c r="AC146" i="1" s="1"/>
  <c r="AB139" i="1"/>
  <c r="AC139" i="1" s="1"/>
  <c r="AB148" i="1"/>
  <c r="AC148" i="1" s="1"/>
  <c r="AA141" i="1"/>
  <c r="AB141" i="1" s="1"/>
  <c r="AC141" i="1" s="1"/>
  <c r="AB149" i="1"/>
  <c r="AC149" i="1" s="1"/>
  <c r="AB140" i="1"/>
  <c r="AC140" i="1" s="1"/>
  <c r="AB145" i="1"/>
  <c r="AC145" i="1" s="1"/>
  <c r="AA132" i="1"/>
  <c r="AB132" i="1" s="1"/>
  <c r="AC132" i="1" s="1"/>
  <c r="AB133" i="1"/>
  <c r="AC133" i="1" s="1"/>
  <c r="AB137" i="1"/>
  <c r="AC137" i="1" s="1"/>
  <c r="AB136" i="1"/>
  <c r="AC136" i="1" s="1"/>
  <c r="AA126" i="1"/>
  <c r="AB126" i="1" s="1"/>
  <c r="AC126" i="1" s="1"/>
  <c r="AB120" i="1"/>
  <c r="AC120" i="1" s="1"/>
  <c r="AB124" i="1"/>
  <c r="AC124" i="1" s="1"/>
  <c r="AB115" i="1"/>
  <c r="AC115" i="1" s="1"/>
  <c r="AB109" i="1"/>
  <c r="AC109" i="1" s="1"/>
  <c r="AB112" i="1"/>
  <c r="AC112" i="1" s="1"/>
  <c r="AA106" i="1"/>
  <c r="AB106" i="1" s="1"/>
  <c r="AC106" i="1" s="1"/>
  <c r="AB107" i="1"/>
  <c r="AC107" i="1" s="1"/>
  <c r="AB101" i="1"/>
  <c r="AC101" i="1" s="1"/>
  <c r="AA100" i="1"/>
  <c r="AB100" i="1" s="1"/>
  <c r="AC100" i="1" s="1"/>
  <c r="AB97" i="1"/>
  <c r="AC97" i="1" s="1"/>
  <c r="AA102" i="1"/>
  <c r="AB102" i="1" s="1"/>
  <c r="AC102" i="1" s="1"/>
  <c r="AB92" i="1"/>
  <c r="AC92" i="1" s="1"/>
  <c r="AB93" i="1"/>
  <c r="AC93" i="1" s="1"/>
  <c r="AB89" i="1"/>
  <c r="AC89" i="1" s="1"/>
  <c r="AB85" i="1"/>
  <c r="AC85" i="1" s="1"/>
  <c r="AA87" i="1"/>
  <c r="AB87" i="1" s="1"/>
  <c r="AC87" i="1" s="1"/>
  <c r="AB91" i="1"/>
  <c r="AC91" i="1" s="1"/>
  <c r="AA84" i="1"/>
  <c r="AB84" i="1" s="1"/>
  <c r="AC84" i="1" s="1"/>
  <c r="AB80" i="1"/>
  <c r="AC80" i="1" s="1"/>
  <c r="AB79" i="1"/>
  <c r="AC79" i="1" s="1"/>
  <c r="AB74" i="1"/>
  <c r="AC74" i="1" s="1"/>
  <c r="AA72" i="1"/>
  <c r="AB72" i="1" s="1"/>
  <c r="AC72" i="1" s="1"/>
  <c r="AA70" i="1"/>
  <c r="AB70" i="1" s="1"/>
  <c r="AC70" i="1" s="1"/>
  <c r="AB69" i="1"/>
  <c r="AC69" i="1" s="1"/>
  <c r="AA66" i="1"/>
  <c r="AB66" i="1" s="1"/>
  <c r="AC66" i="1" s="1"/>
  <c r="AA65" i="1"/>
  <c r="AB65" i="1" s="1"/>
  <c r="AC65" i="1" s="1"/>
  <c r="AA21" i="1"/>
  <c r="AB21" i="1" s="1"/>
  <c r="AC21" i="1" s="1"/>
  <c r="AA11" i="1"/>
  <c r="AB11" i="1" s="1"/>
  <c r="AC11" i="1" s="1"/>
  <c r="AA3" i="1"/>
  <c r="AB3" i="1"/>
  <c r="AC3" i="1" s="1"/>
  <c r="AA15" i="1"/>
  <c r="AB15" i="1" s="1"/>
  <c r="AC15" i="1" s="1"/>
  <c r="AA7" i="1"/>
  <c r="AB7" i="1" s="1"/>
  <c r="AC7" i="1" s="1"/>
  <c r="AA18" i="1"/>
  <c r="AB18" i="1" s="1"/>
  <c r="AC18" i="1" s="1"/>
  <c r="AA62" i="1"/>
  <c r="AB62" i="1" s="1"/>
  <c r="AC62" i="1" s="1"/>
  <c r="AA57" i="1"/>
  <c r="AB57" i="1" s="1"/>
  <c r="AC57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6" i="1" s="1"/>
  <c r="B23" i="1" l="1"/>
  <c r="C23" i="1" s="1"/>
  <c r="AM23" i="1"/>
  <c r="AS23" i="1"/>
  <c r="AT23" i="1"/>
  <c r="AU22" i="1"/>
  <c r="B22" i="1"/>
  <c r="A7" i="1"/>
  <c r="A8" i="1"/>
  <c r="AI23" i="1" l="1"/>
  <c r="AK23" i="1"/>
  <c r="AF23" i="1"/>
  <c r="AE23" i="1"/>
  <c r="AU23" i="1"/>
  <c r="AW23" i="1"/>
  <c r="B107" i="1"/>
  <c r="C107" i="1" s="1"/>
  <c r="AT107" i="1"/>
  <c r="B110" i="1"/>
  <c r="C110" i="1" s="1"/>
  <c r="A9" i="1"/>
  <c r="AV23" i="1" l="1"/>
  <c r="AX23" i="1" s="1"/>
  <c r="A10" i="1"/>
  <c r="AT110" i="1" l="1"/>
  <c r="B112" i="1"/>
  <c r="C112" i="1" s="1"/>
  <c r="A11" i="1"/>
  <c r="A12" i="1"/>
  <c r="AT112" i="1" l="1"/>
  <c r="AM114" i="1"/>
  <c r="AT114" i="1"/>
  <c r="A13" i="1"/>
  <c r="B115" i="1" l="1"/>
  <c r="C115" i="1" s="1"/>
  <c r="A14" i="1"/>
  <c r="A15" i="1" s="1"/>
  <c r="AT115" i="1" l="1"/>
  <c r="A16" i="1"/>
  <c r="B117" i="1" l="1"/>
  <c r="C117" i="1" s="1"/>
  <c r="A17" i="1"/>
  <c r="A18" i="1" s="1"/>
  <c r="AT117" i="1" l="1"/>
  <c r="A19" i="1"/>
  <c r="B118" i="1" l="1"/>
  <c r="C118" i="1" s="1"/>
  <c r="AT118" i="1"/>
  <c r="A20" i="1"/>
  <c r="A21" i="1"/>
  <c r="B119" i="1" l="1"/>
  <c r="C119" i="1" s="1"/>
  <c r="A22" i="1"/>
  <c r="AT119" i="1" l="1"/>
  <c r="A23" i="1"/>
  <c r="B120" i="1" l="1"/>
  <c r="C120" i="1" s="1"/>
  <c r="AT120" i="1"/>
  <c r="A24" i="1"/>
  <c r="A25" i="1"/>
  <c r="B121" i="1" l="1"/>
  <c r="C121" i="1" s="1"/>
  <c r="A26" i="1"/>
  <c r="AT121" i="1" l="1"/>
  <c r="A27" i="1"/>
  <c r="A28" i="1"/>
  <c r="A29" i="1"/>
  <c r="A30" i="1" s="1"/>
  <c r="AJ29" i="1"/>
  <c r="D29" i="1"/>
  <c r="D27" i="1"/>
  <c r="AJ27" i="1"/>
  <c r="B17" i="1" l="1"/>
  <c r="C17" i="1" s="1"/>
  <c r="AM17" i="1"/>
  <c r="AS17" i="1"/>
  <c r="AT17" i="1"/>
  <c r="B12" i="1"/>
  <c r="C12" i="1" s="1"/>
  <c r="AM12" i="1"/>
  <c r="AT12" i="1"/>
  <c r="B5" i="1"/>
  <c r="C5" i="1" s="1"/>
  <c r="AM5" i="1"/>
  <c r="AT5" i="1"/>
  <c r="A31" i="1"/>
  <c r="D31" i="1"/>
  <c r="A32" i="1"/>
  <c r="D32" i="1"/>
  <c r="AJ31" i="1"/>
  <c r="AJ32" i="1"/>
  <c r="A33" i="1"/>
  <c r="AI17" i="1" l="1"/>
  <c r="AK17" i="1"/>
  <c r="AI5" i="1"/>
  <c r="AK5" i="1"/>
  <c r="AI12" i="1"/>
  <c r="AK12" i="1"/>
  <c r="AF17" i="1"/>
  <c r="AE17" i="1"/>
  <c r="AF5" i="1"/>
  <c r="AE5" i="1"/>
  <c r="AF12" i="1"/>
  <c r="AE12" i="1"/>
  <c r="AS12" i="1"/>
  <c r="AS5" i="1"/>
  <c r="AU5" i="1"/>
  <c r="AW12" i="1"/>
  <c r="AU17" i="1"/>
  <c r="AU12" i="1"/>
  <c r="AW17" i="1"/>
  <c r="AW5" i="1"/>
  <c r="B515" i="1"/>
  <c r="B516" i="1"/>
  <c r="C516" i="1" s="1"/>
  <c r="B518" i="1"/>
  <c r="B519" i="1"/>
  <c r="C519" i="1" s="1"/>
  <c r="B520" i="1"/>
  <c r="B521" i="1"/>
  <c r="C521" i="1" s="1"/>
  <c r="B525" i="1"/>
  <c r="B527" i="1"/>
  <c r="C527" i="1" s="1"/>
  <c r="B528" i="1"/>
  <c r="B530" i="1"/>
  <c r="C530" i="1" s="1"/>
  <c r="B531" i="1"/>
  <c r="B533" i="1"/>
  <c r="C533" i="1" s="1"/>
  <c r="B535" i="1"/>
  <c r="B537" i="1"/>
  <c r="C537" i="1" s="1"/>
  <c r="B539" i="1"/>
  <c r="B542" i="1"/>
  <c r="C542" i="1" s="1"/>
  <c r="B544" i="1"/>
  <c r="C544" i="1" s="1"/>
  <c r="B546" i="1"/>
  <c r="B550" i="1"/>
  <c r="C550" i="1" s="1"/>
  <c r="B552" i="1"/>
  <c r="C552" i="1" s="1"/>
  <c r="B553" i="1"/>
  <c r="B554" i="1"/>
  <c r="C554" i="1" s="1"/>
  <c r="B555" i="1"/>
  <c r="B557" i="1"/>
  <c r="C557" i="1" s="1"/>
  <c r="B559" i="1"/>
  <c r="B561" i="1"/>
  <c r="C561" i="1" s="1"/>
  <c r="B562" i="1"/>
  <c r="B563" i="1"/>
  <c r="C563" i="1" s="1"/>
  <c r="B564" i="1"/>
  <c r="B565" i="1"/>
  <c r="C565" i="1" s="1"/>
  <c r="B567" i="1"/>
  <c r="B568" i="1"/>
  <c r="C568" i="1" s="1"/>
  <c r="B570" i="1"/>
  <c r="B571" i="1"/>
  <c r="C571" i="1" s="1"/>
  <c r="B572" i="1"/>
  <c r="B573" i="1"/>
  <c r="C573" i="1" s="1"/>
  <c r="B575" i="1"/>
  <c r="B576" i="1"/>
  <c r="C576" i="1" s="1"/>
  <c r="B577" i="1"/>
  <c r="B579" i="1"/>
  <c r="C579" i="1" s="1"/>
  <c r="B581" i="1"/>
  <c r="B582" i="1"/>
  <c r="C582" i="1" s="1"/>
  <c r="B583" i="1"/>
  <c r="B584" i="1"/>
  <c r="C584" i="1" s="1"/>
  <c r="B586" i="1"/>
  <c r="B588" i="1"/>
  <c r="C588" i="1" s="1"/>
  <c r="B589" i="1"/>
  <c r="B590" i="1"/>
  <c r="C590" i="1" s="1"/>
  <c r="B592" i="1"/>
  <c r="B593" i="1"/>
  <c r="C593" i="1" s="1"/>
  <c r="B594" i="1"/>
  <c r="B595" i="1"/>
  <c r="C595" i="1" s="1"/>
  <c r="B596" i="1"/>
  <c r="B597" i="1"/>
  <c r="C597" i="1" s="1"/>
  <c r="B598" i="1"/>
  <c r="B599" i="1"/>
  <c r="C599" i="1" s="1"/>
  <c r="B600" i="1"/>
  <c r="B602" i="1"/>
  <c r="C602" i="1" s="1"/>
  <c r="B603" i="1"/>
  <c r="B604" i="1"/>
  <c r="C604" i="1" s="1"/>
  <c r="B605" i="1"/>
  <c r="B607" i="1"/>
  <c r="C607" i="1" s="1"/>
  <c r="B608" i="1"/>
  <c r="B609" i="1"/>
  <c r="C609" i="1" s="1"/>
  <c r="B610" i="1"/>
  <c r="B611" i="1"/>
  <c r="C611" i="1" s="1"/>
  <c r="B612" i="1"/>
  <c r="B613" i="1"/>
  <c r="C613" i="1" s="1"/>
  <c r="B614" i="1"/>
  <c r="B615" i="1"/>
  <c r="C615" i="1" s="1"/>
  <c r="B616" i="1"/>
  <c r="B617" i="1"/>
  <c r="C617" i="1" s="1"/>
  <c r="B618" i="1"/>
  <c r="B619" i="1"/>
  <c r="C619" i="1" s="1"/>
  <c r="B620" i="1"/>
  <c r="B621" i="1"/>
  <c r="C621" i="1" s="1"/>
  <c r="B622" i="1"/>
  <c r="B623" i="1"/>
  <c r="C623" i="1" s="1"/>
  <c r="B624" i="1"/>
  <c r="B625" i="1"/>
  <c r="C625" i="1" s="1"/>
  <c r="B626" i="1"/>
  <c r="B627" i="1"/>
  <c r="C627" i="1" s="1"/>
  <c r="B628" i="1"/>
  <c r="B629" i="1"/>
  <c r="C629" i="1" s="1"/>
  <c r="B630" i="1"/>
  <c r="B631" i="1"/>
  <c r="C631" i="1" s="1"/>
  <c r="B632" i="1"/>
  <c r="B633" i="1"/>
  <c r="C633" i="1" s="1"/>
  <c r="B634" i="1"/>
  <c r="B635" i="1"/>
  <c r="C635" i="1" s="1"/>
  <c r="B636" i="1"/>
  <c r="B637" i="1"/>
  <c r="C637" i="1" s="1"/>
  <c r="B638" i="1"/>
  <c r="B639" i="1"/>
  <c r="C639" i="1" s="1"/>
  <c r="B640" i="1"/>
  <c r="B641" i="1"/>
  <c r="C641" i="1" s="1"/>
  <c r="B642" i="1"/>
  <c r="B643" i="1"/>
  <c r="C643" i="1" s="1"/>
  <c r="B644" i="1"/>
  <c r="B645" i="1"/>
  <c r="C645" i="1" s="1"/>
  <c r="B646" i="1"/>
  <c r="B647" i="1"/>
  <c r="C647" i="1" s="1"/>
  <c r="B648" i="1"/>
  <c r="B649" i="1"/>
  <c r="C649" i="1" s="1"/>
  <c r="B650" i="1"/>
  <c r="B651" i="1"/>
  <c r="C651" i="1" s="1"/>
  <c r="B652" i="1"/>
  <c r="B653" i="1"/>
  <c r="C653" i="1" s="1"/>
  <c r="B654" i="1"/>
  <c r="B655" i="1"/>
  <c r="C655" i="1" s="1"/>
  <c r="B656" i="1"/>
  <c r="B657" i="1"/>
  <c r="C657" i="1" s="1"/>
  <c r="B658" i="1"/>
  <c r="B659" i="1"/>
  <c r="C659" i="1" s="1"/>
  <c r="B660" i="1"/>
  <c r="B661" i="1"/>
  <c r="C661" i="1" s="1"/>
  <c r="B662" i="1"/>
  <c r="B663" i="1"/>
  <c r="C663" i="1" s="1"/>
  <c r="B664" i="1"/>
  <c r="B665" i="1"/>
  <c r="C665" i="1" s="1"/>
  <c r="B666" i="1"/>
  <c r="B667" i="1"/>
  <c r="C667" i="1" s="1"/>
  <c r="B668" i="1"/>
  <c r="B669" i="1"/>
  <c r="C669" i="1" s="1"/>
  <c r="B670" i="1"/>
  <c r="B671" i="1"/>
  <c r="C671" i="1" s="1"/>
  <c r="B672" i="1"/>
  <c r="B673" i="1"/>
  <c r="C673" i="1" s="1"/>
  <c r="B674" i="1"/>
  <c r="B675" i="1"/>
  <c r="C675" i="1" s="1"/>
  <c r="B676" i="1"/>
  <c r="B677" i="1"/>
  <c r="C677" i="1" s="1"/>
  <c r="B678" i="1"/>
  <c r="B679" i="1"/>
  <c r="C679" i="1" s="1"/>
  <c r="B680" i="1"/>
  <c r="B681" i="1"/>
  <c r="C681" i="1" s="1"/>
  <c r="B682" i="1"/>
  <c r="B683" i="1"/>
  <c r="C683" i="1" s="1"/>
  <c r="B684" i="1"/>
  <c r="B685" i="1"/>
  <c r="C685" i="1" s="1"/>
  <c r="B686" i="1"/>
  <c r="B687" i="1"/>
  <c r="C687" i="1" s="1"/>
  <c r="B688" i="1"/>
  <c r="B689" i="1"/>
  <c r="C689" i="1" s="1"/>
  <c r="B690" i="1"/>
  <c r="B691" i="1"/>
  <c r="C691" i="1" s="1"/>
  <c r="B692" i="1"/>
  <c r="B693" i="1"/>
  <c r="C693" i="1" s="1"/>
  <c r="B694" i="1"/>
  <c r="B695" i="1"/>
  <c r="C695" i="1" s="1"/>
  <c r="B696" i="1"/>
  <c r="B697" i="1"/>
  <c r="C697" i="1" s="1"/>
  <c r="B698" i="1"/>
  <c r="B699" i="1"/>
  <c r="C699" i="1" s="1"/>
  <c r="B700" i="1"/>
  <c r="B701" i="1"/>
  <c r="C701" i="1" s="1"/>
  <c r="B702" i="1"/>
  <c r="B703" i="1"/>
  <c r="C703" i="1" s="1"/>
  <c r="B704" i="1"/>
  <c r="B705" i="1"/>
  <c r="C705" i="1" s="1"/>
  <c r="B706" i="1"/>
  <c r="B707" i="1"/>
  <c r="C707" i="1" s="1"/>
  <c r="B708" i="1"/>
  <c r="B709" i="1"/>
  <c r="C709" i="1" s="1"/>
  <c r="B710" i="1"/>
  <c r="B711" i="1"/>
  <c r="C711" i="1" s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C515" i="1"/>
  <c r="C518" i="1"/>
  <c r="C520" i="1"/>
  <c r="C525" i="1"/>
  <c r="C528" i="1"/>
  <c r="C531" i="1"/>
  <c r="C535" i="1"/>
  <c r="C539" i="1"/>
  <c r="C546" i="1"/>
  <c r="C553" i="1"/>
  <c r="C555" i="1"/>
  <c r="C559" i="1"/>
  <c r="C562" i="1"/>
  <c r="C564" i="1"/>
  <c r="C567" i="1"/>
  <c r="C570" i="1"/>
  <c r="C572" i="1"/>
  <c r="C575" i="1"/>
  <c r="C577" i="1"/>
  <c r="C581" i="1"/>
  <c r="C583" i="1"/>
  <c r="C586" i="1"/>
  <c r="C589" i="1"/>
  <c r="C592" i="1"/>
  <c r="C594" i="1"/>
  <c r="C596" i="1"/>
  <c r="C598" i="1"/>
  <c r="C600" i="1"/>
  <c r="C603" i="1"/>
  <c r="C605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68" i="1"/>
  <c r="C670" i="1"/>
  <c r="C672" i="1"/>
  <c r="C674" i="1"/>
  <c r="C676" i="1"/>
  <c r="C678" i="1"/>
  <c r="C680" i="1"/>
  <c r="C682" i="1"/>
  <c r="C684" i="1"/>
  <c r="C686" i="1"/>
  <c r="C688" i="1"/>
  <c r="C690" i="1"/>
  <c r="C692" i="1"/>
  <c r="C694" i="1"/>
  <c r="C696" i="1"/>
  <c r="C698" i="1"/>
  <c r="C700" i="1"/>
  <c r="C702" i="1"/>
  <c r="C704" i="1"/>
  <c r="C706" i="1"/>
  <c r="C708" i="1"/>
  <c r="C710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AK531" i="1"/>
  <c r="AK557" i="1"/>
  <c r="AK565" i="1"/>
  <c r="AK568" i="1"/>
  <c r="AK573" i="1"/>
  <c r="AK577" i="1"/>
  <c r="AK579" i="1"/>
  <c r="AK584" i="1"/>
  <c r="AK586" i="1"/>
  <c r="AK600" i="1"/>
  <c r="AK610" i="1"/>
  <c r="AK616" i="1"/>
  <c r="AK618" i="1"/>
  <c r="AK626" i="1"/>
  <c r="AK632" i="1"/>
  <c r="AK634" i="1"/>
  <c r="AK642" i="1"/>
  <c r="AK648" i="1"/>
  <c r="AK650" i="1"/>
  <c r="AK658" i="1"/>
  <c r="AK664" i="1"/>
  <c r="AK666" i="1"/>
  <c r="AK674" i="1"/>
  <c r="AK680" i="1"/>
  <c r="AK682" i="1"/>
  <c r="AK685" i="1"/>
  <c r="AK689" i="1"/>
  <c r="AK690" i="1"/>
  <c r="AK693" i="1"/>
  <c r="AK696" i="1"/>
  <c r="AK697" i="1"/>
  <c r="AK698" i="1"/>
  <c r="AK701" i="1"/>
  <c r="AK704" i="1"/>
  <c r="AK705" i="1"/>
  <c r="AK706" i="1"/>
  <c r="AK708" i="1"/>
  <c r="AK709" i="1"/>
  <c r="AK712" i="1"/>
  <c r="AK713" i="1"/>
  <c r="AK714" i="1"/>
  <c r="AK715" i="1"/>
  <c r="AK716" i="1"/>
  <c r="AK717" i="1"/>
  <c r="AK720" i="1"/>
  <c r="AK721" i="1"/>
  <c r="AK722" i="1"/>
  <c r="AK725" i="1"/>
  <c r="AK729" i="1"/>
  <c r="AK730" i="1"/>
  <c r="AK732" i="1"/>
  <c r="AK733" i="1"/>
  <c r="AK736" i="1"/>
  <c r="AK737" i="1"/>
  <c r="AK738" i="1"/>
  <c r="AK740" i="1"/>
  <c r="AK741" i="1"/>
  <c r="AK744" i="1"/>
  <c r="AK745" i="1"/>
  <c r="AK746" i="1"/>
  <c r="AK747" i="1"/>
  <c r="AK748" i="1"/>
  <c r="AK749" i="1"/>
  <c r="AK753" i="1"/>
  <c r="AK754" i="1"/>
  <c r="AK756" i="1"/>
  <c r="AK757" i="1"/>
  <c r="AK761" i="1"/>
  <c r="AK762" i="1"/>
  <c r="AK764" i="1"/>
  <c r="AK765" i="1"/>
  <c r="AK767" i="1"/>
  <c r="AK769" i="1"/>
  <c r="AK770" i="1"/>
  <c r="AK771" i="1"/>
  <c r="AK772" i="1"/>
  <c r="AK773" i="1"/>
  <c r="AK775" i="1"/>
  <c r="AK777" i="1"/>
  <c r="AK778" i="1"/>
  <c r="AK779" i="1"/>
  <c r="AK780" i="1"/>
  <c r="AK781" i="1"/>
  <c r="AK783" i="1"/>
  <c r="AK785" i="1"/>
  <c r="AK786" i="1"/>
  <c r="AK787" i="1"/>
  <c r="AK788" i="1"/>
  <c r="AK789" i="1"/>
  <c r="AK791" i="1"/>
  <c r="AK793" i="1"/>
  <c r="AK794" i="1"/>
  <c r="AK795" i="1"/>
  <c r="AK796" i="1"/>
  <c r="AK797" i="1"/>
  <c r="AK799" i="1"/>
  <c r="AK801" i="1"/>
  <c r="AK802" i="1"/>
  <c r="AK803" i="1"/>
  <c r="AK804" i="1"/>
  <c r="AK805" i="1"/>
  <c r="AK807" i="1"/>
  <c r="AK808" i="1"/>
  <c r="AK809" i="1"/>
  <c r="AK810" i="1"/>
  <c r="AK811" i="1"/>
  <c r="AK812" i="1"/>
  <c r="AK813" i="1"/>
  <c r="AK815" i="1"/>
  <c r="AK817" i="1"/>
  <c r="AK818" i="1"/>
  <c r="AK819" i="1"/>
  <c r="AK820" i="1"/>
  <c r="AK821" i="1"/>
  <c r="AK823" i="1"/>
  <c r="AK825" i="1"/>
  <c r="AK826" i="1"/>
  <c r="AK827" i="1"/>
  <c r="AK828" i="1"/>
  <c r="AK829" i="1"/>
  <c r="AK831" i="1"/>
  <c r="AK833" i="1"/>
  <c r="AK835" i="1"/>
  <c r="AK836" i="1"/>
  <c r="AK837" i="1"/>
  <c r="AK839" i="1"/>
  <c r="AK841" i="1"/>
  <c r="AK842" i="1"/>
  <c r="AK843" i="1"/>
  <c r="AK844" i="1"/>
  <c r="AK845" i="1"/>
  <c r="AK847" i="1"/>
  <c r="AK848" i="1"/>
  <c r="AK849" i="1"/>
  <c r="AK850" i="1"/>
  <c r="AK851" i="1"/>
  <c r="AK852" i="1"/>
  <c r="AK853" i="1"/>
  <c r="AK855" i="1"/>
  <c r="AK857" i="1"/>
  <c r="AK858" i="1"/>
  <c r="AK859" i="1"/>
  <c r="AK860" i="1"/>
  <c r="AK861" i="1"/>
  <c r="AK863" i="1"/>
  <c r="AK865" i="1"/>
  <c r="AK866" i="1"/>
  <c r="AK867" i="1"/>
  <c r="AK868" i="1"/>
  <c r="AK869" i="1"/>
  <c r="AK871" i="1"/>
  <c r="AK872" i="1"/>
  <c r="AK873" i="1"/>
  <c r="AK874" i="1"/>
  <c r="AK875" i="1"/>
  <c r="AK876" i="1"/>
  <c r="AK877" i="1"/>
  <c r="AK879" i="1"/>
  <c r="AK881" i="1"/>
  <c r="AK882" i="1"/>
  <c r="AK883" i="1"/>
  <c r="AK884" i="1"/>
  <c r="AK885" i="1"/>
  <c r="AK887" i="1"/>
  <c r="AK889" i="1"/>
  <c r="AK890" i="1"/>
  <c r="AK891" i="1"/>
  <c r="AK892" i="1"/>
  <c r="AK893" i="1"/>
  <c r="AK895" i="1"/>
  <c r="AK897" i="1"/>
  <c r="AK898" i="1"/>
  <c r="AK899" i="1"/>
  <c r="AK900" i="1"/>
  <c r="AK901" i="1"/>
  <c r="AK903" i="1"/>
  <c r="AK904" i="1"/>
  <c r="AK905" i="1"/>
  <c r="AK906" i="1"/>
  <c r="AK907" i="1"/>
  <c r="AK908" i="1"/>
  <c r="AK909" i="1"/>
  <c r="AK911" i="1"/>
  <c r="AK912" i="1"/>
  <c r="AK913" i="1"/>
  <c r="AK914" i="1"/>
  <c r="AK915" i="1"/>
  <c r="AK916" i="1"/>
  <c r="AK917" i="1"/>
  <c r="AK919" i="1"/>
  <c r="AK920" i="1"/>
  <c r="AK921" i="1"/>
  <c r="AK922" i="1"/>
  <c r="AK923" i="1"/>
  <c r="AK924" i="1"/>
  <c r="AK925" i="1"/>
  <c r="AK927" i="1"/>
  <c r="AK929" i="1"/>
  <c r="AK930" i="1"/>
  <c r="AK931" i="1"/>
  <c r="AK932" i="1"/>
  <c r="AK933" i="1"/>
  <c r="AK935" i="1"/>
  <c r="AK936" i="1"/>
  <c r="AK937" i="1"/>
  <c r="AK938" i="1"/>
  <c r="AK939" i="1"/>
  <c r="AK940" i="1"/>
  <c r="AK941" i="1"/>
  <c r="AK943" i="1"/>
  <c r="AK944" i="1"/>
  <c r="AM523" i="1"/>
  <c r="AM531" i="1"/>
  <c r="AM540" i="1"/>
  <c r="AM544" i="1"/>
  <c r="AM547" i="1"/>
  <c r="AM557" i="1"/>
  <c r="AM565" i="1"/>
  <c r="AM568" i="1"/>
  <c r="AM573" i="1"/>
  <c r="AM577" i="1"/>
  <c r="AM579" i="1"/>
  <c r="AM584" i="1"/>
  <c r="AM586" i="1"/>
  <c r="AM590" i="1"/>
  <c r="AM600" i="1"/>
  <c r="AM605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S514" i="1"/>
  <c r="AS515" i="1"/>
  <c r="AS516" i="1"/>
  <c r="AS518" i="1"/>
  <c r="AS519" i="1"/>
  <c r="AS520" i="1"/>
  <c r="AS522" i="1"/>
  <c r="AS524" i="1"/>
  <c r="AS526" i="1"/>
  <c r="AS527" i="1"/>
  <c r="AS530" i="1"/>
  <c r="AS532" i="1"/>
  <c r="AS534" i="1"/>
  <c r="AS536" i="1"/>
  <c r="AS539" i="1"/>
  <c r="AS541" i="1"/>
  <c r="AS542" i="1"/>
  <c r="AS545" i="1"/>
  <c r="AS546" i="1"/>
  <c r="AS548" i="1"/>
  <c r="AS549" i="1"/>
  <c r="AS550" i="1"/>
  <c r="AS552" i="1"/>
  <c r="AS553" i="1"/>
  <c r="AS554" i="1"/>
  <c r="AS558" i="1"/>
  <c r="AS561" i="1"/>
  <c r="AS563" i="1"/>
  <c r="AS567" i="1"/>
  <c r="AS568" i="1"/>
  <c r="AS569" i="1"/>
  <c r="AS571" i="1"/>
  <c r="AS574" i="1"/>
  <c r="AS575" i="1"/>
  <c r="AS576" i="1"/>
  <c r="AS580" i="1"/>
  <c r="AS582" i="1"/>
  <c r="AS587" i="1"/>
  <c r="AS588" i="1"/>
  <c r="AS591" i="1"/>
  <c r="AS597" i="1"/>
  <c r="AS601" i="1"/>
  <c r="AS602" i="1"/>
  <c r="AS604" i="1"/>
  <c r="AS608" i="1"/>
  <c r="AS610" i="1"/>
  <c r="AS612" i="1"/>
  <c r="AS614" i="1"/>
  <c r="AS616" i="1"/>
  <c r="AS618" i="1"/>
  <c r="AS620" i="1"/>
  <c r="AS622" i="1"/>
  <c r="AS624" i="1"/>
  <c r="AS626" i="1"/>
  <c r="AS628" i="1"/>
  <c r="AS630" i="1"/>
  <c r="AS632" i="1"/>
  <c r="AS634" i="1"/>
  <c r="AS636" i="1"/>
  <c r="AS638" i="1"/>
  <c r="AS640" i="1"/>
  <c r="AS642" i="1"/>
  <c r="AS644" i="1"/>
  <c r="AS646" i="1"/>
  <c r="AS648" i="1"/>
  <c r="AS650" i="1"/>
  <c r="AS652" i="1"/>
  <c r="AS654" i="1"/>
  <c r="AS656" i="1"/>
  <c r="AS658" i="1"/>
  <c r="AS660" i="1"/>
  <c r="AS662" i="1"/>
  <c r="AS664" i="1"/>
  <c r="AS666" i="1"/>
  <c r="AS668" i="1"/>
  <c r="AS670" i="1"/>
  <c r="AS672" i="1"/>
  <c r="AS674" i="1"/>
  <c r="AS676" i="1"/>
  <c r="AS678" i="1"/>
  <c r="AS680" i="1"/>
  <c r="AS682" i="1"/>
  <c r="AS684" i="1"/>
  <c r="AS686" i="1"/>
  <c r="AS688" i="1"/>
  <c r="AS690" i="1"/>
  <c r="AS692" i="1"/>
  <c r="AS694" i="1"/>
  <c r="AS696" i="1"/>
  <c r="AS698" i="1"/>
  <c r="AS700" i="1"/>
  <c r="AS702" i="1"/>
  <c r="AS704" i="1"/>
  <c r="AS706" i="1"/>
  <c r="AS708" i="1"/>
  <c r="AS710" i="1"/>
  <c r="AS712" i="1"/>
  <c r="AS714" i="1"/>
  <c r="AS716" i="1"/>
  <c r="AS718" i="1"/>
  <c r="AS720" i="1"/>
  <c r="AS722" i="1"/>
  <c r="AS724" i="1"/>
  <c r="AS726" i="1"/>
  <c r="AS728" i="1"/>
  <c r="AS730" i="1"/>
  <c r="AS732" i="1"/>
  <c r="AS734" i="1"/>
  <c r="AS736" i="1"/>
  <c r="AS738" i="1"/>
  <c r="AS740" i="1"/>
  <c r="AS742" i="1"/>
  <c r="AS744" i="1"/>
  <c r="AS746" i="1"/>
  <c r="AS748" i="1"/>
  <c r="AS750" i="1"/>
  <c r="AS752" i="1"/>
  <c r="AS753" i="1"/>
  <c r="AS756" i="1"/>
  <c r="AS757" i="1"/>
  <c r="AS761" i="1"/>
  <c r="AS803" i="1"/>
  <c r="AS521" i="1"/>
  <c r="AS525" i="1"/>
  <c r="AS529" i="1"/>
  <c r="AS533" i="1"/>
  <c r="AS537" i="1"/>
  <c r="AS543" i="1"/>
  <c r="AS547" i="1"/>
  <c r="AS551" i="1"/>
  <c r="AS555" i="1"/>
  <c r="AS565" i="1"/>
  <c r="AS573" i="1"/>
  <c r="AS577" i="1"/>
  <c r="AS583" i="1"/>
  <c r="AS589" i="1"/>
  <c r="AS595" i="1"/>
  <c r="AS599" i="1"/>
  <c r="AS603" i="1"/>
  <c r="AS607" i="1"/>
  <c r="AS609" i="1"/>
  <c r="AS611" i="1"/>
  <c r="AS613" i="1"/>
  <c r="AS615" i="1"/>
  <c r="AS617" i="1"/>
  <c r="AS619" i="1"/>
  <c r="AS621" i="1"/>
  <c r="AS623" i="1"/>
  <c r="AS625" i="1"/>
  <c r="AS627" i="1"/>
  <c r="AS629" i="1"/>
  <c r="AS631" i="1"/>
  <c r="AS633" i="1"/>
  <c r="AS635" i="1"/>
  <c r="AS637" i="1"/>
  <c r="AS639" i="1"/>
  <c r="AS641" i="1"/>
  <c r="AS643" i="1"/>
  <c r="AS645" i="1"/>
  <c r="AS647" i="1"/>
  <c r="AS649" i="1"/>
  <c r="AS651" i="1"/>
  <c r="AS653" i="1"/>
  <c r="AS655" i="1"/>
  <c r="AS657" i="1"/>
  <c r="AS659" i="1"/>
  <c r="AS661" i="1"/>
  <c r="AS663" i="1"/>
  <c r="AS665" i="1"/>
  <c r="AS667" i="1"/>
  <c r="AS669" i="1"/>
  <c r="AS671" i="1"/>
  <c r="AS673" i="1"/>
  <c r="AS675" i="1"/>
  <c r="AS677" i="1"/>
  <c r="AS679" i="1"/>
  <c r="AS681" i="1"/>
  <c r="AS683" i="1"/>
  <c r="AS685" i="1"/>
  <c r="AS687" i="1"/>
  <c r="AS689" i="1"/>
  <c r="AS691" i="1"/>
  <c r="AS693" i="1"/>
  <c r="AS695" i="1"/>
  <c r="AS697" i="1"/>
  <c r="AS699" i="1"/>
  <c r="AS701" i="1"/>
  <c r="AS703" i="1"/>
  <c r="AS705" i="1"/>
  <c r="AS707" i="1"/>
  <c r="AS709" i="1"/>
  <c r="AS711" i="1"/>
  <c r="AS713" i="1"/>
  <c r="AS715" i="1"/>
  <c r="AS717" i="1"/>
  <c r="AS719" i="1"/>
  <c r="AS721" i="1"/>
  <c r="AS723" i="1"/>
  <c r="AS725" i="1"/>
  <c r="AS727" i="1"/>
  <c r="AS729" i="1"/>
  <c r="AS731" i="1"/>
  <c r="AS733" i="1"/>
  <c r="AS735" i="1"/>
  <c r="AS737" i="1"/>
  <c r="AS739" i="1"/>
  <c r="AS741" i="1"/>
  <c r="AS743" i="1"/>
  <c r="AS745" i="1"/>
  <c r="AS747" i="1"/>
  <c r="AS749" i="1"/>
  <c r="AS751" i="1"/>
  <c r="AS754" i="1"/>
  <c r="AS760" i="1"/>
  <c r="AS764" i="1"/>
  <c r="AS768" i="1"/>
  <c r="AS772" i="1"/>
  <c r="AS776" i="1"/>
  <c r="AS780" i="1"/>
  <c r="AS784" i="1"/>
  <c r="AS788" i="1"/>
  <c r="AS792" i="1"/>
  <c r="AS796" i="1"/>
  <c r="AS800" i="1"/>
  <c r="AS804" i="1"/>
  <c r="AS808" i="1"/>
  <c r="AS812" i="1"/>
  <c r="AS816" i="1"/>
  <c r="AS820" i="1"/>
  <c r="AS824" i="1"/>
  <c r="AS828" i="1"/>
  <c r="AS832" i="1"/>
  <c r="AS836" i="1"/>
  <c r="AS840" i="1"/>
  <c r="AS844" i="1"/>
  <c r="AS848" i="1"/>
  <c r="AS852" i="1"/>
  <c r="AS856" i="1"/>
  <c r="AS860" i="1"/>
  <c r="AS864" i="1"/>
  <c r="AS868" i="1"/>
  <c r="AS872" i="1"/>
  <c r="AS876" i="1"/>
  <c r="AS880" i="1"/>
  <c r="AS884" i="1"/>
  <c r="AS888" i="1"/>
  <c r="AS892" i="1"/>
  <c r="AS896" i="1"/>
  <c r="AS900" i="1"/>
  <c r="AS904" i="1"/>
  <c r="AS908" i="1"/>
  <c r="AS912" i="1"/>
  <c r="AS916" i="1"/>
  <c r="AS920" i="1"/>
  <c r="AS926" i="1"/>
  <c r="AS929" i="1"/>
  <c r="AS931" i="1"/>
  <c r="AS933" i="1"/>
  <c r="AS935" i="1"/>
  <c r="AS937" i="1"/>
  <c r="AS939" i="1"/>
  <c r="AS941" i="1"/>
  <c r="AS94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34" i="1"/>
  <c r="D34" i="1"/>
  <c r="D33" i="1"/>
  <c r="A35" i="1"/>
  <c r="AJ33" i="1"/>
  <c r="AV5" i="1" l="1"/>
  <c r="AX5" i="1" s="1"/>
  <c r="AI942" i="1"/>
  <c r="AK942" i="1"/>
  <c r="AI934" i="1"/>
  <c r="AK934" i="1"/>
  <c r="AI928" i="1"/>
  <c r="AK928" i="1"/>
  <c r="AI926" i="1"/>
  <c r="AK926" i="1"/>
  <c r="AI918" i="1"/>
  <c r="AK918" i="1"/>
  <c r="AI910" i="1"/>
  <c r="AK910" i="1"/>
  <c r="AI902" i="1"/>
  <c r="AK902" i="1"/>
  <c r="AI896" i="1"/>
  <c r="AK896" i="1"/>
  <c r="AI894" i="1"/>
  <c r="AK894" i="1"/>
  <c r="AI888" i="1"/>
  <c r="AK888" i="1"/>
  <c r="AI886" i="1"/>
  <c r="AK886" i="1"/>
  <c r="AI880" i="1"/>
  <c r="AK880" i="1"/>
  <c r="AI878" i="1"/>
  <c r="AK878" i="1"/>
  <c r="AI870" i="1"/>
  <c r="AK870" i="1"/>
  <c r="AI864" i="1"/>
  <c r="AK864" i="1"/>
  <c r="AI862" i="1"/>
  <c r="AK862" i="1"/>
  <c r="AI856" i="1"/>
  <c r="AK856" i="1"/>
  <c r="AI854" i="1"/>
  <c r="AK854" i="1"/>
  <c r="AI846" i="1"/>
  <c r="AK846" i="1"/>
  <c r="AI840" i="1"/>
  <c r="AK840" i="1"/>
  <c r="AI838" i="1"/>
  <c r="AK838" i="1"/>
  <c r="AI834" i="1"/>
  <c r="AK834" i="1"/>
  <c r="AI832" i="1"/>
  <c r="AK832" i="1"/>
  <c r="AI830" i="1"/>
  <c r="AK830" i="1"/>
  <c r="AI824" i="1"/>
  <c r="AK824" i="1"/>
  <c r="AI822" i="1"/>
  <c r="AK822" i="1"/>
  <c r="AI816" i="1"/>
  <c r="AK816" i="1"/>
  <c r="AI814" i="1"/>
  <c r="AK814" i="1"/>
  <c r="AI806" i="1"/>
  <c r="AK806" i="1"/>
  <c r="AI800" i="1"/>
  <c r="AK800" i="1"/>
  <c r="AI798" i="1"/>
  <c r="AK798" i="1"/>
  <c r="AI792" i="1"/>
  <c r="AK792" i="1"/>
  <c r="AI790" i="1"/>
  <c r="AK790" i="1"/>
  <c r="AI784" i="1"/>
  <c r="AK784" i="1"/>
  <c r="AI782" i="1"/>
  <c r="AK782" i="1"/>
  <c r="AI776" i="1"/>
  <c r="AK776" i="1"/>
  <c r="AI774" i="1"/>
  <c r="AK774" i="1"/>
  <c r="AI768" i="1"/>
  <c r="AK768" i="1"/>
  <c r="AI766" i="1"/>
  <c r="AK766" i="1"/>
  <c r="AI760" i="1"/>
  <c r="AK760" i="1"/>
  <c r="AI758" i="1"/>
  <c r="AK758" i="1"/>
  <c r="AI752" i="1"/>
  <c r="AK752" i="1"/>
  <c r="AI750" i="1"/>
  <c r="AK750" i="1"/>
  <c r="AI742" i="1"/>
  <c r="AK742" i="1"/>
  <c r="AI734" i="1"/>
  <c r="AK734" i="1"/>
  <c r="AI728" i="1"/>
  <c r="AK728" i="1"/>
  <c r="AI726" i="1"/>
  <c r="AK726" i="1"/>
  <c r="AI724" i="1"/>
  <c r="AK724" i="1"/>
  <c r="AI718" i="1"/>
  <c r="AK718" i="1"/>
  <c r="AI710" i="1"/>
  <c r="AK710" i="1"/>
  <c r="AI702" i="1"/>
  <c r="AK702" i="1"/>
  <c r="AI700" i="1"/>
  <c r="AK700" i="1"/>
  <c r="AI694" i="1"/>
  <c r="AK694" i="1"/>
  <c r="AI692" i="1"/>
  <c r="AK692" i="1"/>
  <c r="AI688" i="1"/>
  <c r="AK688" i="1"/>
  <c r="AI686" i="1"/>
  <c r="AK686" i="1"/>
  <c r="AI684" i="1"/>
  <c r="AK684" i="1"/>
  <c r="AI678" i="1"/>
  <c r="AK678" i="1"/>
  <c r="AI676" i="1"/>
  <c r="AK676" i="1"/>
  <c r="AI672" i="1"/>
  <c r="AK672" i="1"/>
  <c r="AI670" i="1"/>
  <c r="AK670" i="1"/>
  <c r="AI668" i="1"/>
  <c r="AK668" i="1"/>
  <c r="AI662" i="1"/>
  <c r="AK662" i="1"/>
  <c r="AI660" i="1"/>
  <c r="AK660" i="1"/>
  <c r="AI656" i="1"/>
  <c r="AK656" i="1"/>
  <c r="AI654" i="1"/>
  <c r="AK654" i="1"/>
  <c r="AI652" i="1"/>
  <c r="AK652" i="1"/>
  <c r="AI646" i="1"/>
  <c r="AK646" i="1"/>
  <c r="AI644" i="1"/>
  <c r="AK644" i="1"/>
  <c r="AI640" i="1"/>
  <c r="AK640" i="1"/>
  <c r="AI638" i="1"/>
  <c r="AK638" i="1"/>
  <c r="AI636" i="1"/>
  <c r="AK636" i="1"/>
  <c r="AI630" i="1"/>
  <c r="AK630" i="1"/>
  <c r="AI628" i="1"/>
  <c r="AK628" i="1"/>
  <c r="AI624" i="1"/>
  <c r="AK624" i="1"/>
  <c r="AI622" i="1"/>
  <c r="AK622" i="1"/>
  <c r="AI620" i="1"/>
  <c r="AK620" i="1"/>
  <c r="AI614" i="1"/>
  <c r="AK614" i="1"/>
  <c r="AI612" i="1"/>
  <c r="AK612" i="1"/>
  <c r="AI608" i="1"/>
  <c r="AK608" i="1"/>
  <c r="AI763" i="1"/>
  <c r="AK763" i="1"/>
  <c r="AI759" i="1"/>
  <c r="AK759" i="1"/>
  <c r="AI755" i="1"/>
  <c r="AK755" i="1"/>
  <c r="AI751" i="1"/>
  <c r="AK751" i="1"/>
  <c r="AI743" i="1"/>
  <c r="AK743" i="1"/>
  <c r="AI739" i="1"/>
  <c r="AK739" i="1"/>
  <c r="AI735" i="1"/>
  <c r="AK735" i="1"/>
  <c r="AI731" i="1"/>
  <c r="AK731" i="1"/>
  <c r="AI727" i="1"/>
  <c r="AK727" i="1"/>
  <c r="AI723" i="1"/>
  <c r="AK723" i="1"/>
  <c r="AI719" i="1"/>
  <c r="AK719" i="1"/>
  <c r="AI711" i="1"/>
  <c r="AK711" i="1"/>
  <c r="AI707" i="1"/>
  <c r="AK707" i="1"/>
  <c r="AI703" i="1"/>
  <c r="AK703" i="1"/>
  <c r="AI699" i="1"/>
  <c r="AK699" i="1"/>
  <c r="AI695" i="1"/>
  <c r="AK695" i="1"/>
  <c r="AI691" i="1"/>
  <c r="AK691" i="1"/>
  <c r="AI687" i="1"/>
  <c r="AK687" i="1"/>
  <c r="AI683" i="1"/>
  <c r="AK683" i="1"/>
  <c r="AI681" i="1"/>
  <c r="AK681" i="1"/>
  <c r="AI679" i="1"/>
  <c r="AK679" i="1"/>
  <c r="AI677" i="1"/>
  <c r="AK677" i="1"/>
  <c r="AI675" i="1"/>
  <c r="AK675" i="1"/>
  <c r="AI673" i="1"/>
  <c r="AK673" i="1"/>
  <c r="AI671" i="1"/>
  <c r="AK671" i="1"/>
  <c r="AI669" i="1"/>
  <c r="AK669" i="1"/>
  <c r="AI667" i="1"/>
  <c r="AK667" i="1"/>
  <c r="AI665" i="1"/>
  <c r="AK665" i="1"/>
  <c r="AI663" i="1"/>
  <c r="AK663" i="1"/>
  <c r="AI661" i="1"/>
  <c r="AK661" i="1"/>
  <c r="AI659" i="1"/>
  <c r="AK659" i="1"/>
  <c r="AI657" i="1"/>
  <c r="AK657" i="1"/>
  <c r="AI655" i="1"/>
  <c r="AK655" i="1"/>
  <c r="AI653" i="1"/>
  <c r="AK653" i="1"/>
  <c r="AI651" i="1"/>
  <c r="AK651" i="1"/>
  <c r="AI649" i="1"/>
  <c r="AK649" i="1"/>
  <c r="AI647" i="1"/>
  <c r="AK647" i="1"/>
  <c r="AI645" i="1"/>
  <c r="AK645" i="1"/>
  <c r="AI643" i="1"/>
  <c r="AK643" i="1"/>
  <c r="AI641" i="1"/>
  <c r="AK641" i="1"/>
  <c r="AI639" i="1"/>
  <c r="AK639" i="1"/>
  <c r="AI637" i="1"/>
  <c r="AK637" i="1"/>
  <c r="AI635" i="1"/>
  <c r="AK635" i="1"/>
  <c r="AI633" i="1"/>
  <c r="AK633" i="1"/>
  <c r="AI631" i="1"/>
  <c r="AK631" i="1"/>
  <c r="AI629" i="1"/>
  <c r="AK629" i="1"/>
  <c r="AI627" i="1"/>
  <c r="AK627" i="1"/>
  <c r="AI625" i="1"/>
  <c r="AK625" i="1"/>
  <c r="AI623" i="1"/>
  <c r="AK623" i="1"/>
  <c r="AI621" i="1"/>
  <c r="AK621" i="1"/>
  <c r="AI619" i="1"/>
  <c r="AK619" i="1"/>
  <c r="AI617" i="1"/>
  <c r="AK617" i="1"/>
  <c r="AI615" i="1"/>
  <c r="AK615" i="1"/>
  <c r="AI613" i="1"/>
  <c r="AK613" i="1"/>
  <c r="AI611" i="1"/>
  <c r="AK611" i="1"/>
  <c r="AI609" i="1"/>
  <c r="AK609" i="1"/>
  <c r="AI605" i="1"/>
  <c r="AK605" i="1"/>
  <c r="AI590" i="1"/>
  <c r="AK590" i="1"/>
  <c r="AI544" i="1"/>
  <c r="AK544" i="1"/>
  <c r="AE943" i="1"/>
  <c r="AI943" i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5" i="1"/>
  <c r="AI765" i="1"/>
  <c r="AE761" i="1"/>
  <c r="AI761" i="1"/>
  <c r="AE757" i="1"/>
  <c r="AI757" i="1"/>
  <c r="AE753" i="1"/>
  <c r="AI753" i="1"/>
  <c r="AE749" i="1"/>
  <c r="AI749" i="1"/>
  <c r="AE747" i="1"/>
  <c r="AI747" i="1"/>
  <c r="AE745" i="1"/>
  <c r="AI745" i="1"/>
  <c r="AE741" i="1"/>
  <c r="AI741" i="1"/>
  <c r="AE737" i="1"/>
  <c r="AI737" i="1"/>
  <c r="AE733" i="1"/>
  <c r="AI733" i="1"/>
  <c r="AE729" i="1"/>
  <c r="AI729" i="1"/>
  <c r="AE725" i="1"/>
  <c r="AI725" i="1"/>
  <c r="AE721" i="1"/>
  <c r="AI721" i="1"/>
  <c r="AE717" i="1"/>
  <c r="AI717" i="1"/>
  <c r="AE715" i="1"/>
  <c r="AI715" i="1"/>
  <c r="AE713" i="1"/>
  <c r="AI713" i="1"/>
  <c r="AE709" i="1"/>
  <c r="AI709" i="1"/>
  <c r="AE705" i="1"/>
  <c r="AI705" i="1"/>
  <c r="AE701" i="1"/>
  <c r="AI701" i="1"/>
  <c r="AE697" i="1"/>
  <c r="AI697" i="1"/>
  <c r="AE693" i="1"/>
  <c r="AI693" i="1"/>
  <c r="AE689" i="1"/>
  <c r="AI689" i="1"/>
  <c r="AE685" i="1"/>
  <c r="AI685" i="1"/>
  <c r="AE584" i="1"/>
  <c r="AI584" i="1"/>
  <c r="AE577" i="1"/>
  <c r="AI577" i="1"/>
  <c r="AE568" i="1"/>
  <c r="AI568" i="1"/>
  <c r="AE944" i="1"/>
  <c r="AI944" i="1"/>
  <c r="AE940" i="1"/>
  <c r="AI940" i="1"/>
  <c r="AE938" i="1"/>
  <c r="AI938" i="1"/>
  <c r="AE936" i="1"/>
  <c r="AI936" i="1"/>
  <c r="AE932" i="1"/>
  <c r="AI932" i="1"/>
  <c r="AE930" i="1"/>
  <c r="AI930" i="1"/>
  <c r="AE924" i="1"/>
  <c r="AI924" i="1"/>
  <c r="AE922" i="1"/>
  <c r="AI922" i="1"/>
  <c r="AE920" i="1"/>
  <c r="AI920" i="1"/>
  <c r="AE916" i="1"/>
  <c r="AI916" i="1"/>
  <c r="AE914" i="1"/>
  <c r="AI914" i="1"/>
  <c r="AE912" i="1"/>
  <c r="AI912" i="1"/>
  <c r="AE908" i="1"/>
  <c r="AI908" i="1"/>
  <c r="AE906" i="1"/>
  <c r="AI906" i="1"/>
  <c r="AE904" i="1"/>
  <c r="AI904" i="1"/>
  <c r="AE900" i="1"/>
  <c r="AI900" i="1"/>
  <c r="AE898" i="1"/>
  <c r="AI898" i="1"/>
  <c r="AE892" i="1"/>
  <c r="AI892" i="1"/>
  <c r="AE890" i="1"/>
  <c r="AI890" i="1"/>
  <c r="AE884" i="1"/>
  <c r="AI884" i="1"/>
  <c r="AE882" i="1"/>
  <c r="AI882" i="1"/>
  <c r="AE876" i="1"/>
  <c r="AI876" i="1"/>
  <c r="AE874" i="1"/>
  <c r="AI874" i="1"/>
  <c r="AE872" i="1"/>
  <c r="AI872" i="1"/>
  <c r="AE868" i="1"/>
  <c r="AI868" i="1"/>
  <c r="AE866" i="1"/>
  <c r="AI866" i="1"/>
  <c r="AE860" i="1"/>
  <c r="AI860" i="1"/>
  <c r="AE858" i="1"/>
  <c r="AI858" i="1"/>
  <c r="AE852" i="1"/>
  <c r="AI852" i="1"/>
  <c r="AE850" i="1"/>
  <c r="AI850" i="1"/>
  <c r="AE848" i="1"/>
  <c r="AI848" i="1"/>
  <c r="AE844" i="1"/>
  <c r="AI844" i="1"/>
  <c r="AE842" i="1"/>
  <c r="AI842" i="1"/>
  <c r="AE836" i="1"/>
  <c r="AI836" i="1"/>
  <c r="AE828" i="1"/>
  <c r="AI828" i="1"/>
  <c r="AE826" i="1"/>
  <c r="AI826" i="1"/>
  <c r="AE820" i="1"/>
  <c r="AI820" i="1"/>
  <c r="AE818" i="1"/>
  <c r="AI818" i="1"/>
  <c r="AE812" i="1"/>
  <c r="AI812" i="1"/>
  <c r="AE810" i="1"/>
  <c r="AI810" i="1"/>
  <c r="AE808" i="1"/>
  <c r="AI808" i="1"/>
  <c r="AE804" i="1"/>
  <c r="AI804" i="1"/>
  <c r="AE802" i="1"/>
  <c r="AI802" i="1"/>
  <c r="AE796" i="1"/>
  <c r="AI796" i="1"/>
  <c r="AE794" i="1"/>
  <c r="AI794" i="1"/>
  <c r="AE788" i="1"/>
  <c r="AI788" i="1"/>
  <c r="AE786" i="1"/>
  <c r="AI786" i="1"/>
  <c r="AE780" i="1"/>
  <c r="AI780" i="1"/>
  <c r="AE778" i="1"/>
  <c r="AI778" i="1"/>
  <c r="AE772" i="1"/>
  <c r="AI772" i="1"/>
  <c r="AE770" i="1"/>
  <c r="AI770" i="1"/>
  <c r="AE764" i="1"/>
  <c r="AI764" i="1"/>
  <c r="AE762" i="1"/>
  <c r="AI762" i="1"/>
  <c r="AE756" i="1"/>
  <c r="AI756" i="1"/>
  <c r="AE754" i="1"/>
  <c r="AI754" i="1"/>
  <c r="AE748" i="1"/>
  <c r="AI748" i="1"/>
  <c r="AE746" i="1"/>
  <c r="AI746" i="1"/>
  <c r="AE744" i="1"/>
  <c r="AI744" i="1"/>
  <c r="AE740" i="1"/>
  <c r="AI740" i="1"/>
  <c r="AE738" i="1"/>
  <c r="AI738" i="1"/>
  <c r="AE736" i="1"/>
  <c r="AI736" i="1"/>
  <c r="AE732" i="1"/>
  <c r="AI732" i="1"/>
  <c r="AE730" i="1"/>
  <c r="AI730" i="1"/>
  <c r="AE722" i="1"/>
  <c r="AI722" i="1"/>
  <c r="AE720" i="1"/>
  <c r="AI720" i="1"/>
  <c r="AE716" i="1"/>
  <c r="AI716" i="1"/>
  <c r="AE714" i="1"/>
  <c r="AI714" i="1"/>
  <c r="AE712" i="1"/>
  <c r="AI712" i="1"/>
  <c r="AE708" i="1"/>
  <c r="AI708" i="1"/>
  <c r="AE706" i="1"/>
  <c r="AI706" i="1"/>
  <c r="AE704" i="1"/>
  <c r="AI704" i="1"/>
  <c r="AE698" i="1"/>
  <c r="AI698" i="1"/>
  <c r="AE696" i="1"/>
  <c r="AI696" i="1"/>
  <c r="AE690" i="1"/>
  <c r="AI690" i="1"/>
  <c r="AE682" i="1"/>
  <c r="AI682" i="1"/>
  <c r="AE680" i="1"/>
  <c r="AI680" i="1"/>
  <c r="AE674" i="1"/>
  <c r="AI674" i="1"/>
  <c r="AE666" i="1"/>
  <c r="AI666" i="1"/>
  <c r="AE664" i="1"/>
  <c r="AI664" i="1"/>
  <c r="AE658" i="1"/>
  <c r="AI658" i="1"/>
  <c r="AE650" i="1"/>
  <c r="AI650" i="1"/>
  <c r="AE648" i="1"/>
  <c r="AI648" i="1"/>
  <c r="AE642" i="1"/>
  <c r="AI642" i="1"/>
  <c r="AE634" i="1"/>
  <c r="AI634" i="1"/>
  <c r="AE632" i="1"/>
  <c r="AI632" i="1"/>
  <c r="AE626" i="1"/>
  <c r="AI626" i="1"/>
  <c r="AE618" i="1"/>
  <c r="AI618" i="1"/>
  <c r="AE616" i="1"/>
  <c r="AI616" i="1"/>
  <c r="AE610" i="1"/>
  <c r="AI610" i="1"/>
  <c r="AE600" i="1"/>
  <c r="AI600" i="1"/>
  <c r="AE586" i="1"/>
  <c r="AI586" i="1"/>
  <c r="AE579" i="1"/>
  <c r="AI579" i="1"/>
  <c r="AE573" i="1"/>
  <c r="AI573" i="1"/>
  <c r="AE565" i="1"/>
  <c r="AI565" i="1"/>
  <c r="AE557" i="1"/>
  <c r="AI557" i="1"/>
  <c r="AE531" i="1"/>
  <c r="AI531" i="1"/>
  <c r="AF942" i="1"/>
  <c r="AE942" i="1"/>
  <c r="AF934" i="1"/>
  <c r="AE934" i="1"/>
  <c r="AF928" i="1"/>
  <c r="AE928" i="1"/>
  <c r="AF926" i="1"/>
  <c r="AE926" i="1"/>
  <c r="AF918" i="1"/>
  <c r="AE918" i="1"/>
  <c r="AF910" i="1"/>
  <c r="AE910" i="1"/>
  <c r="AF902" i="1"/>
  <c r="AE902" i="1"/>
  <c r="AF896" i="1"/>
  <c r="AE896" i="1"/>
  <c r="AF894" i="1"/>
  <c r="AE894" i="1"/>
  <c r="AF888" i="1"/>
  <c r="AE888" i="1"/>
  <c r="AF886" i="1"/>
  <c r="AE886" i="1"/>
  <c r="AF880" i="1"/>
  <c r="AE880" i="1"/>
  <c r="AF878" i="1"/>
  <c r="AE878" i="1"/>
  <c r="AF870" i="1"/>
  <c r="AE870" i="1"/>
  <c r="AF864" i="1"/>
  <c r="AE864" i="1"/>
  <c r="AF862" i="1"/>
  <c r="AE862" i="1"/>
  <c r="AF856" i="1"/>
  <c r="AE856" i="1"/>
  <c r="AF854" i="1"/>
  <c r="AE854" i="1"/>
  <c r="AF846" i="1"/>
  <c r="AE846" i="1"/>
  <c r="AF840" i="1"/>
  <c r="AE840" i="1"/>
  <c r="AF838" i="1"/>
  <c r="AE838" i="1"/>
  <c r="AF834" i="1"/>
  <c r="AE834" i="1"/>
  <c r="AF832" i="1"/>
  <c r="AE832" i="1"/>
  <c r="AF830" i="1"/>
  <c r="AE830" i="1"/>
  <c r="AF824" i="1"/>
  <c r="AE824" i="1"/>
  <c r="AF822" i="1"/>
  <c r="AE822" i="1"/>
  <c r="AF816" i="1"/>
  <c r="AE816" i="1"/>
  <c r="AF814" i="1"/>
  <c r="AE814" i="1"/>
  <c r="AF806" i="1"/>
  <c r="AE806" i="1"/>
  <c r="AF800" i="1"/>
  <c r="AE800" i="1"/>
  <c r="AF798" i="1"/>
  <c r="AE798" i="1"/>
  <c r="AF792" i="1"/>
  <c r="AE792" i="1"/>
  <c r="AF790" i="1"/>
  <c r="AE790" i="1"/>
  <c r="AF784" i="1"/>
  <c r="AE784" i="1"/>
  <c r="AF782" i="1"/>
  <c r="AE782" i="1"/>
  <c r="AF776" i="1"/>
  <c r="AE776" i="1"/>
  <c r="AF774" i="1"/>
  <c r="AE774" i="1"/>
  <c r="AF768" i="1"/>
  <c r="AE768" i="1"/>
  <c r="AF766" i="1"/>
  <c r="AE766" i="1"/>
  <c r="AF760" i="1"/>
  <c r="AE760" i="1"/>
  <c r="AF758" i="1"/>
  <c r="AE758" i="1"/>
  <c r="AF752" i="1"/>
  <c r="AE752" i="1"/>
  <c r="AF750" i="1"/>
  <c r="AE750" i="1"/>
  <c r="AF742" i="1"/>
  <c r="AE742" i="1"/>
  <c r="AF734" i="1"/>
  <c r="AE734" i="1"/>
  <c r="AF728" i="1"/>
  <c r="AE728" i="1"/>
  <c r="AF726" i="1"/>
  <c r="AE726" i="1"/>
  <c r="AF724" i="1"/>
  <c r="AE724" i="1"/>
  <c r="AF718" i="1"/>
  <c r="AE718" i="1"/>
  <c r="AF710" i="1"/>
  <c r="AE710" i="1"/>
  <c r="AF702" i="1"/>
  <c r="AE702" i="1"/>
  <c r="AF700" i="1"/>
  <c r="AE700" i="1"/>
  <c r="AF694" i="1"/>
  <c r="AE694" i="1"/>
  <c r="AF692" i="1"/>
  <c r="AE692" i="1"/>
  <c r="AF688" i="1"/>
  <c r="AE688" i="1"/>
  <c r="AF686" i="1"/>
  <c r="AE686" i="1"/>
  <c r="AF684" i="1"/>
  <c r="AE684" i="1"/>
  <c r="AF678" i="1"/>
  <c r="AE678" i="1"/>
  <c r="AF676" i="1"/>
  <c r="AE676" i="1"/>
  <c r="AF672" i="1"/>
  <c r="AE672" i="1"/>
  <c r="AF670" i="1"/>
  <c r="AE670" i="1"/>
  <c r="AF668" i="1"/>
  <c r="AE668" i="1"/>
  <c r="AF662" i="1"/>
  <c r="AE662" i="1"/>
  <c r="AF660" i="1"/>
  <c r="AE660" i="1"/>
  <c r="AF656" i="1"/>
  <c r="AE656" i="1"/>
  <c r="AF654" i="1"/>
  <c r="AE654" i="1"/>
  <c r="AF652" i="1"/>
  <c r="AE652" i="1"/>
  <c r="AF646" i="1"/>
  <c r="AE646" i="1"/>
  <c r="AF644" i="1"/>
  <c r="AE644" i="1"/>
  <c r="AF640" i="1"/>
  <c r="AE640" i="1"/>
  <c r="AF638" i="1"/>
  <c r="AE638" i="1"/>
  <c r="AF636" i="1"/>
  <c r="AE636" i="1"/>
  <c r="AF630" i="1"/>
  <c r="AE630" i="1"/>
  <c r="AF628" i="1"/>
  <c r="AE628" i="1"/>
  <c r="AF624" i="1"/>
  <c r="AE624" i="1"/>
  <c r="AF622" i="1"/>
  <c r="AE622" i="1"/>
  <c r="AF620" i="1"/>
  <c r="AE620" i="1"/>
  <c r="AF614" i="1"/>
  <c r="AE614" i="1"/>
  <c r="AF612" i="1"/>
  <c r="AE612" i="1"/>
  <c r="AF608" i="1"/>
  <c r="AE608" i="1"/>
  <c r="AF763" i="1"/>
  <c r="AE763" i="1"/>
  <c r="AF759" i="1"/>
  <c r="AE759" i="1"/>
  <c r="AF755" i="1"/>
  <c r="AE755" i="1"/>
  <c r="AF751" i="1"/>
  <c r="AE751" i="1"/>
  <c r="AF743" i="1"/>
  <c r="AE743" i="1"/>
  <c r="AF739" i="1"/>
  <c r="AE739" i="1"/>
  <c r="AF735" i="1"/>
  <c r="AE735" i="1"/>
  <c r="AF731" i="1"/>
  <c r="AE731" i="1"/>
  <c r="AF727" i="1"/>
  <c r="AE727" i="1"/>
  <c r="AF723" i="1"/>
  <c r="AE723" i="1"/>
  <c r="AF719" i="1"/>
  <c r="AE719" i="1"/>
  <c r="AF711" i="1"/>
  <c r="AE711" i="1"/>
  <c r="AF707" i="1"/>
  <c r="AE707" i="1"/>
  <c r="AF703" i="1"/>
  <c r="AE703" i="1"/>
  <c r="AF699" i="1"/>
  <c r="AE699" i="1"/>
  <c r="AF695" i="1"/>
  <c r="AE695" i="1"/>
  <c r="AF691" i="1"/>
  <c r="AE691" i="1"/>
  <c r="AF687" i="1"/>
  <c r="AE687" i="1"/>
  <c r="AF683" i="1"/>
  <c r="AE683" i="1"/>
  <c r="AF681" i="1"/>
  <c r="AE681" i="1"/>
  <c r="AF679" i="1"/>
  <c r="AE679" i="1"/>
  <c r="AF677" i="1"/>
  <c r="AE677" i="1"/>
  <c r="AF675" i="1"/>
  <c r="AE675" i="1"/>
  <c r="AF673" i="1"/>
  <c r="AE673" i="1"/>
  <c r="AF671" i="1"/>
  <c r="AE671" i="1"/>
  <c r="AF669" i="1"/>
  <c r="AE669" i="1"/>
  <c r="AF667" i="1"/>
  <c r="AE667" i="1"/>
  <c r="AF665" i="1"/>
  <c r="AE665" i="1"/>
  <c r="AF663" i="1"/>
  <c r="AE663" i="1"/>
  <c r="AF661" i="1"/>
  <c r="AE661" i="1"/>
  <c r="AF659" i="1"/>
  <c r="AE659" i="1"/>
  <c r="AF657" i="1"/>
  <c r="AE657" i="1"/>
  <c r="AF655" i="1"/>
  <c r="AE655" i="1"/>
  <c r="AF653" i="1"/>
  <c r="AE653" i="1"/>
  <c r="AF651" i="1"/>
  <c r="AE651" i="1"/>
  <c r="AF649" i="1"/>
  <c r="AE649" i="1"/>
  <c r="AF647" i="1"/>
  <c r="AE647" i="1"/>
  <c r="AF645" i="1"/>
  <c r="AE645" i="1"/>
  <c r="AF643" i="1"/>
  <c r="AE643" i="1"/>
  <c r="AF641" i="1"/>
  <c r="AE641" i="1"/>
  <c r="AF639" i="1"/>
  <c r="AE639" i="1"/>
  <c r="AF637" i="1"/>
  <c r="AE637" i="1"/>
  <c r="AF635" i="1"/>
  <c r="AE635" i="1"/>
  <c r="AF633" i="1"/>
  <c r="AE633" i="1"/>
  <c r="AF631" i="1"/>
  <c r="AE631" i="1"/>
  <c r="AF629" i="1"/>
  <c r="AE629" i="1"/>
  <c r="AF627" i="1"/>
  <c r="AE627" i="1"/>
  <c r="AF625" i="1"/>
  <c r="AE625" i="1"/>
  <c r="AF623" i="1"/>
  <c r="AE623" i="1"/>
  <c r="AF621" i="1"/>
  <c r="AE621" i="1"/>
  <c r="AF619" i="1"/>
  <c r="AE619" i="1"/>
  <c r="AF617" i="1"/>
  <c r="AE617" i="1"/>
  <c r="AF615" i="1"/>
  <c r="AE615" i="1"/>
  <c r="AF613" i="1"/>
  <c r="AE613" i="1"/>
  <c r="AF611" i="1"/>
  <c r="AE611" i="1"/>
  <c r="AF609" i="1"/>
  <c r="AE609" i="1"/>
  <c r="AF605" i="1"/>
  <c r="AE605" i="1"/>
  <c r="AF590" i="1"/>
  <c r="AE590" i="1"/>
  <c r="AF544" i="1"/>
  <c r="AE544" i="1"/>
  <c r="AU943" i="1"/>
  <c r="AF943" i="1"/>
  <c r="AU941" i="1"/>
  <c r="AV941" i="1" s="1"/>
  <c r="AX941" i="1" s="1"/>
  <c r="AF941" i="1"/>
  <c r="AU939" i="1"/>
  <c r="AF939" i="1"/>
  <c r="AU937" i="1"/>
  <c r="AF937" i="1"/>
  <c r="AU935" i="1"/>
  <c r="AV935" i="1" s="1"/>
  <c r="AX935" i="1" s="1"/>
  <c r="AF935" i="1"/>
  <c r="AU933" i="1"/>
  <c r="AF933" i="1"/>
  <c r="AU931" i="1"/>
  <c r="AV931" i="1" s="1"/>
  <c r="AX931" i="1" s="1"/>
  <c r="AF931" i="1"/>
  <c r="AU929" i="1"/>
  <c r="AF929" i="1"/>
  <c r="AU927" i="1"/>
  <c r="AV927" i="1" s="1"/>
  <c r="AX927" i="1" s="1"/>
  <c r="AF927" i="1"/>
  <c r="AU925" i="1"/>
  <c r="AF925" i="1"/>
  <c r="AU923" i="1"/>
  <c r="AV923" i="1" s="1"/>
  <c r="AX923" i="1" s="1"/>
  <c r="AF923" i="1"/>
  <c r="AU921" i="1"/>
  <c r="AF921" i="1"/>
  <c r="AU919" i="1"/>
  <c r="AV919" i="1" s="1"/>
  <c r="AX919" i="1" s="1"/>
  <c r="AF919" i="1"/>
  <c r="AU917" i="1"/>
  <c r="AF917" i="1"/>
  <c r="AU915" i="1"/>
  <c r="AV915" i="1" s="1"/>
  <c r="AX915" i="1" s="1"/>
  <c r="AF915" i="1"/>
  <c r="AU913" i="1"/>
  <c r="AF913" i="1"/>
  <c r="AU911" i="1"/>
  <c r="AV911" i="1" s="1"/>
  <c r="AX911" i="1" s="1"/>
  <c r="AF911" i="1"/>
  <c r="AU909" i="1"/>
  <c r="AF909" i="1"/>
  <c r="AU907" i="1"/>
  <c r="AV907" i="1" s="1"/>
  <c r="AX907" i="1" s="1"/>
  <c r="AF907" i="1"/>
  <c r="AU905" i="1"/>
  <c r="AF905" i="1"/>
  <c r="AU903" i="1"/>
  <c r="AV903" i="1" s="1"/>
  <c r="AX903" i="1" s="1"/>
  <c r="AF903" i="1"/>
  <c r="AU901" i="1"/>
  <c r="AF901" i="1"/>
  <c r="AU899" i="1"/>
  <c r="AV899" i="1" s="1"/>
  <c r="AX899" i="1" s="1"/>
  <c r="AF899" i="1"/>
  <c r="AU897" i="1"/>
  <c r="AF897" i="1"/>
  <c r="AU895" i="1"/>
  <c r="AV895" i="1" s="1"/>
  <c r="AX895" i="1" s="1"/>
  <c r="AF895" i="1"/>
  <c r="AW893" i="1"/>
  <c r="AF893" i="1"/>
  <c r="AW891" i="1"/>
  <c r="AF891" i="1"/>
  <c r="AW889" i="1"/>
  <c r="AF889" i="1"/>
  <c r="AW887" i="1"/>
  <c r="AF887" i="1"/>
  <c r="AW885" i="1"/>
  <c r="AF885" i="1"/>
  <c r="AW883" i="1"/>
  <c r="AF883" i="1"/>
  <c r="AW881" i="1"/>
  <c r="AF881" i="1"/>
  <c r="AW879" i="1"/>
  <c r="AF879" i="1"/>
  <c r="AW877" i="1"/>
  <c r="AF877" i="1"/>
  <c r="AW875" i="1"/>
  <c r="AF875" i="1"/>
  <c r="AW873" i="1"/>
  <c r="AF873" i="1"/>
  <c r="AW871" i="1"/>
  <c r="AF871" i="1"/>
  <c r="AW869" i="1"/>
  <c r="AF869" i="1"/>
  <c r="AW867" i="1"/>
  <c r="AF867" i="1"/>
  <c r="AW865" i="1"/>
  <c r="AF865" i="1"/>
  <c r="AW863" i="1"/>
  <c r="AF863" i="1"/>
  <c r="AW861" i="1"/>
  <c r="AF861" i="1"/>
  <c r="AW859" i="1"/>
  <c r="AF859" i="1"/>
  <c r="AW857" i="1"/>
  <c r="AF857" i="1"/>
  <c r="AW855" i="1"/>
  <c r="AF855" i="1"/>
  <c r="AW853" i="1"/>
  <c r="AF853" i="1"/>
  <c r="AW851" i="1"/>
  <c r="AF851" i="1"/>
  <c r="AW849" i="1"/>
  <c r="AF849" i="1"/>
  <c r="AW847" i="1"/>
  <c r="AF847" i="1"/>
  <c r="AW845" i="1"/>
  <c r="AF845" i="1"/>
  <c r="AW843" i="1"/>
  <c r="AF843" i="1"/>
  <c r="AW841" i="1"/>
  <c r="AF841" i="1"/>
  <c r="AW839" i="1"/>
  <c r="AF839" i="1"/>
  <c r="AW837" i="1"/>
  <c r="AF837" i="1"/>
  <c r="AW835" i="1"/>
  <c r="AF835" i="1"/>
  <c r="AW833" i="1"/>
  <c r="AF833" i="1"/>
  <c r="AW831" i="1"/>
  <c r="AF831" i="1"/>
  <c r="AW829" i="1"/>
  <c r="AF829" i="1"/>
  <c r="AW827" i="1"/>
  <c r="AF827" i="1"/>
  <c r="AW825" i="1"/>
  <c r="AF825" i="1"/>
  <c r="AW823" i="1"/>
  <c r="AF823" i="1"/>
  <c r="AW821" i="1"/>
  <c r="AF821" i="1"/>
  <c r="AW819" i="1"/>
  <c r="AF819" i="1"/>
  <c r="AW817" i="1"/>
  <c r="AF817" i="1"/>
  <c r="AW815" i="1"/>
  <c r="AF815" i="1"/>
  <c r="AW813" i="1"/>
  <c r="AF813" i="1"/>
  <c r="AW811" i="1"/>
  <c r="AF811" i="1"/>
  <c r="AW809" i="1"/>
  <c r="AF809" i="1"/>
  <c r="AW807" i="1"/>
  <c r="AF807" i="1"/>
  <c r="AW805" i="1"/>
  <c r="AF805" i="1"/>
  <c r="AW803" i="1"/>
  <c r="AF803" i="1"/>
  <c r="AW801" i="1"/>
  <c r="AF801" i="1"/>
  <c r="AW799" i="1"/>
  <c r="AF799" i="1"/>
  <c r="AW797" i="1"/>
  <c r="AF797" i="1"/>
  <c r="AW795" i="1"/>
  <c r="AF795" i="1"/>
  <c r="AW793" i="1"/>
  <c r="AF793" i="1"/>
  <c r="AW791" i="1"/>
  <c r="AF791" i="1"/>
  <c r="AW789" i="1"/>
  <c r="AF789" i="1"/>
  <c r="AW787" i="1"/>
  <c r="AF787" i="1"/>
  <c r="AW785" i="1"/>
  <c r="AF785" i="1"/>
  <c r="AW783" i="1"/>
  <c r="AF783" i="1"/>
  <c r="AW781" i="1"/>
  <c r="AF781" i="1"/>
  <c r="AW779" i="1"/>
  <c r="AF779" i="1"/>
  <c r="AW777" i="1"/>
  <c r="AF777" i="1"/>
  <c r="AW775" i="1"/>
  <c r="AF775" i="1"/>
  <c r="AW773" i="1"/>
  <c r="AF773" i="1"/>
  <c r="AW771" i="1"/>
  <c r="AF771" i="1"/>
  <c r="AW769" i="1"/>
  <c r="AF769" i="1"/>
  <c r="AW767" i="1"/>
  <c r="AF767" i="1"/>
  <c r="AW765" i="1"/>
  <c r="AF765" i="1"/>
  <c r="AW761" i="1"/>
  <c r="AF761" i="1"/>
  <c r="AW757" i="1"/>
  <c r="AF757" i="1"/>
  <c r="AW753" i="1"/>
  <c r="AF753" i="1"/>
  <c r="AW749" i="1"/>
  <c r="AF749" i="1"/>
  <c r="AF747" i="1"/>
  <c r="AW745" i="1"/>
  <c r="AF745" i="1"/>
  <c r="AW741" i="1"/>
  <c r="AF741" i="1"/>
  <c r="AW737" i="1"/>
  <c r="AF737" i="1"/>
  <c r="AW733" i="1"/>
  <c r="AF733" i="1"/>
  <c r="AW729" i="1"/>
  <c r="AF729" i="1"/>
  <c r="AW725" i="1"/>
  <c r="AF725" i="1"/>
  <c r="AW721" i="1"/>
  <c r="AF721" i="1"/>
  <c r="AW717" i="1"/>
  <c r="AF717" i="1"/>
  <c r="AF715" i="1"/>
  <c r="AW713" i="1"/>
  <c r="AF713" i="1"/>
  <c r="AW709" i="1"/>
  <c r="AF709" i="1"/>
  <c r="AW705" i="1"/>
  <c r="AF705" i="1"/>
  <c r="AW701" i="1"/>
  <c r="AF701" i="1"/>
  <c r="AW697" i="1"/>
  <c r="AF697" i="1"/>
  <c r="AW693" i="1"/>
  <c r="AF693" i="1"/>
  <c r="AW689" i="1"/>
  <c r="AF689" i="1"/>
  <c r="AW685" i="1"/>
  <c r="AF685" i="1"/>
  <c r="AF584" i="1"/>
  <c r="AW577" i="1"/>
  <c r="AF577" i="1"/>
  <c r="AF568" i="1"/>
  <c r="AU944" i="1"/>
  <c r="AF944" i="1"/>
  <c r="AF940" i="1"/>
  <c r="AU938" i="1"/>
  <c r="AF938" i="1"/>
  <c r="AU936" i="1"/>
  <c r="AF936" i="1"/>
  <c r="AF932" i="1"/>
  <c r="AU930" i="1"/>
  <c r="AF930" i="1"/>
  <c r="AF924" i="1"/>
  <c r="AU922" i="1"/>
  <c r="AF922" i="1"/>
  <c r="AU920" i="1"/>
  <c r="AF920" i="1"/>
  <c r="AF916" i="1"/>
  <c r="AU914" i="1"/>
  <c r="AF914" i="1"/>
  <c r="AU912" i="1"/>
  <c r="AF912" i="1"/>
  <c r="AW908" i="1"/>
  <c r="AF908" i="1"/>
  <c r="AU906" i="1"/>
  <c r="AF906" i="1"/>
  <c r="AU904" i="1"/>
  <c r="AF904" i="1"/>
  <c r="AW900" i="1"/>
  <c r="AF900" i="1"/>
  <c r="AU898" i="1"/>
  <c r="AF898" i="1"/>
  <c r="AW892" i="1"/>
  <c r="AF892" i="1"/>
  <c r="AU890" i="1"/>
  <c r="AF890" i="1"/>
  <c r="AW884" i="1"/>
  <c r="AF884" i="1"/>
  <c r="AU882" i="1"/>
  <c r="AF882" i="1"/>
  <c r="AW876" i="1"/>
  <c r="AF876" i="1"/>
  <c r="AU874" i="1"/>
  <c r="AF874" i="1"/>
  <c r="AF872" i="1"/>
  <c r="AW868" i="1"/>
  <c r="AF868" i="1"/>
  <c r="AU866" i="1"/>
  <c r="AF866" i="1"/>
  <c r="AW860" i="1"/>
  <c r="AF860" i="1"/>
  <c r="AU858" i="1"/>
  <c r="AV858" i="1" s="1"/>
  <c r="AX858" i="1" s="1"/>
  <c r="AF858" i="1"/>
  <c r="AW852" i="1"/>
  <c r="AF852" i="1"/>
  <c r="AF850" i="1"/>
  <c r="AF848" i="1"/>
  <c r="AW844" i="1"/>
  <c r="AF844" i="1"/>
  <c r="AU842" i="1"/>
  <c r="AV842" i="1" s="1"/>
  <c r="AX842" i="1" s="1"/>
  <c r="AF842" i="1"/>
  <c r="AW836" i="1"/>
  <c r="AF836" i="1"/>
  <c r="AW828" i="1"/>
  <c r="AF828" i="1"/>
  <c r="AU826" i="1"/>
  <c r="AV826" i="1" s="1"/>
  <c r="AX826" i="1" s="1"/>
  <c r="AF826" i="1"/>
  <c r="AW820" i="1"/>
  <c r="AF820" i="1"/>
  <c r="AU818" i="1"/>
  <c r="AV818" i="1" s="1"/>
  <c r="AX818" i="1" s="1"/>
  <c r="AF818" i="1"/>
  <c r="AW812" i="1"/>
  <c r="AF812" i="1"/>
  <c r="AU810" i="1"/>
  <c r="AV810" i="1" s="1"/>
  <c r="AX810" i="1" s="1"/>
  <c r="AF810" i="1"/>
  <c r="AF808" i="1"/>
  <c r="AW804" i="1"/>
  <c r="AF804" i="1"/>
  <c r="AU802" i="1"/>
  <c r="AV802" i="1" s="1"/>
  <c r="AX802" i="1" s="1"/>
  <c r="AF802" i="1"/>
  <c r="AW796" i="1"/>
  <c r="AF796" i="1"/>
  <c r="AU794" i="1"/>
  <c r="AV794" i="1" s="1"/>
  <c r="AX794" i="1" s="1"/>
  <c r="AF794" i="1"/>
  <c r="AW788" i="1"/>
  <c r="AF788" i="1"/>
  <c r="AF786" i="1"/>
  <c r="AW780" i="1"/>
  <c r="AF780" i="1"/>
  <c r="AU778" i="1"/>
  <c r="AF778" i="1"/>
  <c r="AW772" i="1"/>
  <c r="AF772" i="1"/>
  <c r="AU770" i="1"/>
  <c r="AF770" i="1"/>
  <c r="AW764" i="1"/>
  <c r="AF764" i="1"/>
  <c r="AU762" i="1"/>
  <c r="AF762" i="1"/>
  <c r="AW756" i="1"/>
  <c r="AF756" i="1"/>
  <c r="AU754" i="1"/>
  <c r="AF754" i="1"/>
  <c r="AW748" i="1"/>
  <c r="AF748" i="1"/>
  <c r="AU746" i="1"/>
  <c r="AF746" i="1"/>
  <c r="AF744" i="1"/>
  <c r="AW740" i="1"/>
  <c r="AF740" i="1"/>
  <c r="AU738" i="1"/>
  <c r="AF738" i="1"/>
  <c r="AW736" i="1"/>
  <c r="AF736" i="1"/>
  <c r="AW732" i="1"/>
  <c r="AF732" i="1"/>
  <c r="AU730" i="1"/>
  <c r="AV730" i="1" s="1"/>
  <c r="AX730" i="1" s="1"/>
  <c r="AF730" i="1"/>
  <c r="AU722" i="1"/>
  <c r="AF722" i="1"/>
  <c r="AW720" i="1"/>
  <c r="AF720" i="1"/>
  <c r="AW716" i="1"/>
  <c r="AF716" i="1"/>
  <c r="AU714" i="1"/>
  <c r="AF714" i="1"/>
  <c r="AW712" i="1"/>
  <c r="AF712" i="1"/>
  <c r="AW708" i="1"/>
  <c r="AF708" i="1"/>
  <c r="AU706" i="1"/>
  <c r="AV706" i="1" s="1"/>
  <c r="AX706" i="1" s="1"/>
  <c r="AF706" i="1"/>
  <c r="AW704" i="1"/>
  <c r="AF704" i="1"/>
  <c r="AU698" i="1"/>
  <c r="AV698" i="1" s="1"/>
  <c r="AX698" i="1" s="1"/>
  <c r="AF698" i="1"/>
  <c r="AF696" i="1"/>
  <c r="AU690" i="1"/>
  <c r="AF690" i="1"/>
  <c r="AU682" i="1"/>
  <c r="AF682" i="1"/>
  <c r="AF680" i="1"/>
  <c r="AW674" i="1"/>
  <c r="AF674" i="1"/>
  <c r="AU666" i="1"/>
  <c r="AF666" i="1"/>
  <c r="AF664" i="1"/>
  <c r="AF658" i="1"/>
  <c r="AU650" i="1"/>
  <c r="AF650" i="1"/>
  <c r="AF648" i="1"/>
  <c r="AW642" i="1"/>
  <c r="AF642" i="1"/>
  <c r="AU634" i="1"/>
  <c r="AF634" i="1"/>
  <c r="AF632" i="1"/>
  <c r="AW626" i="1"/>
  <c r="AF626" i="1"/>
  <c r="AU618" i="1"/>
  <c r="AF618" i="1"/>
  <c r="AF616" i="1"/>
  <c r="AW610" i="1"/>
  <c r="AF610" i="1"/>
  <c r="AF600" i="1"/>
  <c r="AU586" i="1"/>
  <c r="AV586" i="1" s="1"/>
  <c r="AX586" i="1" s="1"/>
  <c r="AF586" i="1"/>
  <c r="AW579" i="1"/>
  <c r="AF579" i="1"/>
  <c r="AW573" i="1"/>
  <c r="AF573" i="1"/>
  <c r="AW565" i="1"/>
  <c r="AF565" i="1"/>
  <c r="AW557" i="1"/>
  <c r="AF557" i="1"/>
  <c r="AW531" i="1"/>
  <c r="AF531" i="1"/>
  <c r="AS562" i="1"/>
  <c r="AS944" i="1"/>
  <c r="AS942" i="1"/>
  <c r="AS940" i="1"/>
  <c r="AS938" i="1"/>
  <c r="AS936" i="1"/>
  <c r="AS934" i="1"/>
  <c r="AS932" i="1"/>
  <c r="AS930" i="1"/>
  <c r="AS928" i="1"/>
  <c r="AS922" i="1"/>
  <c r="AS918" i="1"/>
  <c r="AS914" i="1"/>
  <c r="AS910" i="1"/>
  <c r="AS906" i="1"/>
  <c r="AS902" i="1"/>
  <c r="AS898" i="1"/>
  <c r="AS894" i="1"/>
  <c r="AS890" i="1"/>
  <c r="AS886" i="1"/>
  <c r="AS882" i="1"/>
  <c r="AS878" i="1"/>
  <c r="AS874" i="1"/>
  <c r="AS870" i="1"/>
  <c r="AS866" i="1"/>
  <c r="AS862" i="1"/>
  <c r="AS858" i="1"/>
  <c r="AS854" i="1"/>
  <c r="AS850" i="1"/>
  <c r="AS846" i="1"/>
  <c r="AS842" i="1"/>
  <c r="AS838" i="1"/>
  <c r="AS834" i="1"/>
  <c r="AS830" i="1"/>
  <c r="AS826" i="1"/>
  <c r="AS822" i="1"/>
  <c r="AS818" i="1"/>
  <c r="AS814" i="1"/>
  <c r="AS810" i="1"/>
  <c r="AS806" i="1"/>
  <c r="AS802" i="1"/>
  <c r="AS798" i="1"/>
  <c r="AS794" i="1"/>
  <c r="AS790" i="1"/>
  <c r="AS786" i="1"/>
  <c r="AS782" i="1"/>
  <c r="AS778" i="1"/>
  <c r="AS774" i="1"/>
  <c r="AS770" i="1"/>
  <c r="AS766" i="1"/>
  <c r="AS762" i="1"/>
  <c r="AS758" i="1"/>
  <c r="AS570" i="1"/>
  <c r="AS560" i="1"/>
  <c r="AS925" i="1"/>
  <c r="AS605" i="1"/>
  <c r="AS579" i="1"/>
  <c r="AS559" i="1"/>
  <c r="AS557" i="1"/>
  <c r="AS535" i="1"/>
  <c r="AS531" i="1"/>
  <c r="AS523" i="1"/>
  <c r="AS927" i="1"/>
  <c r="AS923" i="1"/>
  <c r="AS921" i="1"/>
  <c r="AS919" i="1"/>
  <c r="AS917" i="1"/>
  <c r="AS915" i="1"/>
  <c r="AS913" i="1"/>
  <c r="AS911" i="1"/>
  <c r="AS909" i="1"/>
  <c r="AS907" i="1"/>
  <c r="AS905" i="1"/>
  <c r="AS903" i="1"/>
  <c r="AS901" i="1"/>
  <c r="AS899" i="1"/>
  <c r="AS897" i="1"/>
  <c r="AS895" i="1"/>
  <c r="AS893" i="1"/>
  <c r="AS891" i="1"/>
  <c r="AS889" i="1"/>
  <c r="AS887" i="1"/>
  <c r="AS885" i="1"/>
  <c r="AS883" i="1"/>
  <c r="AS881" i="1"/>
  <c r="AS879" i="1"/>
  <c r="AS877" i="1"/>
  <c r="AS875" i="1"/>
  <c r="AS873" i="1"/>
  <c r="AS871" i="1"/>
  <c r="AS869" i="1"/>
  <c r="AS867" i="1"/>
  <c r="AS865" i="1"/>
  <c r="AS863" i="1"/>
  <c r="AS861" i="1"/>
  <c r="AS859" i="1"/>
  <c r="AS857" i="1"/>
  <c r="AS855" i="1"/>
  <c r="AS853" i="1"/>
  <c r="AS851" i="1"/>
  <c r="AS849" i="1"/>
  <c r="AS847" i="1"/>
  <c r="AS845" i="1"/>
  <c r="AS843" i="1"/>
  <c r="AS841" i="1"/>
  <c r="AS839" i="1"/>
  <c r="AS837" i="1"/>
  <c r="AS835" i="1"/>
  <c r="AS833" i="1"/>
  <c r="AS831" i="1"/>
  <c r="AS829" i="1"/>
  <c r="AS827" i="1"/>
  <c r="AS825" i="1"/>
  <c r="AS823" i="1"/>
  <c r="AS821" i="1"/>
  <c r="AS819" i="1"/>
  <c r="AS817" i="1"/>
  <c r="AS815" i="1"/>
  <c r="AS813" i="1"/>
  <c r="AS811" i="1"/>
  <c r="AS809" i="1"/>
  <c r="AS807" i="1"/>
  <c r="AS805" i="1"/>
  <c r="AS801" i="1"/>
  <c r="AS799" i="1"/>
  <c r="AS797" i="1"/>
  <c r="AS795" i="1"/>
  <c r="AS793" i="1"/>
  <c r="AS791" i="1"/>
  <c r="AS789" i="1"/>
  <c r="AS787" i="1"/>
  <c r="AS785" i="1"/>
  <c r="AS783" i="1"/>
  <c r="AS781" i="1"/>
  <c r="AS779" i="1"/>
  <c r="AS777" i="1"/>
  <c r="AS775" i="1"/>
  <c r="AS773" i="1"/>
  <c r="AS771" i="1"/>
  <c r="AS769" i="1"/>
  <c r="AS767" i="1"/>
  <c r="AS765" i="1"/>
  <c r="AS763" i="1"/>
  <c r="AS759" i="1"/>
  <c r="AS755" i="1"/>
  <c r="AV17" i="1"/>
  <c r="AX17" i="1" s="1"/>
  <c r="AV12" i="1"/>
  <c r="AX12" i="1" s="1"/>
  <c r="AS924" i="1"/>
  <c r="AS590" i="1"/>
  <c r="AS586" i="1"/>
  <c r="AS578" i="1"/>
  <c r="AS566" i="1"/>
  <c r="AS600" i="1"/>
  <c r="AS584" i="1"/>
  <c r="AS544" i="1"/>
  <c r="AS540" i="1"/>
  <c r="AS528" i="1"/>
  <c r="AS606" i="1"/>
  <c r="AS598" i="1"/>
  <c r="AS596" i="1"/>
  <c r="AS594" i="1"/>
  <c r="AS593" i="1"/>
  <c r="AS592" i="1"/>
  <c r="AS585" i="1"/>
  <c r="AS581" i="1"/>
  <c r="AS572" i="1"/>
  <c r="AS564" i="1"/>
  <c r="AS556" i="1"/>
  <c r="AS538" i="1"/>
  <c r="AW650" i="1"/>
  <c r="AW924" i="1"/>
  <c r="AW586" i="1"/>
  <c r="AU658" i="1"/>
  <c r="AW940" i="1"/>
  <c r="AW724" i="1"/>
  <c r="AW682" i="1"/>
  <c r="AW618" i="1"/>
  <c r="AU626" i="1"/>
  <c r="AW932" i="1"/>
  <c r="AW916" i="1"/>
  <c r="AW698" i="1"/>
  <c r="AW666" i="1"/>
  <c r="AW634" i="1"/>
  <c r="AU850" i="1"/>
  <c r="AU786" i="1"/>
  <c r="AU674" i="1"/>
  <c r="AU642" i="1"/>
  <c r="AU610" i="1"/>
  <c r="AU896" i="1"/>
  <c r="AU888" i="1"/>
  <c r="AU880" i="1"/>
  <c r="AW880" i="1"/>
  <c r="AU872" i="1"/>
  <c r="AW872" i="1"/>
  <c r="AU864" i="1"/>
  <c r="AW864" i="1"/>
  <c r="AU856" i="1"/>
  <c r="AW856" i="1"/>
  <c r="AU832" i="1"/>
  <c r="AW832" i="1"/>
  <c r="AU824" i="1"/>
  <c r="AW824" i="1"/>
  <c r="AU816" i="1"/>
  <c r="AW816" i="1"/>
  <c r="AU808" i="1"/>
  <c r="AW808" i="1"/>
  <c r="AU800" i="1"/>
  <c r="AW800" i="1"/>
  <c r="AU792" i="1"/>
  <c r="AW792" i="1"/>
  <c r="AU784" i="1"/>
  <c r="AW784" i="1"/>
  <c r="AU776" i="1"/>
  <c r="AW776" i="1"/>
  <c r="AU768" i="1"/>
  <c r="AW768" i="1"/>
  <c r="AU760" i="1"/>
  <c r="AW760" i="1"/>
  <c r="AU752" i="1"/>
  <c r="AW752" i="1"/>
  <c r="AU744" i="1"/>
  <c r="AW744" i="1"/>
  <c r="AW728" i="1"/>
  <c r="AW690" i="1"/>
  <c r="AW658" i="1"/>
  <c r="AU928" i="1"/>
  <c r="AU848" i="1"/>
  <c r="AW848" i="1"/>
  <c r="AU840" i="1"/>
  <c r="AW840" i="1"/>
  <c r="AW944" i="1"/>
  <c r="AW936" i="1"/>
  <c r="AW928" i="1"/>
  <c r="AW920" i="1"/>
  <c r="AW912" i="1"/>
  <c r="AW904" i="1"/>
  <c r="AW896" i="1"/>
  <c r="AW888" i="1"/>
  <c r="AU834" i="1"/>
  <c r="AU940" i="1"/>
  <c r="AU932" i="1"/>
  <c r="AU924" i="1"/>
  <c r="AU916" i="1"/>
  <c r="AU908" i="1"/>
  <c r="AU900" i="1"/>
  <c r="AU892" i="1"/>
  <c r="AU884" i="1"/>
  <c r="AU876" i="1"/>
  <c r="AU868" i="1"/>
  <c r="AU860" i="1"/>
  <c r="AU852" i="1"/>
  <c r="AU844" i="1"/>
  <c r="AU836" i="1"/>
  <c r="AU828" i="1"/>
  <c r="AU820" i="1"/>
  <c r="AU812" i="1"/>
  <c r="AU804" i="1"/>
  <c r="AU796" i="1"/>
  <c r="AU788" i="1"/>
  <c r="AU780" i="1"/>
  <c r="AU772" i="1"/>
  <c r="AU764" i="1"/>
  <c r="AU756" i="1"/>
  <c r="AU748" i="1"/>
  <c r="AU740" i="1"/>
  <c r="AU736" i="1"/>
  <c r="AU732" i="1"/>
  <c r="AU728" i="1"/>
  <c r="AU724" i="1"/>
  <c r="AU720" i="1"/>
  <c r="AU716" i="1"/>
  <c r="AU712" i="1"/>
  <c r="AU708" i="1"/>
  <c r="AU704" i="1"/>
  <c r="AU700" i="1"/>
  <c r="AW700" i="1"/>
  <c r="AU696" i="1"/>
  <c r="AW696" i="1"/>
  <c r="AU692" i="1"/>
  <c r="AW692" i="1"/>
  <c r="AU688" i="1"/>
  <c r="AW688" i="1"/>
  <c r="AU684" i="1"/>
  <c r="AW684" i="1"/>
  <c r="AU680" i="1"/>
  <c r="AV680" i="1" s="1"/>
  <c r="AX680" i="1" s="1"/>
  <c r="AW680" i="1"/>
  <c r="AU676" i="1"/>
  <c r="AW676" i="1"/>
  <c r="AU672" i="1"/>
  <c r="AW672" i="1"/>
  <c r="AU668" i="1"/>
  <c r="AW668" i="1"/>
  <c r="AU664" i="1"/>
  <c r="AV664" i="1" s="1"/>
  <c r="AX664" i="1" s="1"/>
  <c r="AW664" i="1"/>
  <c r="AU660" i="1"/>
  <c r="AW660" i="1"/>
  <c r="AU656" i="1"/>
  <c r="AW656" i="1"/>
  <c r="AU652" i="1"/>
  <c r="AW652" i="1"/>
  <c r="AU648" i="1"/>
  <c r="AV648" i="1" s="1"/>
  <c r="AX648" i="1" s="1"/>
  <c r="AW648" i="1"/>
  <c r="AU644" i="1"/>
  <c r="AW644" i="1"/>
  <c r="AU640" i="1"/>
  <c r="AW640" i="1"/>
  <c r="AU636" i="1"/>
  <c r="AW636" i="1"/>
  <c r="AU632" i="1"/>
  <c r="AV632" i="1" s="1"/>
  <c r="AX632" i="1" s="1"/>
  <c r="AW632" i="1"/>
  <c r="AU628" i="1"/>
  <c r="AW628" i="1"/>
  <c r="AU624" i="1"/>
  <c r="AW624" i="1"/>
  <c r="AU620" i="1"/>
  <c r="AW620" i="1"/>
  <c r="AU616" i="1"/>
  <c r="AV616" i="1" s="1"/>
  <c r="AX616" i="1" s="1"/>
  <c r="AW616" i="1"/>
  <c r="AU612" i="1"/>
  <c r="AW612" i="1"/>
  <c r="AU608" i="1"/>
  <c r="AW608" i="1"/>
  <c r="AU600" i="1"/>
  <c r="AW600" i="1"/>
  <c r="AU584" i="1"/>
  <c r="AW584" i="1"/>
  <c r="AU568" i="1"/>
  <c r="AW568" i="1"/>
  <c r="AU544" i="1"/>
  <c r="AW544" i="1"/>
  <c r="AW942" i="1"/>
  <c r="AW938" i="1"/>
  <c r="AW934" i="1"/>
  <c r="AW930" i="1"/>
  <c r="AW926" i="1"/>
  <c r="AW922" i="1"/>
  <c r="AW918" i="1"/>
  <c r="AW914" i="1"/>
  <c r="AW910" i="1"/>
  <c r="AW906" i="1"/>
  <c r="AW902" i="1"/>
  <c r="AW898" i="1"/>
  <c r="AW894" i="1"/>
  <c r="AW890" i="1"/>
  <c r="AW886" i="1"/>
  <c r="AW882" i="1"/>
  <c r="AW878" i="1"/>
  <c r="AW874" i="1"/>
  <c r="AW870" i="1"/>
  <c r="AW866" i="1"/>
  <c r="AW862" i="1"/>
  <c r="AW858" i="1"/>
  <c r="AW854" i="1"/>
  <c r="AW850" i="1"/>
  <c r="AW846" i="1"/>
  <c r="AW842" i="1"/>
  <c r="AW838" i="1"/>
  <c r="AW834" i="1"/>
  <c r="AW830" i="1"/>
  <c r="AW826" i="1"/>
  <c r="AW822" i="1"/>
  <c r="AW818" i="1"/>
  <c r="AW814" i="1"/>
  <c r="AW810" i="1"/>
  <c r="AW806" i="1"/>
  <c r="AW802" i="1"/>
  <c r="AW798" i="1"/>
  <c r="AW794" i="1"/>
  <c r="AW790" i="1"/>
  <c r="AW786" i="1"/>
  <c r="AW782" i="1"/>
  <c r="AW778" i="1"/>
  <c r="AW774" i="1"/>
  <c r="AW770" i="1"/>
  <c r="AW766" i="1"/>
  <c r="AW762" i="1"/>
  <c r="AW758" i="1"/>
  <c r="AW754" i="1"/>
  <c r="AW750" i="1"/>
  <c r="AW746" i="1"/>
  <c r="AW742" i="1"/>
  <c r="AW738" i="1"/>
  <c r="AW734" i="1"/>
  <c r="AW730" i="1"/>
  <c r="AW726" i="1"/>
  <c r="AW722" i="1"/>
  <c r="AW718" i="1"/>
  <c r="AW714" i="1"/>
  <c r="AW710" i="1"/>
  <c r="AW706" i="1"/>
  <c r="AW702" i="1"/>
  <c r="AW694" i="1"/>
  <c r="AW686" i="1"/>
  <c r="AW678" i="1"/>
  <c r="AW670" i="1"/>
  <c r="AW662" i="1"/>
  <c r="AW654" i="1"/>
  <c r="AW646" i="1"/>
  <c r="AW638" i="1"/>
  <c r="AW630" i="1"/>
  <c r="AW622" i="1"/>
  <c r="AW614" i="1"/>
  <c r="AW590" i="1"/>
  <c r="AU942" i="1"/>
  <c r="AU934" i="1"/>
  <c r="AU926" i="1"/>
  <c r="AU918" i="1"/>
  <c r="AU910" i="1"/>
  <c r="AU902" i="1"/>
  <c r="AU894" i="1"/>
  <c r="AU886" i="1"/>
  <c r="AU878" i="1"/>
  <c r="AU870" i="1"/>
  <c r="AU862" i="1"/>
  <c r="AU854" i="1"/>
  <c r="AU846" i="1"/>
  <c r="AU838" i="1"/>
  <c r="AU830" i="1"/>
  <c r="AU822" i="1"/>
  <c r="AU814" i="1"/>
  <c r="AU806" i="1"/>
  <c r="AU798" i="1"/>
  <c r="AU790" i="1"/>
  <c r="AU782" i="1"/>
  <c r="AU774" i="1"/>
  <c r="AU766" i="1"/>
  <c r="AU758" i="1"/>
  <c r="AU750" i="1"/>
  <c r="AU742" i="1"/>
  <c r="AU734" i="1"/>
  <c r="AU726" i="1"/>
  <c r="AU718" i="1"/>
  <c r="AU710" i="1"/>
  <c r="AU702" i="1"/>
  <c r="AU694" i="1"/>
  <c r="AU686" i="1"/>
  <c r="AU678" i="1"/>
  <c r="AU670" i="1"/>
  <c r="AU662" i="1"/>
  <c r="AU654" i="1"/>
  <c r="AU646" i="1"/>
  <c r="AU638" i="1"/>
  <c r="AU630" i="1"/>
  <c r="AU622" i="1"/>
  <c r="AU614" i="1"/>
  <c r="AU590" i="1"/>
  <c r="AS517" i="1"/>
  <c r="AW943" i="1"/>
  <c r="AW941" i="1"/>
  <c r="AW939" i="1"/>
  <c r="AW937" i="1"/>
  <c r="AW935" i="1"/>
  <c r="AW933" i="1"/>
  <c r="AW931" i="1"/>
  <c r="AW929" i="1"/>
  <c r="AW927" i="1"/>
  <c r="AW925" i="1"/>
  <c r="AW923" i="1"/>
  <c r="AW921" i="1"/>
  <c r="AW919" i="1"/>
  <c r="AW917" i="1"/>
  <c r="AW915" i="1"/>
  <c r="AW913" i="1"/>
  <c r="AW911" i="1"/>
  <c r="AW909" i="1"/>
  <c r="AW907" i="1"/>
  <c r="AW905" i="1"/>
  <c r="AW903" i="1"/>
  <c r="AW901" i="1"/>
  <c r="AW899" i="1"/>
  <c r="AW897" i="1"/>
  <c r="AW895" i="1"/>
  <c r="AU763" i="1"/>
  <c r="AW763" i="1"/>
  <c r="AU759" i="1"/>
  <c r="AW759" i="1"/>
  <c r="AU755" i="1"/>
  <c r="AW755" i="1"/>
  <c r="AU751" i="1"/>
  <c r="AW751" i="1"/>
  <c r="AU747" i="1"/>
  <c r="AW747" i="1"/>
  <c r="AU743" i="1"/>
  <c r="AW743" i="1"/>
  <c r="AU739" i="1"/>
  <c r="AW739" i="1"/>
  <c r="AU735" i="1"/>
  <c r="AW735" i="1"/>
  <c r="AU731" i="1"/>
  <c r="AW731" i="1"/>
  <c r="AU727" i="1"/>
  <c r="AW727" i="1"/>
  <c r="AU723" i="1"/>
  <c r="AW723" i="1"/>
  <c r="AU719" i="1"/>
  <c r="AW719" i="1"/>
  <c r="AU715" i="1"/>
  <c r="AW715" i="1"/>
  <c r="AU711" i="1"/>
  <c r="AW711" i="1"/>
  <c r="AU707" i="1"/>
  <c r="AW707" i="1"/>
  <c r="AU703" i="1"/>
  <c r="AW703" i="1"/>
  <c r="AU699" i="1"/>
  <c r="AW699" i="1"/>
  <c r="AU695" i="1"/>
  <c r="AW695" i="1"/>
  <c r="AU691" i="1"/>
  <c r="AW691" i="1"/>
  <c r="AU687" i="1"/>
  <c r="AW687" i="1"/>
  <c r="AU683" i="1"/>
  <c r="AW683" i="1"/>
  <c r="AU681" i="1"/>
  <c r="AW681" i="1"/>
  <c r="AU679" i="1"/>
  <c r="AW679" i="1"/>
  <c r="AU677" i="1"/>
  <c r="AW677" i="1"/>
  <c r="AU675" i="1"/>
  <c r="AW675" i="1"/>
  <c r="AU673" i="1"/>
  <c r="AW673" i="1"/>
  <c r="AU671" i="1"/>
  <c r="AW671" i="1"/>
  <c r="AU669" i="1"/>
  <c r="AW669" i="1"/>
  <c r="AU893" i="1"/>
  <c r="AU891" i="1"/>
  <c r="AU889" i="1"/>
  <c r="AU887" i="1"/>
  <c r="AU885" i="1"/>
  <c r="AU883" i="1"/>
  <c r="AU881" i="1"/>
  <c r="AU879" i="1"/>
  <c r="AU877" i="1"/>
  <c r="AU875" i="1"/>
  <c r="AU873" i="1"/>
  <c r="AU871" i="1"/>
  <c r="AU869" i="1"/>
  <c r="AU867" i="1"/>
  <c r="AU865" i="1"/>
  <c r="AU863" i="1"/>
  <c r="AU861" i="1"/>
  <c r="AU859" i="1"/>
  <c r="AU857" i="1"/>
  <c r="AU855" i="1"/>
  <c r="AU853" i="1"/>
  <c r="AU851" i="1"/>
  <c r="AU849" i="1"/>
  <c r="AU847" i="1"/>
  <c r="AU845" i="1"/>
  <c r="AU843" i="1"/>
  <c r="AU841" i="1"/>
  <c r="AU839" i="1"/>
  <c r="AU837" i="1"/>
  <c r="AU835" i="1"/>
  <c r="AU833" i="1"/>
  <c r="AU831" i="1"/>
  <c r="AU829" i="1"/>
  <c r="AU827" i="1"/>
  <c r="AU825" i="1"/>
  <c r="AU823" i="1"/>
  <c r="AU821" i="1"/>
  <c r="AU819" i="1"/>
  <c r="AU817" i="1"/>
  <c r="AU815" i="1"/>
  <c r="AU813" i="1"/>
  <c r="AU811" i="1"/>
  <c r="AU809" i="1"/>
  <c r="AU807" i="1"/>
  <c r="AU805" i="1"/>
  <c r="AU803" i="1"/>
  <c r="AU801" i="1"/>
  <c r="AU799" i="1"/>
  <c r="AU797" i="1"/>
  <c r="AU795" i="1"/>
  <c r="AU793" i="1"/>
  <c r="AU791" i="1"/>
  <c r="AU789" i="1"/>
  <c r="AU787" i="1"/>
  <c r="AU785" i="1"/>
  <c r="AU783" i="1"/>
  <c r="AU781" i="1"/>
  <c r="AU779" i="1"/>
  <c r="AU777" i="1"/>
  <c r="AU775" i="1"/>
  <c r="AU773" i="1"/>
  <c r="AU771" i="1"/>
  <c r="AU769" i="1"/>
  <c r="AU767" i="1"/>
  <c r="AU765" i="1"/>
  <c r="AU761" i="1"/>
  <c r="AU757" i="1"/>
  <c r="AU753" i="1"/>
  <c r="AU749" i="1"/>
  <c r="AU745" i="1"/>
  <c r="AU741" i="1"/>
  <c r="AU737" i="1"/>
  <c r="AU733" i="1"/>
  <c r="AU729" i="1"/>
  <c r="AU725" i="1"/>
  <c r="AU721" i="1"/>
  <c r="AU717" i="1"/>
  <c r="AU713" i="1"/>
  <c r="AU709" i="1"/>
  <c r="AU705" i="1"/>
  <c r="AU701" i="1"/>
  <c r="AU697" i="1"/>
  <c r="AU693" i="1"/>
  <c r="AU689" i="1"/>
  <c r="AU685" i="1"/>
  <c r="AU667" i="1"/>
  <c r="AW667" i="1"/>
  <c r="AU665" i="1"/>
  <c r="AW665" i="1"/>
  <c r="AU663" i="1"/>
  <c r="AW663" i="1"/>
  <c r="AU661" i="1"/>
  <c r="AW661" i="1"/>
  <c r="AU659" i="1"/>
  <c r="AW659" i="1"/>
  <c r="AU657" i="1"/>
  <c r="AW657" i="1"/>
  <c r="AU655" i="1"/>
  <c r="AW655" i="1"/>
  <c r="AU653" i="1"/>
  <c r="AW653" i="1"/>
  <c r="AU651" i="1"/>
  <c r="AW651" i="1"/>
  <c r="AU649" i="1"/>
  <c r="AW649" i="1"/>
  <c r="AU647" i="1"/>
  <c r="AW647" i="1"/>
  <c r="AU645" i="1"/>
  <c r="AW645" i="1"/>
  <c r="AU643" i="1"/>
  <c r="AW643" i="1"/>
  <c r="AU641" i="1"/>
  <c r="AW641" i="1"/>
  <c r="AU639" i="1"/>
  <c r="AW639" i="1"/>
  <c r="AU637" i="1"/>
  <c r="AW637" i="1"/>
  <c r="AU635" i="1"/>
  <c r="AW635" i="1"/>
  <c r="AU633" i="1"/>
  <c r="AW633" i="1"/>
  <c r="AU631" i="1"/>
  <c r="AW631" i="1"/>
  <c r="AU629" i="1"/>
  <c r="AW629" i="1"/>
  <c r="AU627" i="1"/>
  <c r="AW627" i="1"/>
  <c r="AU625" i="1"/>
  <c r="AW625" i="1"/>
  <c r="AU623" i="1"/>
  <c r="AW623" i="1"/>
  <c r="AU621" i="1"/>
  <c r="AW621" i="1"/>
  <c r="AU619" i="1"/>
  <c r="AW619" i="1"/>
  <c r="AU617" i="1"/>
  <c r="AW617" i="1"/>
  <c r="AU615" i="1"/>
  <c r="AW615" i="1"/>
  <c r="AU613" i="1"/>
  <c r="AW613" i="1"/>
  <c r="AU611" i="1"/>
  <c r="AW611" i="1"/>
  <c r="AU609" i="1"/>
  <c r="AW609" i="1"/>
  <c r="AU605" i="1"/>
  <c r="AW605" i="1"/>
  <c r="AU579" i="1"/>
  <c r="AU577" i="1"/>
  <c r="AU573" i="1"/>
  <c r="AU565" i="1"/>
  <c r="AU557" i="1"/>
  <c r="AU531" i="1"/>
  <c r="G1" i="14"/>
  <c r="AJ34" i="1"/>
  <c r="AJ35" i="1"/>
  <c r="A36" i="1"/>
  <c r="D35" i="1"/>
  <c r="AV920" i="1" l="1"/>
  <c r="AX920" i="1" s="1"/>
  <c r="AV936" i="1"/>
  <c r="AX936" i="1" s="1"/>
  <c r="AV568" i="1"/>
  <c r="AX568" i="1" s="1"/>
  <c r="AV584" i="1"/>
  <c r="AX584" i="1" s="1"/>
  <c r="AV600" i="1"/>
  <c r="AX600" i="1" s="1"/>
  <c r="AV618" i="1"/>
  <c r="AX618" i="1" s="1"/>
  <c r="AV634" i="1"/>
  <c r="AX634" i="1" s="1"/>
  <c r="AV650" i="1"/>
  <c r="AX650" i="1" s="1"/>
  <c r="AV666" i="1"/>
  <c r="AX666" i="1" s="1"/>
  <c r="AV682" i="1"/>
  <c r="AX682" i="1" s="1"/>
  <c r="AV696" i="1"/>
  <c r="AX696" i="1" s="1"/>
  <c r="AV714" i="1"/>
  <c r="AX714" i="1" s="1"/>
  <c r="AV738" i="1"/>
  <c r="AX738" i="1" s="1"/>
  <c r="AV746" i="1"/>
  <c r="AX746" i="1" s="1"/>
  <c r="AV754" i="1"/>
  <c r="AX754" i="1" s="1"/>
  <c r="AV762" i="1"/>
  <c r="AX762" i="1" s="1"/>
  <c r="AV770" i="1"/>
  <c r="AX770" i="1" s="1"/>
  <c r="AV778" i="1"/>
  <c r="AX778" i="1" s="1"/>
  <c r="AV897" i="1"/>
  <c r="AX897" i="1" s="1"/>
  <c r="AV901" i="1"/>
  <c r="AX901" i="1" s="1"/>
  <c r="AV905" i="1"/>
  <c r="AX905" i="1" s="1"/>
  <c r="AV909" i="1"/>
  <c r="AX909" i="1" s="1"/>
  <c r="AV913" i="1"/>
  <c r="AX913" i="1" s="1"/>
  <c r="AV917" i="1"/>
  <c r="AX917" i="1" s="1"/>
  <c r="AV921" i="1"/>
  <c r="AX921" i="1" s="1"/>
  <c r="AV925" i="1"/>
  <c r="AX925" i="1" s="1"/>
  <c r="AV929" i="1"/>
  <c r="AX929" i="1" s="1"/>
  <c r="AV933" i="1"/>
  <c r="AX933" i="1" s="1"/>
  <c r="AV937" i="1"/>
  <c r="AX937" i="1" s="1"/>
  <c r="AV939" i="1"/>
  <c r="AX939" i="1" s="1"/>
  <c r="AV943" i="1"/>
  <c r="AX943" i="1" s="1"/>
  <c r="AV912" i="1"/>
  <c r="AX912" i="1" s="1"/>
  <c r="AV944" i="1"/>
  <c r="AX944" i="1" s="1"/>
  <c r="AV882" i="1"/>
  <c r="AX882" i="1" s="1"/>
  <c r="AV924" i="1"/>
  <c r="AX924" i="1" s="1"/>
  <c r="AV930" i="1"/>
  <c r="AX930" i="1" s="1"/>
  <c r="AV940" i="1"/>
  <c r="AX940" i="1" s="1"/>
  <c r="AV904" i="1"/>
  <c r="AX904" i="1" s="1"/>
  <c r="AV866" i="1"/>
  <c r="AX866" i="1" s="1"/>
  <c r="AV874" i="1"/>
  <c r="AX874" i="1" s="1"/>
  <c r="AV890" i="1"/>
  <c r="AX890" i="1" s="1"/>
  <c r="AV898" i="1"/>
  <c r="AX898" i="1" s="1"/>
  <c r="AV906" i="1"/>
  <c r="AX906" i="1" s="1"/>
  <c r="AV914" i="1"/>
  <c r="AX914" i="1" s="1"/>
  <c r="AV916" i="1"/>
  <c r="AX916" i="1" s="1"/>
  <c r="AV922" i="1"/>
  <c r="AX922" i="1" s="1"/>
  <c r="AV932" i="1"/>
  <c r="AX932" i="1" s="1"/>
  <c r="AV938" i="1"/>
  <c r="AX938" i="1" s="1"/>
  <c r="AV690" i="1"/>
  <c r="AX690" i="1" s="1"/>
  <c r="AV722" i="1"/>
  <c r="AX722" i="1" s="1"/>
  <c r="AV744" i="1"/>
  <c r="AX744" i="1" s="1"/>
  <c r="AV808" i="1"/>
  <c r="AX808" i="1" s="1"/>
  <c r="AV872" i="1"/>
  <c r="AX872" i="1" s="1"/>
  <c r="AV786" i="1"/>
  <c r="AX786" i="1" s="1"/>
  <c r="AV712" i="1"/>
  <c r="AX712" i="1" s="1"/>
  <c r="AV624" i="1"/>
  <c r="AX624" i="1" s="1"/>
  <c r="AV688" i="1"/>
  <c r="AX688" i="1" s="1"/>
  <c r="AV720" i="1"/>
  <c r="AX720" i="1" s="1"/>
  <c r="AV784" i="1"/>
  <c r="AX784" i="1" s="1"/>
  <c r="AV662" i="1"/>
  <c r="AX662" i="1" s="1"/>
  <c r="AV678" i="1"/>
  <c r="AX678" i="1" s="1"/>
  <c r="AV726" i="1"/>
  <c r="AX726" i="1" s="1"/>
  <c r="AV742" i="1"/>
  <c r="AX742" i="1" s="1"/>
  <c r="AV774" i="1"/>
  <c r="AX774" i="1" s="1"/>
  <c r="AV790" i="1"/>
  <c r="AX790" i="1" s="1"/>
  <c r="AV806" i="1"/>
  <c r="AX806" i="1" s="1"/>
  <c r="AV838" i="1"/>
  <c r="AX838" i="1" s="1"/>
  <c r="AV902" i="1"/>
  <c r="AX902" i="1" s="1"/>
  <c r="AV918" i="1"/>
  <c r="AX918" i="1" s="1"/>
  <c r="AV934" i="1"/>
  <c r="AX934" i="1" s="1"/>
  <c r="AV590" i="1"/>
  <c r="AX590" i="1" s="1"/>
  <c r="AV622" i="1"/>
  <c r="AX622" i="1" s="1"/>
  <c r="AV670" i="1"/>
  <c r="AX670" i="1" s="1"/>
  <c r="AV686" i="1"/>
  <c r="AX686" i="1" s="1"/>
  <c r="AV734" i="1"/>
  <c r="AX734" i="1" s="1"/>
  <c r="AV766" i="1"/>
  <c r="AX766" i="1" s="1"/>
  <c r="AV846" i="1"/>
  <c r="AX846" i="1" s="1"/>
  <c r="AV910" i="1"/>
  <c r="AX910" i="1" s="1"/>
  <c r="AV658" i="1"/>
  <c r="AX658" i="1" s="1"/>
  <c r="AV800" i="1"/>
  <c r="AX800" i="1" s="1"/>
  <c r="AV864" i="1"/>
  <c r="AX864" i="1" s="1"/>
  <c r="AV674" i="1"/>
  <c r="AX674" i="1" s="1"/>
  <c r="AV642" i="1"/>
  <c r="AX642" i="1" s="1"/>
  <c r="AV672" i="1"/>
  <c r="AX672" i="1" s="1"/>
  <c r="AV704" i="1"/>
  <c r="AX704" i="1" s="1"/>
  <c r="AV768" i="1"/>
  <c r="AX768" i="1" s="1"/>
  <c r="AV782" i="1"/>
  <c r="AX782" i="1" s="1"/>
  <c r="AV814" i="1"/>
  <c r="AX814" i="1" s="1"/>
  <c r="AV608" i="1"/>
  <c r="AX608" i="1" s="1"/>
  <c r="AV626" i="1"/>
  <c r="AX626" i="1" s="1"/>
  <c r="AV832" i="1"/>
  <c r="AX832" i="1" s="1"/>
  <c r="AV896" i="1"/>
  <c r="AX896" i="1" s="1"/>
  <c r="AV640" i="1"/>
  <c r="AX640" i="1" s="1"/>
  <c r="AV736" i="1"/>
  <c r="AX736" i="1" s="1"/>
  <c r="AV840" i="1"/>
  <c r="AX840" i="1" s="1"/>
  <c r="AV610" i="1"/>
  <c r="AX610" i="1" s="1"/>
  <c r="AV850" i="1"/>
  <c r="AX850" i="1" s="1"/>
  <c r="AV656" i="1"/>
  <c r="AX656" i="1" s="1"/>
  <c r="AV752" i="1"/>
  <c r="AX752" i="1" s="1"/>
  <c r="AV816" i="1"/>
  <c r="AX816" i="1" s="1"/>
  <c r="AV848" i="1"/>
  <c r="AX848" i="1" s="1"/>
  <c r="AV880" i="1"/>
  <c r="AX880" i="1" s="1"/>
  <c r="AV928" i="1"/>
  <c r="AX928" i="1" s="1"/>
  <c r="AV614" i="1"/>
  <c r="AX614" i="1" s="1"/>
  <c r="AV630" i="1"/>
  <c r="AX630" i="1" s="1"/>
  <c r="AV646" i="1"/>
  <c r="AX646" i="1" s="1"/>
  <c r="AV694" i="1"/>
  <c r="AX694" i="1" s="1"/>
  <c r="AV710" i="1"/>
  <c r="AX710" i="1" s="1"/>
  <c r="AV758" i="1"/>
  <c r="AX758" i="1" s="1"/>
  <c r="AV822" i="1"/>
  <c r="AX822" i="1" s="1"/>
  <c r="AV854" i="1"/>
  <c r="AX854" i="1" s="1"/>
  <c r="AV870" i="1"/>
  <c r="AX870" i="1" s="1"/>
  <c r="AV886" i="1"/>
  <c r="AX886" i="1" s="1"/>
  <c r="AV544" i="1"/>
  <c r="AX544" i="1" s="1"/>
  <c r="AV612" i="1"/>
  <c r="AX612" i="1" s="1"/>
  <c r="AV638" i="1"/>
  <c r="AX638" i="1" s="1"/>
  <c r="AV702" i="1"/>
  <c r="AX702" i="1" s="1"/>
  <c r="AV718" i="1"/>
  <c r="AX718" i="1" s="1"/>
  <c r="AV798" i="1"/>
  <c r="AX798" i="1" s="1"/>
  <c r="AV830" i="1"/>
  <c r="AX830" i="1" s="1"/>
  <c r="AV707" i="1"/>
  <c r="AX707" i="1" s="1"/>
  <c r="AV711" i="1"/>
  <c r="AX711" i="1" s="1"/>
  <c r="AV715" i="1"/>
  <c r="AX715" i="1" s="1"/>
  <c r="AV739" i="1"/>
  <c r="AX739" i="1" s="1"/>
  <c r="AV743" i="1"/>
  <c r="AX743" i="1" s="1"/>
  <c r="AV747" i="1"/>
  <c r="AX747" i="1" s="1"/>
  <c r="AV751" i="1"/>
  <c r="AX751" i="1" s="1"/>
  <c r="AV620" i="1"/>
  <c r="AX620" i="1" s="1"/>
  <c r="AV628" i="1"/>
  <c r="AX628" i="1" s="1"/>
  <c r="AV636" i="1"/>
  <c r="AX636" i="1" s="1"/>
  <c r="AV644" i="1"/>
  <c r="AX644" i="1" s="1"/>
  <c r="AV652" i="1"/>
  <c r="AX652" i="1" s="1"/>
  <c r="AV654" i="1"/>
  <c r="AX654" i="1" s="1"/>
  <c r="AV660" i="1"/>
  <c r="AX660" i="1" s="1"/>
  <c r="AV668" i="1"/>
  <c r="AX668" i="1" s="1"/>
  <c r="AV676" i="1"/>
  <c r="AX676" i="1" s="1"/>
  <c r="AV684" i="1"/>
  <c r="AX684" i="1" s="1"/>
  <c r="AV692" i="1"/>
  <c r="AX692" i="1" s="1"/>
  <c r="AV700" i="1"/>
  <c r="AX700" i="1" s="1"/>
  <c r="AV708" i="1"/>
  <c r="AX708" i="1" s="1"/>
  <c r="AV716" i="1"/>
  <c r="AX716" i="1" s="1"/>
  <c r="AV724" i="1"/>
  <c r="AX724" i="1" s="1"/>
  <c r="AV728" i="1"/>
  <c r="AX728" i="1" s="1"/>
  <c r="AV732" i="1"/>
  <c r="AX732" i="1" s="1"/>
  <c r="AV740" i="1"/>
  <c r="AX740" i="1" s="1"/>
  <c r="AV748" i="1"/>
  <c r="AX748" i="1" s="1"/>
  <c r="AV750" i="1"/>
  <c r="AX750" i="1" s="1"/>
  <c r="AV756" i="1"/>
  <c r="AX756" i="1" s="1"/>
  <c r="AV764" i="1"/>
  <c r="AX764" i="1" s="1"/>
  <c r="AV772" i="1"/>
  <c r="AX772" i="1" s="1"/>
  <c r="AV780" i="1"/>
  <c r="AX780" i="1" s="1"/>
  <c r="AV788" i="1"/>
  <c r="AX788" i="1" s="1"/>
  <c r="AV796" i="1"/>
  <c r="AX796" i="1" s="1"/>
  <c r="AV804" i="1"/>
  <c r="AX804" i="1" s="1"/>
  <c r="AV812" i="1"/>
  <c r="AX812" i="1" s="1"/>
  <c r="AV820" i="1"/>
  <c r="AX820" i="1" s="1"/>
  <c r="AV828" i="1"/>
  <c r="AX828" i="1" s="1"/>
  <c r="AV834" i="1"/>
  <c r="AX834" i="1" s="1"/>
  <c r="AV836" i="1"/>
  <c r="AX836" i="1" s="1"/>
  <c r="AV844" i="1"/>
  <c r="AX844" i="1" s="1"/>
  <c r="AV852" i="1"/>
  <c r="AX852" i="1" s="1"/>
  <c r="AV860" i="1"/>
  <c r="AX860" i="1" s="1"/>
  <c r="AV868" i="1"/>
  <c r="AX868" i="1" s="1"/>
  <c r="AV876" i="1"/>
  <c r="AX876" i="1" s="1"/>
  <c r="AV884" i="1"/>
  <c r="AX884" i="1" s="1"/>
  <c r="AV892" i="1"/>
  <c r="AX892" i="1" s="1"/>
  <c r="AV900" i="1"/>
  <c r="AX900" i="1" s="1"/>
  <c r="AV908" i="1"/>
  <c r="AX908" i="1" s="1"/>
  <c r="AV760" i="1"/>
  <c r="AX760" i="1" s="1"/>
  <c r="AV792" i="1"/>
  <c r="AX792" i="1" s="1"/>
  <c r="AV824" i="1"/>
  <c r="AX824" i="1" s="1"/>
  <c r="AV856" i="1"/>
  <c r="AX856" i="1" s="1"/>
  <c r="AV888" i="1"/>
  <c r="AX888" i="1" s="1"/>
  <c r="AV862" i="1"/>
  <c r="AX862" i="1" s="1"/>
  <c r="AV878" i="1"/>
  <c r="AX878" i="1" s="1"/>
  <c r="AV894" i="1"/>
  <c r="AX894" i="1" s="1"/>
  <c r="AV926" i="1"/>
  <c r="AX926" i="1" s="1"/>
  <c r="AV942" i="1"/>
  <c r="AX942" i="1" s="1"/>
  <c r="AV776" i="1"/>
  <c r="AX776" i="1" s="1"/>
  <c r="AV605" i="1"/>
  <c r="AX605" i="1" s="1"/>
  <c r="AV609" i="1"/>
  <c r="AX609" i="1" s="1"/>
  <c r="AV611" i="1"/>
  <c r="AX611" i="1" s="1"/>
  <c r="AV613" i="1"/>
  <c r="AX613" i="1" s="1"/>
  <c r="AV615" i="1"/>
  <c r="AX615" i="1" s="1"/>
  <c r="AV617" i="1"/>
  <c r="AX617" i="1" s="1"/>
  <c r="AV619" i="1"/>
  <c r="AX619" i="1" s="1"/>
  <c r="AV621" i="1"/>
  <c r="AX621" i="1" s="1"/>
  <c r="AV623" i="1"/>
  <c r="AX623" i="1" s="1"/>
  <c r="AV625" i="1"/>
  <c r="AX625" i="1" s="1"/>
  <c r="AV627" i="1"/>
  <c r="AX627" i="1" s="1"/>
  <c r="AV629" i="1"/>
  <c r="AX629" i="1" s="1"/>
  <c r="AV631" i="1"/>
  <c r="AX631" i="1" s="1"/>
  <c r="AV633" i="1"/>
  <c r="AX633" i="1" s="1"/>
  <c r="AV635" i="1"/>
  <c r="AX635" i="1" s="1"/>
  <c r="AV637" i="1"/>
  <c r="AX637" i="1" s="1"/>
  <c r="AV639" i="1"/>
  <c r="AX639" i="1" s="1"/>
  <c r="AV641" i="1"/>
  <c r="AX641" i="1" s="1"/>
  <c r="AV643" i="1"/>
  <c r="AX643" i="1" s="1"/>
  <c r="AV645" i="1"/>
  <c r="AX645" i="1" s="1"/>
  <c r="AV647" i="1"/>
  <c r="AX647" i="1" s="1"/>
  <c r="AV649" i="1"/>
  <c r="AX649" i="1" s="1"/>
  <c r="AV651" i="1"/>
  <c r="AX651" i="1" s="1"/>
  <c r="AV653" i="1"/>
  <c r="AX653" i="1" s="1"/>
  <c r="AV655" i="1"/>
  <c r="AX655" i="1" s="1"/>
  <c r="AV657" i="1"/>
  <c r="AX657" i="1" s="1"/>
  <c r="AV659" i="1"/>
  <c r="AX659" i="1" s="1"/>
  <c r="AV661" i="1"/>
  <c r="AX661" i="1" s="1"/>
  <c r="AV665" i="1"/>
  <c r="AX665" i="1" s="1"/>
  <c r="AV667" i="1"/>
  <c r="AX667" i="1" s="1"/>
  <c r="AV685" i="1"/>
  <c r="AX685" i="1" s="1"/>
  <c r="AV689" i="1"/>
  <c r="AX689" i="1" s="1"/>
  <c r="AV693" i="1"/>
  <c r="AX693" i="1" s="1"/>
  <c r="AV697" i="1"/>
  <c r="AX697" i="1" s="1"/>
  <c r="AV701" i="1"/>
  <c r="AX701" i="1" s="1"/>
  <c r="AV705" i="1"/>
  <c r="AX705" i="1" s="1"/>
  <c r="AV709" i="1"/>
  <c r="AX709" i="1" s="1"/>
  <c r="AV713" i="1"/>
  <c r="AX713" i="1" s="1"/>
  <c r="AV717" i="1"/>
  <c r="AX717" i="1" s="1"/>
  <c r="AV721" i="1"/>
  <c r="AX721" i="1" s="1"/>
  <c r="AV725" i="1"/>
  <c r="AX725" i="1" s="1"/>
  <c r="AV729" i="1"/>
  <c r="AX729" i="1" s="1"/>
  <c r="AV733" i="1"/>
  <c r="AX733" i="1" s="1"/>
  <c r="AV737" i="1"/>
  <c r="AX737" i="1" s="1"/>
  <c r="AV741" i="1"/>
  <c r="AX741" i="1" s="1"/>
  <c r="AV745" i="1"/>
  <c r="AX745" i="1" s="1"/>
  <c r="AV749" i="1"/>
  <c r="AX749" i="1" s="1"/>
  <c r="AV753" i="1"/>
  <c r="AX753" i="1" s="1"/>
  <c r="AV757" i="1"/>
  <c r="AX757" i="1" s="1"/>
  <c r="AV761" i="1"/>
  <c r="AX761" i="1" s="1"/>
  <c r="AV767" i="1"/>
  <c r="AX767" i="1" s="1"/>
  <c r="AV771" i="1"/>
  <c r="AX771" i="1" s="1"/>
  <c r="AV775" i="1"/>
  <c r="AX775" i="1" s="1"/>
  <c r="AV779" i="1"/>
  <c r="AX779" i="1" s="1"/>
  <c r="AV783" i="1"/>
  <c r="AX783" i="1" s="1"/>
  <c r="AV787" i="1"/>
  <c r="AX787" i="1" s="1"/>
  <c r="AV791" i="1"/>
  <c r="AX791" i="1" s="1"/>
  <c r="AV795" i="1"/>
  <c r="AX795" i="1" s="1"/>
  <c r="AV799" i="1"/>
  <c r="AX799" i="1" s="1"/>
  <c r="AV803" i="1"/>
  <c r="AX803" i="1" s="1"/>
  <c r="AV807" i="1"/>
  <c r="AX807" i="1" s="1"/>
  <c r="AV811" i="1"/>
  <c r="AX811" i="1" s="1"/>
  <c r="AV815" i="1"/>
  <c r="AX815" i="1" s="1"/>
  <c r="AV819" i="1"/>
  <c r="AX819" i="1" s="1"/>
  <c r="AV823" i="1"/>
  <c r="AX823" i="1" s="1"/>
  <c r="AV827" i="1"/>
  <c r="AX827" i="1" s="1"/>
  <c r="AV833" i="1"/>
  <c r="AX833" i="1" s="1"/>
  <c r="AV841" i="1"/>
  <c r="AX841" i="1" s="1"/>
  <c r="AV849" i="1"/>
  <c r="AX849" i="1" s="1"/>
  <c r="AV857" i="1"/>
  <c r="AX857" i="1" s="1"/>
  <c r="AV867" i="1"/>
  <c r="AX867" i="1" s="1"/>
  <c r="AV875" i="1"/>
  <c r="AX875" i="1" s="1"/>
  <c r="AV885" i="1"/>
  <c r="AX885" i="1" s="1"/>
  <c r="AV769" i="1"/>
  <c r="AX769" i="1" s="1"/>
  <c r="AV695" i="1"/>
  <c r="AX695" i="1" s="1"/>
  <c r="AV727" i="1"/>
  <c r="AX727" i="1" s="1"/>
  <c r="AV663" i="1"/>
  <c r="AX663" i="1" s="1"/>
  <c r="AV829" i="1"/>
  <c r="AX829" i="1" s="1"/>
  <c r="AV839" i="1"/>
  <c r="AX839" i="1" s="1"/>
  <c r="AV847" i="1"/>
  <c r="AX847" i="1" s="1"/>
  <c r="AV855" i="1"/>
  <c r="AX855" i="1" s="1"/>
  <c r="AV863" i="1"/>
  <c r="AX863" i="1" s="1"/>
  <c r="AV869" i="1"/>
  <c r="AX869" i="1" s="1"/>
  <c r="AV877" i="1"/>
  <c r="AX877" i="1" s="1"/>
  <c r="AV883" i="1"/>
  <c r="AX883" i="1" s="1"/>
  <c r="AV889" i="1"/>
  <c r="AX889" i="1" s="1"/>
  <c r="AV765" i="1"/>
  <c r="AX765" i="1" s="1"/>
  <c r="AV835" i="1"/>
  <c r="AX835" i="1" s="1"/>
  <c r="AV843" i="1"/>
  <c r="AX843" i="1" s="1"/>
  <c r="AV851" i="1"/>
  <c r="AX851" i="1" s="1"/>
  <c r="AV859" i="1"/>
  <c r="AX859" i="1" s="1"/>
  <c r="AV865" i="1"/>
  <c r="AX865" i="1" s="1"/>
  <c r="AV873" i="1"/>
  <c r="AX873" i="1" s="1"/>
  <c r="AV879" i="1"/>
  <c r="AX879" i="1" s="1"/>
  <c r="AV887" i="1"/>
  <c r="AX887" i="1" s="1"/>
  <c r="AV893" i="1"/>
  <c r="AX893" i="1" s="1"/>
  <c r="AV691" i="1"/>
  <c r="AX691" i="1" s="1"/>
  <c r="AV699" i="1"/>
  <c r="AX699" i="1" s="1"/>
  <c r="AV703" i="1"/>
  <c r="AX703" i="1" s="1"/>
  <c r="AV723" i="1"/>
  <c r="AX723" i="1" s="1"/>
  <c r="AV731" i="1"/>
  <c r="AX731" i="1" s="1"/>
  <c r="AV735" i="1"/>
  <c r="AX735" i="1" s="1"/>
  <c r="AV755" i="1"/>
  <c r="AX755" i="1" s="1"/>
  <c r="AV759" i="1"/>
  <c r="AX759" i="1" s="1"/>
  <c r="AV763" i="1"/>
  <c r="AX763" i="1" s="1"/>
  <c r="AV773" i="1"/>
  <c r="AX773" i="1" s="1"/>
  <c r="AV777" i="1"/>
  <c r="AX777" i="1" s="1"/>
  <c r="AV781" i="1"/>
  <c r="AX781" i="1" s="1"/>
  <c r="AV785" i="1"/>
  <c r="AX785" i="1" s="1"/>
  <c r="AV789" i="1"/>
  <c r="AX789" i="1" s="1"/>
  <c r="AV793" i="1"/>
  <c r="AX793" i="1" s="1"/>
  <c r="AV797" i="1"/>
  <c r="AX797" i="1" s="1"/>
  <c r="AV801" i="1"/>
  <c r="AX801" i="1" s="1"/>
  <c r="AV805" i="1"/>
  <c r="AX805" i="1" s="1"/>
  <c r="AV809" i="1"/>
  <c r="AX809" i="1" s="1"/>
  <c r="AV813" i="1"/>
  <c r="AX813" i="1" s="1"/>
  <c r="AV817" i="1"/>
  <c r="AX817" i="1" s="1"/>
  <c r="AV821" i="1"/>
  <c r="AX821" i="1" s="1"/>
  <c r="AV825" i="1"/>
  <c r="AX825" i="1" s="1"/>
  <c r="AV831" i="1"/>
  <c r="AX831" i="1" s="1"/>
  <c r="AV837" i="1"/>
  <c r="AX837" i="1" s="1"/>
  <c r="AV845" i="1"/>
  <c r="AX845" i="1" s="1"/>
  <c r="AV853" i="1"/>
  <c r="AX853" i="1" s="1"/>
  <c r="AV861" i="1"/>
  <c r="AX861" i="1" s="1"/>
  <c r="AV871" i="1"/>
  <c r="AX871" i="1" s="1"/>
  <c r="AV881" i="1"/>
  <c r="AX881" i="1" s="1"/>
  <c r="AV891" i="1"/>
  <c r="AX891" i="1" s="1"/>
  <c r="AV687" i="1"/>
  <c r="AX687" i="1" s="1"/>
  <c r="AV719" i="1"/>
  <c r="AX719" i="1" s="1"/>
  <c r="AV669" i="1"/>
  <c r="AX669" i="1" s="1"/>
  <c r="AV671" i="1"/>
  <c r="AX671" i="1" s="1"/>
  <c r="AV673" i="1"/>
  <c r="AX673" i="1" s="1"/>
  <c r="AV675" i="1"/>
  <c r="AX675" i="1" s="1"/>
  <c r="AV677" i="1"/>
  <c r="AX677" i="1" s="1"/>
  <c r="AV679" i="1"/>
  <c r="AX679" i="1" s="1"/>
  <c r="AV681" i="1"/>
  <c r="AX681" i="1" s="1"/>
  <c r="AV683" i="1"/>
  <c r="AX683" i="1" s="1"/>
  <c r="AV531" i="1"/>
  <c r="AX531" i="1" s="1"/>
  <c r="AV579" i="1"/>
  <c r="AX579" i="1" s="1"/>
  <c r="AV557" i="1"/>
  <c r="AX557" i="1" s="1"/>
  <c r="AV565" i="1"/>
  <c r="AX565" i="1" s="1"/>
  <c r="AV573" i="1"/>
  <c r="AX573" i="1" s="1"/>
  <c r="AV577" i="1"/>
  <c r="AX577" i="1" s="1"/>
  <c r="B445" i="1"/>
  <c r="C445" i="1" s="1"/>
  <c r="AT445" i="1"/>
  <c r="A37" i="1"/>
  <c r="AJ36" i="1"/>
  <c r="D36" i="1"/>
  <c r="B294" i="1" l="1"/>
  <c r="C294" i="1" s="1"/>
  <c r="AT294" i="1"/>
  <c r="B293" i="1"/>
  <c r="C293" i="1" s="1"/>
  <c r="AT293" i="1"/>
  <c r="B292" i="1"/>
  <c r="C292" i="1" s="1"/>
  <c r="AT292" i="1"/>
  <c r="AJ37" i="1"/>
  <c r="A38" i="1"/>
  <c r="D37" i="1"/>
  <c r="D38" i="1"/>
  <c r="A39" i="1"/>
  <c r="B78" i="1" l="1"/>
  <c r="C78" i="1" s="1"/>
  <c r="B79" i="1"/>
  <c r="C79" i="1" s="1"/>
  <c r="B81" i="1"/>
  <c r="C81" i="1" s="1"/>
  <c r="B82" i="1"/>
  <c r="C82" i="1" s="1"/>
  <c r="B83" i="1"/>
  <c r="C83" i="1" s="1"/>
  <c r="B140" i="1"/>
  <c r="C140" i="1" s="1"/>
  <c r="B142" i="1"/>
  <c r="C142" i="1" s="1"/>
  <c r="B143" i="1"/>
  <c r="C143" i="1" s="1"/>
  <c r="B145" i="1"/>
  <c r="C145" i="1" s="1"/>
  <c r="B147" i="1"/>
  <c r="C147" i="1" s="1"/>
  <c r="B148" i="1"/>
  <c r="C148" i="1" s="1"/>
  <c r="B149" i="1"/>
  <c r="C149" i="1" s="1"/>
  <c r="B152" i="1"/>
  <c r="C152" i="1" s="1"/>
  <c r="B154" i="1"/>
  <c r="C154" i="1" s="1"/>
  <c r="B156" i="1"/>
  <c r="C156" i="1" s="1"/>
  <c r="B157" i="1"/>
  <c r="C157" i="1" s="1"/>
  <c r="B158" i="1"/>
  <c r="C158" i="1" s="1"/>
  <c r="B160" i="1"/>
  <c r="C160" i="1" s="1"/>
  <c r="B161" i="1"/>
  <c r="C161" i="1" s="1"/>
  <c r="B162" i="1"/>
  <c r="C162" i="1" s="1"/>
  <c r="B163" i="1"/>
  <c r="C163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4" i="1"/>
  <c r="C174" i="1" s="1"/>
  <c r="B178" i="1"/>
  <c r="C178" i="1" s="1"/>
  <c r="B180" i="1"/>
  <c r="C180" i="1" s="1"/>
  <c r="B181" i="1"/>
  <c r="C181" i="1" s="1"/>
  <c r="B182" i="1"/>
  <c r="C182" i="1" s="1"/>
  <c r="B184" i="1"/>
  <c r="C184" i="1" s="1"/>
  <c r="B186" i="1"/>
  <c r="C186" i="1" s="1"/>
  <c r="B187" i="1"/>
  <c r="C187" i="1" s="1"/>
  <c r="B189" i="1"/>
  <c r="C189" i="1" s="1"/>
  <c r="B190" i="1"/>
  <c r="C190" i="1" s="1"/>
  <c r="B192" i="1"/>
  <c r="C192" i="1" s="1"/>
  <c r="B193" i="1"/>
  <c r="C193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3" i="1"/>
  <c r="C203" i="1" s="1"/>
  <c r="B204" i="1"/>
  <c r="C204" i="1" s="1"/>
  <c r="B206" i="1"/>
  <c r="C206" i="1" s="1"/>
  <c r="B208" i="1"/>
  <c r="C208" i="1" s="1"/>
  <c r="B210" i="1"/>
  <c r="C210" i="1" s="1"/>
  <c r="B211" i="1"/>
  <c r="C211" i="1" s="1"/>
  <c r="B214" i="1"/>
  <c r="C214" i="1" s="1"/>
  <c r="B215" i="1"/>
  <c r="C215" i="1" s="1"/>
  <c r="B216" i="1"/>
  <c r="C216" i="1" s="1"/>
  <c r="B218" i="1"/>
  <c r="C218" i="1" s="1"/>
  <c r="B219" i="1"/>
  <c r="C219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9" i="1"/>
  <c r="C229" i="1" s="1"/>
  <c r="B230" i="1"/>
  <c r="C230" i="1" s="1"/>
  <c r="B231" i="1"/>
  <c r="C231" i="1" s="1"/>
  <c r="B233" i="1"/>
  <c r="C233" i="1" s="1"/>
  <c r="B234" i="1"/>
  <c r="C234" i="1" s="1"/>
  <c r="B235" i="1"/>
  <c r="C235" i="1" s="1"/>
  <c r="B236" i="1"/>
  <c r="C236" i="1" s="1"/>
  <c r="B238" i="1"/>
  <c r="C238" i="1" s="1"/>
  <c r="B239" i="1"/>
  <c r="C239" i="1" s="1"/>
  <c r="B240" i="1"/>
  <c r="C240" i="1" s="1"/>
  <c r="B242" i="1"/>
  <c r="C242" i="1" s="1"/>
  <c r="B243" i="1"/>
  <c r="C243" i="1" s="1"/>
  <c r="B245" i="1"/>
  <c r="C245" i="1" s="1"/>
  <c r="B246" i="1"/>
  <c r="C246" i="1" s="1"/>
  <c r="B248" i="1"/>
  <c r="C248" i="1" s="1"/>
  <c r="B249" i="1"/>
  <c r="C249" i="1" s="1"/>
  <c r="B250" i="1"/>
  <c r="C250" i="1" s="1"/>
  <c r="B254" i="1"/>
  <c r="C254" i="1" s="1"/>
  <c r="B255" i="1"/>
  <c r="C255" i="1" s="1"/>
  <c r="B256" i="1"/>
  <c r="C256" i="1" s="1"/>
  <c r="B258" i="1"/>
  <c r="C258" i="1" s="1"/>
  <c r="B259" i="1"/>
  <c r="C259" i="1" s="1"/>
  <c r="B260" i="1"/>
  <c r="C260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3" i="1"/>
  <c r="C283" i="1" s="1"/>
  <c r="B284" i="1"/>
  <c r="C284" i="1" s="1"/>
  <c r="B285" i="1"/>
  <c r="C285" i="1" s="1"/>
  <c r="B286" i="1"/>
  <c r="C286" i="1" s="1"/>
  <c r="B288" i="1"/>
  <c r="C288" i="1" s="1"/>
  <c r="B290" i="1"/>
  <c r="C290" i="1" s="1"/>
  <c r="B291" i="1"/>
  <c r="C291" i="1" s="1"/>
  <c r="B296" i="1"/>
  <c r="C296" i="1" s="1"/>
  <c r="B297" i="1"/>
  <c r="C297" i="1" s="1"/>
  <c r="B299" i="1"/>
  <c r="C299" i="1" s="1"/>
  <c r="B301" i="1"/>
  <c r="C301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1" i="1"/>
  <c r="C321" i="1" s="1"/>
  <c r="B322" i="1"/>
  <c r="B324" i="1"/>
  <c r="C324" i="1" s="1"/>
  <c r="B325" i="1"/>
  <c r="C325" i="1" s="1"/>
  <c r="B326" i="1"/>
  <c r="B327" i="1"/>
  <c r="C327" i="1" s="1"/>
  <c r="B328" i="1"/>
  <c r="C328" i="1" s="1"/>
  <c r="B329" i="1"/>
  <c r="C329" i="1" s="1"/>
  <c r="B330" i="1"/>
  <c r="B331" i="1"/>
  <c r="C331" i="1" s="1"/>
  <c r="B334" i="1"/>
  <c r="C334" i="1" s="1"/>
  <c r="B335" i="1"/>
  <c r="C335" i="1" s="1"/>
  <c r="B336" i="1"/>
  <c r="C336" i="1" s="1"/>
  <c r="B338" i="1"/>
  <c r="B339" i="1"/>
  <c r="C339" i="1" s="1"/>
  <c r="B341" i="1"/>
  <c r="C341" i="1" s="1"/>
  <c r="B342" i="1"/>
  <c r="B345" i="1"/>
  <c r="C345" i="1" s="1"/>
  <c r="B346" i="1"/>
  <c r="C346" i="1" s="1"/>
  <c r="B349" i="1"/>
  <c r="C349" i="1" s="1"/>
  <c r="B350" i="1"/>
  <c r="B352" i="1"/>
  <c r="C352" i="1" s="1"/>
  <c r="B354" i="1"/>
  <c r="B355" i="1"/>
  <c r="C355" i="1" s="1"/>
  <c r="B356" i="1"/>
  <c r="C356" i="1" s="1"/>
  <c r="B358" i="1"/>
  <c r="C358" i="1" s="1"/>
  <c r="B361" i="1"/>
  <c r="C361" i="1" s="1"/>
  <c r="B362" i="1"/>
  <c r="B363" i="1"/>
  <c r="C363" i="1" s="1"/>
  <c r="B364" i="1"/>
  <c r="C364" i="1" s="1"/>
  <c r="B365" i="1"/>
  <c r="C365" i="1" s="1"/>
  <c r="B366" i="1"/>
  <c r="B367" i="1"/>
  <c r="C367" i="1" s="1"/>
  <c r="B368" i="1"/>
  <c r="C368" i="1" s="1"/>
  <c r="B369" i="1"/>
  <c r="C369" i="1" s="1"/>
  <c r="B371" i="1"/>
  <c r="C371" i="1" s="1"/>
  <c r="B373" i="1"/>
  <c r="C373" i="1" s="1"/>
  <c r="B374" i="1"/>
  <c r="C374" i="1" s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4" i="1"/>
  <c r="C384" i="1" s="1"/>
  <c r="B387" i="1"/>
  <c r="C387" i="1" s="1"/>
  <c r="B389" i="1"/>
  <c r="C389" i="1" s="1"/>
  <c r="B390" i="1"/>
  <c r="C390" i="1" s="1"/>
  <c r="B392" i="1"/>
  <c r="C392" i="1" s="1"/>
  <c r="B393" i="1"/>
  <c r="C393" i="1" s="1"/>
  <c r="B395" i="1"/>
  <c r="C395" i="1" s="1"/>
  <c r="B399" i="1"/>
  <c r="C399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B407" i="1"/>
  <c r="C407" i="1" s="1"/>
  <c r="B408" i="1"/>
  <c r="C408" i="1" s="1"/>
  <c r="B412" i="1"/>
  <c r="C412" i="1" s="1"/>
  <c r="B414" i="1"/>
  <c r="C414" i="1" s="1"/>
  <c r="B415" i="1"/>
  <c r="C415" i="1" s="1"/>
  <c r="B416" i="1"/>
  <c r="C416" i="1" s="1"/>
  <c r="B417" i="1"/>
  <c r="C417" i="1" s="1"/>
  <c r="B419" i="1"/>
  <c r="C419" i="1" s="1"/>
  <c r="B420" i="1"/>
  <c r="C420" i="1" s="1"/>
  <c r="B423" i="1"/>
  <c r="C423" i="1" s="1"/>
  <c r="B424" i="1"/>
  <c r="C424" i="1" s="1"/>
  <c r="B425" i="1"/>
  <c r="C425" i="1" s="1"/>
  <c r="B426" i="1"/>
  <c r="B427" i="1"/>
  <c r="C427" i="1" s="1"/>
  <c r="B429" i="1"/>
  <c r="C429" i="1" s="1"/>
  <c r="B431" i="1"/>
  <c r="C431" i="1" s="1"/>
  <c r="B434" i="1"/>
  <c r="C434" i="1" s="1"/>
  <c r="B435" i="1"/>
  <c r="C435" i="1" s="1"/>
  <c r="B436" i="1"/>
  <c r="C436" i="1" s="1"/>
  <c r="B439" i="1"/>
  <c r="C439" i="1" s="1"/>
  <c r="B440" i="1"/>
  <c r="C440" i="1" s="1"/>
  <c r="B442" i="1"/>
  <c r="C442" i="1" s="1"/>
  <c r="B444" i="1"/>
  <c r="C444" i="1" s="1"/>
  <c r="B446" i="1"/>
  <c r="C446" i="1" s="1"/>
  <c r="B447" i="1"/>
  <c r="C447" i="1" s="1"/>
  <c r="B448" i="1"/>
  <c r="B449" i="1"/>
  <c r="C449" i="1" s="1"/>
  <c r="B450" i="1"/>
  <c r="C450" i="1" s="1"/>
  <c r="B452" i="1"/>
  <c r="C452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5" i="1"/>
  <c r="C465" i="1" s="1"/>
  <c r="B467" i="1"/>
  <c r="C467" i="1" s="1"/>
  <c r="B469" i="1"/>
  <c r="C469" i="1" s="1"/>
  <c r="B475" i="1"/>
  <c r="C475" i="1" s="1"/>
  <c r="B478" i="1"/>
  <c r="C478" i="1" s="1"/>
  <c r="B480" i="1"/>
  <c r="C480" i="1" s="1"/>
  <c r="B482" i="1"/>
  <c r="C482" i="1" s="1"/>
  <c r="B485" i="1"/>
  <c r="C485" i="1" s="1"/>
  <c r="B486" i="1"/>
  <c r="C486" i="1" s="1"/>
  <c r="B488" i="1"/>
  <c r="C488" i="1" s="1"/>
  <c r="B491" i="1"/>
  <c r="C491" i="1" s="1"/>
  <c r="B492" i="1"/>
  <c r="C492" i="1" s="1"/>
  <c r="B495" i="1"/>
  <c r="C495" i="1" s="1"/>
  <c r="B496" i="1"/>
  <c r="C496" i="1" s="1"/>
  <c r="B498" i="1"/>
  <c r="C498" i="1" s="1"/>
  <c r="B500" i="1"/>
  <c r="C500" i="1" s="1"/>
  <c r="B501" i="1"/>
  <c r="C501" i="1" s="1"/>
  <c r="B503" i="1"/>
  <c r="C503" i="1" s="1"/>
  <c r="B504" i="1"/>
  <c r="C504" i="1" s="1"/>
  <c r="B505" i="1"/>
  <c r="C505" i="1" s="1"/>
  <c r="B508" i="1"/>
  <c r="B510" i="1"/>
  <c r="C510" i="1" s="1"/>
  <c r="B511" i="1"/>
  <c r="C511" i="1" s="1"/>
  <c r="B513" i="1"/>
  <c r="C513" i="1" s="1"/>
  <c r="C322" i="1"/>
  <c r="C326" i="1"/>
  <c r="C330" i="1"/>
  <c r="C338" i="1"/>
  <c r="C342" i="1"/>
  <c r="C350" i="1"/>
  <c r="C354" i="1"/>
  <c r="C362" i="1"/>
  <c r="C366" i="1"/>
  <c r="C406" i="1"/>
  <c r="C426" i="1"/>
  <c r="C448" i="1"/>
  <c r="C508" i="1"/>
  <c r="AK187" i="1"/>
  <c r="AK204" i="1"/>
  <c r="AK256" i="1"/>
  <c r="AK299" i="1"/>
  <c r="AK417" i="1"/>
  <c r="AK463" i="1"/>
  <c r="AK498" i="1"/>
  <c r="AM164" i="1"/>
  <c r="AM175" i="1"/>
  <c r="AM187" i="1"/>
  <c r="AM204" i="1"/>
  <c r="AM212" i="1"/>
  <c r="AM216" i="1"/>
  <c r="AM219" i="1"/>
  <c r="AM256" i="1"/>
  <c r="AM286" i="1"/>
  <c r="AM299" i="1"/>
  <c r="AM303" i="1"/>
  <c r="AM305" i="1"/>
  <c r="AM332" i="1"/>
  <c r="AM347" i="1"/>
  <c r="AM359" i="1"/>
  <c r="AM385" i="1"/>
  <c r="AM396" i="1"/>
  <c r="AM409" i="1"/>
  <c r="AM417" i="1"/>
  <c r="AM463" i="1"/>
  <c r="AM470" i="1"/>
  <c r="AM472" i="1"/>
  <c r="AM493" i="1"/>
  <c r="AM498" i="1"/>
  <c r="AM506" i="1"/>
  <c r="AS204" i="1"/>
  <c r="AS216" i="1"/>
  <c r="AS256" i="1"/>
  <c r="AS299" i="1"/>
  <c r="AS502" i="1"/>
  <c r="AS510" i="1"/>
  <c r="AT78" i="1"/>
  <c r="AT79" i="1"/>
  <c r="AT80" i="1"/>
  <c r="AT81" i="1"/>
  <c r="AT82" i="1"/>
  <c r="AT83" i="1"/>
  <c r="AT84" i="1"/>
  <c r="AT138" i="1"/>
  <c r="AT139" i="1"/>
  <c r="AT140" i="1"/>
  <c r="AT141" i="1"/>
  <c r="AT142" i="1"/>
  <c r="AT143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D39" i="1"/>
  <c r="A40" i="1"/>
  <c r="AJ38" i="1"/>
  <c r="AJ39" i="1"/>
  <c r="AI219" i="1" l="1"/>
  <c r="AK219" i="1"/>
  <c r="AI286" i="1"/>
  <c r="AK286" i="1"/>
  <c r="AI216" i="1"/>
  <c r="AK216" i="1"/>
  <c r="AE463" i="1"/>
  <c r="AI463" i="1"/>
  <c r="AE417" i="1"/>
  <c r="AI417" i="1"/>
  <c r="AE299" i="1"/>
  <c r="AI299" i="1"/>
  <c r="AE204" i="1"/>
  <c r="AI204" i="1"/>
  <c r="AE187" i="1"/>
  <c r="AI187" i="1"/>
  <c r="AE498" i="1"/>
  <c r="AI498" i="1"/>
  <c r="AE256" i="1"/>
  <c r="AI256" i="1"/>
  <c r="AF219" i="1"/>
  <c r="AE219" i="1"/>
  <c r="AF286" i="1"/>
  <c r="AE286" i="1"/>
  <c r="AF216" i="1"/>
  <c r="AE216" i="1"/>
  <c r="AW463" i="1"/>
  <c r="AF463" i="1"/>
  <c r="AF417" i="1"/>
  <c r="AU299" i="1"/>
  <c r="AF299" i="1"/>
  <c r="AU204" i="1"/>
  <c r="AF204" i="1"/>
  <c r="AF187" i="1"/>
  <c r="AF498" i="1"/>
  <c r="AU256" i="1"/>
  <c r="AF256" i="1"/>
  <c r="AS450" i="1"/>
  <c r="AS482" i="1"/>
  <c r="AS506" i="1"/>
  <c r="AS498" i="1"/>
  <c r="AS470" i="1"/>
  <c r="AU216" i="1"/>
  <c r="AS512" i="1"/>
  <c r="AS508" i="1"/>
  <c r="AS504" i="1"/>
  <c r="AS500" i="1"/>
  <c r="AS496" i="1"/>
  <c r="AS488" i="1"/>
  <c r="AS472" i="1"/>
  <c r="AS513" i="1"/>
  <c r="AS511" i="1"/>
  <c r="AS509" i="1"/>
  <c r="AS507" i="1"/>
  <c r="AS505" i="1"/>
  <c r="AS503" i="1"/>
  <c r="AS501" i="1"/>
  <c r="AS499" i="1"/>
  <c r="AS493" i="1"/>
  <c r="AS475" i="1"/>
  <c r="AS465" i="1"/>
  <c r="AS463" i="1"/>
  <c r="AS442" i="1"/>
  <c r="AS436" i="1"/>
  <c r="AS417" i="1"/>
  <c r="AS286" i="1"/>
  <c r="AU463" i="1"/>
  <c r="AW286" i="1"/>
  <c r="AW417" i="1"/>
  <c r="AU417" i="1"/>
  <c r="AU286" i="1"/>
  <c r="AW299" i="1"/>
  <c r="AW256" i="1"/>
  <c r="AW216" i="1"/>
  <c r="AW204" i="1"/>
  <c r="AW219" i="1"/>
  <c r="AW187" i="1"/>
  <c r="AW498" i="1"/>
  <c r="AU498" i="1"/>
  <c r="AU219" i="1"/>
  <c r="AU187" i="1"/>
  <c r="AS219" i="1"/>
  <c r="AS187" i="1"/>
  <c r="AJ40" i="1"/>
  <c r="D40" i="1"/>
  <c r="A41" i="1"/>
  <c r="AV204" i="1" l="1"/>
  <c r="AX204" i="1" s="1"/>
  <c r="AV256" i="1"/>
  <c r="AX256" i="1" s="1"/>
  <c r="AV299" i="1"/>
  <c r="AX299" i="1" s="1"/>
  <c r="AV498" i="1"/>
  <c r="AX498" i="1" s="1"/>
  <c r="AV216" i="1"/>
  <c r="AX216" i="1" s="1"/>
  <c r="AV463" i="1"/>
  <c r="AX463" i="1" s="1"/>
  <c r="AV187" i="1"/>
  <c r="AX187" i="1" s="1"/>
  <c r="AV417" i="1"/>
  <c r="AX417" i="1" s="1"/>
  <c r="AV286" i="1"/>
  <c r="AX286" i="1" s="1"/>
  <c r="AV219" i="1"/>
  <c r="AX219" i="1" s="1"/>
  <c r="A42" i="1"/>
  <c r="AJ42" i="1"/>
  <c r="D42" i="1"/>
  <c r="G1" i="13" l="1"/>
  <c r="G13" i="3"/>
  <c r="A43" i="1"/>
  <c r="A44" i="1"/>
  <c r="AJ43" i="1"/>
  <c r="D43" i="1"/>
  <c r="F1" i="13" l="1"/>
  <c r="A45" i="1"/>
  <c r="AT3" i="1" l="1"/>
  <c r="AT4" i="1"/>
  <c r="AT6" i="1"/>
  <c r="AT7" i="1"/>
  <c r="AT8" i="1"/>
  <c r="AT9" i="1"/>
  <c r="AT10" i="1"/>
  <c r="AT11" i="1"/>
  <c r="AT13" i="1"/>
  <c r="AT14" i="1"/>
  <c r="AT15" i="1"/>
  <c r="AT16" i="1"/>
  <c r="AT18" i="1"/>
  <c r="AT19" i="1"/>
  <c r="AT20" i="1"/>
  <c r="AT21" i="1"/>
  <c r="AT24" i="1"/>
  <c r="AT25" i="1"/>
  <c r="AT26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100" i="1"/>
  <c r="AT101" i="1"/>
  <c r="AT102" i="1"/>
  <c r="AT103" i="1"/>
  <c r="AT104" i="1"/>
  <c r="AT105" i="1"/>
  <c r="AT10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60" i="1"/>
  <c r="AT61" i="1"/>
  <c r="AT62" i="1"/>
  <c r="AT108" i="1"/>
  <c r="AT109" i="1"/>
  <c r="AT111" i="1"/>
  <c r="AT113" i="1"/>
  <c r="AT45" i="1"/>
  <c r="AT46" i="1"/>
  <c r="AT116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46" i="1"/>
  <c r="AJ45" i="1"/>
  <c r="AJ46" i="1"/>
  <c r="A47" i="1"/>
  <c r="D47" i="1" s="1"/>
  <c r="D46" i="1"/>
  <c r="D45" i="1"/>
  <c r="B113" i="1" l="1"/>
  <c r="C113" i="1" s="1"/>
  <c r="AJ47" i="1"/>
  <c r="A48" i="1"/>
  <c r="B4" i="1" l="1"/>
  <c r="C4" i="1" s="1"/>
  <c r="B8" i="1"/>
  <c r="C8" i="1" s="1"/>
  <c r="B9" i="1"/>
  <c r="C9" i="1" s="1"/>
  <c r="B11" i="1"/>
  <c r="C11" i="1" s="1"/>
  <c r="B16" i="1"/>
  <c r="C16" i="1" s="1"/>
  <c r="B19" i="1"/>
  <c r="C19" i="1" s="1"/>
  <c r="B20" i="1"/>
  <c r="C20" i="1" s="1"/>
  <c r="B21" i="1"/>
  <c r="C21" i="1" s="1"/>
  <c r="B25" i="1"/>
  <c r="C25" i="1" s="1"/>
  <c r="B26" i="1"/>
  <c r="C26" i="1" s="1"/>
  <c r="B34" i="1"/>
  <c r="C34" i="1" s="1"/>
  <c r="B37" i="1"/>
  <c r="C37" i="1" s="1"/>
  <c r="B39" i="1"/>
  <c r="C39" i="1" s="1"/>
  <c r="B40" i="1"/>
  <c r="C40" i="1" s="1"/>
  <c r="B41" i="1"/>
  <c r="C41" i="1" s="1"/>
  <c r="B43" i="1"/>
  <c r="C43" i="1" s="1"/>
  <c r="B44" i="1"/>
  <c r="C44" i="1" s="1"/>
  <c r="B86" i="1"/>
  <c r="C86" i="1" s="1"/>
  <c r="B87" i="1"/>
  <c r="C87" i="1" s="1"/>
  <c r="B88" i="1"/>
  <c r="C88" i="1" s="1"/>
  <c r="B90" i="1"/>
  <c r="C90" i="1" s="1"/>
  <c r="B92" i="1"/>
  <c r="C92" i="1" s="1"/>
  <c r="B93" i="1"/>
  <c r="C93" i="1" s="1"/>
  <c r="B94" i="1"/>
  <c r="C94" i="1" s="1"/>
  <c r="B96" i="1"/>
  <c r="C96" i="1" s="1"/>
  <c r="B97" i="1"/>
  <c r="C97" i="1" s="1"/>
  <c r="B100" i="1"/>
  <c r="C100" i="1" s="1"/>
  <c r="B104" i="1"/>
  <c r="C104" i="1" s="1"/>
  <c r="B105" i="1"/>
  <c r="C105" i="1" s="1"/>
  <c r="B48" i="1"/>
  <c r="C48" i="1" s="1"/>
  <c r="B62" i="1"/>
  <c r="C62" i="1" s="1"/>
  <c r="B111" i="1"/>
  <c r="C111" i="1" s="1"/>
  <c r="B46" i="1"/>
  <c r="C46" i="1" s="1"/>
  <c r="B116" i="1"/>
  <c r="C116" i="1" s="1"/>
  <c r="B124" i="1"/>
  <c r="C124" i="1" s="1"/>
  <c r="B127" i="1"/>
  <c r="C127" i="1" s="1"/>
  <c r="B128" i="1"/>
  <c r="C128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66" i="1"/>
  <c r="C66" i="1" s="1"/>
  <c r="B67" i="1"/>
  <c r="C67" i="1" s="1"/>
  <c r="B69" i="1"/>
  <c r="C69" i="1" s="1"/>
  <c r="B71" i="1"/>
  <c r="C71" i="1" s="1"/>
  <c r="B73" i="1"/>
  <c r="C73" i="1" s="1"/>
  <c r="B75" i="1"/>
  <c r="C75" i="1" s="1"/>
  <c r="AS41" i="1"/>
  <c r="AS44" i="1"/>
  <c r="AS105" i="1"/>
  <c r="D48" i="1"/>
  <c r="A49" i="1"/>
  <c r="A50" i="1"/>
  <c r="AJ49" i="1"/>
  <c r="AJ48" i="1"/>
  <c r="D49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51" i="1"/>
  <c r="D51" i="1"/>
  <c r="D50" i="1"/>
  <c r="AJ5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J51" i="1"/>
  <c r="A52" i="1"/>
  <c r="AJ52" i="1"/>
  <c r="D52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53" i="1"/>
  <c r="A54" i="1"/>
  <c r="D53" i="1"/>
  <c r="AJ53" i="1"/>
  <c r="AJ54" i="1"/>
  <c r="A55" i="1"/>
  <c r="D54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F21" i="17"/>
  <c r="K21" i="17"/>
  <c r="L21" i="17" s="1"/>
  <c r="M21" i="17" s="1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6" i="1"/>
  <c r="AJ56" i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D56" i="1"/>
  <c r="A57" i="1"/>
  <c r="A58" i="1"/>
  <c r="AJ57" i="1"/>
  <c r="D5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9" i="1"/>
  <c r="A60" i="1"/>
  <c r="D58" i="1"/>
  <c r="D59" i="1"/>
  <c r="AJ58" i="1"/>
  <c r="AL59" i="1" l="1"/>
  <c r="B5" i="11"/>
  <c r="AJ59" i="1"/>
  <c r="A61" i="1"/>
  <c r="AJ60" i="1"/>
  <c r="D60" i="1"/>
  <c r="AI59" i="1"/>
  <c r="J5" i="11" l="1"/>
  <c r="C5" i="11"/>
  <c r="G5" i="11"/>
  <c r="H5" i="11"/>
  <c r="D5" i="11"/>
  <c r="F5" i="11"/>
  <c r="E5" i="11"/>
  <c r="AJ61" i="1"/>
  <c r="D61" i="1"/>
  <c r="A62" i="1"/>
  <c r="I5" i="11" l="1"/>
  <c r="K5" i="11" s="1"/>
  <c r="L5" i="11" s="1"/>
  <c r="M5" i="11" s="1"/>
  <c r="A63" i="1"/>
  <c r="D62" i="1"/>
  <c r="AJ62" i="1"/>
  <c r="B7" i="7" l="1"/>
  <c r="A64" i="1"/>
  <c r="D63" i="1"/>
  <c r="AJ63" i="1"/>
  <c r="D7" i="7" l="1"/>
  <c r="E7" i="7"/>
  <c r="F7" i="7"/>
  <c r="C7" i="7"/>
  <c r="G7" i="7"/>
  <c r="H7" i="7"/>
  <c r="A65" i="1"/>
  <c r="D65" i="1"/>
  <c r="J7" i="7" l="1"/>
  <c r="I7" i="7"/>
  <c r="AJ65" i="1"/>
  <c r="A66" i="1"/>
  <c r="D66" i="1"/>
  <c r="AJ66" i="1"/>
  <c r="A67" i="1"/>
  <c r="K7" i="7" l="1"/>
  <c r="L7" i="7" s="1"/>
  <c r="M7" i="7" s="1"/>
  <c r="A68" i="1"/>
  <c r="AJ67" i="1"/>
  <c r="D67" i="1"/>
  <c r="B4" i="11" l="1"/>
  <c r="B5" i="6"/>
  <c r="B6" i="6"/>
  <c r="AJ68" i="1"/>
  <c r="A69" i="1"/>
  <c r="D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J69" i="1"/>
  <c r="A70" i="1"/>
  <c r="D69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D70" i="1"/>
  <c r="AI69" i="1"/>
  <c r="AJ70" i="1"/>
  <c r="A71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D71" i="1"/>
  <c r="A72" i="1"/>
  <c r="AJ71" i="1"/>
  <c r="K6" i="7" l="1"/>
  <c r="L6" i="7" s="1"/>
  <c r="M6" i="7" s="1"/>
  <c r="AJ72" i="1"/>
  <c r="A73" i="1"/>
  <c r="D72" i="1"/>
  <c r="B3" i="12" l="1"/>
  <c r="B4" i="12"/>
  <c r="A74" i="1"/>
  <c r="A75" i="1"/>
  <c r="D74" i="1"/>
  <c r="AJ74" i="1"/>
  <c r="C4" i="12" l="1"/>
  <c r="H4" i="12"/>
  <c r="F4" i="12"/>
  <c r="D4" i="12"/>
  <c r="C3" i="12"/>
  <c r="F3" i="12"/>
  <c r="H3" i="12"/>
  <c r="G4" i="12"/>
  <c r="E4" i="12"/>
  <c r="E3" i="12"/>
  <c r="G3" i="12"/>
  <c r="D3" i="12"/>
  <c r="D75" i="1"/>
  <c r="A76" i="1"/>
  <c r="AJ75" i="1"/>
  <c r="AJ76" i="1"/>
  <c r="J4" i="12" l="1"/>
  <c r="J3" i="12"/>
  <c r="D76" i="1"/>
  <c r="A77" i="1"/>
  <c r="I3" i="12" l="1"/>
  <c r="K3" i="12" s="1"/>
  <c r="L3" i="12" s="1"/>
  <c r="M3" i="12" s="1"/>
  <c r="I4" i="12"/>
  <c r="K4" i="12" s="1"/>
  <c r="AJ77" i="1"/>
  <c r="D77" i="1"/>
  <c r="A78" i="1"/>
  <c r="L4" i="12" l="1"/>
  <c r="M4" i="12" s="1"/>
  <c r="A79" i="1"/>
  <c r="D78" i="1"/>
  <c r="AJ78" i="1"/>
  <c r="B39" i="5" l="1"/>
  <c r="A80" i="1"/>
  <c r="D79" i="1"/>
  <c r="AJ79" i="1"/>
  <c r="I39" i="5" l="1"/>
  <c r="J39" i="5"/>
  <c r="B40" i="5"/>
  <c r="E39" i="5"/>
  <c r="F39" i="5"/>
  <c r="H39" i="5"/>
  <c r="C39" i="5"/>
  <c r="G39" i="5"/>
  <c r="D39" i="5"/>
  <c r="A81" i="1"/>
  <c r="D80" i="1"/>
  <c r="AJ80" i="1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AJ81" i="1"/>
  <c r="D81" i="1"/>
  <c r="A82" i="1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AJ82" i="1"/>
  <c r="D82" i="1"/>
  <c r="A83" i="1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84" i="1"/>
  <c r="A85" i="1" s="1"/>
  <c r="D84" i="1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J84" i="1"/>
  <c r="A86" i="1"/>
  <c r="D85" i="1"/>
  <c r="AJ85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87" i="1"/>
  <c r="D86" i="1"/>
  <c r="AJ86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8" i="1"/>
  <c r="D87" i="1"/>
  <c r="AJ87" i="1"/>
  <c r="B4" i="6" l="1"/>
  <c r="G4" i="6" s="1"/>
  <c r="K35" i="4"/>
  <c r="L35" i="4" s="1"/>
  <c r="M35" i="4" s="1"/>
  <c r="D88" i="1"/>
  <c r="AJ88" i="1"/>
  <c r="A89" i="1"/>
  <c r="F4" i="6" l="1"/>
  <c r="D4" i="6"/>
  <c r="C4" i="6"/>
  <c r="H4" i="6"/>
  <c r="E4" i="6"/>
  <c r="J4" i="6"/>
  <c r="D89" i="1"/>
  <c r="AJ89" i="1"/>
  <c r="A90" i="1"/>
  <c r="AJ90" i="1"/>
  <c r="I4" i="6" l="1"/>
  <c r="K4" i="6" s="1"/>
  <c r="L4" i="6" s="1"/>
  <c r="M4" i="6" s="1"/>
  <c r="I41" i="5"/>
  <c r="K41" i="5" s="1"/>
  <c r="L41" i="5" s="1"/>
  <c r="M41" i="5" s="1"/>
  <c r="A91" i="1"/>
  <c r="D90" i="1"/>
  <c r="D91" i="1"/>
  <c r="A92" i="1"/>
  <c r="AJ91" i="1"/>
  <c r="B4" i="9" l="1"/>
  <c r="A93" i="1"/>
  <c r="D92" i="1"/>
  <c r="AJ92" i="1"/>
  <c r="J4" i="9" l="1"/>
  <c r="G4" i="9"/>
  <c r="D4" i="9"/>
  <c r="H4" i="9"/>
  <c r="C4" i="9"/>
  <c r="I4" i="9"/>
  <c r="E4" i="9"/>
  <c r="F4" i="9"/>
  <c r="AJ93" i="1"/>
  <c r="A94" i="1"/>
  <c r="D93" i="1"/>
  <c r="A95" i="1"/>
  <c r="D95" i="1" s="1"/>
  <c r="K4" i="9" l="1"/>
  <c r="A96" i="1"/>
  <c r="AJ96" i="1"/>
  <c r="AJ95" i="1"/>
  <c r="A97" i="1"/>
  <c r="D96" i="1"/>
  <c r="L4" i="9" l="1"/>
  <c r="M4" i="9" s="1"/>
  <c r="B5" i="7"/>
  <c r="AJ97" i="1"/>
  <c r="A98" i="1"/>
  <c r="D97" i="1"/>
  <c r="C5" i="7" l="1"/>
  <c r="G5" i="7"/>
  <c r="D5" i="7"/>
  <c r="H5" i="7"/>
  <c r="E5" i="7"/>
  <c r="F5" i="7"/>
  <c r="A99" i="1"/>
  <c r="D99" i="1"/>
  <c r="AJ98" i="1"/>
  <c r="AJ99" i="1"/>
  <c r="D98" i="1"/>
  <c r="A100" i="1"/>
  <c r="AJ100" i="1" s="1"/>
  <c r="AL99" i="1" l="1"/>
  <c r="J5" i="7"/>
  <c r="I5" i="7"/>
  <c r="A101" i="1"/>
  <c r="D101" i="1"/>
  <c r="AJ101" i="1"/>
  <c r="D100" i="1"/>
  <c r="AI99" i="1"/>
  <c r="A102" i="1"/>
  <c r="K5" i="7" l="1"/>
  <c r="L5" i="7" s="1"/>
  <c r="M5" i="7" s="1"/>
  <c r="A103" i="1"/>
  <c r="AJ102" i="1"/>
  <c r="AI100" i="1"/>
  <c r="D102" i="1"/>
  <c r="B5" i="9" l="1"/>
  <c r="AJ103" i="1"/>
  <c r="D103" i="1"/>
  <c r="A104" i="1"/>
  <c r="I5" i="9" l="1"/>
  <c r="G5" i="9"/>
  <c r="D5" i="9"/>
  <c r="C5" i="9"/>
  <c r="H5" i="9"/>
  <c r="F5" i="9"/>
  <c r="J5" i="9"/>
  <c r="E5" i="9"/>
  <c r="AJ104" i="1"/>
  <c r="D104" i="1"/>
  <c r="A105" i="1"/>
  <c r="B29" i="4" l="1"/>
  <c r="I29" i="4" s="1"/>
  <c r="K5" i="9"/>
  <c r="A106" i="1"/>
  <c r="D106" i="1"/>
  <c r="AJ106" i="1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A107" i="1"/>
  <c r="AJ107" i="1"/>
  <c r="D107" i="1"/>
  <c r="AU107" i="1" l="1"/>
  <c r="B58" i="1"/>
  <c r="C58" i="1" s="1"/>
  <c r="B50" i="1"/>
  <c r="C50" i="1" s="1"/>
  <c r="B102" i="1"/>
  <c r="C102" i="1" s="1"/>
  <c r="B89" i="1"/>
  <c r="C89" i="1" s="1"/>
  <c r="B15" i="1"/>
  <c r="C15" i="1" s="1"/>
  <c r="B7" i="1"/>
  <c r="C7" i="1" s="1"/>
  <c r="A108" i="1"/>
  <c r="AI107" i="1"/>
  <c r="B4" i="3" l="1"/>
  <c r="A63" i="2" s="1"/>
  <c r="A109" i="1"/>
  <c r="AJ109" i="1"/>
  <c r="A110" i="1"/>
  <c r="D109" i="1"/>
  <c r="R63" i="2" l="1"/>
  <c r="F63" i="2"/>
  <c r="H63" i="2"/>
  <c r="I63" i="2"/>
  <c r="AJ110" i="1"/>
  <c r="A111" i="1"/>
  <c r="J63" i="2"/>
  <c r="D110" i="1"/>
  <c r="AU110" i="1" l="1"/>
  <c r="A58" i="2"/>
  <c r="A60" i="2"/>
  <c r="A59" i="2"/>
  <c r="D111" i="1"/>
  <c r="AJ111" i="1"/>
  <c r="A112" i="1"/>
  <c r="AI110" i="1"/>
  <c r="R59" i="2" l="1"/>
  <c r="G59" i="2"/>
  <c r="G60" i="2"/>
  <c r="R60" i="2"/>
  <c r="R58" i="2"/>
  <c r="G58" i="2"/>
  <c r="C59" i="2"/>
  <c r="I59" i="2"/>
  <c r="H59" i="2"/>
  <c r="I60" i="2"/>
  <c r="B60" i="2"/>
  <c r="H60" i="2"/>
  <c r="I58" i="2"/>
  <c r="B58" i="2"/>
  <c r="C58" i="2"/>
  <c r="F58" i="2"/>
  <c r="F59" i="2"/>
  <c r="B59" i="2"/>
  <c r="F60" i="2"/>
  <c r="C60" i="2"/>
  <c r="H58" i="2"/>
  <c r="D112" i="1"/>
  <c r="A113" i="1"/>
  <c r="AJ112" i="1"/>
  <c r="AU112" i="1" l="1"/>
  <c r="E59" i="2"/>
  <c r="K59" i="2"/>
  <c r="L59" i="2"/>
  <c r="E58" i="2"/>
  <c r="K58" i="2"/>
  <c r="L58" i="2"/>
  <c r="E60" i="2"/>
  <c r="K60" i="2"/>
  <c r="L60" i="2"/>
  <c r="N58" i="2"/>
  <c r="N59" i="2"/>
  <c r="N60" i="2"/>
  <c r="AI112" i="1"/>
  <c r="A114" i="1"/>
  <c r="AJ114" i="1"/>
  <c r="M60" i="2" l="1"/>
  <c r="O60" i="2" s="1"/>
  <c r="P60" i="2" s="1"/>
  <c r="Q60" i="2" s="1"/>
  <c r="M58" i="2"/>
  <c r="O58" i="2" s="1"/>
  <c r="P58" i="2" s="1"/>
  <c r="Q58" i="2" s="1"/>
  <c r="M59" i="2"/>
  <c r="O59" i="2" s="1"/>
  <c r="P59" i="2" s="1"/>
  <c r="Q59" i="2" s="1"/>
  <c r="J59" i="2"/>
  <c r="A115" i="1"/>
  <c r="D114" i="1"/>
  <c r="D4" i="1"/>
  <c r="J60" i="2"/>
  <c r="AJ3" i="1"/>
  <c r="D3" i="1"/>
  <c r="J58" i="2"/>
  <c r="AJ4" i="1"/>
  <c r="AU114" i="1" l="1"/>
  <c r="AK114" i="1"/>
  <c r="AK3" i="1"/>
  <c r="AL4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29" i="4"/>
  <c r="A7" i="7"/>
  <c r="A15" i="8"/>
  <c r="A6" i="8"/>
  <c r="A13" i="6"/>
  <c r="A30" i="4"/>
  <c r="A43" i="5"/>
  <c r="A35" i="4"/>
  <c r="A4" i="9"/>
  <c r="A5" i="9"/>
  <c r="D6" i="1"/>
  <c r="AI114" i="1"/>
  <c r="AJ6" i="1"/>
  <c r="AJ115" i="1"/>
  <c r="A116" i="1"/>
  <c r="AI3" i="1"/>
  <c r="D115" i="1"/>
  <c r="D116" i="1"/>
  <c r="A117" i="1"/>
  <c r="AV114" i="1" l="1"/>
  <c r="AX114" i="1" s="1"/>
  <c r="AU115" i="1"/>
  <c r="AM115" i="1"/>
  <c r="AM4" i="1"/>
  <c r="AL5" i="1"/>
  <c r="AK4" i="1"/>
  <c r="AJ116" i="1"/>
  <c r="AI115" i="1"/>
  <c r="D117" i="1"/>
  <c r="AI4" i="1"/>
  <c r="D7" i="1"/>
  <c r="A118" i="1"/>
  <c r="AJ118" i="1" s="1"/>
  <c r="D118" i="1"/>
  <c r="AJ117" i="1"/>
  <c r="AJ7" i="1"/>
  <c r="AK115" i="1"/>
  <c r="AW114" i="1" l="1"/>
  <c r="AV115" i="1"/>
  <c r="AX115" i="1" s="1"/>
  <c r="AU117" i="1"/>
  <c r="AU118" i="1"/>
  <c r="AK6" i="1"/>
  <c r="AL7" i="1"/>
  <c r="D8" i="1"/>
  <c r="AI118" i="1"/>
  <c r="A119" i="1"/>
  <c r="D119" i="1"/>
  <c r="AI117" i="1"/>
  <c r="AI6" i="1"/>
  <c r="AJ8" i="1"/>
  <c r="AW115" i="1" l="1"/>
  <c r="AU119" i="1"/>
  <c r="AM7" i="1"/>
  <c r="AL8" i="1"/>
  <c r="AJ119" i="1"/>
  <c r="AJ9" i="1"/>
  <c r="A120" i="1"/>
  <c r="D120" i="1"/>
  <c r="AJ120" i="1"/>
  <c r="AK7" i="1"/>
  <c r="D9" i="1"/>
  <c r="AI7" i="1"/>
  <c r="AI119" i="1"/>
  <c r="AU120" i="1" l="1"/>
  <c r="AM8" i="1"/>
  <c r="AM9" i="1" s="1"/>
  <c r="AL9" i="1"/>
  <c r="AK8" i="1"/>
  <c r="AI9" i="1"/>
  <c r="AI120" i="1"/>
  <c r="AI8" i="1"/>
  <c r="AJ10" i="1"/>
  <c r="A121" i="1"/>
  <c r="A122" i="1" s="1"/>
  <c r="D10" i="1"/>
  <c r="AJ121" i="1"/>
  <c r="AL122" i="1" l="1"/>
  <c r="AL10" i="1"/>
  <c r="B63" i="2"/>
  <c r="AJ11" i="1"/>
  <c r="AK9" i="1"/>
  <c r="AJ122" i="1"/>
  <c r="D14" i="1"/>
  <c r="D122" i="1"/>
  <c r="D13" i="1"/>
  <c r="D121" i="1"/>
  <c r="AJ14" i="1"/>
  <c r="A123" i="1"/>
  <c r="AJ13" i="1"/>
  <c r="D11" i="1"/>
  <c r="AU121" i="1" l="1"/>
  <c r="AU122" i="1"/>
  <c r="AL123" i="1"/>
  <c r="AK13" i="1"/>
  <c r="AM10" i="1"/>
  <c r="AM11" i="1" s="1"/>
  <c r="AL14" i="1"/>
  <c r="AL12" i="1"/>
  <c r="AL11" i="1"/>
  <c r="AK10" i="1"/>
  <c r="AI13" i="1"/>
  <c r="D15" i="1"/>
  <c r="AI14" i="1"/>
  <c r="D123" i="1"/>
  <c r="AJ15" i="1"/>
  <c r="AI11" i="1"/>
  <c r="A124" i="1"/>
  <c r="AI10" i="1"/>
  <c r="AI121" i="1"/>
  <c r="AI122" i="1"/>
  <c r="AJ123" i="1"/>
  <c r="AK14" i="1"/>
  <c r="AJ124" i="1"/>
  <c r="AU123" i="1" l="1"/>
  <c r="AM14" i="1"/>
  <c r="AL15" i="1"/>
  <c r="G63" i="2"/>
  <c r="AJ16" i="1"/>
  <c r="AI123" i="1"/>
  <c r="D16" i="1"/>
  <c r="A125" i="1"/>
  <c r="AK11" i="1"/>
  <c r="D124" i="1"/>
  <c r="AM15" i="1" l="1"/>
  <c r="AL17" i="1"/>
  <c r="AL16" i="1"/>
  <c r="D19" i="1"/>
  <c r="A126" i="1"/>
  <c r="D126" i="1"/>
  <c r="A127" i="1"/>
  <c r="AK15" i="1"/>
  <c r="D127" i="1"/>
  <c r="AJ126" i="1"/>
  <c r="AJ18" i="1"/>
  <c r="AI15" i="1"/>
  <c r="D18" i="1"/>
  <c r="AJ19" i="1"/>
  <c r="AI16" i="1"/>
  <c r="AK18" i="1" l="1"/>
  <c r="AM16" i="1"/>
  <c r="AL19" i="1"/>
  <c r="AI18" i="1"/>
  <c r="AK16" i="1"/>
  <c r="AJ127" i="1"/>
  <c r="A128" i="1"/>
  <c r="AJ128" i="1" s="1"/>
  <c r="AJ20" i="1"/>
  <c r="D20" i="1"/>
  <c r="AM19" i="1" l="1"/>
  <c r="AL20" i="1"/>
  <c r="D128" i="1"/>
  <c r="AK19" i="1"/>
  <c r="D22" i="1"/>
  <c r="D21" i="1"/>
  <c r="AI19" i="1"/>
  <c r="AJ21" i="1"/>
  <c r="AJ22" i="1"/>
  <c r="A129" i="1"/>
  <c r="AJ129" i="1" s="1"/>
  <c r="AM20" i="1" l="1"/>
  <c r="AL22" i="1"/>
  <c r="AL21" i="1"/>
  <c r="AK20" i="1"/>
  <c r="AI128" i="1"/>
  <c r="AI20" i="1"/>
  <c r="D129" i="1"/>
  <c r="A130" i="1"/>
  <c r="AM21" i="1" l="1"/>
  <c r="AL23" i="1"/>
  <c r="AJ25" i="1"/>
  <c r="AK21" i="1"/>
  <c r="AJ130" i="1"/>
  <c r="D24" i="1"/>
  <c r="AI21" i="1"/>
  <c r="D25" i="1"/>
  <c r="D130" i="1"/>
  <c r="A131" i="1"/>
  <c r="AJ24" i="1"/>
  <c r="D131" i="1"/>
  <c r="AK24" i="1" l="1"/>
  <c r="AL25" i="1"/>
  <c r="AJ131" i="1"/>
  <c r="A132" i="1"/>
  <c r="AI24" i="1"/>
  <c r="AI130" i="1"/>
  <c r="AM25" i="1" l="1"/>
  <c r="AL26" i="1"/>
  <c r="AM26" i="1"/>
  <c r="AM27" i="1"/>
  <c r="AJ132" i="1"/>
  <c r="D132" i="1"/>
  <c r="AI25" i="1"/>
  <c r="A133" i="1"/>
  <c r="A134" i="1" s="1"/>
  <c r="AK25" i="1"/>
  <c r="AK27" i="1" l="1"/>
  <c r="AI26" i="1"/>
  <c r="AK26" i="1"/>
  <c r="AF26" i="1"/>
  <c r="AE26" i="1"/>
  <c r="AM28" i="1"/>
  <c r="AM29" i="1"/>
  <c r="AJ133" i="1"/>
  <c r="AI27" i="1"/>
  <c r="A135" i="1"/>
  <c r="D134" i="1"/>
  <c r="D133" i="1"/>
  <c r="AJ134" i="1"/>
  <c r="AT27" i="1" l="1"/>
  <c r="AK29" i="1"/>
  <c r="AI28" i="1"/>
  <c r="AK28" i="1"/>
  <c r="AL28" i="1"/>
  <c r="AF28" i="1"/>
  <c r="AE28" i="1"/>
  <c r="AU29" i="1"/>
  <c r="Z35" i="1"/>
  <c r="A136" i="1"/>
  <c r="AJ135" i="1"/>
  <c r="D135" i="1"/>
  <c r="AI29" i="1"/>
  <c r="AA35" i="1" l="1"/>
  <c r="AB35" i="1" s="1"/>
  <c r="AC35" i="1" s="1"/>
  <c r="AP35" i="1"/>
  <c r="AO35" i="1"/>
  <c r="AI30" i="1"/>
  <c r="AK30" i="1"/>
  <c r="AL30" i="1"/>
  <c r="AF30" i="1"/>
  <c r="AE30" i="1"/>
  <c r="AV29" i="1"/>
  <c r="AM31" i="1"/>
  <c r="D136" i="1"/>
  <c r="A137" i="1"/>
  <c r="AI135" i="1"/>
  <c r="AJ136" i="1"/>
  <c r="AK31" i="1" l="1"/>
  <c r="AL32" i="1"/>
  <c r="AX29" i="1"/>
  <c r="AW29" i="1"/>
  <c r="AM32" i="1"/>
  <c r="AJ137" i="1"/>
  <c r="A138" i="1"/>
  <c r="AI31" i="1"/>
  <c r="D137" i="1"/>
  <c r="AL33" i="1" l="1"/>
  <c r="AM33" i="1"/>
  <c r="AM34" i="1" s="1"/>
  <c r="AI137" i="1"/>
  <c r="AI32" i="1"/>
  <c r="AK32" i="1"/>
  <c r="A139" i="1"/>
  <c r="AL34" i="1" l="1"/>
  <c r="AM35" i="1"/>
  <c r="D139" i="1"/>
  <c r="A140" i="1"/>
  <c r="AI33" i="1"/>
  <c r="AK33" i="1"/>
  <c r="AI34" i="1"/>
  <c r="AJ139" i="1"/>
  <c r="AL35" i="1" l="1"/>
  <c r="AJ140" i="1"/>
  <c r="A141" i="1"/>
  <c r="AK34" i="1"/>
  <c r="D140" i="1"/>
  <c r="D141" i="1"/>
  <c r="AJ141" i="1"/>
  <c r="A142" i="1"/>
  <c r="AL36" i="1" l="1"/>
  <c r="AM36" i="1"/>
  <c r="AM37" i="1" s="1"/>
  <c r="AJ142" i="1"/>
  <c r="AK35" i="1"/>
  <c r="AI140" i="1"/>
  <c r="AI35" i="1"/>
  <c r="A143" i="1"/>
  <c r="AJ143" i="1" s="1"/>
  <c r="D142" i="1"/>
  <c r="A144" i="1"/>
  <c r="AL144" i="1" l="1"/>
  <c r="AL37" i="1"/>
  <c r="D143" i="1"/>
  <c r="AI37" i="1"/>
  <c r="A145" i="1"/>
  <c r="D144" i="1"/>
  <c r="AK36" i="1"/>
  <c r="AI36" i="1"/>
  <c r="AJ144" i="1"/>
  <c r="AU144" i="1" l="1"/>
  <c r="AL38" i="1"/>
  <c r="AM38" i="1"/>
  <c r="AJ145" i="1"/>
  <c r="AK37" i="1"/>
  <c r="A146" i="1"/>
  <c r="AI144" i="1"/>
  <c r="D145" i="1"/>
  <c r="AU145" i="1" l="1"/>
  <c r="AL39" i="1"/>
  <c r="AM39" i="1"/>
  <c r="D146" i="1"/>
  <c r="AI38" i="1"/>
  <c r="AJ146" i="1"/>
  <c r="AK38" i="1"/>
  <c r="A147" i="1"/>
  <c r="AI145" i="1"/>
  <c r="AJ147" i="1"/>
  <c r="AL40" i="1" l="1"/>
  <c r="AM40" i="1"/>
  <c r="AM41" i="1"/>
  <c r="D147" i="1"/>
  <c r="AI39" i="1"/>
  <c r="A148" i="1"/>
  <c r="AK39" i="1"/>
  <c r="D148" i="1"/>
  <c r="AI41" i="1" l="1"/>
  <c r="AK41" i="1"/>
  <c r="AL41" i="1"/>
  <c r="AF41" i="1"/>
  <c r="AE41" i="1"/>
  <c r="AU41" i="1"/>
  <c r="AM42" i="1"/>
  <c r="AM43" i="1" s="1"/>
  <c r="AJ148" i="1"/>
  <c r="AK40" i="1"/>
  <c r="AI40" i="1"/>
  <c r="A149" i="1"/>
  <c r="AK42" i="1" l="1"/>
  <c r="AL43" i="1"/>
  <c r="AV41" i="1"/>
  <c r="AM44" i="1"/>
  <c r="AJ149" i="1"/>
  <c r="A150" i="1"/>
  <c r="AI42" i="1"/>
  <c r="AK43" i="1"/>
  <c r="AI43" i="1"/>
  <c r="D149" i="1"/>
  <c r="AI44" i="1" l="1"/>
  <c r="AK44" i="1"/>
  <c r="AL44" i="1"/>
  <c r="AF44" i="1"/>
  <c r="AE44" i="1"/>
  <c r="AU44" i="1"/>
  <c r="AX41" i="1"/>
  <c r="AW41" i="1"/>
  <c r="A151" i="1"/>
  <c r="AJ151" i="1"/>
  <c r="D151" i="1"/>
  <c r="AI149" i="1"/>
  <c r="A152" i="1"/>
  <c r="AV44" i="1" l="1"/>
  <c r="AM45" i="1"/>
  <c r="AM46" i="1" s="1"/>
  <c r="AM47" i="1" s="1"/>
  <c r="AM48" i="1" s="1"/>
  <c r="AJ152" i="1"/>
  <c r="D152" i="1"/>
  <c r="A153" i="1"/>
  <c r="AJ153" i="1"/>
  <c r="AK45" i="1" l="1"/>
  <c r="AL48" i="1"/>
  <c r="AL47" i="1"/>
  <c r="AL46" i="1"/>
  <c r="AX44" i="1"/>
  <c r="AW44" i="1"/>
  <c r="AM49" i="1"/>
  <c r="AM50" i="1" s="1"/>
  <c r="AI45" i="1"/>
  <c r="AI48" i="1"/>
  <c r="AI46" i="1"/>
  <c r="A154" i="1"/>
  <c r="AI47" i="1"/>
  <c r="AK46" i="1"/>
  <c r="AI152" i="1"/>
  <c r="D153" i="1"/>
  <c r="AL50" i="1" l="1"/>
  <c r="AL49" i="1"/>
  <c r="AJ154" i="1"/>
  <c r="AK47" i="1"/>
  <c r="A155" i="1"/>
  <c r="AJ155" i="1"/>
  <c r="D154" i="1"/>
  <c r="AI49" i="1"/>
  <c r="AI50" i="1"/>
  <c r="AL52" i="1" l="1"/>
  <c r="AL51" i="1"/>
  <c r="AM51" i="1"/>
  <c r="AM52" i="1" s="1"/>
  <c r="AM53" i="1" s="1"/>
  <c r="D155" i="1"/>
  <c r="AI154" i="1"/>
  <c r="A156" i="1"/>
  <c r="AK48" i="1"/>
  <c r="AI52" i="1"/>
  <c r="AI51" i="1"/>
  <c r="AL53" i="1" l="1"/>
  <c r="AM54" i="1"/>
  <c r="AM55" i="1"/>
  <c r="AM56" i="1"/>
  <c r="AJ156" i="1"/>
  <c r="A157" i="1"/>
  <c r="AK49" i="1"/>
  <c r="D156" i="1"/>
  <c r="AI55" i="1" l="1"/>
  <c r="AK55" i="1"/>
  <c r="AK56" i="1"/>
  <c r="AL55" i="1"/>
  <c r="AL54" i="1"/>
  <c r="AF55" i="1"/>
  <c r="AE55" i="1"/>
  <c r="AI56" i="1"/>
  <c r="AJ157" i="1"/>
  <c r="AI53" i="1"/>
  <c r="A158" i="1"/>
  <c r="AJ158" i="1" s="1"/>
  <c r="AK50" i="1"/>
  <c r="D158" i="1"/>
  <c r="AI54" i="1"/>
  <c r="A159" i="1"/>
  <c r="D157" i="1"/>
  <c r="AL57" i="1" l="1"/>
  <c r="AM57" i="1"/>
  <c r="AM58" i="1" s="1"/>
  <c r="D159" i="1"/>
  <c r="AI57" i="1"/>
  <c r="A160" i="1"/>
  <c r="AK57" i="1"/>
  <c r="AI158" i="1"/>
  <c r="AK51" i="1"/>
  <c r="AJ159" i="1"/>
  <c r="AM60" i="1" l="1"/>
  <c r="AM61" i="1" s="1"/>
  <c r="AM62" i="1" s="1"/>
  <c r="AM59" i="1"/>
  <c r="AL60" i="1"/>
  <c r="AL58" i="1"/>
  <c r="AJ160" i="1"/>
  <c r="AK58" i="1"/>
  <c r="AI60" i="1"/>
  <c r="AI58" i="1"/>
  <c r="A161" i="1"/>
  <c r="AK52" i="1"/>
  <c r="D160" i="1"/>
  <c r="AL62" i="1" l="1"/>
  <c r="AL61" i="1"/>
  <c r="AK53" i="1"/>
  <c r="AJ161" i="1"/>
  <c r="AI62" i="1"/>
  <c r="AK59" i="1"/>
  <c r="D161" i="1"/>
  <c r="AI61" i="1"/>
  <c r="AK54" i="1"/>
  <c r="A162" i="1"/>
  <c r="D162" i="1"/>
  <c r="AJ162" i="1"/>
  <c r="A163" i="1"/>
  <c r="B3" i="6" l="1"/>
  <c r="B5" i="13"/>
  <c r="A164" i="1"/>
  <c r="D164" i="1"/>
  <c r="AK60" i="1"/>
  <c r="A165" i="1"/>
  <c r="AJ164" i="1"/>
  <c r="AK164" i="1" l="1"/>
  <c r="F5" i="13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AK61" i="1"/>
  <c r="D165" i="1"/>
  <c r="AJ165" i="1"/>
  <c r="A166" i="1"/>
  <c r="AI164" i="1"/>
  <c r="D166" i="1"/>
  <c r="A167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J166" i="1"/>
  <c r="A168" i="1"/>
  <c r="D167" i="1"/>
  <c r="AK62" i="1"/>
  <c r="AJ167" i="1"/>
  <c r="K3" i="6" l="1"/>
  <c r="L3" i="6" s="1"/>
  <c r="M3" i="6" s="1"/>
  <c r="D168" i="1"/>
  <c r="AJ168" i="1"/>
  <c r="A169" i="1"/>
  <c r="B4" i="13" l="1"/>
  <c r="D169" i="1"/>
  <c r="A170" i="1"/>
  <c r="AJ169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J170" i="1"/>
  <c r="A171" i="1"/>
  <c r="A172" i="1"/>
  <c r="A173" i="1"/>
  <c r="AJ171" i="1"/>
  <c r="D170" i="1"/>
  <c r="D171" i="1"/>
  <c r="B27" i="4" l="1"/>
  <c r="AJ173" i="1"/>
  <c r="D173" i="1"/>
  <c r="A174" i="1"/>
  <c r="B28" i="4" l="1"/>
  <c r="D27" i="4"/>
  <c r="C27" i="4"/>
  <c r="E27" i="4"/>
  <c r="I27" i="4"/>
  <c r="G27" i="4"/>
  <c r="H27" i="4"/>
  <c r="J27" i="4"/>
  <c r="F27" i="4"/>
  <c r="A175" i="1"/>
  <c r="D175" i="1" s="1"/>
  <c r="AJ175" i="1"/>
  <c r="A176" i="1"/>
  <c r="AU175" i="1" l="1"/>
  <c r="AK175" i="1"/>
  <c r="K27" i="4"/>
  <c r="L27" i="4" s="1"/>
  <c r="M27" i="4" s="1"/>
  <c r="A27" i="4"/>
  <c r="F28" i="4"/>
  <c r="E28" i="4"/>
  <c r="H28" i="4"/>
  <c r="D28" i="4"/>
  <c r="I28" i="4"/>
  <c r="J28" i="4"/>
  <c r="G28" i="4"/>
  <c r="C28" i="4"/>
  <c r="AI175" i="1"/>
  <c r="A177" i="1"/>
  <c r="AV175" i="1" l="1"/>
  <c r="AX175" i="1" s="1"/>
  <c r="A28" i="4"/>
  <c r="K28" i="4"/>
  <c r="L28" i="4" s="1"/>
  <c r="M28" i="4" s="1"/>
  <c r="AJ177" i="1"/>
  <c r="A178" i="1"/>
  <c r="D177" i="1"/>
  <c r="AW175" i="1" l="1"/>
  <c r="B31" i="5"/>
  <c r="A179" i="1"/>
  <c r="D179" i="1"/>
  <c r="B32" i="5" l="1"/>
  <c r="D31" i="5"/>
  <c r="E31" i="5"/>
  <c r="F31" i="5"/>
  <c r="G31" i="5"/>
  <c r="H31" i="5"/>
  <c r="C31" i="5"/>
  <c r="A31" i="5" s="1"/>
  <c r="J31" i="5"/>
  <c r="I31" i="5"/>
  <c r="A180" i="1"/>
  <c r="AJ179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D180" i="1"/>
  <c r="AJ180" i="1"/>
  <c r="A181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D181" i="1"/>
  <c r="AJ181" i="1"/>
  <c r="A182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83" i="1"/>
  <c r="D183" i="1"/>
  <c r="AJ183" i="1"/>
  <c r="A184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5" i="1"/>
  <c r="D185" i="1"/>
  <c r="AJ185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6" i="1"/>
  <c r="AJ186" i="1"/>
  <c r="D186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7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8" i="1"/>
  <c r="K38" i="5" l="1"/>
  <c r="L38" i="5" s="1"/>
  <c r="M38" i="5" s="1"/>
  <c r="A189" i="1"/>
  <c r="D189" i="1" s="1"/>
  <c r="AJ188" i="1"/>
  <c r="D188" i="1"/>
  <c r="AI64" i="1" l="1"/>
  <c r="AK64" i="1"/>
  <c r="AL64" i="1"/>
  <c r="AL63" i="1"/>
  <c r="AF64" i="1"/>
  <c r="AE64" i="1"/>
  <c r="A190" i="1"/>
  <c r="AJ189" i="1"/>
  <c r="AK63" i="1"/>
  <c r="A191" i="1"/>
  <c r="AI63" i="1"/>
  <c r="AJ191" i="1"/>
  <c r="A192" i="1"/>
  <c r="D191" i="1"/>
  <c r="AK65" i="1" l="1"/>
  <c r="AL67" i="1"/>
  <c r="AL66" i="1"/>
  <c r="AU64" i="1"/>
  <c r="AV64" i="1" s="1"/>
  <c r="AX64" i="1" s="1"/>
  <c r="D192" i="1"/>
  <c r="AI65" i="1"/>
  <c r="AI67" i="1"/>
  <c r="AJ192" i="1"/>
  <c r="AK66" i="1"/>
  <c r="A193" i="1"/>
  <c r="AI66" i="1"/>
  <c r="AL69" i="1" l="1"/>
  <c r="AL68" i="1"/>
  <c r="A194" i="1"/>
  <c r="AK67" i="1"/>
  <c r="AK68" i="1"/>
  <c r="AI68" i="1"/>
  <c r="AL71" i="1" l="1"/>
  <c r="AL70" i="1"/>
  <c r="AM65" i="1"/>
  <c r="AM66" i="1"/>
  <c r="AM67" i="1" s="1"/>
  <c r="AM64" i="1"/>
  <c r="AJ194" i="1"/>
  <c r="AK69" i="1"/>
  <c r="A195" i="1"/>
  <c r="AI70" i="1"/>
  <c r="D194" i="1"/>
  <c r="AL72" i="1" l="1"/>
  <c r="AM73" i="1"/>
  <c r="D195" i="1"/>
  <c r="A196" i="1"/>
  <c r="AK70" i="1"/>
  <c r="AI71" i="1"/>
  <c r="AJ195" i="1"/>
  <c r="AJ196" i="1"/>
  <c r="AL73" i="1" l="1"/>
  <c r="AW64" i="1"/>
  <c r="AM74" i="1"/>
  <c r="D196" i="1"/>
  <c r="A197" i="1"/>
  <c r="AI72" i="1"/>
  <c r="AK71" i="1"/>
  <c r="AJ197" i="1"/>
  <c r="D197" i="1"/>
  <c r="AI73" i="1" l="1"/>
  <c r="AK73" i="1"/>
  <c r="AF73" i="1"/>
  <c r="AE73" i="1"/>
  <c r="AK72" i="1"/>
  <c r="A198" i="1"/>
  <c r="D198" i="1"/>
  <c r="A199" i="1"/>
  <c r="AJ198" i="1"/>
  <c r="AK74" i="1" l="1"/>
  <c r="AL75" i="1"/>
  <c r="AM75" i="1"/>
  <c r="AM76" i="1" s="1"/>
  <c r="AJ199" i="1"/>
  <c r="D199" i="1"/>
  <c r="A200" i="1"/>
  <c r="AI74" i="1"/>
  <c r="D200" i="1"/>
  <c r="AU200" i="1" l="1"/>
  <c r="AL77" i="1"/>
  <c r="AL76" i="1"/>
  <c r="AI77" i="1"/>
  <c r="AI200" i="1"/>
  <c r="A201" i="1"/>
  <c r="AK75" i="1"/>
  <c r="AI75" i="1"/>
  <c r="AJ200" i="1"/>
  <c r="AI76" i="1"/>
  <c r="AL80" i="1" l="1"/>
  <c r="AL79" i="1"/>
  <c r="AL78" i="1"/>
  <c r="AM68" i="1"/>
  <c r="AM69" i="1" s="1"/>
  <c r="AM70" i="1" s="1"/>
  <c r="AM71" i="1" s="1"/>
  <c r="AM72" i="1" s="1"/>
  <c r="AM63" i="1"/>
  <c r="AM77" i="1"/>
  <c r="AM78" i="1" s="1"/>
  <c r="AM79" i="1" s="1"/>
  <c r="AM80" i="1" s="1"/>
  <c r="AI79" i="1"/>
  <c r="AK76" i="1"/>
  <c r="A202" i="1"/>
  <c r="AI78" i="1"/>
  <c r="AJ202" i="1"/>
  <c r="D202" i="1"/>
  <c r="AL81" i="1" l="1"/>
  <c r="AM81" i="1"/>
  <c r="AK77" i="1"/>
  <c r="AK78" i="1"/>
  <c r="A203" i="1"/>
  <c r="AI80" i="1"/>
  <c r="AL82" i="1" l="1"/>
  <c r="AM82" i="1"/>
  <c r="AJ203" i="1"/>
  <c r="A204" i="1"/>
  <c r="AI81" i="1"/>
  <c r="AK79" i="1"/>
  <c r="D203" i="1"/>
  <c r="AL83" i="1" l="1"/>
  <c r="AM83" i="1"/>
  <c r="AM84" i="1"/>
  <c r="AK80" i="1"/>
  <c r="AI82" i="1"/>
  <c r="A205" i="1"/>
  <c r="AK84" i="1" l="1"/>
  <c r="AI83" i="1"/>
  <c r="AK83" i="1"/>
  <c r="AL85" i="1"/>
  <c r="AF83" i="1"/>
  <c r="AE83" i="1"/>
  <c r="AM85" i="1"/>
  <c r="AM86" i="1" s="1"/>
  <c r="D205" i="1"/>
  <c r="AJ205" i="1"/>
  <c r="AI84" i="1"/>
  <c r="A206" i="1"/>
  <c r="AK81" i="1"/>
  <c r="AK82" i="1"/>
  <c r="AL87" i="1" l="1"/>
  <c r="AL86" i="1"/>
  <c r="AM87" i="1"/>
  <c r="AM88" i="1" s="1"/>
  <c r="AI85" i="1"/>
  <c r="A207" i="1"/>
  <c r="AJ207" i="1"/>
  <c r="AI86" i="1"/>
  <c r="AK85" i="1"/>
  <c r="A208" i="1"/>
  <c r="AL89" i="1" l="1"/>
  <c r="AL88" i="1"/>
  <c r="AM89" i="1"/>
  <c r="AM90" i="1" s="1"/>
  <c r="AJ208" i="1"/>
  <c r="D208" i="1"/>
  <c r="AK86" i="1"/>
  <c r="AI87" i="1"/>
  <c r="AI88" i="1"/>
  <c r="A209" i="1"/>
  <c r="D207" i="1"/>
  <c r="AU208" i="1" l="1"/>
  <c r="AL90" i="1"/>
  <c r="AM91" i="1"/>
  <c r="AM92" i="1" s="1"/>
  <c r="AI90" i="1"/>
  <c r="AI89" i="1"/>
  <c r="D209" i="1"/>
  <c r="AJ209" i="1"/>
  <c r="AK87" i="1"/>
  <c r="A210" i="1"/>
  <c r="AI208" i="1"/>
  <c r="AL92" i="1" l="1"/>
  <c r="AL91" i="1"/>
  <c r="AM93" i="1"/>
  <c r="D210" i="1"/>
  <c r="AI91" i="1"/>
  <c r="AJ210" i="1"/>
  <c r="AI92" i="1"/>
  <c r="AK88" i="1"/>
  <c r="A211" i="1"/>
  <c r="AL94" i="1" l="1"/>
  <c r="AL93" i="1"/>
  <c r="AM94" i="1"/>
  <c r="AM95" i="1"/>
  <c r="AM96" i="1" s="1"/>
  <c r="AM97" i="1" s="1"/>
  <c r="AM98" i="1" s="1"/>
  <c r="AK89" i="1"/>
  <c r="A212" i="1"/>
  <c r="AI93" i="1"/>
  <c r="AK90" i="1"/>
  <c r="AM100" i="1" l="1"/>
  <c r="AM99" i="1"/>
  <c r="AI94" i="1"/>
  <c r="AK94" i="1"/>
  <c r="AK95" i="1"/>
  <c r="AL96" i="1"/>
  <c r="AF94" i="1"/>
  <c r="AE94" i="1"/>
  <c r="AU94" i="1"/>
  <c r="AI95" i="1"/>
  <c r="A213" i="1"/>
  <c r="D212" i="1"/>
  <c r="AK96" i="1"/>
  <c r="AI96" i="1"/>
  <c r="AI97" i="1"/>
  <c r="AK91" i="1"/>
  <c r="AK92" i="1" s="1"/>
  <c r="AJ212" i="1"/>
  <c r="AI98" i="1"/>
  <c r="AU212" i="1" l="1"/>
  <c r="AK212" i="1"/>
  <c r="AL97" i="1"/>
  <c r="AM105" i="1"/>
  <c r="AK93" i="1"/>
  <c r="AK97" i="1"/>
  <c r="A214" i="1"/>
  <c r="D214" i="1"/>
  <c r="D213" i="1"/>
  <c r="AJ213" i="1"/>
  <c r="AI102" i="1"/>
  <c r="AI103" i="1"/>
  <c r="AI212" i="1"/>
  <c r="AJ214" i="1"/>
  <c r="AI101" i="1"/>
  <c r="AV212" i="1" l="1"/>
  <c r="AX212" i="1" s="1"/>
  <c r="AI105" i="1"/>
  <c r="AK105" i="1"/>
  <c r="AL105" i="1"/>
  <c r="AL104" i="1"/>
  <c r="AL103" i="1"/>
  <c r="AL102" i="1"/>
  <c r="AL101" i="1"/>
  <c r="AL100" i="1"/>
  <c r="AL98" i="1"/>
  <c r="AF105" i="1"/>
  <c r="AE105" i="1"/>
  <c r="AM101" i="1"/>
  <c r="AM102" i="1" s="1"/>
  <c r="AM103" i="1" s="1"/>
  <c r="AM104" i="1" s="1"/>
  <c r="AU105" i="1"/>
  <c r="AM106" i="1"/>
  <c r="AM107" i="1" s="1"/>
  <c r="AI104" i="1"/>
  <c r="A215" i="1"/>
  <c r="A216" i="1" s="1"/>
  <c r="D215" i="1"/>
  <c r="AK98" i="1"/>
  <c r="AJ215" i="1"/>
  <c r="AW212" i="1" l="1"/>
  <c r="AK106" i="1"/>
  <c r="AV105" i="1"/>
  <c r="AU106" i="1"/>
  <c r="AV94" i="1"/>
  <c r="AM108" i="1"/>
  <c r="AM109" i="1"/>
  <c r="AM110" i="1" s="1"/>
  <c r="AK107" i="1"/>
  <c r="A217" i="1"/>
  <c r="AK99" i="1"/>
  <c r="AI106" i="1"/>
  <c r="AV107" i="1" l="1"/>
  <c r="AK109" i="1"/>
  <c r="AI108" i="1"/>
  <c r="AK108" i="1"/>
  <c r="AL108" i="1"/>
  <c r="AL107" i="1"/>
  <c r="AF108" i="1"/>
  <c r="AE108" i="1"/>
  <c r="AX105" i="1"/>
  <c r="AW105" i="1"/>
  <c r="AV106" i="1"/>
  <c r="AX106" i="1" s="1"/>
  <c r="AX94" i="1"/>
  <c r="AW94" i="1"/>
  <c r="AM111" i="1"/>
  <c r="AM112" i="1" s="1"/>
  <c r="AK110" i="1"/>
  <c r="AK100" i="1"/>
  <c r="AJ217" i="1"/>
  <c r="A218" i="1"/>
  <c r="AI109" i="1"/>
  <c r="D217" i="1"/>
  <c r="AV110" i="1" l="1"/>
  <c r="AX107" i="1"/>
  <c r="AW107" i="1"/>
  <c r="AL111" i="1"/>
  <c r="AL110" i="1"/>
  <c r="AW106" i="1"/>
  <c r="AM113" i="1"/>
  <c r="D218" i="1"/>
  <c r="AK101" i="1"/>
  <c r="A219" i="1"/>
  <c r="AK111" i="1"/>
  <c r="AJ218" i="1"/>
  <c r="AI111" i="1"/>
  <c r="AX110" i="1" l="1"/>
  <c r="AW110" i="1"/>
  <c r="AI113" i="1"/>
  <c r="AK113" i="1"/>
  <c r="AL113" i="1"/>
  <c r="AL112" i="1"/>
  <c r="AF113" i="1"/>
  <c r="AE113" i="1"/>
  <c r="AM116" i="1"/>
  <c r="AM117" i="1" s="1"/>
  <c r="AM118" i="1" s="1"/>
  <c r="AM119" i="1" s="1"/>
  <c r="AM120" i="1" s="1"/>
  <c r="AM121" i="1" s="1"/>
  <c r="AK102" i="1"/>
  <c r="AK112" i="1"/>
  <c r="A220" i="1"/>
  <c r="AV112" i="1" l="1"/>
  <c r="AX112" i="1" s="1"/>
  <c r="AM123" i="1"/>
  <c r="AM122" i="1"/>
  <c r="AL116" i="1"/>
  <c r="AL115" i="1"/>
  <c r="AU116" i="1"/>
  <c r="AK103" i="1"/>
  <c r="AI116" i="1"/>
  <c r="AJ220" i="1"/>
  <c r="AK116" i="1"/>
  <c r="A221" i="1"/>
  <c r="D220" i="1"/>
  <c r="AW112" i="1" l="1"/>
  <c r="AL121" i="1"/>
  <c r="AL120" i="1"/>
  <c r="AL119" i="1"/>
  <c r="AL118" i="1"/>
  <c r="AL117" i="1"/>
  <c r="AV116" i="1"/>
  <c r="AK117" i="1"/>
  <c r="D221" i="1"/>
  <c r="AK104" i="1"/>
  <c r="AJ221" i="1"/>
  <c r="A222" i="1"/>
  <c r="AJ222" i="1"/>
  <c r="AV117" i="1" l="1"/>
  <c r="AX117" i="1" s="1"/>
  <c r="AX116" i="1"/>
  <c r="AW116" i="1"/>
  <c r="D222" i="1"/>
  <c r="A223" i="1"/>
  <c r="AK118" i="1"/>
  <c r="D223" i="1"/>
  <c r="A224" i="1"/>
  <c r="AJ223" i="1"/>
  <c r="D224" i="1"/>
  <c r="AJ224" i="1"/>
  <c r="AV118" i="1" l="1"/>
  <c r="AX118" i="1" s="1"/>
  <c r="AW117" i="1"/>
  <c r="AL124" i="1"/>
  <c r="AM124" i="1"/>
  <c r="A225" i="1"/>
  <c r="AK119" i="1"/>
  <c r="AI224" i="1"/>
  <c r="AV119" i="1" l="1"/>
  <c r="AW119" i="1" s="1"/>
  <c r="AW118" i="1"/>
  <c r="AL125" i="1"/>
  <c r="AU124" i="1"/>
  <c r="AM125" i="1"/>
  <c r="AJ225" i="1"/>
  <c r="D225" i="1"/>
  <c r="A226" i="1"/>
  <c r="AK120" i="1"/>
  <c r="AK121" i="1" s="1"/>
  <c r="AI124" i="1"/>
  <c r="AX119" i="1" l="1"/>
  <c r="AV121" i="1"/>
  <c r="AW121" i="1" s="1"/>
  <c r="AV120" i="1"/>
  <c r="AI125" i="1"/>
  <c r="AK125" i="1"/>
  <c r="AF125" i="1"/>
  <c r="AE125" i="1"/>
  <c r="AU125" i="1"/>
  <c r="AM126" i="1"/>
  <c r="AK122" i="1"/>
  <c r="D226" i="1"/>
  <c r="AJ226" i="1"/>
  <c r="AV122" i="1" l="1"/>
  <c r="AW122" i="1" s="1"/>
  <c r="AX121" i="1"/>
  <c r="AX120" i="1"/>
  <c r="AW120" i="1"/>
  <c r="AK126" i="1"/>
  <c r="AL127" i="1"/>
  <c r="AV125" i="1"/>
  <c r="AW125" i="1" s="1"/>
  <c r="AM127" i="1"/>
  <c r="AM128" i="1" s="1"/>
  <c r="AK123" i="1"/>
  <c r="AK124" i="1"/>
  <c r="A227" i="1"/>
  <c r="AI126" i="1"/>
  <c r="AV123" i="1" l="1"/>
  <c r="AW123" i="1" s="1"/>
  <c r="AX122" i="1"/>
  <c r="AV124" i="1"/>
  <c r="AX124" i="1" s="1"/>
  <c r="AL128" i="1"/>
  <c r="AX125" i="1"/>
  <c r="AK127" i="1"/>
  <c r="AI127" i="1"/>
  <c r="A228" i="1"/>
  <c r="A229" i="1"/>
  <c r="D228" i="1"/>
  <c r="AJ228" i="1"/>
  <c r="AX123" i="1" l="1"/>
  <c r="AW124" i="1"/>
  <c r="AL130" i="1"/>
  <c r="AL129" i="1"/>
  <c r="AM129" i="1"/>
  <c r="AM130" i="1" s="1"/>
  <c r="D229" i="1"/>
  <c r="AJ229" i="1"/>
  <c r="A230" i="1"/>
  <c r="AK128" i="1"/>
  <c r="AL131" i="1" l="1"/>
  <c r="AM131" i="1"/>
  <c r="D230" i="1"/>
  <c r="AI129" i="1"/>
  <c r="A231" i="1"/>
  <c r="AJ230" i="1"/>
  <c r="AK129" i="1"/>
  <c r="AL132" i="1" l="1"/>
  <c r="AM132" i="1"/>
  <c r="A232" i="1"/>
  <c r="AK130" i="1"/>
  <c r="AI131" i="1"/>
  <c r="AJ232" i="1"/>
  <c r="A233" i="1"/>
  <c r="D232" i="1"/>
  <c r="AL133" i="1" l="1"/>
  <c r="AM133" i="1"/>
  <c r="D233" i="1"/>
  <c r="AI132" i="1"/>
  <c r="AJ233" i="1"/>
  <c r="AK131" i="1"/>
  <c r="A234" i="1"/>
  <c r="AK132" i="1"/>
  <c r="AL134" i="1" l="1"/>
  <c r="AM134" i="1"/>
  <c r="AM135" i="1" s="1"/>
  <c r="D234" i="1"/>
  <c r="AI133" i="1"/>
  <c r="A235" i="1"/>
  <c r="AK133" i="1"/>
  <c r="AJ234" i="1"/>
  <c r="AL135" i="1" l="1"/>
  <c r="AM136" i="1"/>
  <c r="AM137" i="1" s="1"/>
  <c r="AM139" i="1"/>
  <c r="AM140" i="1" s="1"/>
  <c r="AI134" i="1"/>
  <c r="A236" i="1"/>
  <c r="AJ235" i="1"/>
  <c r="AK134" i="1"/>
  <c r="D235" i="1"/>
  <c r="AK139" i="1" l="1"/>
  <c r="AI138" i="1"/>
  <c r="AK138" i="1"/>
  <c r="AL137" i="1"/>
  <c r="AL136" i="1"/>
  <c r="AF138" i="1"/>
  <c r="AE138" i="1"/>
  <c r="AU138" i="1"/>
  <c r="AM138" i="1"/>
  <c r="D236" i="1"/>
  <c r="AK140" i="1"/>
  <c r="A237" i="1"/>
  <c r="AJ236" i="1"/>
  <c r="AI139" i="1"/>
  <c r="AK135" i="1"/>
  <c r="AI136" i="1"/>
  <c r="AL141" i="1" l="1"/>
  <c r="AL140" i="1"/>
  <c r="AL138" i="1"/>
  <c r="AV138" i="1"/>
  <c r="AM141" i="1"/>
  <c r="AM142" i="1" s="1"/>
  <c r="AK141" i="1"/>
  <c r="D237" i="1"/>
  <c r="A238" i="1"/>
  <c r="AI236" i="1"/>
  <c r="AJ238" i="1"/>
  <c r="AJ237" i="1"/>
  <c r="AK136" i="1"/>
  <c r="AL143" i="1" l="1"/>
  <c r="AL142" i="1"/>
  <c r="AM143" i="1"/>
  <c r="AU143" i="1"/>
  <c r="AX138" i="1"/>
  <c r="AW138" i="1"/>
  <c r="D238" i="1"/>
  <c r="AK137" i="1"/>
  <c r="A239" i="1"/>
  <c r="AJ239" i="1"/>
  <c r="AI142" i="1"/>
  <c r="AK142" i="1"/>
  <c r="A240" i="1"/>
  <c r="AI141" i="1"/>
  <c r="AI143" i="1"/>
  <c r="D239" i="1"/>
  <c r="AM145" i="1" l="1"/>
  <c r="AM146" i="1" s="1"/>
  <c r="AM144" i="1"/>
  <c r="AL146" i="1"/>
  <c r="AL145" i="1"/>
  <c r="D240" i="1"/>
  <c r="AJ240" i="1"/>
  <c r="AK143" i="1"/>
  <c r="A241" i="1"/>
  <c r="AV143" i="1" l="1"/>
  <c r="AW143" i="1" s="1"/>
  <c r="AL147" i="1"/>
  <c r="AM147" i="1"/>
  <c r="AI240" i="1"/>
  <c r="D241" i="1"/>
  <c r="AI146" i="1"/>
  <c r="AJ241" i="1"/>
  <c r="A242" i="1"/>
  <c r="D242" i="1"/>
  <c r="AK144" i="1"/>
  <c r="AI147" i="1"/>
  <c r="AV144" i="1" l="1"/>
  <c r="AW144" i="1" s="1"/>
  <c r="AX143" i="1"/>
  <c r="AL148" i="1"/>
  <c r="AM148" i="1"/>
  <c r="AM149" i="1" s="1"/>
  <c r="AJ242" i="1"/>
  <c r="A243" i="1"/>
  <c r="AK145" i="1"/>
  <c r="AI148" i="1"/>
  <c r="AV145" i="1" l="1"/>
  <c r="AX145" i="1" s="1"/>
  <c r="AX144" i="1"/>
  <c r="AL149" i="1"/>
  <c r="AM150" i="1"/>
  <c r="A244" i="1"/>
  <c r="AK146" i="1"/>
  <c r="AW145" i="1" l="1"/>
  <c r="AI150" i="1"/>
  <c r="AK150" i="1"/>
  <c r="AL150" i="1"/>
  <c r="AF150" i="1"/>
  <c r="AE150" i="1"/>
  <c r="AU150" i="1"/>
  <c r="AM151" i="1"/>
  <c r="AM152" i="1" s="1"/>
  <c r="AJ244" i="1"/>
  <c r="AK147" i="1"/>
  <c r="A245" i="1"/>
  <c r="D244" i="1"/>
  <c r="AK148" i="1"/>
  <c r="AK151" i="1" l="1"/>
  <c r="AL152" i="1"/>
  <c r="AV150" i="1"/>
  <c r="AX150" i="1" s="1"/>
  <c r="AM153" i="1"/>
  <c r="AM154" i="1" s="1"/>
  <c r="AK152" i="1"/>
  <c r="AJ245" i="1"/>
  <c r="A246" i="1"/>
  <c r="D245" i="1"/>
  <c r="AK149" i="1"/>
  <c r="AI151" i="1"/>
  <c r="AL155" i="1" l="1"/>
  <c r="AL154" i="1"/>
  <c r="AL153" i="1"/>
  <c r="AW150" i="1"/>
  <c r="AM155" i="1"/>
  <c r="AI153" i="1"/>
  <c r="A247" i="1"/>
  <c r="D247" i="1" s="1"/>
  <c r="A248" i="1"/>
  <c r="AK153" i="1"/>
  <c r="AJ247" i="1"/>
  <c r="AL158" i="1" l="1"/>
  <c r="AL157" i="1"/>
  <c r="AL156" i="1"/>
  <c r="AM156" i="1"/>
  <c r="AM157" i="1" s="1"/>
  <c r="AM158" i="1" s="1"/>
  <c r="AM159" i="1" s="1"/>
  <c r="AI156" i="1"/>
  <c r="AK154" i="1"/>
  <c r="AI155" i="1"/>
  <c r="A249" i="1"/>
  <c r="D248" i="1"/>
  <c r="AI157" i="1"/>
  <c r="AJ248" i="1"/>
  <c r="AL159" i="1" l="1"/>
  <c r="AM160" i="1"/>
  <c r="D249" i="1"/>
  <c r="AI159" i="1"/>
  <c r="AK155" i="1"/>
  <c r="AJ249" i="1"/>
  <c r="A250" i="1"/>
  <c r="AL161" i="1" l="1"/>
  <c r="AL160" i="1"/>
  <c r="AM161" i="1"/>
  <c r="AM162" i="1" s="1"/>
  <c r="AM163" i="1"/>
  <c r="D250" i="1"/>
  <c r="AI161" i="1"/>
  <c r="A251" i="1"/>
  <c r="AI160" i="1"/>
  <c r="AK156" i="1"/>
  <c r="AJ250" i="1"/>
  <c r="AU250" i="1" l="1"/>
  <c r="AI163" i="1"/>
  <c r="AK163" i="1"/>
  <c r="AL163" i="1"/>
  <c r="AL162" i="1"/>
  <c r="AF163" i="1"/>
  <c r="AE163" i="1"/>
  <c r="AU163" i="1"/>
  <c r="AM165" i="1"/>
  <c r="D251" i="1"/>
  <c r="AK157" i="1"/>
  <c r="AI250" i="1"/>
  <c r="AJ251" i="1"/>
  <c r="AL165" i="1" l="1"/>
  <c r="AV163" i="1"/>
  <c r="AM166" i="1"/>
  <c r="AI165" i="1"/>
  <c r="AK165" i="1"/>
  <c r="AK158" i="1"/>
  <c r="A252" i="1"/>
  <c r="AI162" i="1"/>
  <c r="AL168" i="1" l="1"/>
  <c r="AL167" i="1"/>
  <c r="AL166" i="1"/>
  <c r="AX163" i="1"/>
  <c r="AW163" i="1"/>
  <c r="AM167" i="1"/>
  <c r="AM168" i="1" s="1"/>
  <c r="A253" i="1"/>
  <c r="AI166" i="1"/>
  <c r="A254" i="1"/>
  <c r="AJ254" i="1"/>
  <c r="A255" i="1"/>
  <c r="AJ253" i="1"/>
  <c r="AK159" i="1"/>
  <c r="AK166" i="1"/>
  <c r="AL169" i="1" l="1"/>
  <c r="AM169" i="1"/>
  <c r="AM170" i="1" s="1"/>
  <c r="AM171" i="1" s="1"/>
  <c r="D254" i="1"/>
  <c r="AI167" i="1"/>
  <c r="AJ255" i="1"/>
  <c r="AI168" i="1"/>
  <c r="D255" i="1"/>
  <c r="D253" i="1"/>
  <c r="A256" i="1"/>
  <c r="AK167" i="1"/>
  <c r="AK160" i="1"/>
  <c r="AL172" i="1" l="1"/>
  <c r="AL171" i="1"/>
  <c r="AL170" i="1"/>
  <c r="AM172" i="1"/>
  <c r="AM173" i="1"/>
  <c r="AK161" i="1"/>
  <c r="A257" i="1"/>
  <c r="AI170" i="1"/>
  <c r="AI169" i="1"/>
  <c r="AK168" i="1"/>
  <c r="AI171" i="1"/>
  <c r="D257" i="1"/>
  <c r="AK173" i="1" l="1"/>
  <c r="AI172" i="1"/>
  <c r="AK172" i="1"/>
  <c r="AL174" i="1"/>
  <c r="AF172" i="1"/>
  <c r="AE172" i="1"/>
  <c r="AM174" i="1"/>
  <c r="AJ257" i="1"/>
  <c r="AI173" i="1"/>
  <c r="AK162" i="1"/>
  <c r="AK169" i="1"/>
  <c r="A258" i="1"/>
  <c r="AI174" i="1" l="1"/>
  <c r="AK174" i="1"/>
  <c r="AI176" i="1"/>
  <c r="AK176" i="1"/>
  <c r="AL176" i="1"/>
  <c r="AF176" i="1"/>
  <c r="AE176" i="1"/>
  <c r="AF174" i="1"/>
  <c r="AE174" i="1"/>
  <c r="AM176" i="1"/>
  <c r="AM177" i="1"/>
  <c r="AM178" i="1"/>
  <c r="AK170" i="1"/>
  <c r="AK171" i="1"/>
  <c r="A259" i="1"/>
  <c r="D258" i="1"/>
  <c r="AJ258" i="1"/>
  <c r="AI178" i="1" l="1"/>
  <c r="AK178" i="1"/>
  <c r="AK177" i="1"/>
  <c r="AL178" i="1"/>
  <c r="AF178" i="1"/>
  <c r="AE178" i="1"/>
  <c r="AM179" i="1"/>
  <c r="AM180" i="1"/>
  <c r="AJ259" i="1"/>
  <c r="A260" i="1"/>
  <c r="D259" i="1"/>
  <c r="AI177" i="1"/>
  <c r="AK179" i="1" l="1"/>
  <c r="AL180" i="1"/>
  <c r="AM181" i="1"/>
  <c r="AK180" i="1"/>
  <c r="D260" i="1"/>
  <c r="AI180" i="1"/>
  <c r="AJ260" i="1"/>
  <c r="A261" i="1"/>
  <c r="AI179" i="1"/>
  <c r="AL182" i="1" l="1"/>
  <c r="AL181" i="1"/>
  <c r="AK182" i="1"/>
  <c r="AM182" i="1"/>
  <c r="A262" i="1"/>
  <c r="AI181" i="1"/>
  <c r="D262" i="1"/>
  <c r="AK181" i="1"/>
  <c r="A263" i="1"/>
  <c r="AJ262" i="1"/>
  <c r="AK183" i="1" l="1"/>
  <c r="AE182" i="1"/>
  <c r="AI182" i="1"/>
  <c r="AL184" i="1"/>
  <c r="AU182" i="1"/>
  <c r="AF182" i="1"/>
  <c r="AK184" i="1"/>
  <c r="AM184" i="1"/>
  <c r="AM183" i="1"/>
  <c r="AM185" i="1"/>
  <c r="D263" i="1"/>
  <c r="A264" i="1"/>
  <c r="AI183" i="1"/>
  <c r="AJ263" i="1"/>
  <c r="AK185" i="1" l="1"/>
  <c r="AE184" i="1"/>
  <c r="AI184" i="1"/>
  <c r="AL186" i="1"/>
  <c r="AF184" i="1"/>
  <c r="AM186" i="1"/>
  <c r="AJ264" i="1"/>
  <c r="AK186" i="1"/>
  <c r="AI186" i="1"/>
  <c r="D264" i="1"/>
  <c r="AI185" i="1"/>
  <c r="A265" i="1"/>
  <c r="AL187" i="1" l="1"/>
  <c r="AV182" i="1"/>
  <c r="AM188" i="1"/>
  <c r="AM189" i="1" s="1"/>
  <c r="AJ265" i="1"/>
  <c r="A266" i="1"/>
  <c r="AJ266" i="1" s="1"/>
  <c r="D265" i="1"/>
  <c r="AK188" i="1" l="1"/>
  <c r="AL189" i="1"/>
  <c r="AU188" i="1"/>
  <c r="AW182" i="1"/>
  <c r="AX182" i="1"/>
  <c r="AM190" i="1"/>
  <c r="AM191" i="1"/>
  <c r="A267" i="1"/>
  <c r="AI189" i="1"/>
  <c r="AK189" i="1"/>
  <c r="D266" i="1"/>
  <c r="AI188" i="1"/>
  <c r="AI190" i="1" l="1"/>
  <c r="AK190" i="1"/>
  <c r="AL192" i="1"/>
  <c r="AL190" i="1"/>
  <c r="AF190" i="1"/>
  <c r="AE190" i="1"/>
  <c r="AV188" i="1"/>
  <c r="AX188" i="1" s="1"/>
  <c r="AM192" i="1"/>
  <c r="AM193" i="1"/>
  <c r="AM194" i="1"/>
  <c r="D267" i="1"/>
  <c r="AJ267" i="1"/>
  <c r="A268" i="1"/>
  <c r="A269" i="1" s="1"/>
  <c r="D268" i="1"/>
  <c r="AK194" i="1" l="1"/>
  <c r="AI193" i="1"/>
  <c r="AK193" i="1"/>
  <c r="AK191" i="1"/>
  <c r="AL193" i="1"/>
  <c r="AF193" i="1"/>
  <c r="AE193" i="1"/>
  <c r="AW188" i="1"/>
  <c r="AM195" i="1"/>
  <c r="AM196" i="1" s="1"/>
  <c r="AJ269" i="1"/>
  <c r="AI267" i="1"/>
  <c r="A270" i="1"/>
  <c r="AI192" i="1"/>
  <c r="A271" i="1"/>
  <c r="D270" i="1"/>
  <c r="D269" i="1"/>
  <c r="AJ268" i="1"/>
  <c r="AK192" i="1"/>
  <c r="AI191" i="1"/>
  <c r="AI194" i="1"/>
  <c r="AJ270" i="1"/>
  <c r="AL196" i="1" l="1"/>
  <c r="AL195" i="1"/>
  <c r="AM197" i="1"/>
  <c r="AM198" i="1" s="1"/>
  <c r="A272" i="1"/>
  <c r="D271" i="1"/>
  <c r="AJ271" i="1"/>
  <c r="AI195" i="1"/>
  <c r="AK195" i="1"/>
  <c r="AI196" i="1"/>
  <c r="AL198" i="1" l="1"/>
  <c r="AL197" i="1"/>
  <c r="AM199" i="1"/>
  <c r="AM200" i="1" s="1"/>
  <c r="AK196" i="1"/>
  <c r="AI197" i="1"/>
  <c r="AI198" i="1"/>
  <c r="D272" i="1"/>
  <c r="A273" i="1"/>
  <c r="AJ272" i="1"/>
  <c r="AL199" i="1" l="1"/>
  <c r="AM201" i="1"/>
  <c r="A274" i="1"/>
  <c r="AK197" i="1"/>
  <c r="AJ274" i="1"/>
  <c r="A275" i="1"/>
  <c r="AI199" i="1"/>
  <c r="D274" i="1"/>
  <c r="AI201" i="1" l="1"/>
  <c r="AK201" i="1"/>
  <c r="AL201" i="1"/>
  <c r="AL200" i="1"/>
  <c r="AF201" i="1"/>
  <c r="AE201" i="1"/>
  <c r="AM202" i="1"/>
  <c r="AM203" i="1"/>
  <c r="D275" i="1"/>
  <c r="AJ275" i="1"/>
  <c r="AK198" i="1"/>
  <c r="A276" i="1"/>
  <c r="AJ276" i="1" s="1"/>
  <c r="D276" i="1"/>
  <c r="AK202" i="1" l="1"/>
  <c r="AL203" i="1"/>
  <c r="AM205" i="1"/>
  <c r="AI202" i="1"/>
  <c r="AI275" i="1"/>
  <c r="A277" i="1"/>
  <c r="D277" i="1"/>
  <c r="AI203" i="1"/>
  <c r="AK199" i="1"/>
  <c r="AK203" i="1"/>
  <c r="AJ277" i="1"/>
  <c r="AK205" i="1" l="1"/>
  <c r="AL204" i="1"/>
  <c r="AM206" i="1"/>
  <c r="AM207" i="1"/>
  <c r="AM208" i="1" s="1"/>
  <c r="A278" i="1"/>
  <c r="AI205" i="1"/>
  <c r="AK200" i="1"/>
  <c r="AJ278" i="1"/>
  <c r="A279" i="1"/>
  <c r="D278" i="1"/>
  <c r="AV200" i="1" l="1"/>
  <c r="AX200" i="1" s="1"/>
  <c r="AK207" i="1"/>
  <c r="AI206" i="1"/>
  <c r="AK206" i="1"/>
  <c r="AL206" i="1"/>
  <c r="AF206" i="1"/>
  <c r="AE206" i="1"/>
  <c r="AM209" i="1"/>
  <c r="AM210" i="1" s="1"/>
  <c r="AM211" i="1"/>
  <c r="AM213" i="1"/>
  <c r="A280" i="1"/>
  <c r="D279" i="1"/>
  <c r="AK208" i="1"/>
  <c r="AI207" i="1"/>
  <c r="AJ279" i="1"/>
  <c r="AW200" i="1" l="1"/>
  <c r="AV208" i="1"/>
  <c r="AI211" i="1"/>
  <c r="AK211" i="1"/>
  <c r="AL214" i="1"/>
  <c r="AL213" i="1"/>
  <c r="AL211" i="1"/>
  <c r="AL210" i="1"/>
  <c r="AL209" i="1"/>
  <c r="AL208" i="1"/>
  <c r="AF211" i="1"/>
  <c r="AE211" i="1"/>
  <c r="AM214" i="1"/>
  <c r="AI209" i="1"/>
  <c r="AK209" i="1"/>
  <c r="AI210" i="1"/>
  <c r="AJ280" i="1"/>
  <c r="AK213" i="1"/>
  <c r="A281" i="1"/>
  <c r="AI213" i="1"/>
  <c r="D280" i="1"/>
  <c r="AX208" i="1" l="1"/>
  <c r="AW208" i="1"/>
  <c r="AL215" i="1"/>
  <c r="AM215" i="1"/>
  <c r="AJ281" i="1"/>
  <c r="AK214" i="1"/>
  <c r="D281" i="1"/>
  <c r="AK210" i="1"/>
  <c r="AI214" i="1"/>
  <c r="A282" i="1"/>
  <c r="AJ282" i="1"/>
  <c r="AL216" i="1" l="1"/>
  <c r="AM217" i="1"/>
  <c r="D282" i="1"/>
  <c r="AI215" i="1"/>
  <c r="AI281" i="1"/>
  <c r="A283" i="1"/>
  <c r="A284" i="1" s="1"/>
  <c r="D283" i="1"/>
  <c r="AK215" i="1"/>
  <c r="AJ283" i="1"/>
  <c r="AJ284" i="1"/>
  <c r="AK217" i="1" l="1"/>
  <c r="AL218" i="1"/>
  <c r="AM218" i="1"/>
  <c r="D284" i="1"/>
  <c r="A285" i="1"/>
  <c r="AI217" i="1"/>
  <c r="AL219" i="1" l="1"/>
  <c r="AM220" i="1"/>
  <c r="D285" i="1"/>
  <c r="AJ285" i="1"/>
  <c r="AI218" i="1"/>
  <c r="A286" i="1"/>
  <c r="AK218" i="1"/>
  <c r="AK220" i="1" l="1"/>
  <c r="AL221" i="1"/>
  <c r="AM221" i="1"/>
  <c r="AI220" i="1"/>
  <c r="A287" i="1"/>
  <c r="A288" i="1" s="1"/>
  <c r="AJ287" i="1"/>
  <c r="D287" i="1"/>
  <c r="AL222" i="1" l="1"/>
  <c r="AM222" i="1"/>
  <c r="AM223" i="1" s="1"/>
  <c r="AM224" i="1" s="1"/>
  <c r="A289" i="1"/>
  <c r="D289" i="1"/>
  <c r="AJ289" i="1"/>
  <c r="A290" i="1"/>
  <c r="AK221" i="1"/>
  <c r="AJ290" i="1"/>
  <c r="AI221" i="1"/>
  <c r="D290" i="1"/>
  <c r="A291" i="1"/>
  <c r="AL223" i="1" l="1"/>
  <c r="AK222" i="1"/>
  <c r="AJ291" i="1"/>
  <c r="AI222" i="1"/>
  <c r="A292" i="1"/>
  <c r="AJ292" i="1" s="1"/>
  <c r="D291" i="1"/>
  <c r="D292" i="1"/>
  <c r="AL224" i="1" l="1"/>
  <c r="A293" i="1"/>
  <c r="AI223" i="1"/>
  <c r="AK223" i="1"/>
  <c r="AL225" i="1" l="1"/>
  <c r="AM225" i="1"/>
  <c r="D293" i="1"/>
  <c r="AI225" i="1"/>
  <c r="A294" i="1"/>
  <c r="A295" i="1"/>
  <c r="AJ293" i="1"/>
  <c r="AK224" i="1"/>
  <c r="D294" i="1"/>
  <c r="AU294" i="1" l="1"/>
  <c r="AL226" i="1"/>
  <c r="AM227" i="1"/>
  <c r="AM226" i="1"/>
  <c r="AJ294" i="1"/>
  <c r="AI294" i="1"/>
  <c r="A296" i="1"/>
  <c r="AJ296" i="1"/>
  <c r="AK225" i="1"/>
  <c r="AJ295" i="1"/>
  <c r="D295" i="1"/>
  <c r="AL227" i="1" l="1"/>
  <c r="D296" i="1"/>
  <c r="AK226" i="1"/>
  <c r="AI226" i="1"/>
  <c r="A297" i="1"/>
  <c r="AI227" i="1" l="1"/>
  <c r="AK227" i="1"/>
  <c r="AF227" i="1"/>
  <c r="AE227" i="1"/>
  <c r="AU227" i="1"/>
  <c r="AM228" i="1"/>
  <c r="AM229" i="1" s="1"/>
  <c r="A298" i="1"/>
  <c r="AJ298" i="1"/>
  <c r="D298" i="1"/>
  <c r="A299" i="1"/>
  <c r="AK228" i="1" l="1"/>
  <c r="AL229" i="1"/>
  <c r="AV227" i="1"/>
  <c r="AX227" i="1" s="1"/>
  <c r="A300" i="1"/>
  <c r="AI228" i="1"/>
  <c r="AL230" i="1" l="1"/>
  <c r="AW227" i="1"/>
  <c r="AM230" i="1"/>
  <c r="AJ300" i="1"/>
  <c r="AK229" i="1"/>
  <c r="A301" i="1"/>
  <c r="AI229" i="1"/>
  <c r="D300" i="1"/>
  <c r="D301" i="1"/>
  <c r="AJ301" i="1"/>
  <c r="AU301" i="1" l="1"/>
  <c r="AL231" i="1"/>
  <c r="AM231" i="1"/>
  <c r="AI230" i="1"/>
  <c r="AK230" i="1"/>
  <c r="A302" i="1"/>
  <c r="AI301" i="1"/>
  <c r="AI231" i="1" l="1"/>
  <c r="AK231" i="1"/>
  <c r="AF231" i="1"/>
  <c r="AE231" i="1"/>
  <c r="AU231" i="1"/>
  <c r="AM232" i="1"/>
  <c r="A303" i="1"/>
  <c r="D303" i="1"/>
  <c r="A304" i="1"/>
  <c r="AJ303" i="1"/>
  <c r="AK303" i="1" l="1"/>
  <c r="AK232" i="1"/>
  <c r="AL233" i="1"/>
  <c r="AV231" i="1"/>
  <c r="AW231" i="1" s="1"/>
  <c r="AM233" i="1"/>
  <c r="AK233" i="1"/>
  <c r="AI303" i="1"/>
  <c r="A305" i="1"/>
  <c r="AI233" i="1"/>
  <c r="AI232" i="1"/>
  <c r="AL234" i="1" l="1"/>
  <c r="AX231" i="1"/>
  <c r="AM234" i="1"/>
  <c r="AM235" i="1" s="1"/>
  <c r="AM236" i="1" s="1"/>
  <c r="AJ305" i="1"/>
  <c r="A306" i="1"/>
  <c r="AJ306" i="1"/>
  <c r="D305" i="1"/>
  <c r="D306" i="1"/>
  <c r="A307" i="1"/>
  <c r="AU305" i="1" l="1"/>
  <c r="AK305" i="1"/>
  <c r="AL235" i="1"/>
  <c r="AI234" i="1"/>
  <c r="AK234" i="1"/>
  <c r="AJ307" i="1"/>
  <c r="AI235" i="1"/>
  <c r="D307" i="1"/>
  <c r="AI305" i="1"/>
  <c r="A308" i="1"/>
  <c r="AV305" i="1" l="1"/>
  <c r="AX305" i="1" s="1"/>
  <c r="AL236" i="1"/>
  <c r="AK235" i="1"/>
  <c r="AJ308" i="1"/>
  <c r="A309" i="1"/>
  <c r="D308" i="1"/>
  <c r="AW305" i="1" l="1"/>
  <c r="AL237" i="1"/>
  <c r="AM237" i="1"/>
  <c r="AK236" i="1"/>
  <c r="AI237" i="1"/>
  <c r="D309" i="1"/>
  <c r="AJ309" i="1"/>
  <c r="A310" i="1"/>
  <c r="AL238" i="1" l="1"/>
  <c r="AM238" i="1"/>
  <c r="AJ310" i="1"/>
  <c r="AK237" i="1"/>
  <c r="D310" i="1"/>
  <c r="A311" i="1"/>
  <c r="AL239" i="1" l="1"/>
  <c r="AM239" i="1"/>
  <c r="AM240" i="1" s="1"/>
  <c r="D311" i="1"/>
  <c r="A312" i="1"/>
  <c r="AK238" i="1"/>
  <c r="AJ311" i="1"/>
  <c r="AI238" i="1"/>
  <c r="AL240" i="1" l="1"/>
  <c r="AM241" i="1"/>
  <c r="A313" i="1"/>
  <c r="AI239" i="1"/>
  <c r="D313" i="1"/>
  <c r="AK239" i="1"/>
  <c r="A314" i="1"/>
  <c r="AJ313" i="1"/>
  <c r="D314" i="1"/>
  <c r="A315" i="1"/>
  <c r="AJ314" i="1"/>
  <c r="AL242" i="1" l="1"/>
  <c r="AL241" i="1"/>
  <c r="AM242" i="1"/>
  <c r="D315" i="1"/>
  <c r="AI241" i="1"/>
  <c r="AJ315" i="1"/>
  <c r="AK240" i="1"/>
  <c r="A316" i="1"/>
  <c r="D316" i="1" s="1"/>
  <c r="AL243" i="1" l="1"/>
  <c r="AM243" i="1"/>
  <c r="AJ316" i="1"/>
  <c r="AK241" i="1"/>
  <c r="A317" i="1"/>
  <c r="AJ317" i="1" s="1"/>
  <c r="AI242" i="1"/>
  <c r="AI243" i="1" l="1"/>
  <c r="AK243" i="1"/>
  <c r="AF243" i="1"/>
  <c r="AE243" i="1"/>
  <c r="AM244" i="1"/>
  <c r="AK242" i="1"/>
  <c r="A318" i="1"/>
  <c r="D317" i="1"/>
  <c r="AJ318" i="1"/>
  <c r="D318" i="1"/>
  <c r="AK244" i="1" l="1"/>
  <c r="AL245" i="1"/>
  <c r="AM245" i="1"/>
  <c r="A319" i="1"/>
  <c r="AI244" i="1"/>
  <c r="A320" i="1"/>
  <c r="D319" i="1"/>
  <c r="AL246" i="1" l="1"/>
  <c r="AM246" i="1"/>
  <c r="AJ319" i="1"/>
  <c r="AI319" i="1"/>
  <c r="D320" i="1"/>
  <c r="AI245" i="1"/>
  <c r="AK245" i="1"/>
  <c r="AJ320" i="1"/>
  <c r="A321" i="1"/>
  <c r="AJ321" i="1"/>
  <c r="D321" i="1"/>
  <c r="A322" i="1"/>
  <c r="AI246" i="1" l="1"/>
  <c r="AK246" i="1"/>
  <c r="AF246" i="1"/>
  <c r="AE246" i="1"/>
  <c r="AM247" i="1"/>
  <c r="AM248" i="1" s="1"/>
  <c r="A323" i="1"/>
  <c r="AK247" i="1" l="1"/>
  <c r="AL248" i="1"/>
  <c r="D323" i="1"/>
  <c r="AJ323" i="1"/>
  <c r="AI247" i="1"/>
  <c r="A324" i="1"/>
  <c r="AJ324" i="1"/>
  <c r="AL249" i="1" l="1"/>
  <c r="AM249" i="1"/>
  <c r="AM250" i="1" s="1"/>
  <c r="D324" i="1"/>
  <c r="AI248" i="1"/>
  <c r="AI249" i="1"/>
  <c r="A325" i="1"/>
  <c r="AK248" i="1"/>
  <c r="AJ325" i="1"/>
  <c r="D325" i="1"/>
  <c r="AL250" i="1" l="1"/>
  <c r="AM251" i="1"/>
  <c r="AK249" i="1"/>
  <c r="A326" i="1"/>
  <c r="AL252" i="1" l="1"/>
  <c r="AL251" i="1"/>
  <c r="B252" i="1"/>
  <c r="C252" i="1" s="1"/>
  <c r="AM252" i="1"/>
  <c r="D326" i="1"/>
  <c r="AK250" i="1"/>
  <c r="A327" i="1"/>
  <c r="D327" i="1"/>
  <c r="AJ327" i="1"/>
  <c r="AI251" i="1"/>
  <c r="AJ326" i="1"/>
  <c r="AV250" i="1" l="1"/>
  <c r="AX250" i="1" s="1"/>
  <c r="AI252" i="1"/>
  <c r="AK252" i="1"/>
  <c r="AF252" i="1"/>
  <c r="AE252" i="1"/>
  <c r="AM253" i="1"/>
  <c r="AK251" i="1"/>
  <c r="A328" i="1"/>
  <c r="A329" i="1"/>
  <c r="D328" i="1"/>
  <c r="AJ329" i="1"/>
  <c r="AW250" i="1" l="1"/>
  <c r="AK253" i="1"/>
  <c r="AL254" i="1"/>
  <c r="AM254" i="1"/>
  <c r="D329" i="1"/>
  <c r="AJ328" i="1"/>
  <c r="AI253" i="1"/>
  <c r="A330" i="1"/>
  <c r="A331" i="1" s="1"/>
  <c r="AL255" i="1" l="1"/>
  <c r="AM255" i="1"/>
  <c r="AJ330" i="1"/>
  <c r="A332" i="1"/>
  <c r="AI254" i="1"/>
  <c r="D330" i="1"/>
  <c r="AK254" i="1"/>
  <c r="AL256" i="1" l="1"/>
  <c r="AM257" i="1"/>
  <c r="AJ332" i="1"/>
  <c r="D332" i="1"/>
  <c r="AK255" i="1"/>
  <c r="AI255" i="1"/>
  <c r="A333" i="1"/>
  <c r="AJ333" i="1"/>
  <c r="D333" i="1"/>
  <c r="A334" i="1"/>
  <c r="D334" i="1"/>
  <c r="AK332" i="1" l="1"/>
  <c r="AK257" i="1"/>
  <c r="AL258" i="1"/>
  <c r="AM258" i="1"/>
  <c r="AJ334" i="1"/>
  <c r="AI257" i="1"/>
  <c r="A335" i="1"/>
  <c r="D335" i="1" s="1"/>
  <c r="AI332" i="1"/>
  <c r="AL259" i="1" l="1"/>
  <c r="AM259" i="1"/>
  <c r="AJ335" i="1"/>
  <c r="AI258" i="1"/>
  <c r="AK258" i="1"/>
  <c r="A336" i="1"/>
  <c r="AL260" i="1" l="1"/>
  <c r="AM260" i="1"/>
  <c r="AM261" i="1"/>
  <c r="AJ336" i="1"/>
  <c r="A337" i="1"/>
  <c r="D337" i="1" s="1"/>
  <c r="AI259" i="1"/>
  <c r="AK259" i="1"/>
  <c r="D336" i="1"/>
  <c r="AL261" i="1" l="1"/>
  <c r="AK261" i="1"/>
  <c r="AJ337" i="1"/>
  <c r="AK260" i="1"/>
  <c r="A338" i="1"/>
  <c r="D338" i="1"/>
  <c r="AI260" i="1"/>
  <c r="AI336" i="1"/>
  <c r="A339" i="1"/>
  <c r="AE261" i="1" l="1"/>
  <c r="AI261" i="1"/>
  <c r="AF261" i="1"/>
  <c r="AM262" i="1"/>
  <c r="AM263" i="1" s="1"/>
  <c r="AJ338" i="1"/>
  <c r="A340" i="1"/>
  <c r="AJ340" i="1" s="1"/>
  <c r="D340" i="1"/>
  <c r="AK262" i="1" l="1"/>
  <c r="AL263" i="1"/>
  <c r="AI262" i="1"/>
  <c r="A341" i="1"/>
  <c r="AJ341" i="1"/>
  <c r="D341" i="1"/>
  <c r="A342" i="1"/>
  <c r="AJ342" i="1"/>
  <c r="D342" i="1"/>
  <c r="AL264" i="1" l="1"/>
  <c r="AM264" i="1"/>
  <c r="A343" i="1"/>
  <c r="AI342" i="1"/>
  <c r="AK263" i="1"/>
  <c r="AI263" i="1"/>
  <c r="AL265" i="1" l="1"/>
  <c r="AM265" i="1"/>
  <c r="AI264" i="1"/>
  <c r="AK264" i="1"/>
  <c r="A344" i="1"/>
  <c r="D344" i="1"/>
  <c r="AL266" i="1" l="1"/>
  <c r="AM266" i="1"/>
  <c r="AM267" i="1" s="1"/>
  <c r="AJ344" i="1"/>
  <c r="AK265" i="1"/>
  <c r="AI265" i="1"/>
  <c r="A345" i="1"/>
  <c r="AJ345" i="1"/>
  <c r="D345" i="1"/>
  <c r="A346" i="1"/>
  <c r="AL267" i="1" l="1"/>
  <c r="AM268" i="1"/>
  <c r="AI266" i="1"/>
  <c r="AK266" i="1"/>
  <c r="A347" i="1"/>
  <c r="D347" i="1"/>
  <c r="AK347" i="1" l="1"/>
  <c r="AL269" i="1"/>
  <c r="AL268" i="1"/>
  <c r="AM269" i="1"/>
  <c r="AM270" i="1" s="1"/>
  <c r="AJ347" i="1"/>
  <c r="AI268" i="1"/>
  <c r="A348" i="1"/>
  <c r="AK267" i="1"/>
  <c r="AI347" i="1"/>
  <c r="AL270" i="1" l="1"/>
  <c r="AM271" i="1"/>
  <c r="D348" i="1"/>
  <c r="AK268" i="1"/>
  <c r="A349" i="1"/>
  <c r="AJ349" i="1"/>
  <c r="AJ348" i="1"/>
  <c r="AI269" i="1"/>
  <c r="AL271" i="1" l="1"/>
  <c r="D349" i="1"/>
  <c r="A350" i="1"/>
  <c r="AI270" i="1"/>
  <c r="AI271" i="1"/>
  <c r="AK269" i="1"/>
  <c r="A351" i="1"/>
  <c r="D351" i="1" s="1"/>
  <c r="AJ350" i="1"/>
  <c r="D350" i="1"/>
  <c r="AL272" i="1" l="1"/>
  <c r="AM272" i="1"/>
  <c r="AK270" i="1"/>
  <c r="A352" i="1"/>
  <c r="AI350" i="1"/>
  <c r="AK271" i="1"/>
  <c r="AJ351" i="1"/>
  <c r="AL273" i="1" l="1"/>
  <c r="AM273" i="1"/>
  <c r="D352" i="1"/>
  <c r="AK272" i="1"/>
  <c r="A353" i="1"/>
  <c r="AI272" i="1"/>
  <c r="AJ352" i="1"/>
  <c r="D353" i="1"/>
  <c r="AJ353" i="1"/>
  <c r="A354" i="1"/>
  <c r="AI273" i="1" l="1"/>
  <c r="AK273" i="1"/>
  <c r="AF273" i="1"/>
  <c r="AE273" i="1"/>
  <c r="AM274" i="1"/>
  <c r="AM275" i="1" s="1"/>
  <c r="D354" i="1"/>
  <c r="AJ354" i="1"/>
  <c r="AI352" i="1"/>
  <c r="A355" i="1"/>
  <c r="AK274" i="1" l="1"/>
  <c r="AL275" i="1"/>
  <c r="AM276" i="1"/>
  <c r="AM277" i="1" s="1"/>
  <c r="AK275" i="1"/>
  <c r="A356" i="1"/>
  <c r="AJ355" i="1"/>
  <c r="D355" i="1"/>
  <c r="AI274" i="1"/>
  <c r="AL277" i="1" l="1"/>
  <c r="AL276" i="1"/>
  <c r="AM278" i="1"/>
  <c r="AK276" i="1"/>
  <c r="AI276" i="1"/>
  <c r="A357" i="1"/>
  <c r="AI277" i="1"/>
  <c r="AJ356" i="1"/>
  <c r="D356" i="1"/>
  <c r="AU356" i="1" l="1"/>
  <c r="AL278" i="1"/>
  <c r="AJ357" i="1"/>
  <c r="AI356" i="1"/>
  <c r="AK277" i="1"/>
  <c r="A358" i="1"/>
  <c r="D357" i="1"/>
  <c r="AL279" i="1" l="1"/>
  <c r="AM279" i="1"/>
  <c r="AI278" i="1"/>
  <c r="A359" i="1"/>
  <c r="AK278" i="1"/>
  <c r="AI279" i="1"/>
  <c r="AL280" i="1" l="1"/>
  <c r="AM280" i="1"/>
  <c r="AM281" i="1" s="1"/>
  <c r="D359" i="1"/>
  <c r="AJ359" i="1"/>
  <c r="AK279" i="1"/>
  <c r="A360" i="1"/>
  <c r="D360" i="1" s="1"/>
  <c r="AJ360" i="1"/>
  <c r="A361" i="1"/>
  <c r="D361" i="1"/>
  <c r="AK359" i="1" l="1"/>
  <c r="AL281" i="1"/>
  <c r="AM282" i="1"/>
  <c r="AM283" i="1" s="1"/>
  <c r="AJ361" i="1"/>
  <c r="A362" i="1"/>
  <c r="AJ362" i="1"/>
  <c r="A363" i="1"/>
  <c r="AI359" i="1"/>
  <c r="AI280" i="1"/>
  <c r="AK280" i="1"/>
  <c r="AL283" i="1" l="1"/>
  <c r="AL282" i="1"/>
  <c r="D362" i="1"/>
  <c r="AK281" i="1"/>
  <c r="AJ363" i="1"/>
  <c r="D363" i="1"/>
  <c r="A364" i="1"/>
  <c r="AI282" i="1"/>
  <c r="AL284" i="1" l="1"/>
  <c r="AM284" i="1"/>
  <c r="A365" i="1"/>
  <c r="AI283" i="1"/>
  <c r="D364" i="1"/>
  <c r="A366" i="1"/>
  <c r="D365" i="1"/>
  <c r="AJ364" i="1"/>
  <c r="AK282" i="1"/>
  <c r="AL285" i="1" l="1"/>
  <c r="AM285" i="1"/>
  <c r="AK283" i="1"/>
  <c r="AJ365" i="1"/>
  <c r="AI284" i="1"/>
  <c r="AJ366" i="1"/>
  <c r="AK284" i="1"/>
  <c r="A367" i="1"/>
  <c r="D366" i="1"/>
  <c r="AL286" i="1" l="1"/>
  <c r="AI285" i="1"/>
  <c r="AK285" i="1"/>
  <c r="A368" i="1"/>
  <c r="D367" i="1"/>
  <c r="AJ367" i="1"/>
  <c r="AM287" i="1" l="1"/>
  <c r="D368" i="1"/>
  <c r="A369" i="1"/>
  <c r="D369" i="1" s="1"/>
  <c r="AJ368" i="1"/>
  <c r="A370" i="1"/>
  <c r="AJ369" i="1"/>
  <c r="AK287" i="1" l="1"/>
  <c r="AL288" i="1"/>
  <c r="AM288" i="1"/>
  <c r="AM289" i="1"/>
  <c r="AJ370" i="1"/>
  <c r="A371" i="1"/>
  <c r="AI369" i="1"/>
  <c r="AI287" i="1"/>
  <c r="D370" i="1"/>
  <c r="AI288" i="1" l="1"/>
  <c r="AK288" i="1"/>
  <c r="AF288" i="1"/>
  <c r="AE288" i="1"/>
  <c r="AU288" i="1"/>
  <c r="A372" i="1"/>
  <c r="AK289" i="1" l="1"/>
  <c r="AL290" i="1"/>
  <c r="AV288" i="1"/>
  <c r="AW288" i="1" s="1"/>
  <c r="AM290" i="1"/>
  <c r="AM291" i="1" s="1"/>
  <c r="AJ372" i="1"/>
  <c r="D372" i="1"/>
  <c r="A373" i="1"/>
  <c r="D373" i="1" s="1"/>
  <c r="AI289" i="1"/>
  <c r="AL292" i="1" l="1"/>
  <c r="AL291" i="1"/>
  <c r="AX288" i="1"/>
  <c r="AU290" i="1"/>
  <c r="AM292" i="1"/>
  <c r="AM293" i="1" s="1"/>
  <c r="AM294" i="1" s="1"/>
  <c r="AK290" i="1"/>
  <c r="A374" i="1"/>
  <c r="A375" i="1"/>
  <c r="AJ373" i="1"/>
  <c r="AI290" i="1"/>
  <c r="AI291" i="1"/>
  <c r="AJ374" i="1"/>
  <c r="AL293" i="1" l="1"/>
  <c r="AV290" i="1"/>
  <c r="AW290" i="1" s="1"/>
  <c r="AM295" i="1"/>
  <c r="D374" i="1"/>
  <c r="AK291" i="1"/>
  <c r="A376" i="1"/>
  <c r="AJ375" i="1"/>
  <c r="D375" i="1"/>
  <c r="AI292" i="1"/>
  <c r="AL295" i="1" l="1"/>
  <c r="AL294" i="1"/>
  <c r="AX290" i="1"/>
  <c r="AM296" i="1"/>
  <c r="AK292" i="1"/>
  <c r="A377" i="1"/>
  <c r="AK293" i="1"/>
  <c r="D376" i="1"/>
  <c r="AI293" i="1"/>
  <c r="AJ376" i="1"/>
  <c r="D377" i="1"/>
  <c r="AL297" i="1" l="1"/>
  <c r="AL296" i="1"/>
  <c r="AU295" i="1"/>
  <c r="AM298" i="1"/>
  <c r="AM297" i="1"/>
  <c r="AJ377" i="1"/>
  <c r="A378" i="1"/>
  <c r="AJ378" i="1"/>
  <c r="A379" i="1"/>
  <c r="D379" i="1"/>
  <c r="AI377" i="1"/>
  <c r="AI295" i="1"/>
  <c r="AK294" i="1"/>
  <c r="D378" i="1"/>
  <c r="AJ379" i="1"/>
  <c r="AV294" i="1" l="1"/>
  <c r="AX294" i="1" s="1"/>
  <c r="AI297" i="1"/>
  <c r="AK297" i="1"/>
  <c r="AU296" i="1"/>
  <c r="AF297" i="1"/>
  <c r="AE297" i="1"/>
  <c r="AU297" i="1"/>
  <c r="AK295" i="1"/>
  <c r="AI296" i="1"/>
  <c r="A380" i="1"/>
  <c r="AV295" i="1" l="1"/>
  <c r="AW295" i="1" s="1"/>
  <c r="AW294" i="1"/>
  <c r="AK298" i="1"/>
  <c r="AL299" i="1"/>
  <c r="AV297" i="1"/>
  <c r="AW297" i="1" s="1"/>
  <c r="AK296" i="1"/>
  <c r="AI298" i="1"/>
  <c r="D380" i="1"/>
  <c r="A381" i="1"/>
  <c r="AJ380" i="1"/>
  <c r="AV296" i="1" l="1"/>
  <c r="AX296" i="1" s="1"/>
  <c r="AX295" i="1"/>
  <c r="AW296" i="1"/>
  <c r="AK300" i="1"/>
  <c r="AX297" i="1"/>
  <c r="AM300" i="1"/>
  <c r="AM301" i="1" s="1"/>
  <c r="D381" i="1"/>
  <c r="AJ381" i="1"/>
  <c r="AI300" i="1"/>
  <c r="AK301" i="1"/>
  <c r="A382" i="1"/>
  <c r="AV301" i="1" l="1"/>
  <c r="AL301" i="1"/>
  <c r="A383" i="1"/>
  <c r="D383" i="1"/>
  <c r="A384" i="1"/>
  <c r="AJ383" i="1"/>
  <c r="AX301" i="1" l="1"/>
  <c r="AW301" i="1"/>
  <c r="AL302" i="1"/>
  <c r="AM302" i="1"/>
  <c r="A385" i="1"/>
  <c r="AJ385" i="1"/>
  <c r="D385" i="1"/>
  <c r="AK385" i="1" l="1"/>
  <c r="AI302" i="1"/>
  <c r="AK302" i="1"/>
  <c r="AF302" i="1"/>
  <c r="AE302" i="1"/>
  <c r="AU302" i="1"/>
  <c r="A386" i="1"/>
  <c r="AJ386" i="1"/>
  <c r="AI385" i="1"/>
  <c r="D386" i="1"/>
  <c r="AL304" i="1" l="1"/>
  <c r="AV302" i="1"/>
  <c r="AX302" i="1" s="1"/>
  <c r="AM304" i="1"/>
  <c r="A387" i="1"/>
  <c r="AI304" i="1" l="1"/>
  <c r="AK304" i="1"/>
  <c r="AF304" i="1"/>
  <c r="AE304" i="1"/>
  <c r="AW302" i="1"/>
  <c r="AU304" i="1"/>
  <c r="A388" i="1"/>
  <c r="A389" i="1"/>
  <c r="D388" i="1"/>
  <c r="AJ388" i="1"/>
  <c r="AL306" i="1" l="1"/>
  <c r="AV304" i="1"/>
  <c r="AX304" i="1" s="1"/>
  <c r="AM306" i="1"/>
  <c r="AK306" i="1"/>
  <c r="A390" i="1"/>
  <c r="D389" i="1"/>
  <c r="AI306" i="1"/>
  <c r="AJ389" i="1"/>
  <c r="AL307" i="1" l="1"/>
  <c r="AM307" i="1"/>
  <c r="AW304" i="1"/>
  <c r="A391" i="1"/>
  <c r="AL308" i="1" l="1"/>
  <c r="AM308" i="1"/>
  <c r="AJ391" i="1"/>
  <c r="AI307" i="1"/>
  <c r="A392" i="1"/>
  <c r="D392" i="1"/>
  <c r="D391" i="1"/>
  <c r="AK307" i="1"/>
  <c r="A393" i="1"/>
  <c r="AL309" i="1" l="1"/>
  <c r="AM309" i="1"/>
  <c r="AM310" i="1" s="1"/>
  <c r="AJ392" i="1"/>
  <c r="A394" i="1"/>
  <c r="AI308" i="1"/>
  <c r="A395" i="1"/>
  <c r="AK308" i="1"/>
  <c r="AJ394" i="1"/>
  <c r="D394" i="1"/>
  <c r="AL310" i="1" l="1"/>
  <c r="AK309" i="1"/>
  <c r="A396" i="1"/>
  <c r="AI309" i="1"/>
  <c r="AL311" i="1" l="1"/>
  <c r="AM311" i="1"/>
  <c r="AJ396" i="1"/>
  <c r="AI310" i="1"/>
  <c r="AK310" i="1"/>
  <c r="D396" i="1"/>
  <c r="A397" i="1"/>
  <c r="AK396" i="1" l="1"/>
  <c r="AL312" i="1"/>
  <c r="AM312" i="1"/>
  <c r="AI396" i="1"/>
  <c r="A398" i="1"/>
  <c r="AI311" i="1"/>
  <c r="AK311" i="1"/>
  <c r="AJ398" i="1"/>
  <c r="AI312" i="1" l="1"/>
  <c r="AK312" i="1"/>
  <c r="AF312" i="1"/>
  <c r="AE312" i="1"/>
  <c r="AM313" i="1"/>
  <c r="D398" i="1"/>
  <c r="A399" i="1"/>
  <c r="A400" i="1" s="1"/>
  <c r="AK313" i="1" l="1"/>
  <c r="AL314" i="1"/>
  <c r="AM314" i="1"/>
  <c r="D400" i="1"/>
  <c r="AI313" i="1"/>
  <c r="AJ400" i="1"/>
  <c r="A401" i="1"/>
  <c r="AL315" i="1" l="1"/>
  <c r="AM315" i="1"/>
  <c r="AJ401" i="1"/>
  <c r="AI315" i="1"/>
  <c r="A402" i="1"/>
  <c r="D402" i="1"/>
  <c r="AI314" i="1"/>
  <c r="D401" i="1"/>
  <c r="AK314" i="1"/>
  <c r="A403" i="1"/>
  <c r="D403" i="1" s="1"/>
  <c r="AJ403" i="1"/>
  <c r="AL316" i="1" l="1"/>
  <c r="AM316" i="1"/>
  <c r="AJ402" i="1"/>
  <c r="A404" i="1"/>
  <c r="AK315" i="1"/>
  <c r="AJ404" i="1"/>
  <c r="AL317" i="1" l="1"/>
  <c r="AM317" i="1"/>
  <c r="D404" i="1"/>
  <c r="AK316" i="1"/>
  <c r="AI316" i="1"/>
  <c r="A405" i="1"/>
  <c r="A406" i="1"/>
  <c r="AJ405" i="1"/>
  <c r="AL318" i="1" l="1"/>
  <c r="AM318" i="1"/>
  <c r="AM319" i="1" s="1"/>
  <c r="D405" i="1"/>
  <c r="D406" i="1"/>
  <c r="A407" i="1"/>
  <c r="AI317" i="1"/>
  <c r="AJ406" i="1"/>
  <c r="AK317" i="1"/>
  <c r="D407" i="1"/>
  <c r="AL319" i="1" l="1"/>
  <c r="A408" i="1"/>
  <c r="AJ407" i="1"/>
  <c r="AK318" i="1"/>
  <c r="AI318" i="1"/>
  <c r="AL320" i="1" l="1"/>
  <c r="AM320" i="1"/>
  <c r="AK319" i="1"/>
  <c r="A409" i="1"/>
  <c r="AL321" i="1" l="1"/>
  <c r="AM321" i="1"/>
  <c r="D409" i="1"/>
  <c r="A410" i="1"/>
  <c r="AJ409" i="1"/>
  <c r="AI320" i="1"/>
  <c r="AK320" i="1"/>
  <c r="AU409" i="1" l="1"/>
  <c r="AK409" i="1"/>
  <c r="AL322" i="1"/>
  <c r="AM322" i="1"/>
  <c r="A411" i="1"/>
  <c r="AK321" i="1"/>
  <c r="AI321" i="1"/>
  <c r="D411" i="1"/>
  <c r="AJ411" i="1"/>
  <c r="AI409" i="1"/>
  <c r="A412" i="1"/>
  <c r="AV409" i="1" l="1"/>
  <c r="AX409" i="1" s="1"/>
  <c r="AI322" i="1"/>
  <c r="AK322" i="1"/>
  <c r="AF322" i="1"/>
  <c r="AE322" i="1"/>
  <c r="AU322" i="1"/>
  <c r="AM323" i="1"/>
  <c r="A413" i="1"/>
  <c r="AW409" i="1" l="1"/>
  <c r="AK323" i="1"/>
  <c r="AL324" i="1"/>
  <c r="AV322" i="1"/>
  <c r="AW322" i="1" s="1"/>
  <c r="AM324" i="1"/>
  <c r="A414" i="1"/>
  <c r="AI323" i="1"/>
  <c r="D413" i="1"/>
  <c r="AK324" i="1"/>
  <c r="D414" i="1"/>
  <c r="AJ413" i="1"/>
  <c r="AL325" i="1" l="1"/>
  <c r="AX322" i="1"/>
  <c r="AM325" i="1"/>
  <c r="AJ414" i="1"/>
  <c r="AI324" i="1"/>
  <c r="A415" i="1"/>
  <c r="A416" i="1"/>
  <c r="AJ416" i="1"/>
  <c r="D416" i="1"/>
  <c r="AJ415" i="1"/>
  <c r="AL326" i="1" l="1"/>
  <c r="AM326" i="1"/>
  <c r="AM327" i="1" s="1"/>
  <c r="D415" i="1"/>
  <c r="A417" i="1"/>
  <c r="AK325" i="1"/>
  <c r="AI325" i="1"/>
  <c r="AL327" i="1" l="1"/>
  <c r="AI326" i="1"/>
  <c r="AK326" i="1"/>
  <c r="A418" i="1"/>
  <c r="A419" i="1"/>
  <c r="D419" i="1"/>
  <c r="AJ419" i="1"/>
  <c r="D418" i="1"/>
  <c r="AJ418" i="1"/>
  <c r="AL328" i="1" l="1"/>
  <c r="AM328" i="1"/>
  <c r="AI327" i="1"/>
  <c r="A420" i="1"/>
  <c r="AK327" i="1"/>
  <c r="D420" i="1"/>
  <c r="AL329" i="1" l="1"/>
  <c r="AM329" i="1"/>
  <c r="AJ420" i="1"/>
  <c r="A421" i="1"/>
  <c r="AI328" i="1"/>
  <c r="AI420" i="1"/>
  <c r="AK328" i="1"/>
  <c r="AL330" i="1" l="1"/>
  <c r="AM330" i="1"/>
  <c r="A422" i="1"/>
  <c r="AK329" i="1"/>
  <c r="AJ422" i="1"/>
  <c r="AI329" i="1"/>
  <c r="AL331" i="1" l="1"/>
  <c r="AM331" i="1"/>
  <c r="D422" i="1"/>
  <c r="AI330" i="1"/>
  <c r="A423" i="1"/>
  <c r="AK330" i="1"/>
  <c r="AI331" i="1" l="1"/>
  <c r="AK331" i="1"/>
  <c r="AF331" i="1"/>
  <c r="AE331" i="1"/>
  <c r="D423" i="1"/>
  <c r="AJ423" i="1"/>
  <c r="A424" i="1"/>
  <c r="A425" i="1" s="1"/>
  <c r="AJ424" i="1"/>
  <c r="AL333" i="1" l="1"/>
  <c r="AM333" i="1"/>
  <c r="D424" i="1"/>
  <c r="AJ425" i="1"/>
  <c r="D425" i="1"/>
  <c r="A426" i="1"/>
  <c r="D426" i="1"/>
  <c r="A427" i="1"/>
  <c r="AJ427" i="1" s="1"/>
  <c r="AJ426" i="1"/>
  <c r="AL334" i="1" l="1"/>
  <c r="AM334" i="1"/>
  <c r="AM335" i="1" s="1"/>
  <c r="AM336" i="1" s="1"/>
  <c r="D427" i="1"/>
  <c r="AI333" i="1"/>
  <c r="AK333" i="1"/>
  <c r="A428" i="1"/>
  <c r="AI334" i="1"/>
  <c r="D428" i="1"/>
  <c r="AJ428" i="1"/>
  <c r="AL335" i="1" l="1"/>
  <c r="AK334" i="1"/>
  <c r="A429" i="1"/>
  <c r="AI427" i="1"/>
  <c r="AL336" i="1" l="1"/>
  <c r="A430" i="1"/>
  <c r="AI335" i="1"/>
  <c r="AK335" i="1"/>
  <c r="AL337" i="1" l="1"/>
  <c r="AM337" i="1"/>
  <c r="D430" i="1"/>
  <c r="A431" i="1"/>
  <c r="AK336" i="1"/>
  <c r="AJ430" i="1"/>
  <c r="AL338" i="1" l="1"/>
  <c r="AM338" i="1"/>
  <c r="A432" i="1"/>
  <c r="A433" i="1"/>
  <c r="AK337" i="1"/>
  <c r="A434" i="1"/>
  <c r="D433" i="1"/>
  <c r="AJ433" i="1"/>
  <c r="AJ431" i="1"/>
  <c r="AI337" i="1"/>
  <c r="D431" i="1"/>
  <c r="AL432" i="1" l="1"/>
  <c r="AL339" i="1"/>
  <c r="AM340" i="1"/>
  <c r="AM339" i="1"/>
  <c r="D434" i="1"/>
  <c r="A435" i="1"/>
  <c r="AI338" i="1"/>
  <c r="AK338" i="1"/>
  <c r="D435" i="1"/>
  <c r="AJ434" i="1"/>
  <c r="AI339" i="1" l="1"/>
  <c r="AK339" i="1"/>
  <c r="AF339" i="1"/>
  <c r="AE339" i="1"/>
  <c r="AU339" i="1"/>
  <c r="A436" i="1"/>
  <c r="AJ436" i="1" s="1"/>
  <c r="AJ435" i="1"/>
  <c r="AK340" i="1" l="1"/>
  <c r="AL341" i="1"/>
  <c r="AV339" i="1"/>
  <c r="AW339" i="1" s="1"/>
  <c r="AM341" i="1"/>
  <c r="AM342" i="1" s="1"/>
  <c r="D436" i="1"/>
  <c r="AI340" i="1"/>
  <c r="A437" i="1"/>
  <c r="A438" i="1"/>
  <c r="D438" i="1"/>
  <c r="AU436" i="1" l="1"/>
  <c r="AL342" i="1"/>
  <c r="AX339" i="1"/>
  <c r="AM343" i="1"/>
  <c r="AI341" i="1"/>
  <c r="AJ438" i="1"/>
  <c r="AK341" i="1"/>
  <c r="A439" i="1"/>
  <c r="AI436" i="1"/>
  <c r="AJ439" i="1"/>
  <c r="AI343" i="1" l="1"/>
  <c r="AK343" i="1"/>
  <c r="AL343" i="1"/>
  <c r="AF343" i="1"/>
  <c r="AE343" i="1"/>
  <c r="AU343" i="1"/>
  <c r="AM344" i="1"/>
  <c r="AK342" i="1"/>
  <c r="D439" i="1"/>
  <c r="A440" i="1"/>
  <c r="AK344" i="1" l="1"/>
  <c r="AL345" i="1"/>
  <c r="AV343" i="1"/>
  <c r="AW343" i="1" s="1"/>
  <c r="AM345" i="1"/>
  <c r="AI345" i="1"/>
  <c r="A441" i="1"/>
  <c r="AI344" i="1"/>
  <c r="AK345" i="1"/>
  <c r="AJ441" i="1"/>
  <c r="AL346" i="1" l="1"/>
  <c r="AM346" i="1"/>
  <c r="AX343" i="1"/>
  <c r="A442" i="1"/>
  <c r="A443" i="1"/>
  <c r="AJ442" i="1"/>
  <c r="D441" i="1"/>
  <c r="AI346" i="1" l="1"/>
  <c r="AK346" i="1"/>
  <c r="AF346" i="1"/>
  <c r="AE346" i="1"/>
  <c r="AU346" i="1"/>
  <c r="AM348" i="1"/>
  <c r="AJ443" i="1"/>
  <c r="D442" i="1"/>
  <c r="D443" i="1"/>
  <c r="A444" i="1"/>
  <c r="A445" i="1"/>
  <c r="AJ444" i="1"/>
  <c r="D444" i="1"/>
  <c r="AU442" i="1" l="1"/>
  <c r="AL348" i="1"/>
  <c r="AV346" i="1"/>
  <c r="AW346" i="1" s="1"/>
  <c r="AM349" i="1"/>
  <c r="AM350" i="1" s="1"/>
  <c r="AJ445" i="1"/>
  <c r="AI442" i="1"/>
  <c r="A446" i="1"/>
  <c r="AJ446" i="1" s="1"/>
  <c r="D446" i="1"/>
  <c r="D445" i="1"/>
  <c r="AL349" i="1" l="1"/>
  <c r="AX346" i="1"/>
  <c r="A447" i="1"/>
  <c r="AI349" i="1"/>
  <c r="AK348" i="1"/>
  <c r="AI348" i="1"/>
  <c r="AJ447" i="1"/>
  <c r="AL350" i="1" l="1"/>
  <c r="AK349" i="1"/>
  <c r="D447" i="1"/>
  <c r="A448" i="1"/>
  <c r="D448" i="1" s="1"/>
  <c r="AK350" i="1"/>
  <c r="AJ448" i="1"/>
  <c r="A449" i="1"/>
  <c r="D449" i="1"/>
  <c r="AL351" i="1" l="1"/>
  <c r="AM351" i="1"/>
  <c r="AM352" i="1" s="1"/>
  <c r="AJ449" i="1"/>
  <c r="A450" i="1"/>
  <c r="AJ450" i="1" s="1"/>
  <c r="AL352" i="1" l="1"/>
  <c r="AM353" i="1"/>
  <c r="D450" i="1"/>
  <c r="A451" i="1"/>
  <c r="AK351" i="1"/>
  <c r="AI351" i="1"/>
  <c r="AU450" i="1" l="1"/>
  <c r="AL353" i="1"/>
  <c r="D451" i="1"/>
  <c r="AJ451" i="1"/>
  <c r="AI450" i="1"/>
  <c r="AK352" i="1"/>
  <c r="A452" i="1"/>
  <c r="AL354" i="1" l="1"/>
  <c r="AM354" i="1"/>
  <c r="AK353" i="1"/>
  <c r="AI353" i="1"/>
  <c r="A453" i="1"/>
  <c r="AL355" i="1" l="1"/>
  <c r="L63" i="2"/>
  <c r="K63" i="2"/>
  <c r="E63" i="2"/>
  <c r="C63" i="2"/>
  <c r="N63" i="2"/>
  <c r="AM355" i="1"/>
  <c r="AM356" i="1" s="1"/>
  <c r="A454" i="1"/>
  <c r="A455" i="1"/>
  <c r="D453" i="1"/>
  <c r="AJ453" i="1"/>
  <c r="D455" i="1"/>
  <c r="AJ454" i="1"/>
  <c r="AI354" i="1"/>
  <c r="D454" i="1"/>
  <c r="AJ455" i="1"/>
  <c r="AK354" i="1"/>
  <c r="AL356" i="1" l="1"/>
  <c r="M63" i="2"/>
  <c r="O63" i="2" s="1"/>
  <c r="P63" i="2" s="1"/>
  <c r="Q63" i="2" s="1"/>
  <c r="AI355" i="1"/>
  <c r="AK355" i="1"/>
  <c r="A456" i="1"/>
  <c r="AJ456" i="1"/>
  <c r="AL357" i="1" l="1"/>
  <c r="AM357" i="1"/>
  <c r="D456" i="1"/>
  <c r="A457" i="1"/>
  <c r="A458" i="1"/>
  <c r="D457" i="1"/>
  <c r="AK356" i="1"/>
  <c r="AJ457" i="1"/>
  <c r="AJ458" i="1"/>
  <c r="AV356" i="1" l="1"/>
  <c r="AX356" i="1" s="1"/>
  <c r="AI358" i="1"/>
  <c r="AK358" i="1"/>
  <c r="AL358" i="1"/>
  <c r="AF358" i="1"/>
  <c r="AE358" i="1"/>
  <c r="AU358" i="1"/>
  <c r="AM358" i="1"/>
  <c r="D458" i="1"/>
  <c r="AK357" i="1"/>
  <c r="A459" i="1"/>
  <c r="AJ459" i="1"/>
  <c r="AI357" i="1"/>
  <c r="D459" i="1"/>
  <c r="A460" i="1"/>
  <c r="D460" i="1"/>
  <c r="AJ460" i="1"/>
  <c r="AW356" i="1" l="1"/>
  <c r="AV358" i="1"/>
  <c r="A461" i="1"/>
  <c r="D461" i="1"/>
  <c r="AJ461" i="1"/>
  <c r="AL360" i="1" l="1"/>
  <c r="AX358" i="1"/>
  <c r="AW358" i="1"/>
  <c r="AM360" i="1"/>
  <c r="A462" i="1"/>
  <c r="AJ462" i="1"/>
  <c r="D462" i="1"/>
  <c r="AL361" i="1" l="1"/>
  <c r="AM361" i="1"/>
  <c r="AI361" i="1"/>
  <c r="AK360" i="1"/>
  <c r="A463" i="1"/>
  <c r="AI360" i="1"/>
  <c r="AL362" i="1" l="1"/>
  <c r="AM362" i="1"/>
  <c r="AK361" i="1"/>
  <c r="A464" i="1"/>
  <c r="A465" i="1"/>
  <c r="AJ465" i="1"/>
  <c r="D465" i="1"/>
  <c r="AJ464" i="1"/>
  <c r="D464" i="1"/>
  <c r="AU465" i="1" l="1"/>
  <c r="AL363" i="1"/>
  <c r="AM363" i="1"/>
  <c r="A466" i="1"/>
  <c r="AI362" i="1"/>
  <c r="A467" i="1"/>
  <c r="AI465" i="1"/>
  <c r="AK362" i="1"/>
  <c r="AJ466" i="1"/>
  <c r="AL364" i="1" l="1"/>
  <c r="AM364" i="1"/>
  <c r="D466" i="1"/>
  <c r="AK363" i="1"/>
  <c r="A468" i="1"/>
  <c r="AI363" i="1"/>
  <c r="AL365" i="1" l="1"/>
  <c r="AM365" i="1"/>
  <c r="AM366" i="1" s="1"/>
  <c r="AJ468" i="1"/>
  <c r="AI364" i="1"/>
  <c r="A469" i="1"/>
  <c r="AK364" i="1"/>
  <c r="D468" i="1"/>
  <c r="AL366" i="1" l="1"/>
  <c r="AM367" i="1"/>
  <c r="AI365" i="1"/>
  <c r="A470" i="1"/>
  <c r="AJ470" i="1" s="1"/>
  <c r="AK365" i="1"/>
  <c r="A471" i="1"/>
  <c r="AL367" i="1" l="1"/>
  <c r="A472" i="1"/>
  <c r="D470" i="1"/>
  <c r="AI366" i="1"/>
  <c r="AK366" i="1"/>
  <c r="D472" i="1"/>
  <c r="AU470" i="1" l="1"/>
  <c r="AK470" i="1"/>
  <c r="AK472" i="1"/>
  <c r="AU472" i="1"/>
  <c r="AL368" i="1"/>
  <c r="AM368" i="1"/>
  <c r="AM369" i="1" s="1"/>
  <c r="AK367" i="1"/>
  <c r="AI470" i="1"/>
  <c r="A473" i="1"/>
  <c r="AJ472" i="1"/>
  <c r="AI367" i="1"/>
  <c r="AI472" i="1"/>
  <c r="AV470" i="1" l="1"/>
  <c r="AX470" i="1" s="1"/>
  <c r="AV472" i="1"/>
  <c r="AL369" i="1"/>
  <c r="AM370" i="1"/>
  <c r="A474" i="1"/>
  <c r="AI368" i="1"/>
  <c r="AK368" i="1"/>
  <c r="D474" i="1"/>
  <c r="AJ474" i="1"/>
  <c r="A475" i="1"/>
  <c r="D475" i="1"/>
  <c r="AJ475" i="1"/>
  <c r="AW470" i="1" l="1"/>
  <c r="AU475" i="1"/>
  <c r="AX472" i="1"/>
  <c r="AW472" i="1"/>
  <c r="AL371" i="1"/>
  <c r="AL370" i="1"/>
  <c r="AM371" i="1"/>
  <c r="AI370" i="1"/>
  <c r="AK369" i="1"/>
  <c r="A476" i="1"/>
  <c r="AI475" i="1"/>
  <c r="AI371" i="1" l="1"/>
  <c r="AK371" i="1"/>
  <c r="AF371" i="1"/>
  <c r="AE371" i="1"/>
  <c r="AM372" i="1"/>
  <c r="AK370" i="1"/>
  <c r="A477" i="1"/>
  <c r="AK372" i="1" l="1"/>
  <c r="AL373" i="1"/>
  <c r="AM373" i="1"/>
  <c r="AJ477" i="1"/>
  <c r="A478" i="1"/>
  <c r="AI372" i="1"/>
  <c r="D477" i="1"/>
  <c r="AL374" i="1" l="1"/>
  <c r="AM374" i="1"/>
  <c r="AK373" i="1"/>
  <c r="AI374" i="1"/>
  <c r="A479" i="1"/>
  <c r="AI373" i="1"/>
  <c r="AL375" i="1" l="1"/>
  <c r="AM375" i="1"/>
  <c r="AJ479" i="1"/>
  <c r="AK374" i="1"/>
  <c r="D479" i="1"/>
  <c r="A480" i="1"/>
  <c r="A481" i="1" s="1"/>
  <c r="AJ481" i="1"/>
  <c r="AL376" i="1" l="1"/>
  <c r="AM376" i="1"/>
  <c r="AM377" i="1" s="1"/>
  <c r="D481" i="1"/>
  <c r="A482" i="1"/>
  <c r="A483" i="1"/>
  <c r="AK375" i="1"/>
  <c r="AI375" i="1"/>
  <c r="AL377" i="1" l="1"/>
  <c r="AM378" i="1"/>
  <c r="AJ482" i="1"/>
  <c r="D482" i="1"/>
  <c r="A484" i="1"/>
  <c r="AK376" i="1"/>
  <c r="AI376" i="1"/>
  <c r="AU482" i="1" l="1"/>
  <c r="AL379" i="1"/>
  <c r="AL378" i="1"/>
  <c r="AM379" i="1"/>
  <c r="AJ484" i="1"/>
  <c r="AI378" i="1"/>
  <c r="AK377" i="1"/>
  <c r="AI482" i="1"/>
  <c r="A485" i="1"/>
  <c r="AJ485" i="1" s="1"/>
  <c r="D484" i="1"/>
  <c r="D485" i="1"/>
  <c r="AL380" i="1" l="1"/>
  <c r="AM380" i="1"/>
  <c r="AM381" i="1" s="1"/>
  <c r="AK378" i="1"/>
  <c r="A486" i="1"/>
  <c r="AK379" i="1"/>
  <c r="AI379" i="1"/>
  <c r="AL381" i="1" l="1"/>
  <c r="A487" i="1"/>
  <c r="AK380" i="1"/>
  <c r="AI380" i="1"/>
  <c r="AL382" i="1" l="1"/>
  <c r="AK382" i="1"/>
  <c r="AM382" i="1"/>
  <c r="AM383" i="1"/>
  <c r="AJ487" i="1"/>
  <c r="D487" i="1"/>
  <c r="AK381" i="1"/>
  <c r="A488" i="1"/>
  <c r="A489" i="1" s="1"/>
  <c r="AJ488" i="1"/>
  <c r="AI381" i="1"/>
  <c r="AK383" i="1" l="1"/>
  <c r="AE382" i="1"/>
  <c r="AI382" i="1"/>
  <c r="AF382" i="1"/>
  <c r="AM384" i="1"/>
  <c r="AI383" i="1"/>
  <c r="A490" i="1"/>
  <c r="D490" i="1" s="1"/>
  <c r="D488" i="1"/>
  <c r="AU488" i="1" l="1"/>
  <c r="AI384" i="1"/>
  <c r="AK384" i="1"/>
  <c r="AL384" i="1"/>
  <c r="AF384" i="1"/>
  <c r="AE384" i="1"/>
  <c r="AJ490" i="1"/>
  <c r="A491" i="1"/>
  <c r="AI488" i="1"/>
  <c r="AM386" i="1" l="1"/>
  <c r="D491" i="1"/>
  <c r="A492" i="1"/>
  <c r="AJ491" i="1"/>
  <c r="AL387" i="1" l="1"/>
  <c r="AL386" i="1"/>
  <c r="AM387" i="1"/>
  <c r="A493" i="1"/>
  <c r="A494" i="1"/>
  <c r="AI386" i="1"/>
  <c r="AJ494" i="1"/>
  <c r="AK386" i="1"/>
  <c r="AJ493" i="1"/>
  <c r="D493" i="1"/>
  <c r="AK493" i="1" l="1"/>
  <c r="AU493" i="1"/>
  <c r="AI387" i="1"/>
  <c r="AK387" i="1"/>
  <c r="AF387" i="1"/>
  <c r="AE387" i="1"/>
  <c r="AM388" i="1"/>
  <c r="A495" i="1"/>
  <c r="AJ495" i="1"/>
  <c r="D495" i="1"/>
  <c r="D494" i="1"/>
  <c r="AI493" i="1"/>
  <c r="AV493" i="1" l="1"/>
  <c r="AX493" i="1" s="1"/>
  <c r="AK388" i="1"/>
  <c r="AL389" i="1"/>
  <c r="AM389" i="1"/>
  <c r="A496" i="1"/>
  <c r="A497" i="1" s="1"/>
  <c r="D496" i="1"/>
  <c r="AI388" i="1"/>
  <c r="AJ496" i="1"/>
  <c r="AU496" i="1" l="1"/>
  <c r="AW493" i="1"/>
  <c r="AL390" i="1"/>
  <c r="AM390" i="1"/>
  <c r="AJ497" i="1"/>
  <c r="A498" i="1"/>
  <c r="D497" i="1"/>
  <c r="AK389" i="1"/>
  <c r="AI496" i="1"/>
  <c r="AI389" i="1"/>
  <c r="AI390" i="1" l="1"/>
  <c r="AK390" i="1"/>
  <c r="AF390" i="1"/>
  <c r="AE390" i="1"/>
  <c r="AM391" i="1"/>
  <c r="A499" i="1"/>
  <c r="AJ499" i="1"/>
  <c r="D499" i="1"/>
  <c r="A500" i="1"/>
  <c r="D500" i="1"/>
  <c r="AJ500" i="1"/>
  <c r="AK391" i="1" l="1"/>
  <c r="AL392" i="1"/>
  <c r="AM392" i="1"/>
  <c r="AI391" i="1"/>
  <c r="A501" i="1"/>
  <c r="AL393" i="1" l="1"/>
  <c r="AM393" i="1"/>
  <c r="AM394" i="1"/>
  <c r="A502" i="1"/>
  <c r="AI392" i="1"/>
  <c r="AK392" i="1"/>
  <c r="AI393" i="1" l="1"/>
  <c r="AK393" i="1"/>
  <c r="AK394" i="1"/>
  <c r="AF393" i="1"/>
  <c r="AE393" i="1"/>
  <c r="A503" i="1"/>
  <c r="AJ503" i="1"/>
  <c r="AJ502" i="1"/>
  <c r="D502" i="1"/>
  <c r="D503" i="1"/>
  <c r="AI394" i="1"/>
  <c r="AL395" i="1" l="1"/>
  <c r="AM395" i="1"/>
  <c r="A504" i="1"/>
  <c r="D504" i="1"/>
  <c r="A505" i="1"/>
  <c r="AJ504" i="1"/>
  <c r="AI395" i="1" l="1"/>
  <c r="AK395" i="1"/>
  <c r="AF395" i="1"/>
  <c r="AE395" i="1"/>
  <c r="AM397" i="1"/>
  <c r="A506" i="1"/>
  <c r="AI397" i="1" l="1"/>
  <c r="AK397" i="1"/>
  <c r="AL397" i="1"/>
  <c r="AF397" i="1"/>
  <c r="AE397" i="1"/>
  <c r="AU397" i="1"/>
  <c r="AJ506" i="1"/>
  <c r="A507" i="1"/>
  <c r="A508" i="1"/>
  <c r="AJ507" i="1"/>
  <c r="D506" i="1"/>
  <c r="AU506" i="1" l="1"/>
  <c r="AK506" i="1"/>
  <c r="AV397" i="1"/>
  <c r="AM398" i="1"/>
  <c r="AI506" i="1"/>
  <c r="D507" i="1"/>
  <c r="A509" i="1"/>
  <c r="D509" i="1"/>
  <c r="AJ508" i="1"/>
  <c r="D508" i="1"/>
  <c r="AV506" i="1" l="1"/>
  <c r="AX506" i="1" s="1"/>
  <c r="AU508" i="1"/>
  <c r="AK398" i="1"/>
  <c r="AL399" i="1"/>
  <c r="AX397" i="1"/>
  <c r="AW397" i="1"/>
  <c r="AM399" i="1"/>
  <c r="AI508" i="1"/>
  <c r="AJ509" i="1"/>
  <c r="A510" i="1"/>
  <c r="AI398" i="1"/>
  <c r="AW506" i="1" l="1"/>
  <c r="AI399" i="1"/>
  <c r="AK399" i="1"/>
  <c r="AF399" i="1"/>
  <c r="AE399" i="1"/>
  <c r="AU399" i="1"/>
  <c r="AM400" i="1"/>
  <c r="AM401" i="1" s="1"/>
  <c r="D510" i="1"/>
  <c r="AJ510" i="1"/>
  <c r="A511" i="1"/>
  <c r="AJ511" i="1" s="1"/>
  <c r="AK400" i="1" l="1"/>
  <c r="AL401" i="1"/>
  <c r="AV399" i="1"/>
  <c r="AW399" i="1" s="1"/>
  <c r="AU400" i="1"/>
  <c r="AU401" i="1"/>
  <c r="AM402" i="1"/>
  <c r="D511" i="1"/>
  <c r="A512" i="1"/>
  <c r="AK401" i="1"/>
  <c r="AI401" i="1"/>
  <c r="AI400" i="1"/>
  <c r="AU511" i="1" l="1"/>
  <c r="AL402" i="1"/>
  <c r="AX399" i="1"/>
  <c r="AV400" i="1"/>
  <c r="AW400" i="1" s="1"/>
  <c r="D512" i="1"/>
  <c r="AJ512" i="1"/>
  <c r="A513" i="1"/>
  <c r="D513" i="1" s="1"/>
  <c r="AI511" i="1"/>
  <c r="A514" i="1"/>
  <c r="AU513" i="1" l="1"/>
  <c r="AL403" i="1"/>
  <c r="AV401" i="1"/>
  <c r="AX401" i="1" s="1"/>
  <c r="AX400" i="1"/>
  <c r="AU402" i="1"/>
  <c r="AM403" i="1"/>
  <c r="D514" i="1"/>
  <c r="AK402" i="1"/>
  <c r="AI513" i="1"/>
  <c r="AJ514" i="1"/>
  <c r="AJ513" i="1"/>
  <c r="A515" i="1"/>
  <c r="AI402" i="1"/>
  <c r="AL404" i="1" l="1"/>
  <c r="AW401" i="1"/>
  <c r="AU403" i="1"/>
  <c r="AV402" i="1"/>
  <c r="AW402" i="1" s="1"/>
  <c r="AM404" i="1"/>
  <c r="AI403" i="1"/>
  <c r="A516" i="1"/>
  <c r="AJ515" i="1"/>
  <c r="D515" i="1"/>
  <c r="AK403" i="1"/>
  <c r="AL405" i="1" l="1"/>
  <c r="AV403" i="1"/>
  <c r="AW403" i="1" s="1"/>
  <c r="AU404" i="1"/>
  <c r="AX402" i="1"/>
  <c r="AM405" i="1"/>
  <c r="AL406" i="1" l="1"/>
  <c r="AM406" i="1"/>
  <c r="AU405" i="1"/>
  <c r="AX403" i="1"/>
  <c r="AL407" i="1" l="1"/>
  <c r="AU406" i="1"/>
  <c r="AU407" i="1"/>
  <c r="AM407" i="1"/>
  <c r="AL408" i="1" l="1"/>
  <c r="AM408" i="1"/>
  <c r="A517" i="1"/>
  <c r="AI406" i="1"/>
  <c r="AI404" i="1"/>
  <c r="AK404" i="1"/>
  <c r="AI407" i="1"/>
  <c r="AK405" i="1"/>
  <c r="AJ517" i="1"/>
  <c r="A518" i="1"/>
  <c r="A519" i="1"/>
  <c r="A520" i="1"/>
  <c r="AI405" i="1"/>
  <c r="A521" i="1"/>
  <c r="AK406" i="1"/>
  <c r="AK407" i="1" s="1"/>
  <c r="D517" i="1"/>
  <c r="AJ518" i="1"/>
  <c r="AJ519" i="1"/>
  <c r="AJ520" i="1"/>
  <c r="AJ521" i="1"/>
  <c r="D521" i="1"/>
  <c r="D520" i="1"/>
  <c r="D519" i="1"/>
  <c r="D518" i="1"/>
  <c r="AU521" i="1" l="1"/>
  <c r="AV406" i="1"/>
  <c r="AX406" i="1" s="1"/>
  <c r="AV405" i="1"/>
  <c r="AW405" i="1" s="1"/>
  <c r="AV404" i="1"/>
  <c r="AX404" i="1" s="1"/>
  <c r="AI408" i="1"/>
  <c r="AK408" i="1"/>
  <c r="AF408" i="1"/>
  <c r="AE408" i="1"/>
  <c r="AV407" i="1"/>
  <c r="AX407" i="1" s="1"/>
  <c r="AU408" i="1"/>
  <c r="AI521" i="1"/>
  <c r="A522" i="1"/>
  <c r="AW406" i="1" l="1"/>
  <c r="AW404" i="1"/>
  <c r="AX405" i="1"/>
  <c r="AL410" i="1"/>
  <c r="AW407" i="1"/>
  <c r="AV408" i="1"/>
  <c r="AW408" i="1" s="1"/>
  <c r="AM410" i="1"/>
  <c r="A523" i="1"/>
  <c r="D523" i="1"/>
  <c r="A524" i="1"/>
  <c r="AJ523" i="1"/>
  <c r="D524" i="1"/>
  <c r="AJ524" i="1"/>
  <c r="AK523" i="1" l="1"/>
  <c r="AU523" i="1"/>
  <c r="AI410" i="1"/>
  <c r="AK410" i="1"/>
  <c r="AF410" i="1"/>
  <c r="AE410" i="1"/>
  <c r="AU410" i="1"/>
  <c r="AX408" i="1"/>
  <c r="AM411" i="1"/>
  <c r="A525" i="1"/>
  <c r="AJ525" i="1"/>
  <c r="D525" i="1"/>
  <c r="AI523" i="1"/>
  <c r="AU525" i="1" l="1"/>
  <c r="AV523" i="1"/>
  <c r="AX523" i="1" s="1"/>
  <c r="AK411" i="1"/>
  <c r="AL412" i="1"/>
  <c r="AV410" i="1"/>
  <c r="AX410" i="1" s="1"/>
  <c r="AU411" i="1"/>
  <c r="AM412" i="1"/>
  <c r="A526" i="1"/>
  <c r="AJ526" i="1"/>
  <c r="AI411" i="1"/>
  <c r="D526" i="1"/>
  <c r="AI525" i="1"/>
  <c r="AW523" i="1" l="1"/>
  <c r="AI412" i="1"/>
  <c r="AK412" i="1"/>
  <c r="AF412" i="1"/>
  <c r="AE412" i="1"/>
  <c r="AW410" i="1"/>
  <c r="AV411" i="1"/>
  <c r="AX411" i="1" s="1"/>
  <c r="AU412" i="1"/>
  <c r="AM413" i="1"/>
  <c r="AM414" i="1" s="1"/>
  <c r="A527" i="1"/>
  <c r="AJ527" i="1"/>
  <c r="D527" i="1"/>
  <c r="A528" i="1"/>
  <c r="D528" i="1"/>
  <c r="AJ528" i="1"/>
  <c r="A529" i="1"/>
  <c r="AJ529" i="1"/>
  <c r="D529" i="1"/>
  <c r="AU528" i="1" l="1"/>
  <c r="AK413" i="1"/>
  <c r="AL414" i="1"/>
  <c r="AW411" i="1"/>
  <c r="AV412" i="1"/>
  <c r="AX412" i="1" s="1"/>
  <c r="AI413" i="1"/>
  <c r="AK414" i="1"/>
  <c r="AI528" i="1"/>
  <c r="AI414" i="1"/>
  <c r="A530" i="1"/>
  <c r="AJ530" i="1" s="1"/>
  <c r="D530" i="1"/>
  <c r="AL415" i="1" l="1"/>
  <c r="AW412" i="1"/>
  <c r="AM415" i="1"/>
  <c r="A531" i="1"/>
  <c r="AL416" i="1" l="1"/>
  <c r="AM416" i="1"/>
  <c r="A532" i="1"/>
  <c r="A533" i="1"/>
  <c r="D532" i="1"/>
  <c r="AJ532" i="1"/>
  <c r="AI415" i="1"/>
  <c r="AK415" i="1"/>
  <c r="AL417" i="1" l="1"/>
  <c r="AI416" i="1"/>
  <c r="A534" i="1"/>
  <c r="D534" i="1" s="1"/>
  <c r="AK416" i="1"/>
  <c r="AJ534" i="1"/>
  <c r="AM418" i="1" l="1"/>
  <c r="A535" i="1"/>
  <c r="AJ535" i="1"/>
  <c r="D535" i="1"/>
  <c r="AU535" i="1" l="1"/>
  <c r="AK418" i="1"/>
  <c r="AL419" i="1"/>
  <c r="AU418" i="1"/>
  <c r="AM419" i="1"/>
  <c r="AM420" i="1" s="1"/>
  <c r="A536" i="1"/>
  <c r="A537" i="1"/>
  <c r="D536" i="1"/>
  <c r="AI535" i="1"/>
  <c r="AI418" i="1"/>
  <c r="AJ536" i="1"/>
  <c r="AL420" i="1" l="1"/>
  <c r="AV418" i="1"/>
  <c r="AX418" i="1" s="1"/>
  <c r="AI419" i="1"/>
  <c r="A538" i="1"/>
  <c r="AJ538" i="1"/>
  <c r="AK419" i="1"/>
  <c r="D538" i="1"/>
  <c r="AL421" i="1" l="1"/>
  <c r="AW418" i="1"/>
  <c r="AM421" i="1"/>
  <c r="AM422" i="1"/>
  <c r="AK420" i="1"/>
  <c r="A539" i="1"/>
  <c r="AI421" i="1" l="1"/>
  <c r="AK421" i="1"/>
  <c r="AF421" i="1"/>
  <c r="AE421" i="1"/>
  <c r="AK422" i="1"/>
  <c r="AU421" i="1"/>
  <c r="A540" i="1"/>
  <c r="AJ540" i="1"/>
  <c r="D540" i="1"/>
  <c r="AU540" i="1" l="1"/>
  <c r="AK540" i="1"/>
  <c r="AL423" i="1"/>
  <c r="AV421" i="1"/>
  <c r="AW421" i="1" s="1"/>
  <c r="AM423" i="1"/>
  <c r="A541" i="1"/>
  <c r="AI422" i="1"/>
  <c r="D541" i="1"/>
  <c r="A542" i="1"/>
  <c r="AI540" i="1"/>
  <c r="AJ541" i="1"/>
  <c r="AV540" i="1" l="1"/>
  <c r="AX540" i="1" s="1"/>
  <c r="AL424" i="1"/>
  <c r="AM424" i="1"/>
  <c r="AX421" i="1"/>
  <c r="A543" i="1"/>
  <c r="AI424" i="1"/>
  <c r="A544" i="1"/>
  <c r="AK423" i="1"/>
  <c r="AJ543" i="1"/>
  <c r="AI423" i="1"/>
  <c r="D543" i="1"/>
  <c r="AW540" i="1" l="1"/>
  <c r="AL425" i="1"/>
  <c r="AM425" i="1"/>
  <c r="A545" i="1"/>
  <c r="D545" i="1"/>
  <c r="AK424" i="1"/>
  <c r="AJ545" i="1"/>
  <c r="AL426" i="1" l="1"/>
  <c r="AM426" i="1"/>
  <c r="AM427" i="1" s="1"/>
  <c r="AI426" i="1"/>
  <c r="A546" i="1"/>
  <c r="AK425" i="1"/>
  <c r="AI425" i="1"/>
  <c r="AL427" i="1" l="1"/>
  <c r="A547" i="1"/>
  <c r="D547" i="1"/>
  <c r="AK426" i="1"/>
  <c r="AJ547" i="1"/>
  <c r="AK547" i="1" l="1"/>
  <c r="AU547" i="1"/>
  <c r="AL428" i="1"/>
  <c r="AM428" i="1"/>
  <c r="AI547" i="1"/>
  <c r="A548" i="1"/>
  <c r="AK427" i="1"/>
  <c r="AV547" i="1" l="1"/>
  <c r="AL429" i="1"/>
  <c r="AM429" i="1"/>
  <c r="AK428" i="1"/>
  <c r="A549" i="1"/>
  <c r="D549" i="1" s="1"/>
  <c r="A550" i="1"/>
  <c r="AJ549" i="1"/>
  <c r="AI428" i="1"/>
  <c r="AX547" i="1" l="1"/>
  <c r="AW547" i="1"/>
  <c r="AI429" i="1"/>
  <c r="AK429" i="1"/>
  <c r="AF429" i="1"/>
  <c r="AE429" i="1"/>
  <c r="AU429" i="1"/>
  <c r="AM430" i="1"/>
  <c r="A551" i="1"/>
  <c r="AJ551" i="1"/>
  <c r="D551" i="1"/>
  <c r="AK430" i="1" l="1"/>
  <c r="AL431" i="1"/>
  <c r="AV429" i="1"/>
  <c r="AW429" i="1" s="1"/>
  <c r="AM431" i="1"/>
  <c r="A552" i="1"/>
  <c r="AI430" i="1"/>
  <c r="D552" i="1"/>
  <c r="A553" i="1"/>
  <c r="AJ552" i="1"/>
  <c r="D553" i="1"/>
  <c r="AJ553" i="1"/>
  <c r="AX429" i="1" l="1"/>
  <c r="AM433" i="1"/>
  <c r="AK431" i="1"/>
  <c r="A554" i="1"/>
  <c r="AJ554" i="1"/>
  <c r="AI431" i="1"/>
  <c r="D554" i="1"/>
  <c r="AK433" i="1" l="1"/>
  <c r="AL434" i="1"/>
  <c r="AM434" i="1"/>
  <c r="A555" i="1"/>
  <c r="AJ555" i="1"/>
  <c r="AI433" i="1"/>
  <c r="D555" i="1"/>
  <c r="AU555" i="1" l="1"/>
  <c r="AL435" i="1"/>
  <c r="AM435" i="1"/>
  <c r="AM436" i="1" s="1"/>
  <c r="AK434" i="1"/>
  <c r="AI434" i="1"/>
  <c r="AI555" i="1"/>
  <c r="A556" i="1"/>
  <c r="AJ556" i="1" s="1"/>
  <c r="D556" i="1"/>
  <c r="AL436" i="1" l="1"/>
  <c r="AK435" i="1"/>
  <c r="A557" i="1"/>
  <c r="AI435" i="1"/>
  <c r="A558" i="1"/>
  <c r="AJ558" i="1"/>
  <c r="D558" i="1"/>
  <c r="AL437" i="1" l="1"/>
  <c r="AM437" i="1"/>
  <c r="A559" i="1"/>
  <c r="AJ559" i="1"/>
  <c r="AK436" i="1"/>
  <c r="D559" i="1"/>
  <c r="AU559" i="1" l="1"/>
  <c r="AM559" i="1"/>
  <c r="AV436" i="1"/>
  <c r="AX436" i="1" s="1"/>
  <c r="AK438" i="1"/>
  <c r="AI437" i="1"/>
  <c r="AK437" i="1"/>
  <c r="AF437" i="1"/>
  <c r="AE437" i="1"/>
  <c r="AM438" i="1"/>
  <c r="A560" i="1"/>
  <c r="A561" i="1"/>
  <c r="AJ561" i="1"/>
  <c r="AI559" i="1"/>
  <c r="AI438" i="1"/>
  <c r="AJ560" i="1"/>
  <c r="D561" i="1"/>
  <c r="D560" i="1"/>
  <c r="AW436" i="1" l="1"/>
  <c r="AL439" i="1"/>
  <c r="AM439" i="1"/>
  <c r="AM440" i="1"/>
  <c r="A562" i="1"/>
  <c r="AJ562" i="1"/>
  <c r="D562" i="1"/>
  <c r="AL440" i="1" l="1"/>
  <c r="AK440" i="1"/>
  <c r="AK439" i="1"/>
  <c r="AI439" i="1"/>
  <c r="A563" i="1"/>
  <c r="D563" i="1"/>
  <c r="A564" i="1"/>
  <c r="AJ564" i="1"/>
  <c r="D564" i="1"/>
  <c r="AJ563" i="1"/>
  <c r="AL114" i="1" l="1"/>
  <c r="B114" i="1" s="1"/>
  <c r="C114" i="1" s="1"/>
  <c r="AL409" i="1"/>
  <c r="B409" i="1" s="1"/>
  <c r="C409" i="1" s="1"/>
  <c r="AL300" i="1"/>
  <c r="AL391" i="1"/>
  <c r="B391" i="1" s="1"/>
  <c r="C391" i="1" s="1"/>
  <c r="AL84" i="1"/>
  <c r="B84" i="1" s="1"/>
  <c r="C84" i="1" s="1"/>
  <c r="AL305" i="1"/>
  <c r="B305" i="1" s="1"/>
  <c r="C305" i="1" s="1"/>
  <c r="AL313" i="1"/>
  <c r="B313" i="1" s="1"/>
  <c r="C313" i="1" s="1"/>
  <c r="AL191" i="1"/>
  <c r="B191" i="1" s="1"/>
  <c r="C191" i="1" s="1"/>
  <c r="AL74" i="1"/>
  <c r="B74" i="1" s="1"/>
  <c r="C74" i="1" s="1"/>
  <c r="AL202" i="1"/>
  <c r="B202" i="1" s="1"/>
  <c r="C202" i="1" s="1"/>
  <c r="AL247" i="1"/>
  <c r="B247" i="1" s="1"/>
  <c r="C247" i="1" s="1"/>
  <c r="AL109" i="1"/>
  <c r="B109" i="1" s="1"/>
  <c r="C109" i="1" s="1"/>
  <c r="AL422" i="1"/>
  <c r="B422" i="1" s="1"/>
  <c r="C422" i="1" s="1"/>
  <c r="AL126" i="1"/>
  <c r="B126" i="1" s="1"/>
  <c r="C126" i="1" s="1"/>
  <c r="AL177" i="1"/>
  <c r="B177" i="1" s="1"/>
  <c r="C177" i="1" s="1"/>
  <c r="AL413" i="1"/>
  <c r="B413" i="1" s="1"/>
  <c r="C413" i="1" s="1"/>
  <c r="AL323" i="1"/>
  <c r="B323" i="1" s="1"/>
  <c r="C323" i="1" s="1"/>
  <c r="AL398" i="1"/>
  <c r="B398" i="1" s="1"/>
  <c r="C398" i="1" s="1"/>
  <c r="AL244" i="1"/>
  <c r="B244" i="1" s="1"/>
  <c r="C244" i="1" s="1"/>
  <c r="AL347" i="1"/>
  <c r="B347" i="1" s="1"/>
  <c r="C347" i="1" s="1"/>
  <c r="AL400" i="1"/>
  <c r="B400" i="1" s="1"/>
  <c r="C400" i="1" s="1"/>
  <c r="AL340" i="1"/>
  <c r="B340" i="1" s="1"/>
  <c r="C340" i="1" s="1"/>
  <c r="AL29" i="1"/>
  <c r="B29" i="1" s="1"/>
  <c r="C29" i="1" s="1"/>
  <c r="AL139" i="1"/>
  <c r="B139" i="1" s="1"/>
  <c r="C139" i="1" s="1"/>
  <c r="AL185" i="1"/>
  <c r="B185" i="1" s="1"/>
  <c r="C185" i="1" s="1"/>
  <c r="AL298" i="1"/>
  <c r="B298" i="1" s="1"/>
  <c r="C298" i="1" s="1"/>
  <c r="AL430" i="1"/>
  <c r="B430" i="1" s="1"/>
  <c r="C430" i="1" s="1"/>
  <c r="AL179" i="1"/>
  <c r="B179" i="1" s="1"/>
  <c r="C179" i="1" s="1"/>
  <c r="AL232" i="1"/>
  <c r="B232" i="1" s="1"/>
  <c r="C232" i="1" s="1"/>
  <c r="AL274" i="1"/>
  <c r="B274" i="1" s="1"/>
  <c r="C274" i="1" s="1"/>
  <c r="AL65" i="1"/>
  <c r="B65" i="1" s="1"/>
  <c r="C65" i="1" s="1"/>
  <c r="AL95" i="1"/>
  <c r="B95" i="1" s="1"/>
  <c r="C95" i="1" s="1"/>
  <c r="AL188" i="1"/>
  <c r="AL106" i="1"/>
  <c r="AL372" i="1"/>
  <c r="B372" i="1" s="1"/>
  <c r="C372" i="1" s="1"/>
  <c r="AL344" i="1"/>
  <c r="B344" i="1" s="1"/>
  <c r="C344" i="1" s="1"/>
  <c r="AL253" i="1"/>
  <c r="B253" i="1" s="1"/>
  <c r="C253" i="1" s="1"/>
  <c r="AL287" i="1"/>
  <c r="AL383" i="1"/>
  <c r="B383" i="1" s="1"/>
  <c r="C383" i="1" s="1"/>
  <c r="AL27" i="1"/>
  <c r="AL433" i="1"/>
  <c r="B433" i="1" s="1"/>
  <c r="C433" i="1" s="1"/>
  <c r="AL228" i="1"/>
  <c r="B228" i="1" s="1"/>
  <c r="C228" i="1" s="1"/>
  <c r="AL56" i="1"/>
  <c r="AL418" i="1"/>
  <c r="AL151" i="1"/>
  <c r="B151" i="1" s="1"/>
  <c r="C151" i="1" s="1"/>
  <c r="AL385" i="1"/>
  <c r="B385" i="1" s="1"/>
  <c r="C385" i="1" s="1"/>
  <c r="AL411" i="1"/>
  <c r="B411" i="1" s="1"/>
  <c r="C411" i="1" s="1"/>
  <c r="AL183" i="1"/>
  <c r="B183" i="1" s="1"/>
  <c r="C183" i="1" s="1"/>
  <c r="AL31" i="1"/>
  <c r="B31" i="1" s="1"/>
  <c r="C31" i="1" s="1"/>
  <c r="AL42" i="1"/>
  <c r="AL217" i="1"/>
  <c r="AL212" i="1"/>
  <c r="B212" i="1" s="1"/>
  <c r="C212" i="1" s="1"/>
  <c r="AL438" i="1"/>
  <c r="B438" i="1" s="1"/>
  <c r="C438" i="1" s="1"/>
  <c r="AL45" i="1"/>
  <c r="AL394" i="1"/>
  <c r="B394" i="1" s="1"/>
  <c r="C394" i="1" s="1"/>
  <c r="AL289" i="1"/>
  <c r="B289" i="1" s="1"/>
  <c r="C289" i="1" s="1"/>
  <c r="AL262" i="1"/>
  <c r="B262" i="1" s="1"/>
  <c r="C262" i="1" s="1"/>
  <c r="AL175" i="1"/>
  <c r="B175" i="1" s="1"/>
  <c r="C175" i="1" s="1"/>
  <c r="AL220" i="1"/>
  <c r="AL173" i="1"/>
  <c r="B173" i="1" s="1"/>
  <c r="C173" i="1" s="1"/>
  <c r="AL303" i="1"/>
  <c r="B303" i="1" s="1"/>
  <c r="C303" i="1" s="1"/>
  <c r="AL257" i="1"/>
  <c r="AL388" i="1"/>
  <c r="B388" i="1" s="1"/>
  <c r="C388" i="1" s="1"/>
  <c r="AL359" i="1"/>
  <c r="B359" i="1" s="1"/>
  <c r="C359" i="1" s="1"/>
  <c r="AL194" i="1"/>
  <c r="B194" i="1" s="1"/>
  <c r="C194" i="1" s="1"/>
  <c r="AL207" i="1"/>
  <c r="B207" i="1" s="1"/>
  <c r="C207" i="1" s="1"/>
  <c r="AL332" i="1"/>
  <c r="B332" i="1" s="1"/>
  <c r="C332" i="1" s="1"/>
  <c r="AL24" i="1"/>
  <c r="AL205" i="1"/>
  <c r="AL396" i="1"/>
  <c r="B396" i="1" s="1"/>
  <c r="C396" i="1" s="1"/>
  <c r="AL164" i="1"/>
  <c r="B164" i="1" s="1"/>
  <c r="C164" i="1" s="1"/>
  <c r="AE440" i="1"/>
  <c r="AI440" i="1"/>
  <c r="AL441" i="1"/>
  <c r="AF440" i="1"/>
  <c r="AM441" i="1"/>
  <c r="AM442" i="1" s="1"/>
  <c r="AF438" i="1"/>
  <c r="AF435" i="1"/>
  <c r="AE426" i="1"/>
  <c r="AF424" i="1"/>
  <c r="AF418" i="1"/>
  <c r="AF416" i="1"/>
  <c r="AF413" i="1"/>
  <c r="AE521" i="1"/>
  <c r="AE173" i="1"/>
  <c r="AE81" i="1"/>
  <c r="AF238" i="1"/>
  <c r="AE314" i="1"/>
  <c r="AF290" i="1"/>
  <c r="AE373" i="1"/>
  <c r="AE268" i="1"/>
  <c r="AF326" i="1"/>
  <c r="AF402" i="1"/>
  <c r="AF59" i="1"/>
  <c r="AE392" i="1"/>
  <c r="AE63" i="1"/>
  <c r="AE129" i="1"/>
  <c r="AF110" i="1"/>
  <c r="AF49" i="1"/>
  <c r="AF145" i="1"/>
  <c r="AF215" i="1"/>
  <c r="AF124" i="1"/>
  <c r="AF60" i="1"/>
  <c r="AF436" i="1"/>
  <c r="AF307" i="1"/>
  <c r="AE34" i="1"/>
  <c r="AF122" i="1"/>
  <c r="AF209" i="1"/>
  <c r="AE175" i="1"/>
  <c r="AE282" i="1"/>
  <c r="AF126" i="1"/>
  <c r="AF170" i="1"/>
  <c r="AF319" i="1"/>
  <c r="AF92" i="1"/>
  <c r="AF383" i="1"/>
  <c r="AE91" i="1"/>
  <c r="AE438" i="1"/>
  <c r="AE435" i="1"/>
  <c r="AF425" i="1"/>
  <c r="AE424" i="1"/>
  <c r="AE418" i="1"/>
  <c r="AE416" i="1"/>
  <c r="AE413" i="1"/>
  <c r="AF521" i="1"/>
  <c r="AF56" i="1"/>
  <c r="AE192" i="1"/>
  <c r="AE148" i="1"/>
  <c r="AE341" i="1"/>
  <c r="AE294" i="1"/>
  <c r="AF98" i="1"/>
  <c r="AE278" i="1"/>
  <c r="AF465" i="1"/>
  <c r="AF155" i="1"/>
  <c r="AE303" i="1"/>
  <c r="AE279" i="1"/>
  <c r="AE165" i="1"/>
  <c r="AF61" i="1"/>
  <c r="AE254" i="1"/>
  <c r="AF361" i="1"/>
  <c r="AE93" i="1"/>
  <c r="AF232" i="1"/>
  <c r="AF380" i="1"/>
  <c r="AE198" i="1"/>
  <c r="AF310" i="1"/>
  <c r="AF223" i="1"/>
  <c r="AE389" i="1"/>
  <c r="AF315" i="1"/>
  <c r="AE276" i="1"/>
  <c r="AE180" i="1"/>
  <c r="AF37" i="1"/>
  <c r="AE334" i="1"/>
  <c r="AE326" i="1"/>
  <c r="AE396" i="1"/>
  <c r="AE195" i="1"/>
  <c r="AF85" i="1"/>
  <c r="AF173" i="1"/>
  <c r="AE356" i="1"/>
  <c r="AE257" i="1"/>
  <c r="AF311" i="1"/>
  <c r="AE186" i="1"/>
  <c r="AF202" i="1"/>
  <c r="AE482" i="1"/>
  <c r="AE241" i="1"/>
  <c r="AE67" i="1"/>
  <c r="AF236" i="1"/>
  <c r="AF123" i="1"/>
  <c r="AF363" i="1"/>
  <c r="AF67" i="1"/>
  <c r="AE309" i="1"/>
  <c r="AE168" i="1"/>
  <c r="AE104" i="1"/>
  <c r="AF118" i="1"/>
  <c r="AF199" i="1"/>
  <c r="AF175" i="1"/>
  <c r="AF262" i="1"/>
  <c r="AE222" i="1"/>
  <c r="AE130" i="1"/>
  <c r="AF482" i="1"/>
  <c r="AF324" i="1"/>
  <c r="AE107" i="1"/>
  <c r="AE391" i="1"/>
  <c r="AE116" i="1"/>
  <c r="AE362" i="1"/>
  <c r="AE149" i="1"/>
  <c r="AE321" i="1"/>
  <c r="AF251" i="1"/>
  <c r="AE401" i="1"/>
  <c r="AF186" i="1"/>
  <c r="AE118" i="1"/>
  <c r="AE350" i="1"/>
  <c r="AF266" i="1"/>
  <c r="AE144" i="1"/>
  <c r="AF353" i="1"/>
  <c r="AF280" i="1"/>
  <c r="AE95" i="1"/>
  <c r="AF70" i="1"/>
  <c r="AE325" i="1"/>
  <c r="AE70" i="1"/>
  <c r="AE223" i="1"/>
  <c r="AF74" i="1"/>
  <c r="AE369" i="1"/>
  <c r="AE72" i="1"/>
  <c r="AF107" i="1"/>
  <c r="AF146" i="1"/>
  <c r="AE318" i="1"/>
  <c r="AE229" i="1"/>
  <c r="AE179" i="1"/>
  <c r="AE296" i="1"/>
  <c r="AE245" i="1"/>
  <c r="AF214" i="1"/>
  <c r="AF357" i="1"/>
  <c r="AF195" i="1"/>
  <c r="AF115" i="1"/>
  <c r="AE376" i="1"/>
  <c r="AE272" i="1"/>
  <c r="AE253" i="1"/>
  <c r="AE71" i="1"/>
  <c r="AF75" i="1"/>
  <c r="AE207" i="1"/>
  <c r="AE171" i="1"/>
  <c r="AE170" i="1"/>
  <c r="AE251" i="1"/>
  <c r="AF342" i="1"/>
  <c r="AF277" i="1"/>
  <c r="AF334" i="1"/>
  <c r="AF109" i="1"/>
  <c r="AF68" i="1"/>
  <c r="AF191" i="1"/>
  <c r="AE250" i="1"/>
  <c r="AF300" i="1"/>
  <c r="AE328" i="1"/>
  <c r="AE352" i="1"/>
  <c r="AE103" i="1"/>
  <c r="AF381" i="1"/>
  <c r="AF303" i="1"/>
  <c r="AF392" i="1"/>
  <c r="AF139" i="1"/>
  <c r="AE388" i="1"/>
  <c r="AF285" i="1"/>
  <c r="AF241" i="1"/>
  <c r="AE97" i="1"/>
  <c r="AF488" i="1"/>
  <c r="AF250" i="1"/>
  <c r="AF328" i="1"/>
  <c r="AF442" i="1"/>
  <c r="AE185" i="1"/>
  <c r="AE335" i="1"/>
  <c r="AE370" i="1"/>
  <c r="AF78" i="1"/>
  <c r="AE120" i="1"/>
  <c r="AE386" i="1"/>
  <c r="AE248" i="1"/>
  <c r="AE289" i="1"/>
  <c r="AF128" i="1"/>
  <c r="AF147" i="1"/>
  <c r="AE305" i="1"/>
  <c r="AE47" i="1"/>
  <c r="AE102" i="1"/>
  <c r="AE76" i="1"/>
  <c r="AE342" i="1"/>
  <c r="AF32" i="1"/>
  <c r="AF325" i="1"/>
  <c r="AF330" i="1"/>
  <c r="AE235" i="1"/>
  <c r="AE205" i="1"/>
  <c r="AF506" i="1"/>
  <c r="AF234" i="1"/>
  <c r="AF370" i="1"/>
  <c r="AE74" i="1"/>
  <c r="AE277" i="1"/>
  <c r="AF379" i="1"/>
  <c r="AE45" i="1"/>
  <c r="AE121" i="1"/>
  <c r="AE50" i="1"/>
  <c r="AF171" i="1"/>
  <c r="AF33" i="1"/>
  <c r="AE111" i="1"/>
  <c r="AE49" i="1"/>
  <c r="AF142" i="1"/>
  <c r="AE66" i="1"/>
  <c r="AE263" i="1"/>
  <c r="AF360" i="1"/>
  <c r="AE361" i="1"/>
  <c r="AF271" i="1"/>
  <c r="AF168" i="1"/>
  <c r="AE147" i="1"/>
  <c r="AE161" i="1"/>
  <c r="AE307" i="1"/>
  <c r="AE442" i="1"/>
  <c r="AE169" i="1"/>
  <c r="AE357" i="1"/>
  <c r="AE209" i="1"/>
  <c r="AE320" i="1"/>
  <c r="AE85" i="1"/>
  <c r="AE239" i="1"/>
  <c r="AE146" i="1"/>
  <c r="AF404" i="1"/>
  <c r="AE196" i="1"/>
  <c r="AF329" i="1"/>
  <c r="AE78" i="1"/>
  <c r="AF165" i="1"/>
  <c r="AF237" i="1"/>
  <c r="AE275" i="1"/>
  <c r="AE110" i="1"/>
  <c r="AE220" i="1"/>
  <c r="AF248" i="1"/>
  <c r="AF362" i="1"/>
  <c r="AF158" i="1"/>
  <c r="AF374" i="1"/>
  <c r="AE115" i="1"/>
  <c r="AF29" i="1"/>
  <c r="AF221" i="1"/>
  <c r="AE202" i="1"/>
  <c r="AE378" i="1"/>
  <c r="AE511" i="1"/>
  <c r="AF349" i="1"/>
  <c r="AE228" i="1"/>
  <c r="AE404" i="1"/>
  <c r="AE52" i="1"/>
  <c r="AF306" i="1"/>
  <c r="AF511" i="1"/>
  <c r="AE559" i="1"/>
  <c r="AE433" i="1"/>
  <c r="AF426" i="1"/>
  <c r="AE423" i="1"/>
  <c r="AF535" i="1"/>
  <c r="AF414" i="1"/>
  <c r="AE523" i="1"/>
  <c r="AF409" i="1"/>
  <c r="AE363" i="1"/>
  <c r="AE156" i="1"/>
  <c r="AF274" i="1"/>
  <c r="AE475" i="1"/>
  <c r="AF338" i="1"/>
  <c r="AE42" i="1"/>
  <c r="AF183" i="1"/>
  <c r="AF398" i="1"/>
  <c r="AF127" i="1"/>
  <c r="AE385" i="1"/>
  <c r="AE242" i="1"/>
  <c r="AE236" i="1"/>
  <c r="AE194" i="1"/>
  <c r="AF104" i="1"/>
  <c r="AF391" i="1"/>
  <c r="AE117" i="1"/>
  <c r="AF53" i="1"/>
  <c r="AF281" i="1"/>
  <c r="AE247" i="1"/>
  <c r="AF71" i="1"/>
  <c r="AF253" i="1"/>
  <c r="AE280" i="1"/>
  <c r="AF341" i="1"/>
  <c r="AF229" i="1"/>
  <c r="AE238" i="1"/>
  <c r="AE353" i="1"/>
  <c r="AF218" i="1"/>
  <c r="AF372" i="1"/>
  <c r="AF475" i="1"/>
  <c r="AE199" i="1"/>
  <c r="AF388" i="1"/>
  <c r="AF197" i="1"/>
  <c r="AF559" i="1"/>
  <c r="AF433" i="1"/>
  <c r="AE425" i="1"/>
  <c r="AF423" i="1"/>
  <c r="AE535" i="1"/>
  <c r="AE414" i="1"/>
  <c r="AF523" i="1"/>
  <c r="AE221" i="1"/>
  <c r="AF140" i="1"/>
  <c r="AE260" i="1"/>
  <c r="AE285" i="1"/>
  <c r="AE88" i="1"/>
  <c r="AE46" i="1"/>
  <c r="AE436" i="1"/>
  <c r="AF159" i="1"/>
  <c r="AF255" i="1"/>
  <c r="AF385" i="1"/>
  <c r="AE360" i="1"/>
  <c r="AE79" i="1"/>
  <c r="AE319" i="1"/>
  <c r="AE154" i="1"/>
  <c r="AF450" i="1"/>
  <c r="AE123" i="1"/>
  <c r="AF323" i="1"/>
  <c r="AF58" i="1"/>
  <c r="AF103" i="1"/>
  <c r="AF228" i="1"/>
  <c r="AE306" i="1"/>
  <c r="AE142" i="1"/>
  <c r="AF34" i="1"/>
  <c r="AF137" i="1"/>
  <c r="AF496" i="1"/>
  <c r="AF308" i="1"/>
  <c r="AE316" i="1"/>
  <c r="AE61" i="1"/>
  <c r="AF309" i="1"/>
  <c r="AF133" i="1"/>
  <c r="AE420" i="1"/>
  <c r="AE82" i="1"/>
  <c r="AE58" i="1"/>
  <c r="AE181" i="1"/>
  <c r="AF43" i="1"/>
  <c r="AF116" i="1"/>
  <c r="AF42" i="1"/>
  <c r="AF160" i="1"/>
  <c r="AE48" i="1"/>
  <c r="AE295" i="1"/>
  <c r="AF369" i="1"/>
  <c r="AF164" i="1"/>
  <c r="AF48" i="1"/>
  <c r="AE300" i="1"/>
  <c r="AF233" i="1"/>
  <c r="AE59" i="1"/>
  <c r="AE77" i="1"/>
  <c r="AE127" i="1"/>
  <c r="AE210" i="1"/>
  <c r="AF148" i="1"/>
  <c r="AF106" i="1"/>
  <c r="AF235" i="1"/>
  <c r="AE131" i="1"/>
  <c r="AF366" i="1"/>
  <c r="AF245" i="1"/>
  <c r="AF225" i="1"/>
  <c r="AE114" i="1"/>
  <c r="AF269" i="1"/>
  <c r="AF203" i="1"/>
  <c r="AE215" i="1"/>
  <c r="AE32" i="1"/>
  <c r="AF112" i="1"/>
  <c r="AF355" i="1"/>
  <c r="AF152" i="1"/>
  <c r="AE398" i="1"/>
  <c r="AE189" i="1"/>
  <c r="AF396" i="1"/>
  <c r="AF327" i="1"/>
  <c r="AE60" i="1"/>
  <c r="AF47" i="1"/>
  <c r="AE87" i="1"/>
  <c r="AE450" i="1"/>
  <c r="AE224" i="1"/>
  <c r="AF230" i="1"/>
  <c r="AF301" i="1"/>
  <c r="AE372" i="1"/>
  <c r="AF154" i="1"/>
  <c r="AF293" i="1"/>
  <c r="AE188" i="1"/>
  <c r="AF213" i="1"/>
  <c r="AF181" i="1"/>
  <c r="AF226" i="1"/>
  <c r="AE380" i="1"/>
  <c r="AF151" i="1"/>
  <c r="AF279" i="1"/>
  <c r="AF386" i="1"/>
  <c r="AE377" i="1"/>
  <c r="AE379" i="1"/>
  <c r="AF31" i="1"/>
  <c r="AE311" i="1"/>
  <c r="AF257" i="1"/>
  <c r="AE212" i="1"/>
  <c r="AE54" i="1"/>
  <c r="AF180" i="1"/>
  <c r="AE56" i="1"/>
  <c r="AE225" i="1"/>
  <c r="AF65" i="1"/>
  <c r="AF188" i="1"/>
  <c r="AF130" i="1"/>
  <c r="AF76" i="1"/>
  <c r="AF131" i="1"/>
  <c r="AE315" i="1"/>
  <c r="AF356" i="1"/>
  <c r="AF354" i="1"/>
  <c r="AF258" i="1"/>
  <c r="AE488" i="1"/>
  <c r="AE141" i="1"/>
  <c r="AF136" i="1"/>
  <c r="AE465" i="1"/>
  <c r="AF57" i="1"/>
  <c r="AE37" i="1"/>
  <c r="AE496" i="1"/>
  <c r="AF200" i="1"/>
  <c r="AE90" i="1"/>
  <c r="AE290" i="1"/>
  <c r="AF268" i="1"/>
  <c r="AE427" i="1"/>
  <c r="AF208" i="1"/>
  <c r="AE31" i="1"/>
  <c r="AF220" i="1"/>
  <c r="AF27" i="1"/>
  <c r="AF117" i="1"/>
  <c r="AF120" i="1"/>
  <c r="AE237" i="1"/>
  <c r="AE126" i="1"/>
  <c r="AE157" i="1"/>
  <c r="AF50" i="1"/>
  <c r="AF177" i="1"/>
  <c r="AF275" i="1"/>
  <c r="AE383" i="1"/>
  <c r="AE106" i="1"/>
  <c r="AF337" i="1"/>
  <c r="AE153" i="1"/>
  <c r="AE96" i="1"/>
  <c r="AE293" i="1"/>
  <c r="AE348" i="1"/>
  <c r="AE301" i="1"/>
  <c r="AF143" i="1"/>
  <c r="AE333" i="1"/>
  <c r="AE240" i="1"/>
  <c r="AF97" i="1"/>
  <c r="AF222" i="1"/>
  <c r="AE132" i="1"/>
  <c r="AF321" i="1"/>
  <c r="AE330" i="1"/>
  <c r="AE139" i="1"/>
  <c r="AF212" i="1"/>
  <c r="AE336" i="1"/>
  <c r="AF472" i="1"/>
  <c r="AF141" i="1"/>
  <c r="AE89" i="1"/>
  <c r="AF80" i="1"/>
  <c r="AF305" i="1"/>
  <c r="AF192" i="1"/>
  <c r="AE402" i="1"/>
  <c r="AF179" i="1"/>
  <c r="AF332" i="1"/>
  <c r="AF39" i="1"/>
  <c r="AF420" i="1"/>
  <c r="AE470" i="1"/>
  <c r="AE57" i="1"/>
  <c r="AE332" i="1"/>
  <c r="AF493" i="1"/>
  <c r="AE347" i="1"/>
  <c r="AE374" i="1"/>
  <c r="AF345" i="1"/>
  <c r="AF72" i="1"/>
  <c r="AE100" i="1"/>
  <c r="AE80" i="1"/>
  <c r="AF377" i="1"/>
  <c r="AE151" i="1"/>
  <c r="AF365" i="1"/>
  <c r="AE513" i="1"/>
  <c r="AF260" i="1"/>
  <c r="AE381" i="1"/>
  <c r="AE267" i="1"/>
  <c r="AF51" i="1"/>
  <c r="AE375" i="1"/>
  <c r="AF348" i="1"/>
  <c r="AE232" i="1"/>
  <c r="AE68" i="1"/>
  <c r="AE197" i="1"/>
  <c r="AF46" i="1"/>
  <c r="AF205" i="1"/>
  <c r="AE145" i="1"/>
  <c r="AE92" i="1"/>
  <c r="AF264" i="1"/>
  <c r="AE262" i="1"/>
  <c r="AF318" i="1"/>
  <c r="AF210" i="1"/>
  <c r="AE134" i="1"/>
  <c r="AE317" i="1"/>
  <c r="AE249" i="1"/>
  <c r="AE298" i="1"/>
  <c r="AF169" i="1"/>
  <c r="AE365" i="1"/>
  <c r="AE368" i="1"/>
  <c r="AE409" i="1"/>
  <c r="AE43" i="1"/>
  <c r="AF276" i="1"/>
  <c r="AE135" i="1"/>
  <c r="AE36" i="1"/>
  <c r="AE292" i="1"/>
  <c r="AF81" i="1"/>
  <c r="AE137" i="1"/>
  <c r="AE164" i="1"/>
  <c r="AE140" i="1"/>
  <c r="AE166" i="1"/>
  <c r="AE359" i="1"/>
  <c r="AF292" i="1"/>
  <c r="AE230" i="1"/>
  <c r="AE65" i="1"/>
  <c r="AE493" i="1"/>
  <c r="AE143" i="1"/>
  <c r="AF400" i="1"/>
  <c r="AF283" i="1"/>
  <c r="AF161" i="1"/>
  <c r="AE86" i="1"/>
  <c r="AF101" i="1"/>
  <c r="AE27" i="1"/>
  <c r="AE155" i="1"/>
  <c r="AF249" i="1"/>
  <c r="AF282" i="1"/>
  <c r="AE472" i="1"/>
  <c r="AF296" i="1"/>
  <c r="AF54" i="1"/>
  <c r="AF91" i="1"/>
  <c r="AE136" i="1"/>
  <c r="AF135" i="1"/>
  <c r="AE53" i="1"/>
  <c r="AE191" i="1"/>
  <c r="AE213" i="1"/>
  <c r="AE291" i="1"/>
  <c r="AF185" i="1"/>
  <c r="AE217" i="1"/>
  <c r="AF144" i="1"/>
  <c r="AF267" i="1"/>
  <c r="AF244" i="1"/>
  <c r="AE152" i="1"/>
  <c r="AE283" i="1"/>
  <c r="AF350" i="1"/>
  <c r="AE265" i="1"/>
  <c r="AF376" i="1"/>
  <c r="AF102" i="1"/>
  <c r="AE366" i="1"/>
  <c r="AF99" i="1"/>
  <c r="AF35" i="1"/>
  <c r="AE112" i="1"/>
  <c r="AF153" i="1"/>
  <c r="AE35" i="1"/>
  <c r="AE69" i="1"/>
  <c r="AF93" i="1"/>
  <c r="AE133" i="1"/>
  <c r="AF295" i="1"/>
  <c r="AE244" i="1"/>
  <c r="AE271" i="1"/>
  <c r="AE394" i="1"/>
  <c r="AF240" i="1"/>
  <c r="AE29" i="1"/>
  <c r="AE337" i="1"/>
  <c r="AE159" i="1"/>
  <c r="AF86" i="1"/>
  <c r="AF162" i="1"/>
  <c r="AF167" i="1"/>
  <c r="AF239" i="1"/>
  <c r="AF405" i="1"/>
  <c r="AE508" i="1"/>
  <c r="AE62" i="1"/>
  <c r="AF82" i="1"/>
  <c r="AE403" i="1"/>
  <c r="AE338" i="1"/>
  <c r="AF347" i="1"/>
  <c r="AE327" i="1"/>
  <c r="AF394" i="1"/>
  <c r="AF291" i="1"/>
  <c r="AE158" i="1"/>
  <c r="AE287" i="1"/>
  <c r="AF90" i="1"/>
  <c r="AE200" i="1"/>
  <c r="AF198" i="1"/>
  <c r="AF508" i="1"/>
  <c r="AE183" i="1"/>
  <c r="AE323" i="1"/>
  <c r="AE33" i="1"/>
  <c r="AF320" i="1"/>
  <c r="AF129" i="1"/>
  <c r="AF95" i="1"/>
  <c r="AF88" i="1"/>
  <c r="AE177" i="1"/>
  <c r="AE351" i="1"/>
  <c r="AF403" i="1"/>
  <c r="AF87" i="1"/>
  <c r="AF89" i="1"/>
  <c r="AE259" i="1"/>
  <c r="AF77" i="1"/>
  <c r="AF121" i="1"/>
  <c r="AF367" i="1"/>
  <c r="AF196" i="1"/>
  <c r="AF406" i="1"/>
  <c r="AE284" i="1"/>
  <c r="AE51" i="1"/>
  <c r="AF525" i="1"/>
  <c r="AF528" i="1"/>
  <c r="AE419" i="1"/>
  <c r="AF422" i="1"/>
  <c r="AF428" i="1"/>
  <c r="AE431" i="1"/>
  <c r="AF434" i="1"/>
  <c r="AF157" i="1"/>
  <c r="AF351" i="1"/>
  <c r="AE124" i="1"/>
  <c r="AF375" i="1"/>
  <c r="AF314" i="1"/>
  <c r="AF364" i="1"/>
  <c r="AE98" i="1"/>
  <c r="AE406" i="1"/>
  <c r="AE525" i="1"/>
  <c r="AE528" i="1"/>
  <c r="AF419" i="1"/>
  <c r="AE422" i="1"/>
  <c r="AE428" i="1"/>
  <c r="AF431" i="1"/>
  <c r="AE434" i="1"/>
  <c r="A565" i="1"/>
  <c r="AF111" i="1"/>
  <c r="AE122" i="1"/>
  <c r="AE344" i="1"/>
  <c r="AF217" i="1"/>
  <c r="AE99" i="1"/>
  <c r="AF156" i="1"/>
  <c r="AE234" i="1"/>
  <c r="AE349" i="1"/>
  <c r="AE266" i="1"/>
  <c r="AF242" i="1"/>
  <c r="AF427" i="1"/>
  <c r="AF289" i="1"/>
  <c r="AF336" i="1"/>
  <c r="AE255" i="1"/>
  <c r="AF134" i="1"/>
  <c r="AF132" i="1"/>
  <c r="AF224" i="1"/>
  <c r="AF373" i="1"/>
  <c r="AF100" i="1"/>
  <c r="AF263" i="1"/>
  <c r="AE226" i="1"/>
  <c r="AE400" i="1"/>
  <c r="AF278" i="1"/>
  <c r="AE340" i="1"/>
  <c r="AE270" i="1"/>
  <c r="AF294" i="1"/>
  <c r="AE84" i="1"/>
  <c r="AF352" i="1"/>
  <c r="AE355" i="1"/>
  <c r="AF63" i="1"/>
  <c r="AE258" i="1"/>
  <c r="AF149" i="1"/>
  <c r="AF84" i="1"/>
  <c r="AF389" i="1"/>
  <c r="AE101" i="1"/>
  <c r="AE281" i="1"/>
  <c r="AF119" i="1"/>
  <c r="AF45" i="1"/>
  <c r="AF166" i="1"/>
  <c r="AE218" i="1"/>
  <c r="AF287" i="1"/>
  <c r="AF401" i="1"/>
  <c r="AF272" i="1"/>
  <c r="AF359" i="1"/>
  <c r="AF259" i="1"/>
  <c r="AF298" i="1"/>
  <c r="AE313" i="1"/>
  <c r="AE345" i="1"/>
  <c r="AE324" i="1"/>
  <c r="AE214" i="1"/>
  <c r="AE367" i="1"/>
  <c r="AE162" i="1"/>
  <c r="AE274" i="1"/>
  <c r="AF368" i="1"/>
  <c r="AE203" i="1"/>
  <c r="AF513" i="1"/>
  <c r="AE75" i="1"/>
  <c r="AE310" i="1"/>
  <c r="AE109" i="1"/>
  <c r="AF335" i="1"/>
  <c r="AE269" i="1"/>
  <c r="AF270" i="1"/>
  <c r="AF62" i="1"/>
  <c r="AE364" i="1"/>
  <c r="AE39" i="1"/>
  <c r="AF247" i="1"/>
  <c r="AF79" i="1"/>
  <c r="AF317" i="1"/>
  <c r="AE233" i="1"/>
  <c r="AE354" i="1"/>
  <c r="AF189" i="1"/>
  <c r="AF52" i="1"/>
  <c r="AF316" i="1"/>
  <c r="AF114" i="1"/>
  <c r="AF194" i="1"/>
  <c r="AE208" i="1"/>
  <c r="AE308" i="1"/>
  <c r="AF265" i="1"/>
  <c r="AF333" i="1"/>
  <c r="AE160" i="1"/>
  <c r="AF378" i="1"/>
  <c r="AF254" i="1"/>
  <c r="AF470" i="1"/>
  <c r="AE119" i="1"/>
  <c r="AF207" i="1"/>
  <c r="AE329" i="1"/>
  <c r="AE264" i="1"/>
  <c r="AF340" i="1"/>
  <c r="AF36" i="1"/>
  <c r="AF69" i="1"/>
  <c r="AE506" i="1"/>
  <c r="AE167" i="1"/>
  <c r="AF407" i="1"/>
  <c r="AE411" i="1"/>
  <c r="AF415" i="1"/>
  <c r="AE540" i="1"/>
  <c r="AF547" i="1"/>
  <c r="AE430" i="1"/>
  <c r="AE555" i="1"/>
  <c r="AF439" i="1"/>
  <c r="AF313" i="1"/>
  <c r="AF284" i="1"/>
  <c r="AF344" i="1"/>
  <c r="AE128" i="1"/>
  <c r="AE405" i="1"/>
  <c r="AF96" i="1"/>
  <c r="AF66" i="1"/>
  <c r="AE407" i="1"/>
  <c r="AF411" i="1"/>
  <c r="AE415" i="1"/>
  <c r="AF540" i="1"/>
  <c r="AE547" i="1"/>
  <c r="AF430" i="1"/>
  <c r="AF555" i="1"/>
  <c r="AE439" i="1"/>
  <c r="AK441" i="1" l="1"/>
  <c r="AL442" i="1"/>
  <c r="AM443" i="1"/>
  <c r="AM444" i="1" s="1"/>
  <c r="AE441" i="1"/>
  <c r="AI441" i="1"/>
  <c r="A566" i="1"/>
  <c r="AK442" i="1"/>
  <c r="AF441" i="1"/>
  <c r="AV442" i="1" l="1"/>
  <c r="B441" i="1"/>
  <c r="C441" i="1" s="1"/>
  <c r="AL445" i="1"/>
  <c r="AL444" i="1"/>
  <c r="AL443" i="1"/>
  <c r="AM445" i="1"/>
  <c r="AI444" i="1"/>
  <c r="AI443" i="1"/>
  <c r="AE444" i="1"/>
  <c r="AF444" i="1"/>
  <c r="AK443" i="1"/>
  <c r="AE443" i="1"/>
  <c r="AF443" i="1"/>
  <c r="A567" i="1"/>
  <c r="AK444" i="1"/>
  <c r="AX442" i="1" l="1"/>
  <c r="AW442" i="1"/>
  <c r="AL446" i="1"/>
  <c r="AM446" i="1"/>
  <c r="A568" i="1"/>
  <c r="AK445" i="1"/>
  <c r="AE445" i="1"/>
  <c r="AF445" i="1"/>
  <c r="A569" i="1"/>
  <c r="AI445" i="1"/>
  <c r="AL447" i="1" l="1"/>
  <c r="AM447" i="1"/>
  <c r="AE446" i="1"/>
  <c r="AI446" i="1"/>
  <c r="A570" i="1"/>
  <c r="AK446" i="1"/>
  <c r="AF446" i="1"/>
  <c r="AL448" i="1" l="1"/>
  <c r="AM448" i="1"/>
  <c r="A571" i="1"/>
  <c r="AK447" i="1"/>
  <c r="AI447" i="1"/>
  <c r="A572" i="1"/>
  <c r="AF447" i="1"/>
  <c r="AE447" i="1"/>
  <c r="AL449" i="1" l="1"/>
  <c r="AM449" i="1"/>
  <c r="AM450" i="1" s="1"/>
  <c r="AF448" i="1"/>
  <c r="AK448" i="1"/>
  <c r="AI448" i="1"/>
  <c r="A573" i="1"/>
  <c r="AE448" i="1"/>
  <c r="AL450" i="1" l="1"/>
  <c r="A574" i="1"/>
  <c r="AI449" i="1"/>
  <c r="AF449" i="1"/>
  <c r="AE449" i="1"/>
  <c r="A575" i="1"/>
  <c r="AK449" i="1"/>
  <c r="AL451" i="1" l="1"/>
  <c r="AM451" i="1"/>
  <c r="AK450" i="1"/>
  <c r="A576" i="1"/>
  <c r="AV450" i="1" l="1"/>
  <c r="AX450" i="1" s="1"/>
  <c r="AI452" i="1"/>
  <c r="AK452" i="1"/>
  <c r="AL452" i="1"/>
  <c r="AF452" i="1"/>
  <c r="AE452" i="1"/>
  <c r="AU452" i="1"/>
  <c r="AM452" i="1"/>
  <c r="A577" i="1"/>
  <c r="AI451" i="1"/>
  <c r="AE451" i="1"/>
  <c r="AF451" i="1"/>
  <c r="AK451" i="1"/>
  <c r="AW450" i="1" l="1"/>
  <c r="AL453" i="1"/>
  <c r="AV452" i="1"/>
  <c r="AM453" i="1"/>
  <c r="A578" i="1"/>
  <c r="AK453" i="1" l="1"/>
  <c r="AL454" i="1"/>
  <c r="AX452" i="1"/>
  <c r="AW452" i="1"/>
  <c r="AM454" i="1"/>
  <c r="AI454" i="1"/>
  <c r="AF453" i="1"/>
  <c r="AE453" i="1"/>
  <c r="A579" i="1"/>
  <c r="A580" i="1" s="1"/>
  <c r="AK454" i="1"/>
  <c r="AE454" i="1"/>
  <c r="AI453" i="1"/>
  <c r="AF454" i="1"/>
  <c r="B453" i="1" l="1"/>
  <c r="C453" i="1" s="1"/>
  <c r="AL455" i="1"/>
  <c r="AM455" i="1"/>
  <c r="AM456" i="1" s="1"/>
  <c r="A581" i="1"/>
  <c r="AL456" i="1" l="1"/>
  <c r="A582" i="1"/>
  <c r="AI455" i="1"/>
  <c r="AF455" i="1"/>
  <c r="AE455" i="1"/>
  <c r="A583" i="1"/>
  <c r="AK455" i="1"/>
  <c r="AL457" i="1" l="1"/>
  <c r="AM457" i="1"/>
  <c r="AF456" i="1"/>
  <c r="AK456" i="1"/>
  <c r="AI456" i="1"/>
  <c r="A584" i="1"/>
  <c r="AE456" i="1"/>
  <c r="AL458" i="1" l="1"/>
  <c r="AM458" i="1"/>
  <c r="A585" i="1"/>
  <c r="AF457" i="1"/>
  <c r="AK457" i="1"/>
  <c r="AI457" i="1"/>
  <c r="AE457" i="1"/>
  <c r="AL459" i="1" l="1"/>
  <c r="AM459" i="1"/>
  <c r="A586" i="1"/>
  <c r="AI458" i="1"/>
  <c r="AF458" i="1"/>
  <c r="AE458" i="1"/>
  <c r="AK458" i="1"/>
  <c r="AL460" i="1" l="1"/>
  <c r="AM460" i="1"/>
  <c r="AI459" i="1"/>
  <c r="A587" i="1"/>
  <c r="AK459" i="1"/>
  <c r="AF459" i="1"/>
  <c r="AE459" i="1"/>
  <c r="AL461" i="1" l="1"/>
  <c r="AM461" i="1"/>
  <c r="AI461" i="1"/>
  <c r="AI460" i="1"/>
  <c r="AF460" i="1"/>
  <c r="AE461" i="1"/>
  <c r="AK460" i="1"/>
  <c r="AF461" i="1"/>
  <c r="AE460" i="1"/>
  <c r="A588" i="1"/>
  <c r="AL462" i="1" l="1"/>
  <c r="AM462" i="1"/>
  <c r="A589" i="1"/>
  <c r="AF462" i="1"/>
  <c r="AI462" i="1"/>
  <c r="AE462" i="1"/>
  <c r="A590" i="1"/>
  <c r="AK461" i="1"/>
  <c r="AL463" i="1" l="1"/>
  <c r="AK462" i="1"/>
  <c r="A591" i="1"/>
  <c r="AL464" i="1" l="1"/>
  <c r="AM464" i="1"/>
  <c r="AM465" i="1" s="1"/>
  <c r="A592" i="1"/>
  <c r="AK464" i="1" l="1"/>
  <c r="AL465" i="1"/>
  <c r="A593" i="1"/>
  <c r="A594" i="1"/>
  <c r="AK465" i="1"/>
  <c r="AI464" i="1"/>
  <c r="AF464" i="1"/>
  <c r="AE464" i="1"/>
  <c r="AV465" i="1" l="1"/>
  <c r="AL466" i="1"/>
  <c r="AM466" i="1"/>
  <c r="A595" i="1"/>
  <c r="A596" i="1"/>
  <c r="AX465" i="1" l="1"/>
  <c r="AW465" i="1"/>
  <c r="AL467" i="1"/>
  <c r="AM467" i="1"/>
  <c r="AI466" i="1"/>
  <c r="AK466" i="1"/>
  <c r="AF466" i="1"/>
  <c r="AE466" i="1"/>
  <c r="A597" i="1"/>
  <c r="AI467" i="1" l="1"/>
  <c r="AK467" i="1"/>
  <c r="AL468" i="1"/>
  <c r="AF467" i="1"/>
  <c r="AE467" i="1"/>
  <c r="AU467" i="1"/>
  <c r="AM468" i="1"/>
  <c r="A598" i="1"/>
  <c r="AK468" i="1" l="1"/>
  <c r="AL469" i="1"/>
  <c r="AV467" i="1"/>
  <c r="AW467" i="1" s="1"/>
  <c r="AM469" i="1"/>
  <c r="AI468" i="1"/>
  <c r="A599" i="1"/>
  <c r="AE468" i="1"/>
  <c r="AF468" i="1"/>
  <c r="B468" i="1" l="1"/>
  <c r="C468" i="1" s="1"/>
  <c r="AI469" i="1"/>
  <c r="AK469" i="1"/>
  <c r="AL470" i="1"/>
  <c r="B470" i="1" s="1"/>
  <c r="C470" i="1" s="1"/>
  <c r="AF469" i="1"/>
  <c r="AE469" i="1"/>
  <c r="AX467" i="1"/>
  <c r="AU469" i="1"/>
  <c r="A600" i="1"/>
  <c r="A601" i="1"/>
  <c r="AL471" i="1" l="1"/>
  <c r="AV469" i="1"/>
  <c r="AX469" i="1" s="1"/>
  <c r="AM471" i="1"/>
  <c r="A602" i="1"/>
  <c r="AI471" i="1" l="1"/>
  <c r="AK471" i="1"/>
  <c r="AL472" i="1"/>
  <c r="B472" i="1" s="1"/>
  <c r="C472" i="1" s="1"/>
  <c r="AF471" i="1"/>
  <c r="AE471" i="1"/>
  <c r="AW469" i="1"/>
  <c r="AU471" i="1"/>
  <c r="A603" i="1"/>
  <c r="AI473" i="1" l="1"/>
  <c r="AK473" i="1"/>
  <c r="AL473" i="1"/>
  <c r="AF473" i="1"/>
  <c r="AE473" i="1"/>
  <c r="AV471" i="1"/>
  <c r="AW471" i="1" s="1"/>
  <c r="AU473" i="1"/>
  <c r="AM473" i="1"/>
  <c r="A604" i="1"/>
  <c r="A605" i="1"/>
  <c r="AL474" i="1" l="1"/>
  <c r="AX471" i="1"/>
  <c r="AV473" i="1"/>
  <c r="AM474" i="1"/>
  <c r="AM475" i="1" s="1"/>
  <c r="A606" i="1"/>
  <c r="AK474" i="1" l="1"/>
  <c r="AL475" i="1"/>
  <c r="AX473" i="1"/>
  <c r="AW473" i="1"/>
  <c r="A607" i="1"/>
  <c r="AE474" i="1"/>
  <c r="AK475" i="1"/>
  <c r="AI474" i="1"/>
  <c r="A608" i="1"/>
  <c r="AF474" i="1"/>
  <c r="AV475" i="1" l="1"/>
  <c r="B474" i="1"/>
  <c r="C474" i="1" s="1"/>
  <c r="AL476" i="1"/>
  <c r="AM476" i="1"/>
  <c r="A609" i="1"/>
  <c r="AX475" i="1" l="1"/>
  <c r="AW475" i="1"/>
  <c r="AI476" i="1"/>
  <c r="AK476" i="1"/>
  <c r="AL477" i="1"/>
  <c r="AF476" i="1"/>
  <c r="AE476" i="1"/>
  <c r="AU476" i="1"/>
  <c r="AM477" i="1"/>
  <c r="AM478" i="1"/>
  <c r="A610" i="1"/>
  <c r="AI478" i="1" l="1"/>
  <c r="AK478" i="1"/>
  <c r="AK477" i="1"/>
  <c r="AL478" i="1"/>
  <c r="AF478" i="1"/>
  <c r="AE478" i="1"/>
  <c r="AV476" i="1"/>
  <c r="AX476" i="1" s="1"/>
  <c r="AU478" i="1"/>
  <c r="AI477" i="1"/>
  <c r="A611" i="1"/>
  <c r="AE477" i="1"/>
  <c r="AF477" i="1"/>
  <c r="B477" i="1" l="1"/>
  <c r="C477" i="1" s="1"/>
  <c r="AL479" i="1"/>
  <c r="AW476" i="1"/>
  <c r="AM479" i="1"/>
  <c r="A612" i="1"/>
  <c r="A613" i="1"/>
  <c r="AK479" i="1" l="1"/>
  <c r="AL480" i="1"/>
  <c r="AU479" i="1"/>
  <c r="AV478" i="1"/>
  <c r="AW478" i="1" s="1"/>
  <c r="AM480" i="1"/>
  <c r="A614" i="1"/>
  <c r="AF479" i="1"/>
  <c r="AI479" i="1"/>
  <c r="AE479" i="1"/>
  <c r="B479" i="1" l="1"/>
  <c r="C479" i="1" s="1"/>
  <c r="AI480" i="1"/>
  <c r="AK480" i="1"/>
  <c r="AL481" i="1"/>
  <c r="AF480" i="1"/>
  <c r="AE480" i="1"/>
  <c r="AV479" i="1"/>
  <c r="AW479" i="1" s="1"/>
  <c r="AX478" i="1"/>
  <c r="AU480" i="1"/>
  <c r="AM481" i="1"/>
  <c r="AM482" i="1" s="1"/>
  <c r="A615" i="1"/>
  <c r="AK481" i="1" l="1"/>
  <c r="AL482" i="1"/>
  <c r="AX479" i="1"/>
  <c r="AV480" i="1"/>
  <c r="AW480" i="1" s="1"/>
  <c r="AU481" i="1"/>
  <c r="AI481" i="1"/>
  <c r="AE481" i="1"/>
  <c r="AK482" i="1"/>
  <c r="A616" i="1"/>
  <c r="AF481" i="1"/>
  <c r="AV482" i="1" l="1"/>
  <c r="B481" i="1"/>
  <c r="C481" i="1" s="1"/>
  <c r="AI483" i="1"/>
  <c r="AK483" i="1"/>
  <c r="AL483" i="1"/>
  <c r="AF483" i="1"/>
  <c r="AE483" i="1"/>
  <c r="AX480" i="1"/>
  <c r="AV481" i="1"/>
  <c r="AW481" i="1" s="1"/>
  <c r="AU483" i="1"/>
  <c r="AM483" i="1"/>
  <c r="A617" i="1"/>
  <c r="AX482" i="1" l="1"/>
  <c r="AW482" i="1"/>
  <c r="AL484" i="1"/>
  <c r="AX481" i="1"/>
  <c r="AV483" i="1"/>
  <c r="AX483" i="1" s="1"/>
  <c r="AM484" i="1"/>
  <c r="A618" i="1"/>
  <c r="A619" i="1"/>
  <c r="AK484" i="1" l="1"/>
  <c r="AL485" i="1"/>
  <c r="AU484" i="1"/>
  <c r="AW483" i="1"/>
  <c r="AM486" i="1"/>
  <c r="AM485" i="1"/>
  <c r="A620" i="1"/>
  <c r="AF484" i="1"/>
  <c r="A621" i="1"/>
  <c r="AI484" i="1"/>
  <c r="AE484" i="1"/>
  <c r="B484" i="1" l="1"/>
  <c r="C484" i="1" s="1"/>
  <c r="AL486" i="1"/>
  <c r="AU485" i="1"/>
  <c r="AV484" i="1"/>
  <c r="AW484" i="1" s="1"/>
  <c r="AE485" i="1"/>
  <c r="AK485" i="1"/>
  <c r="AI485" i="1"/>
  <c r="A622" i="1"/>
  <c r="AF485" i="1"/>
  <c r="AI486" i="1" l="1"/>
  <c r="AK486" i="1"/>
  <c r="AL487" i="1"/>
  <c r="AF486" i="1"/>
  <c r="AE486" i="1"/>
  <c r="AK487" i="1"/>
  <c r="AV485" i="1"/>
  <c r="AX485" i="1" s="1"/>
  <c r="AX484" i="1"/>
  <c r="AU486" i="1"/>
  <c r="AM487" i="1"/>
  <c r="AM488" i="1" s="1"/>
  <c r="A623" i="1"/>
  <c r="AK488" i="1"/>
  <c r="AV488" i="1" l="1"/>
  <c r="AL488" i="1"/>
  <c r="AW485" i="1"/>
  <c r="AV486" i="1"/>
  <c r="AW486" i="1" s="1"/>
  <c r="A624" i="1"/>
  <c r="A625" i="1"/>
  <c r="AE487" i="1"/>
  <c r="AI487" i="1"/>
  <c r="AF487" i="1"/>
  <c r="B487" i="1" l="1"/>
  <c r="C487" i="1" s="1"/>
  <c r="AX488" i="1"/>
  <c r="AW488" i="1"/>
  <c r="AL489" i="1"/>
  <c r="AX486" i="1"/>
  <c r="AM489" i="1"/>
  <c r="AM490" i="1"/>
  <c r="A626" i="1"/>
  <c r="AI489" i="1" l="1"/>
  <c r="AK489" i="1"/>
  <c r="AL490" i="1"/>
  <c r="AF489" i="1"/>
  <c r="AE489" i="1"/>
  <c r="AU489" i="1"/>
  <c r="A627" i="1"/>
  <c r="AK490" i="1" l="1"/>
  <c r="AL491" i="1"/>
  <c r="AV489" i="1"/>
  <c r="AX489" i="1" s="1"/>
  <c r="AU490" i="1"/>
  <c r="AM491" i="1"/>
  <c r="AE490" i="1"/>
  <c r="A628" i="1"/>
  <c r="AI490" i="1"/>
  <c r="AF490" i="1"/>
  <c r="B490" i="1" l="1"/>
  <c r="C490" i="1" s="1"/>
  <c r="AL492" i="1"/>
  <c r="AM492" i="1"/>
  <c r="AW489" i="1"/>
  <c r="AU491" i="1"/>
  <c r="AV490" i="1"/>
  <c r="AX490" i="1" s="1"/>
  <c r="A629" i="1"/>
  <c r="AF491" i="1"/>
  <c r="AK491" i="1"/>
  <c r="A630" i="1"/>
  <c r="AI491" i="1"/>
  <c r="AE491" i="1"/>
  <c r="AI492" i="1" l="1"/>
  <c r="AK492" i="1"/>
  <c r="AL493" i="1"/>
  <c r="B493" i="1" s="1"/>
  <c r="C493" i="1" s="1"/>
  <c r="AF492" i="1"/>
  <c r="AE492" i="1"/>
  <c r="AV491" i="1"/>
  <c r="AX491" i="1" s="1"/>
  <c r="AW490" i="1"/>
  <c r="AU492" i="1"/>
  <c r="A631" i="1"/>
  <c r="AL494" i="1" l="1"/>
  <c r="AW491" i="1"/>
  <c r="AV492" i="1"/>
  <c r="AW492" i="1" s="1"/>
  <c r="AM494" i="1"/>
  <c r="AM495" i="1" s="1"/>
  <c r="AM496" i="1" s="1"/>
  <c r="A632" i="1"/>
  <c r="A633" i="1"/>
  <c r="AL495" i="1" l="1"/>
  <c r="AU494" i="1"/>
  <c r="AX492" i="1"/>
  <c r="A634" i="1"/>
  <c r="AI494" i="1"/>
  <c r="AI495" i="1"/>
  <c r="AF494" i="1"/>
  <c r="AE494" i="1"/>
  <c r="AF495" i="1"/>
  <c r="AE495" i="1"/>
  <c r="AK494" i="1"/>
  <c r="AL496" i="1" l="1"/>
  <c r="AV494" i="1"/>
  <c r="AX494" i="1" s="1"/>
  <c r="AK495" i="1"/>
  <c r="A635" i="1"/>
  <c r="AL497" i="1" l="1"/>
  <c r="AW494" i="1"/>
  <c r="AK496" i="1"/>
  <c r="A636" i="1"/>
  <c r="AV496" i="1" l="1"/>
  <c r="AU497" i="1"/>
  <c r="A637" i="1"/>
  <c r="AF497" i="1"/>
  <c r="AI497" i="1"/>
  <c r="A638" i="1"/>
  <c r="AE497" i="1"/>
  <c r="AK497" i="1"/>
  <c r="AW496" i="1" l="1"/>
  <c r="AX496" i="1"/>
  <c r="AV497" i="1"/>
  <c r="AX497" i="1" s="1"/>
  <c r="A639" i="1"/>
  <c r="AW497" i="1" l="1"/>
  <c r="A62" i="2"/>
  <c r="A64" i="2"/>
  <c r="A640" i="1"/>
  <c r="R64" i="2" l="1"/>
  <c r="G64" i="2"/>
  <c r="R62" i="2"/>
  <c r="G62" i="2"/>
  <c r="A77" i="2"/>
  <c r="H62" i="2"/>
  <c r="B62" i="2"/>
  <c r="C64" i="2"/>
  <c r="C62" i="2"/>
  <c r="I64" i="2"/>
  <c r="H64" i="2"/>
  <c r="F62" i="2"/>
  <c r="I62" i="2"/>
  <c r="A65" i="2"/>
  <c r="B64" i="2"/>
  <c r="F64" i="2"/>
  <c r="AM497" i="1"/>
  <c r="AM499" i="1"/>
  <c r="J64" i="2"/>
  <c r="J62" i="2"/>
  <c r="A641" i="1"/>
  <c r="AK499" i="1" l="1"/>
  <c r="AL499" i="1"/>
  <c r="AL498" i="1"/>
  <c r="AU499" i="1"/>
  <c r="R65" i="2"/>
  <c r="G65" i="2"/>
  <c r="G77" i="2"/>
  <c r="R77" i="2"/>
  <c r="E62" i="2"/>
  <c r="K62" i="2"/>
  <c r="L62" i="2"/>
  <c r="E64" i="2"/>
  <c r="K64" i="2"/>
  <c r="L64" i="2"/>
  <c r="I65" i="2"/>
  <c r="F77" i="2"/>
  <c r="H77" i="2"/>
  <c r="N62" i="2"/>
  <c r="C65" i="2"/>
  <c r="B77" i="2"/>
  <c r="C77" i="2"/>
  <c r="A61" i="2"/>
  <c r="A79" i="2" s="1"/>
  <c r="B65" i="2"/>
  <c r="H65" i="2"/>
  <c r="I77" i="2"/>
  <c r="F65" i="2"/>
  <c r="N64" i="2"/>
  <c r="AM501" i="1"/>
  <c r="AM500" i="1"/>
  <c r="A642" i="1"/>
  <c r="AI499" i="1"/>
  <c r="AE499" i="1"/>
  <c r="AF499" i="1"/>
  <c r="AI501" i="1" l="1"/>
  <c r="AK501" i="1"/>
  <c r="AL501" i="1"/>
  <c r="AL500" i="1"/>
  <c r="AF501" i="1"/>
  <c r="AE501" i="1"/>
  <c r="AU500" i="1"/>
  <c r="AU501" i="1"/>
  <c r="R79" i="2"/>
  <c r="G79" i="2"/>
  <c r="E77" i="2"/>
  <c r="K77" i="2"/>
  <c r="L77" i="2"/>
  <c r="E65" i="2"/>
  <c r="L65" i="2"/>
  <c r="K65" i="2"/>
  <c r="R61" i="2"/>
  <c r="G61" i="2"/>
  <c r="M64" i="2"/>
  <c r="O64" i="2" s="1"/>
  <c r="P64" i="2" s="1"/>
  <c r="Q64" i="2" s="1"/>
  <c r="M62" i="2"/>
  <c r="O62" i="2" s="1"/>
  <c r="P62" i="2" s="1"/>
  <c r="Q62" i="2" s="1"/>
  <c r="B61" i="2"/>
  <c r="A78" i="2"/>
  <c r="H79" i="2"/>
  <c r="C79" i="2"/>
  <c r="N65" i="2"/>
  <c r="I61" i="2"/>
  <c r="I79" i="2"/>
  <c r="H61" i="2"/>
  <c r="F79" i="2"/>
  <c r="N77" i="2"/>
  <c r="F61" i="2"/>
  <c r="C61" i="2"/>
  <c r="B79" i="2"/>
  <c r="A67" i="2"/>
  <c r="AM502" i="1"/>
  <c r="AF500" i="1"/>
  <c r="A643" i="1"/>
  <c r="AK500" i="1"/>
  <c r="AI500" i="1"/>
  <c r="AE500" i="1"/>
  <c r="AK502" i="1" l="1"/>
  <c r="AL503" i="1"/>
  <c r="AL502" i="1"/>
  <c r="AM503" i="1"/>
  <c r="AU503" i="1"/>
  <c r="AU502" i="1"/>
  <c r="AV499" i="1"/>
  <c r="M65" i="2"/>
  <c r="O65" i="2" s="1"/>
  <c r="P65" i="2" s="1"/>
  <c r="Q65" i="2" s="1"/>
  <c r="M77" i="2"/>
  <c r="O77" i="2" s="1"/>
  <c r="P77" i="2" s="1"/>
  <c r="Q77" i="2" s="1"/>
  <c r="R67" i="2"/>
  <c r="G67" i="2"/>
  <c r="E79" i="2"/>
  <c r="K79" i="2"/>
  <c r="L79" i="2"/>
  <c r="G78" i="2"/>
  <c r="R78" i="2"/>
  <c r="E61" i="2"/>
  <c r="L61" i="2"/>
  <c r="K61" i="2"/>
  <c r="H67" i="2"/>
  <c r="N79" i="2"/>
  <c r="B67" i="2"/>
  <c r="B78" i="2"/>
  <c r="H78" i="2"/>
  <c r="N61" i="2"/>
  <c r="A66" i="2"/>
  <c r="C67" i="2"/>
  <c r="I78" i="2"/>
  <c r="A68" i="2"/>
  <c r="F67" i="2"/>
  <c r="F78" i="2"/>
  <c r="I67" i="2"/>
  <c r="C78" i="2"/>
  <c r="AI503" i="1"/>
  <c r="AI502" i="1"/>
  <c r="A644" i="1"/>
  <c r="AF503" i="1"/>
  <c r="AF502" i="1"/>
  <c r="AK503" i="1"/>
  <c r="AE502" i="1"/>
  <c r="AE503" i="1"/>
  <c r="B502" i="1" l="1"/>
  <c r="C502" i="1" s="1"/>
  <c r="AW499" i="1"/>
  <c r="AX499" i="1"/>
  <c r="M79" i="2"/>
  <c r="O79" i="2" s="1"/>
  <c r="P79" i="2" s="1"/>
  <c r="Q79" i="2" s="1"/>
  <c r="M61" i="2"/>
  <c r="O61" i="2" s="1"/>
  <c r="P61" i="2" s="1"/>
  <c r="Q61" i="2" s="1"/>
  <c r="G68" i="2"/>
  <c r="R68" i="2"/>
  <c r="E78" i="2"/>
  <c r="L78" i="2"/>
  <c r="K78" i="2"/>
  <c r="E67" i="2"/>
  <c r="L67" i="2"/>
  <c r="K67" i="2"/>
  <c r="G66" i="2"/>
  <c r="R66" i="2"/>
  <c r="B68" i="2"/>
  <c r="C66" i="2"/>
  <c r="A80" i="2"/>
  <c r="I68" i="2"/>
  <c r="F68" i="2"/>
  <c r="N67" i="2"/>
  <c r="I66" i="2"/>
  <c r="A69" i="2"/>
  <c r="F66" i="2"/>
  <c r="C68" i="2"/>
  <c r="H68" i="2"/>
  <c r="N78" i="2"/>
  <c r="B66" i="2"/>
  <c r="H66" i="2"/>
  <c r="AM504" i="1"/>
  <c r="AM505" i="1"/>
  <c r="J67" i="2"/>
  <c r="A645" i="1"/>
  <c r="J66" i="2"/>
  <c r="J61" i="2"/>
  <c r="J78" i="2"/>
  <c r="J65" i="2"/>
  <c r="J79" i="2"/>
  <c r="J68" i="2"/>
  <c r="J77" i="2"/>
  <c r="AL505" i="1" l="1"/>
  <c r="AL504" i="1"/>
  <c r="AK505" i="1"/>
  <c r="AV502" i="1"/>
  <c r="AX502" i="1" s="1"/>
  <c r="AU505" i="1"/>
  <c r="AV501" i="1"/>
  <c r="AU504" i="1"/>
  <c r="AV500" i="1"/>
  <c r="AV503" i="1"/>
  <c r="AW502" i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F80" i="2"/>
  <c r="I69" i="2"/>
  <c r="B80" i="2"/>
  <c r="N68" i="2"/>
  <c r="A81" i="2"/>
  <c r="C80" i="2"/>
  <c r="A646" i="1"/>
  <c r="A647" i="1" s="1"/>
  <c r="A648" i="1" s="1"/>
  <c r="AE504" i="1"/>
  <c r="J69" i="2"/>
  <c r="J80" i="2"/>
  <c r="AK504" i="1"/>
  <c r="AI504" i="1"/>
  <c r="AF504" i="1"/>
  <c r="AE505" i="1" l="1"/>
  <c r="AI505" i="1"/>
  <c r="AL507" i="1"/>
  <c r="AL506" i="1"/>
  <c r="B506" i="1" s="1"/>
  <c r="C506" i="1" s="1"/>
  <c r="AF505" i="1"/>
  <c r="AM507" i="1"/>
  <c r="AM508" i="1" s="1"/>
  <c r="AM509" i="1" s="1"/>
  <c r="AU507" i="1"/>
  <c r="AV504" i="1"/>
  <c r="AX504" i="1" s="1"/>
  <c r="AW500" i="1"/>
  <c r="AX500" i="1"/>
  <c r="AX501" i="1"/>
  <c r="AW501" i="1"/>
  <c r="AV505" i="1"/>
  <c r="AW503" i="1"/>
  <c r="AX503" i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H75" i="2"/>
  <c r="C75" i="2"/>
  <c r="N80" i="2"/>
  <c r="F81" i="2"/>
  <c r="F75" i="2"/>
  <c r="F76" i="2"/>
  <c r="B76" i="2"/>
  <c r="H76" i="2"/>
  <c r="N69" i="2"/>
  <c r="I76" i="2"/>
  <c r="A86" i="2"/>
  <c r="I81" i="2"/>
  <c r="B75" i="2"/>
  <c r="C81" i="2"/>
  <c r="I75" i="2"/>
  <c r="C76" i="2"/>
  <c r="A649" i="1"/>
  <c r="A650" i="1" s="1"/>
  <c r="AK507" i="1"/>
  <c r="J76" i="2"/>
  <c r="J75" i="2"/>
  <c r="AI507" i="1"/>
  <c r="J81" i="2"/>
  <c r="AE507" i="1"/>
  <c r="A651" i="1"/>
  <c r="AF507" i="1"/>
  <c r="AW504" i="1" l="1"/>
  <c r="AL509" i="1"/>
  <c r="AL508" i="1"/>
  <c r="AU509" i="1"/>
  <c r="AV507" i="1"/>
  <c r="AW505" i="1"/>
  <c r="AX505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C87" i="2"/>
  <c r="C86" i="2"/>
  <c r="I86" i="2"/>
  <c r="B86" i="2"/>
  <c r="N81" i="2"/>
  <c r="A82" i="2"/>
  <c r="N76" i="2"/>
  <c r="AM510" i="1"/>
  <c r="AM511" i="1" s="1"/>
  <c r="A652" i="1"/>
  <c r="J87" i="2"/>
  <c r="AK508" i="1"/>
  <c r="J86" i="2"/>
  <c r="AI509" i="1"/>
  <c r="AE509" i="1"/>
  <c r="A653" i="1"/>
  <c r="AF509" i="1"/>
  <c r="AV508" i="1" l="1"/>
  <c r="AX508" i="1" s="1"/>
  <c r="AL511" i="1"/>
  <c r="AL510" i="1"/>
  <c r="AU510" i="1"/>
  <c r="AX507" i="1"/>
  <c r="AW507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H83" i="2"/>
  <c r="C82" i="2"/>
  <c r="A84" i="2"/>
  <c r="N87" i="2"/>
  <c r="I83" i="2"/>
  <c r="F83" i="2"/>
  <c r="C83" i="2"/>
  <c r="F82" i="2"/>
  <c r="B82" i="2"/>
  <c r="I82" i="2"/>
  <c r="N86" i="2"/>
  <c r="A85" i="2"/>
  <c r="H82" i="2"/>
  <c r="A654" i="1"/>
  <c r="AK509" i="1"/>
  <c r="AF510" i="1"/>
  <c r="AE510" i="1"/>
  <c r="AI510" i="1"/>
  <c r="AV509" i="1" l="1"/>
  <c r="AX509" i="1" s="1"/>
  <c r="AW508" i="1"/>
  <c r="AW509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F84" i="2"/>
  <c r="I85" i="2"/>
  <c r="F85" i="2"/>
  <c r="H85" i="2"/>
  <c r="C84" i="2"/>
  <c r="I84" i="2"/>
  <c r="H84" i="2"/>
  <c r="N83" i="2"/>
  <c r="A93" i="2"/>
  <c r="B85" i="2"/>
  <c r="C85" i="2"/>
  <c r="N82" i="2"/>
  <c r="AM512" i="1"/>
  <c r="AM513" i="1" s="1"/>
  <c r="AM514" i="1" s="1"/>
  <c r="AM515" i="1" s="1"/>
  <c r="AM516" i="1"/>
  <c r="AM517" i="1"/>
  <c r="AM518" i="1" s="1"/>
  <c r="AM519" i="1" s="1"/>
  <c r="AM520" i="1" s="1"/>
  <c r="AM521" i="1" s="1"/>
  <c r="AM522" i="1"/>
  <c r="AM524" i="1"/>
  <c r="AM525" i="1" s="1"/>
  <c r="AM526" i="1" s="1"/>
  <c r="AM527" i="1" s="1"/>
  <c r="AM528" i="1" s="1"/>
  <c r="AM529" i="1" s="1"/>
  <c r="AM530" i="1" s="1"/>
  <c r="AM532" i="1"/>
  <c r="AM533" i="1"/>
  <c r="AM534" i="1"/>
  <c r="AM535" i="1" s="1"/>
  <c r="AM536" i="1" s="1"/>
  <c r="AM537" i="1"/>
  <c r="AM538" i="1"/>
  <c r="AM539" i="1"/>
  <c r="AM541" i="1"/>
  <c r="AM542" i="1"/>
  <c r="AM543" i="1"/>
  <c r="AM545" i="1"/>
  <c r="AM546" i="1"/>
  <c r="AM548" i="1"/>
  <c r="AM549" i="1"/>
  <c r="AM550" i="1"/>
  <c r="AM551" i="1"/>
  <c r="AM552" i="1"/>
  <c r="AM553" i="1" s="1"/>
  <c r="AM554" i="1" s="1"/>
  <c r="AM555" i="1" s="1"/>
  <c r="AM556" i="1" s="1"/>
  <c r="AM558" i="1"/>
  <c r="AM560" i="1"/>
  <c r="AM561" i="1" s="1"/>
  <c r="AM562" i="1" s="1"/>
  <c r="AM563" i="1" s="1"/>
  <c r="AM564" i="1" s="1"/>
  <c r="AM566" i="1"/>
  <c r="AM567" i="1"/>
  <c r="AM569" i="1"/>
  <c r="AM570" i="1"/>
  <c r="AM571" i="1"/>
  <c r="AM572" i="1"/>
  <c r="AM574" i="1"/>
  <c r="AM575" i="1"/>
  <c r="AM576" i="1"/>
  <c r="AM578" i="1"/>
  <c r="AM580" i="1"/>
  <c r="AM581" i="1"/>
  <c r="AM582" i="1"/>
  <c r="AM583" i="1"/>
  <c r="AM585" i="1"/>
  <c r="AM587" i="1"/>
  <c r="AM588" i="1"/>
  <c r="AM589" i="1"/>
  <c r="AM591" i="1"/>
  <c r="AM592" i="1"/>
  <c r="AM593" i="1"/>
  <c r="AM594" i="1"/>
  <c r="AM595" i="1"/>
  <c r="AM596" i="1"/>
  <c r="AM597" i="1"/>
  <c r="AM598" i="1"/>
  <c r="AM599" i="1"/>
  <c r="AM601" i="1"/>
  <c r="AM602" i="1"/>
  <c r="AM603" i="1"/>
  <c r="AM604" i="1"/>
  <c r="AM606" i="1"/>
  <c r="AM607" i="1"/>
  <c r="AK510" i="1"/>
  <c r="AK511" i="1"/>
  <c r="A655" i="1"/>
  <c r="AV511" i="1" l="1"/>
  <c r="AX511" i="1" s="1"/>
  <c r="AI606" i="1"/>
  <c r="AK606" i="1"/>
  <c r="AI602" i="1"/>
  <c r="AK602" i="1"/>
  <c r="AI598" i="1"/>
  <c r="AK598" i="1"/>
  <c r="AI596" i="1"/>
  <c r="AK596" i="1"/>
  <c r="AI594" i="1"/>
  <c r="AK594" i="1"/>
  <c r="AI592" i="1"/>
  <c r="AK592" i="1"/>
  <c r="AI588" i="1"/>
  <c r="AK588" i="1"/>
  <c r="AI583" i="1"/>
  <c r="AK583" i="1"/>
  <c r="AI582" i="1"/>
  <c r="AK582" i="1"/>
  <c r="AI580" i="1"/>
  <c r="AK580" i="1"/>
  <c r="AI576" i="1"/>
  <c r="AK576" i="1"/>
  <c r="AI574" i="1"/>
  <c r="AK574" i="1"/>
  <c r="AI571" i="1"/>
  <c r="AK571" i="1"/>
  <c r="AI570" i="1"/>
  <c r="AK570" i="1"/>
  <c r="AI569" i="1"/>
  <c r="AK569" i="1"/>
  <c r="AI566" i="1"/>
  <c r="AK566" i="1"/>
  <c r="AK558" i="1"/>
  <c r="AI550" i="1"/>
  <c r="AK550" i="1"/>
  <c r="AI548" i="1"/>
  <c r="AK548" i="1"/>
  <c r="AI546" i="1"/>
  <c r="AK546" i="1"/>
  <c r="AK545" i="1"/>
  <c r="AK543" i="1"/>
  <c r="AI539" i="1"/>
  <c r="AK539" i="1"/>
  <c r="AI537" i="1"/>
  <c r="AK537" i="1"/>
  <c r="AI533" i="1"/>
  <c r="AK533" i="1"/>
  <c r="AI516" i="1"/>
  <c r="AK516" i="1"/>
  <c r="AI604" i="1"/>
  <c r="AK604" i="1"/>
  <c r="AI607" i="1"/>
  <c r="AK607" i="1"/>
  <c r="AI603" i="1"/>
  <c r="AK603" i="1"/>
  <c r="AI601" i="1"/>
  <c r="AK601" i="1"/>
  <c r="AI599" i="1"/>
  <c r="AK599" i="1"/>
  <c r="AI597" i="1"/>
  <c r="AK597" i="1"/>
  <c r="AI595" i="1"/>
  <c r="AK595" i="1"/>
  <c r="AI593" i="1"/>
  <c r="AK593" i="1"/>
  <c r="AI591" i="1"/>
  <c r="AK591" i="1"/>
  <c r="AI589" i="1"/>
  <c r="AK589" i="1"/>
  <c r="AI587" i="1"/>
  <c r="AK587" i="1"/>
  <c r="AI585" i="1"/>
  <c r="AK585" i="1"/>
  <c r="AI581" i="1"/>
  <c r="AK581" i="1"/>
  <c r="AI578" i="1"/>
  <c r="AK578" i="1"/>
  <c r="AI575" i="1"/>
  <c r="AK575" i="1"/>
  <c r="AI572" i="1"/>
  <c r="AK572" i="1"/>
  <c r="AI567" i="1"/>
  <c r="AK567" i="1"/>
  <c r="AK551" i="1"/>
  <c r="AK549" i="1"/>
  <c r="AI542" i="1"/>
  <c r="AK542" i="1"/>
  <c r="AK538" i="1"/>
  <c r="AK534" i="1"/>
  <c r="AK532" i="1"/>
  <c r="AI522" i="1"/>
  <c r="AK522" i="1"/>
  <c r="AK517" i="1"/>
  <c r="AF606" i="1"/>
  <c r="AE606" i="1"/>
  <c r="AF604" i="1"/>
  <c r="AE604" i="1"/>
  <c r="AF602" i="1"/>
  <c r="AE602" i="1"/>
  <c r="AF598" i="1"/>
  <c r="AE598" i="1"/>
  <c r="AF596" i="1"/>
  <c r="AE596" i="1"/>
  <c r="AF594" i="1"/>
  <c r="AE594" i="1"/>
  <c r="AF592" i="1"/>
  <c r="AE592" i="1"/>
  <c r="AF588" i="1"/>
  <c r="AE588" i="1"/>
  <c r="AF583" i="1"/>
  <c r="AE583" i="1"/>
  <c r="AF582" i="1"/>
  <c r="AE582" i="1"/>
  <c r="AF580" i="1"/>
  <c r="AE580" i="1"/>
  <c r="AF576" i="1"/>
  <c r="AE576" i="1"/>
  <c r="AF574" i="1"/>
  <c r="AE574" i="1"/>
  <c r="AF571" i="1"/>
  <c r="AE571" i="1"/>
  <c r="AF570" i="1"/>
  <c r="AE570" i="1"/>
  <c r="AF569" i="1"/>
  <c r="AE569" i="1"/>
  <c r="AF566" i="1"/>
  <c r="AE566" i="1"/>
  <c r="AF550" i="1"/>
  <c r="AE550" i="1"/>
  <c r="AF548" i="1"/>
  <c r="AE548" i="1"/>
  <c r="AF546" i="1"/>
  <c r="AE546" i="1"/>
  <c r="AF539" i="1"/>
  <c r="AE539" i="1"/>
  <c r="AF537" i="1"/>
  <c r="AE537" i="1"/>
  <c r="AF533" i="1"/>
  <c r="AE533" i="1"/>
  <c r="AF516" i="1"/>
  <c r="AE516" i="1"/>
  <c r="AE607" i="1"/>
  <c r="AF603" i="1"/>
  <c r="AE603" i="1"/>
  <c r="AF601" i="1"/>
  <c r="AE601" i="1"/>
  <c r="AF599" i="1"/>
  <c r="AE599" i="1"/>
  <c r="AF597" i="1"/>
  <c r="AE597" i="1"/>
  <c r="AF595" i="1"/>
  <c r="AE595" i="1"/>
  <c r="AF593" i="1"/>
  <c r="AE593" i="1"/>
  <c r="AF591" i="1"/>
  <c r="AE591" i="1"/>
  <c r="AF589" i="1"/>
  <c r="AE589" i="1"/>
  <c r="AF587" i="1"/>
  <c r="AE587" i="1"/>
  <c r="AF585" i="1"/>
  <c r="AE585" i="1"/>
  <c r="AF581" i="1"/>
  <c r="AE581" i="1"/>
  <c r="AF578" i="1"/>
  <c r="AE578" i="1"/>
  <c r="AF575" i="1"/>
  <c r="AE575" i="1"/>
  <c r="AF572" i="1"/>
  <c r="AE572" i="1"/>
  <c r="AF567" i="1"/>
  <c r="AE567" i="1"/>
  <c r="AF542" i="1"/>
  <c r="AE542" i="1"/>
  <c r="AF522" i="1"/>
  <c r="AE522" i="1"/>
  <c r="AF607" i="1"/>
  <c r="B72" i="1"/>
  <c r="C72" i="1" s="1"/>
  <c r="B64" i="1"/>
  <c r="C64" i="1" s="1"/>
  <c r="B76" i="1"/>
  <c r="C76" i="1" s="1"/>
  <c r="B91" i="1"/>
  <c r="C91" i="1" s="1"/>
  <c r="B125" i="1"/>
  <c r="C125" i="1" s="1"/>
  <c r="B60" i="1"/>
  <c r="C60" i="1" s="1"/>
  <c r="B54" i="1"/>
  <c r="C54" i="1" s="1"/>
  <c r="B56" i="1"/>
  <c r="C56" i="1" s="1"/>
  <c r="B52" i="1"/>
  <c r="C52" i="1" s="1"/>
  <c r="AU607" i="1"/>
  <c r="AU606" i="1"/>
  <c r="AU604" i="1"/>
  <c r="AU603" i="1"/>
  <c r="AU602" i="1"/>
  <c r="AU601" i="1"/>
  <c r="AU599" i="1"/>
  <c r="AU598" i="1"/>
  <c r="AU597" i="1"/>
  <c r="AU596" i="1"/>
  <c r="AU595" i="1"/>
  <c r="AU594" i="1"/>
  <c r="AU593" i="1"/>
  <c r="AU592" i="1"/>
  <c r="AU591" i="1"/>
  <c r="AU589" i="1"/>
  <c r="AU588" i="1"/>
  <c r="AU587" i="1"/>
  <c r="AU585" i="1"/>
  <c r="AU583" i="1"/>
  <c r="AU582" i="1"/>
  <c r="AU581" i="1"/>
  <c r="AU580" i="1"/>
  <c r="AU578" i="1"/>
  <c r="AU576" i="1"/>
  <c r="AU575" i="1"/>
  <c r="AU574" i="1"/>
  <c r="AU572" i="1"/>
  <c r="AU571" i="1"/>
  <c r="AU570" i="1"/>
  <c r="AU569" i="1"/>
  <c r="AU567" i="1"/>
  <c r="AU566" i="1"/>
  <c r="AU564" i="1"/>
  <c r="AU563" i="1"/>
  <c r="AU562" i="1"/>
  <c r="AU561" i="1"/>
  <c r="AU560" i="1"/>
  <c r="AU558" i="1"/>
  <c r="AU556" i="1"/>
  <c r="AU554" i="1"/>
  <c r="AU553" i="1"/>
  <c r="AU552" i="1"/>
  <c r="AU551" i="1"/>
  <c r="AU550" i="1"/>
  <c r="AU549" i="1"/>
  <c r="AU548" i="1"/>
  <c r="AU546" i="1"/>
  <c r="AU545" i="1"/>
  <c r="AU543" i="1"/>
  <c r="AU542" i="1"/>
  <c r="AU541" i="1"/>
  <c r="AU539" i="1"/>
  <c r="AU538" i="1"/>
  <c r="AU537" i="1"/>
  <c r="AU536" i="1"/>
  <c r="AU534" i="1"/>
  <c r="AU533" i="1"/>
  <c r="AU532" i="1"/>
  <c r="AU530" i="1"/>
  <c r="AU529" i="1"/>
  <c r="AU527" i="1"/>
  <c r="AU526" i="1"/>
  <c r="AU524" i="1"/>
  <c r="AU522" i="1"/>
  <c r="AU520" i="1"/>
  <c r="AU519" i="1"/>
  <c r="AU518" i="1"/>
  <c r="AU517" i="1"/>
  <c r="AU516" i="1"/>
  <c r="AU515" i="1"/>
  <c r="AU514" i="1"/>
  <c r="AU512" i="1"/>
  <c r="B370" i="1"/>
  <c r="C370" i="1" s="1"/>
  <c r="B237" i="1"/>
  <c r="C237" i="1" s="1"/>
  <c r="B337" i="1"/>
  <c r="C337" i="1" s="1"/>
  <c r="B443" i="1"/>
  <c r="C443" i="1" s="1"/>
  <c r="B63" i="1"/>
  <c r="C63" i="1" s="1"/>
  <c r="B225" i="1"/>
  <c r="C225" i="1" s="1"/>
  <c r="B14" i="1"/>
  <c r="C14" i="1" s="1"/>
  <c r="B80" i="1"/>
  <c r="C80" i="1" s="1"/>
  <c r="B129" i="1"/>
  <c r="C129" i="1" s="1"/>
  <c r="B353" i="1"/>
  <c r="C353" i="1" s="1"/>
  <c r="B306" i="1"/>
  <c r="C306" i="1" s="1"/>
  <c r="B85" i="1"/>
  <c r="C85" i="1" s="1"/>
  <c r="B499" i="1"/>
  <c r="C499" i="1" s="1"/>
  <c r="B494" i="1"/>
  <c r="C494" i="1" s="1"/>
  <c r="B251" i="1"/>
  <c r="C251" i="1" s="1"/>
  <c r="B205" i="1"/>
  <c r="C205" i="1" s="1"/>
  <c r="B489" i="1"/>
  <c r="C489" i="1" s="1"/>
  <c r="B70" i="1"/>
  <c r="C70" i="1" s="1"/>
  <c r="B464" i="1"/>
  <c r="C464" i="1" s="1"/>
  <c r="B483" i="1"/>
  <c r="C483" i="1" s="1"/>
  <c r="B471" i="1"/>
  <c r="C471" i="1" s="1"/>
  <c r="B386" i="1"/>
  <c r="C386" i="1" s="1"/>
  <c r="B106" i="1"/>
  <c r="C106" i="1" s="1"/>
  <c r="B437" i="1"/>
  <c r="C437" i="1" s="1"/>
  <c r="B201" i="1"/>
  <c r="C201" i="1" s="1"/>
  <c r="B295" i="1"/>
  <c r="C295" i="1" s="1"/>
  <c r="B428" i="1"/>
  <c r="C428" i="1" s="1"/>
  <c r="B155" i="1"/>
  <c r="C155" i="1" s="1"/>
  <c r="B77" i="1"/>
  <c r="C77" i="1" s="1"/>
  <c r="B30" i="1"/>
  <c r="C30" i="1" s="1"/>
  <c r="B61" i="1"/>
  <c r="C61" i="1" s="1"/>
  <c r="B257" i="1"/>
  <c r="C257" i="1" s="1"/>
  <c r="B38" i="1"/>
  <c r="C38" i="1" s="1"/>
  <c r="B165" i="1"/>
  <c r="C165" i="1" s="1"/>
  <c r="B159" i="1"/>
  <c r="C159" i="1" s="1"/>
  <c r="B378" i="1"/>
  <c r="C378" i="1" s="1"/>
  <c r="B57" i="1"/>
  <c r="C57" i="1" s="1"/>
  <c r="B418" i="1"/>
  <c r="C418" i="1" s="1"/>
  <c r="B268" i="1"/>
  <c r="C268" i="1" s="1"/>
  <c r="B42" i="1"/>
  <c r="C42" i="1" s="1"/>
  <c r="B287" i="1"/>
  <c r="C287" i="1" s="1"/>
  <c r="B276" i="1"/>
  <c r="C276" i="1" s="1"/>
  <c r="B103" i="1"/>
  <c r="C103" i="1" s="1"/>
  <c r="B304" i="1"/>
  <c r="C304" i="1" s="1"/>
  <c r="B348" i="1"/>
  <c r="C348" i="1" s="1"/>
  <c r="B476" i="1"/>
  <c r="C476" i="1" s="1"/>
  <c r="B302" i="1"/>
  <c r="C302" i="1" s="1"/>
  <c r="B220" i="1"/>
  <c r="C220" i="1" s="1"/>
  <c r="B101" i="1"/>
  <c r="C101" i="1" s="1"/>
  <c r="B136" i="1"/>
  <c r="C136" i="1" s="1"/>
  <c r="B131" i="1"/>
  <c r="C131" i="1" s="1"/>
  <c r="B141" i="1"/>
  <c r="C141" i="1" s="1"/>
  <c r="B421" i="1"/>
  <c r="C421" i="1" s="1"/>
  <c r="B357" i="1"/>
  <c r="C357" i="1" s="1"/>
  <c r="B241" i="1"/>
  <c r="C241" i="1" s="1"/>
  <c r="B98" i="1"/>
  <c r="C98" i="1" s="1"/>
  <c r="B217" i="1"/>
  <c r="C217" i="1" s="1"/>
  <c r="B146" i="1"/>
  <c r="C146" i="1" s="1"/>
  <c r="B35" i="1"/>
  <c r="C35" i="1" s="1"/>
  <c r="B213" i="1"/>
  <c r="C213" i="1" s="1"/>
  <c r="B47" i="1"/>
  <c r="C47" i="1" s="1"/>
  <c r="B320" i="1"/>
  <c r="C320" i="1" s="1"/>
  <c r="B507" i="1"/>
  <c r="C507" i="1" s="1"/>
  <c r="B68" i="1"/>
  <c r="C68" i="1" s="1"/>
  <c r="B497" i="1"/>
  <c r="C497" i="1" s="1"/>
  <c r="B10" i="1"/>
  <c r="C10" i="1" s="1"/>
  <c r="B473" i="1"/>
  <c r="C473" i="1" s="1"/>
  <c r="B138" i="1"/>
  <c r="C138" i="1" s="1"/>
  <c r="B153" i="1"/>
  <c r="C153" i="1" s="1"/>
  <c r="B176" i="1"/>
  <c r="C176" i="1" s="1"/>
  <c r="B300" i="1"/>
  <c r="C300" i="1" s="1"/>
  <c r="B351" i="1"/>
  <c r="C351" i="1" s="1"/>
  <c r="B51" i="1"/>
  <c r="C51" i="1" s="1"/>
  <c r="B451" i="1"/>
  <c r="C451" i="1" s="1"/>
  <c r="B53" i="1"/>
  <c r="C53" i="1" s="1"/>
  <c r="B397" i="1"/>
  <c r="C397" i="1" s="1"/>
  <c r="B282" i="1"/>
  <c r="C282" i="1" s="1"/>
  <c r="B188" i="1"/>
  <c r="C188" i="1" s="1"/>
  <c r="B150" i="1"/>
  <c r="C150" i="1" s="1"/>
  <c r="B466" i="1"/>
  <c r="C466" i="1" s="1"/>
  <c r="B209" i="1"/>
  <c r="C209" i="1" s="1"/>
  <c r="B108" i="1"/>
  <c r="C108" i="1" s="1"/>
  <c r="B360" i="1"/>
  <c r="C360" i="1" s="1"/>
  <c r="B333" i="1"/>
  <c r="C333" i="1" s="1"/>
  <c r="B343" i="1"/>
  <c r="C343" i="1" s="1"/>
  <c r="B410" i="1"/>
  <c r="C410" i="1" s="1"/>
  <c r="B55" i="1"/>
  <c r="C55" i="1" s="1"/>
  <c r="B509" i="1"/>
  <c r="C509" i="1" s="1"/>
  <c r="AV510" i="1"/>
  <c r="AX510" i="1" s="1"/>
  <c r="AW548" i="1"/>
  <c r="AW585" i="1"/>
  <c r="AW601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I92" i="2"/>
  <c r="H92" i="2"/>
  <c r="B93" i="2"/>
  <c r="F93" i="2"/>
  <c r="I93" i="2"/>
  <c r="N84" i="2"/>
  <c r="F92" i="2"/>
  <c r="C92" i="2"/>
  <c r="H93" i="2"/>
  <c r="C93" i="2"/>
  <c r="N85" i="2"/>
  <c r="AI564" i="1"/>
  <c r="AF563" i="1"/>
  <c r="AE563" i="1"/>
  <c r="AI562" i="1"/>
  <c r="AF561" i="1"/>
  <c r="AE561" i="1"/>
  <c r="AI560" i="1"/>
  <c r="AK559" i="1"/>
  <c r="AI558" i="1"/>
  <c r="AE556" i="1"/>
  <c r="AF556" i="1"/>
  <c r="AI554" i="1"/>
  <c r="AF553" i="1"/>
  <c r="AE553" i="1"/>
  <c r="AF552" i="1"/>
  <c r="AE552" i="1"/>
  <c r="AI551" i="1"/>
  <c r="AF549" i="1"/>
  <c r="AE549" i="1"/>
  <c r="AI545" i="1"/>
  <c r="AE543" i="1"/>
  <c r="AF543" i="1"/>
  <c r="AE541" i="1"/>
  <c r="AF541" i="1"/>
  <c r="AI538" i="1"/>
  <c r="AE536" i="1"/>
  <c r="AI536" i="1"/>
  <c r="AF534" i="1"/>
  <c r="AE534" i="1"/>
  <c r="AI532" i="1"/>
  <c r="AF529" i="1"/>
  <c r="AF530" i="1"/>
  <c r="AI530" i="1"/>
  <c r="AF527" i="1"/>
  <c r="AE527" i="1"/>
  <c r="AI526" i="1"/>
  <c r="AK524" i="1"/>
  <c r="AI524" i="1"/>
  <c r="AE520" i="1"/>
  <c r="AF520" i="1"/>
  <c r="AI519" i="1"/>
  <c r="AK518" i="1"/>
  <c r="AI518" i="1"/>
  <c r="AF517" i="1"/>
  <c r="AE517" i="1"/>
  <c r="J92" i="2"/>
  <c r="AK512" i="1"/>
  <c r="AI515" i="1"/>
  <c r="J84" i="2"/>
  <c r="AI512" i="1"/>
  <c r="AE512" i="1"/>
  <c r="A656" i="1"/>
  <c r="J83" i="2"/>
  <c r="J88" i="2"/>
  <c r="AF518" i="1"/>
  <c r="J85" i="2"/>
  <c r="AE514" i="1"/>
  <c r="J93" i="2"/>
  <c r="J82" i="2"/>
  <c r="AF512" i="1"/>
  <c r="AF564" i="1"/>
  <c r="AE564" i="1"/>
  <c r="AI563" i="1"/>
  <c r="AF562" i="1"/>
  <c r="AE562" i="1"/>
  <c r="AI561" i="1"/>
  <c r="AF560" i="1"/>
  <c r="AE560" i="1"/>
  <c r="AE558" i="1"/>
  <c r="AF558" i="1"/>
  <c r="AI556" i="1"/>
  <c r="AE554" i="1"/>
  <c r="AF554" i="1"/>
  <c r="AI553" i="1"/>
  <c r="AK552" i="1"/>
  <c r="AI552" i="1"/>
  <c r="AE551" i="1"/>
  <c r="AF551" i="1"/>
  <c r="AI549" i="1"/>
  <c r="AF545" i="1"/>
  <c r="AE545" i="1"/>
  <c r="AI543" i="1"/>
  <c r="AK541" i="1"/>
  <c r="AI541" i="1"/>
  <c r="AE538" i="1"/>
  <c r="AF538" i="1"/>
  <c r="AF536" i="1"/>
  <c r="AK535" i="1"/>
  <c r="AI534" i="1"/>
  <c r="AE532" i="1"/>
  <c r="AF532" i="1"/>
  <c r="AE530" i="1"/>
  <c r="AI529" i="1"/>
  <c r="AE529" i="1"/>
  <c r="AI527" i="1"/>
  <c r="AE526" i="1"/>
  <c r="AF526" i="1"/>
  <c r="AE524" i="1"/>
  <c r="AF524" i="1"/>
  <c r="AI520" i="1"/>
  <c r="AF519" i="1"/>
  <c r="AE519" i="1"/>
  <c r="AE518" i="1"/>
  <c r="AI517" i="1"/>
  <c r="AI514" i="1"/>
  <c r="AE515" i="1"/>
  <c r="AF515" i="1"/>
  <c r="AF514" i="1"/>
  <c r="AV559" i="1" l="1"/>
  <c r="AV535" i="1"/>
  <c r="AW510" i="1"/>
  <c r="AW511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B551" i="1" s="1"/>
  <c r="C551" i="1" s="1"/>
  <c r="AL550" i="1"/>
  <c r="AL549" i="1"/>
  <c r="B549" i="1" s="1"/>
  <c r="C549" i="1" s="1"/>
  <c r="AL548" i="1"/>
  <c r="AL547" i="1"/>
  <c r="B547" i="1" s="1"/>
  <c r="C547" i="1" s="1"/>
  <c r="AL546" i="1"/>
  <c r="AL545" i="1"/>
  <c r="AL544" i="1"/>
  <c r="AL543" i="1"/>
  <c r="B543" i="1" s="1"/>
  <c r="C543" i="1" s="1"/>
  <c r="AL542" i="1"/>
  <c r="AL541" i="1"/>
  <c r="AL540" i="1"/>
  <c r="B540" i="1" s="1"/>
  <c r="C540" i="1" s="1"/>
  <c r="AL539" i="1"/>
  <c r="AL538" i="1"/>
  <c r="B538" i="1" s="1"/>
  <c r="C538" i="1" s="1"/>
  <c r="AL537" i="1"/>
  <c r="AL536" i="1"/>
  <c r="AL535" i="1"/>
  <c r="AL534" i="1"/>
  <c r="B534" i="1" s="1"/>
  <c r="C534" i="1" s="1"/>
  <c r="AL533" i="1"/>
  <c r="AL532" i="1"/>
  <c r="B532" i="1" s="1"/>
  <c r="C532" i="1" s="1"/>
  <c r="AL531" i="1"/>
  <c r="AL530" i="1"/>
  <c r="AL529" i="1"/>
  <c r="AL528" i="1"/>
  <c r="AL527" i="1"/>
  <c r="AL526" i="1"/>
  <c r="AL525" i="1"/>
  <c r="AL524" i="1"/>
  <c r="AL523" i="1"/>
  <c r="B523" i="1" s="1"/>
  <c r="C523" i="1" s="1"/>
  <c r="AL522" i="1"/>
  <c r="AL521" i="1"/>
  <c r="AL520" i="1"/>
  <c r="AL519" i="1"/>
  <c r="AL518" i="1"/>
  <c r="AL517" i="1"/>
  <c r="B517" i="1" s="1"/>
  <c r="C517" i="1" s="1"/>
  <c r="AL516" i="1"/>
  <c r="AL515" i="1"/>
  <c r="AL514" i="1"/>
  <c r="AL513" i="1"/>
  <c r="AL512" i="1"/>
  <c r="AV574" i="1"/>
  <c r="AX574" i="1" s="1"/>
  <c r="AV591" i="1"/>
  <c r="AX591" i="1" s="1"/>
  <c r="AV522" i="1"/>
  <c r="AX522" i="1" s="1"/>
  <c r="AV532" i="1"/>
  <c r="AV545" i="1"/>
  <c r="AX545" i="1" s="1"/>
  <c r="AV569" i="1"/>
  <c r="AX569" i="1" s="1"/>
  <c r="AV580" i="1"/>
  <c r="AX580" i="1" s="1"/>
  <c r="AV601" i="1"/>
  <c r="AX601" i="1" s="1"/>
  <c r="AV524" i="1"/>
  <c r="AX524" i="1" s="1"/>
  <c r="AV541" i="1"/>
  <c r="AX541" i="1" s="1"/>
  <c r="AV558" i="1"/>
  <c r="AX558" i="1" s="1"/>
  <c r="AV566" i="1"/>
  <c r="AX566" i="1" s="1"/>
  <c r="AV578" i="1"/>
  <c r="AX578" i="1" s="1"/>
  <c r="AV585" i="1"/>
  <c r="AX585" i="1" s="1"/>
  <c r="AV587" i="1"/>
  <c r="AX587" i="1" s="1"/>
  <c r="AV512" i="1"/>
  <c r="AX512" i="1" s="1"/>
  <c r="AV548" i="1"/>
  <c r="AX548" i="1" s="1"/>
  <c r="AV606" i="1"/>
  <c r="AV582" i="1"/>
  <c r="AX582" i="1" s="1"/>
  <c r="AV603" i="1"/>
  <c r="AX603" i="1" s="1"/>
  <c r="B512" i="1"/>
  <c r="C512" i="1" s="1"/>
  <c r="B522" i="1"/>
  <c r="C522" i="1" s="1"/>
  <c r="B529" i="1"/>
  <c r="C529" i="1" s="1"/>
  <c r="AV537" i="1"/>
  <c r="AX537" i="1" s="1"/>
  <c r="B541" i="1"/>
  <c r="C541" i="1" s="1"/>
  <c r="B545" i="1"/>
  <c r="C545" i="1" s="1"/>
  <c r="AV550" i="1"/>
  <c r="AX550" i="1" s="1"/>
  <c r="B556" i="1"/>
  <c r="C556" i="1" s="1"/>
  <c r="B558" i="1"/>
  <c r="C558" i="1" s="1"/>
  <c r="B560" i="1"/>
  <c r="C560" i="1" s="1"/>
  <c r="AV570" i="1"/>
  <c r="AX570" i="1" s="1"/>
  <c r="B578" i="1"/>
  <c r="C578" i="1" s="1"/>
  <c r="B580" i="1"/>
  <c r="C580" i="1" s="1"/>
  <c r="AV581" i="1"/>
  <c r="AX581" i="1" s="1"/>
  <c r="B587" i="1"/>
  <c r="C587" i="1" s="1"/>
  <c r="AV589" i="1"/>
  <c r="AX589" i="1" s="1"/>
  <c r="B591" i="1"/>
  <c r="C591" i="1" s="1"/>
  <c r="AV602" i="1"/>
  <c r="AX602" i="1" s="1"/>
  <c r="AV607" i="1"/>
  <c r="AX607" i="1" s="1"/>
  <c r="B514" i="1"/>
  <c r="C514" i="1" s="1"/>
  <c r="B524" i="1"/>
  <c r="C524" i="1" s="1"/>
  <c r="B526" i="1"/>
  <c r="C526" i="1" s="1"/>
  <c r="AV533" i="1"/>
  <c r="AX533" i="1" s="1"/>
  <c r="B536" i="1"/>
  <c r="C536" i="1" s="1"/>
  <c r="AV542" i="1"/>
  <c r="AX542" i="1" s="1"/>
  <c r="AV546" i="1"/>
  <c r="AX546" i="1" s="1"/>
  <c r="B548" i="1"/>
  <c r="C548" i="1" s="1"/>
  <c r="AV549" i="1"/>
  <c r="AX549" i="1" s="1"/>
  <c r="B566" i="1"/>
  <c r="C566" i="1" s="1"/>
  <c r="AV567" i="1"/>
  <c r="AX567" i="1" s="1"/>
  <c r="B569" i="1"/>
  <c r="C569" i="1" s="1"/>
  <c r="B574" i="1"/>
  <c r="C574" i="1" s="1"/>
  <c r="AV575" i="1"/>
  <c r="AX575" i="1" s="1"/>
  <c r="B585" i="1"/>
  <c r="C585" i="1" s="1"/>
  <c r="AV588" i="1"/>
  <c r="AX588" i="1" s="1"/>
  <c r="AV592" i="1"/>
  <c r="AX592" i="1" s="1"/>
  <c r="B601" i="1"/>
  <c r="C601" i="1" s="1"/>
  <c r="B606" i="1"/>
  <c r="C606" i="1" s="1"/>
  <c r="AW574" i="1"/>
  <c r="AW580" i="1"/>
  <c r="AW607" i="1"/>
  <c r="AW588" i="1"/>
  <c r="AW575" i="1"/>
  <c r="AW567" i="1"/>
  <c r="AW558" i="1"/>
  <c r="AW546" i="1"/>
  <c r="AW537" i="1"/>
  <c r="AW522" i="1"/>
  <c r="AW591" i="1"/>
  <c r="AW587" i="1"/>
  <c r="AW582" i="1"/>
  <c r="AW533" i="1"/>
  <c r="AW602" i="1"/>
  <c r="AW578" i="1"/>
  <c r="AW569" i="1"/>
  <c r="AW566" i="1"/>
  <c r="AW542" i="1"/>
  <c r="AW603" i="1"/>
  <c r="AW592" i="1"/>
  <c r="AW589" i="1"/>
  <c r="AW581" i="1"/>
  <c r="AW570" i="1"/>
  <c r="AW550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H88" i="2"/>
  <c r="F88" i="2"/>
  <c r="I88" i="2"/>
  <c r="C88" i="2"/>
  <c r="F89" i="2"/>
  <c r="B89" i="2"/>
  <c r="H89" i="2"/>
  <c r="I89" i="2"/>
  <c r="C89" i="2"/>
  <c r="N92" i="2"/>
  <c r="F90" i="2"/>
  <c r="C90" i="2"/>
  <c r="I90" i="2"/>
  <c r="H90" i="2"/>
  <c r="B90" i="2"/>
  <c r="N93" i="2"/>
  <c r="AK536" i="1"/>
  <c r="AK519" i="1"/>
  <c r="AK560" i="1"/>
  <c r="AK513" i="1"/>
  <c r="AK553" i="1"/>
  <c r="AK525" i="1"/>
  <c r="A657" i="1"/>
  <c r="A658" i="1" s="1"/>
  <c r="AK514" i="1"/>
  <c r="J90" i="2"/>
  <c r="J89" i="2"/>
  <c r="J70" i="2"/>
  <c r="AV525" i="1" l="1"/>
  <c r="AV560" i="1"/>
  <c r="AX560" i="1" s="1"/>
  <c r="AV536" i="1"/>
  <c r="AX536" i="1" s="1"/>
  <c r="AW560" i="1"/>
  <c r="AX559" i="1"/>
  <c r="AW559" i="1"/>
  <c r="AW549" i="1"/>
  <c r="AW545" i="1"/>
  <c r="AW541" i="1"/>
  <c r="AW536" i="1"/>
  <c r="AW512" i="1"/>
  <c r="AX535" i="1"/>
  <c r="AW535" i="1"/>
  <c r="AX532" i="1"/>
  <c r="AW532" i="1"/>
  <c r="AW524" i="1"/>
  <c r="AX525" i="1"/>
  <c r="AW525" i="1"/>
  <c r="AL657" i="1"/>
  <c r="AV514" i="1"/>
  <c r="AX514" i="1" s="1"/>
  <c r="AV513" i="1"/>
  <c r="AW513" i="1" s="1"/>
  <c r="AL658" i="1"/>
  <c r="AX606" i="1"/>
  <c r="AW606" i="1"/>
  <c r="AV594" i="1"/>
  <c r="AV543" i="1"/>
  <c r="AV516" i="1"/>
  <c r="AV551" i="1"/>
  <c r="AV538" i="1"/>
  <c r="AV593" i="1"/>
  <c r="AV576" i="1"/>
  <c r="AV534" i="1"/>
  <c r="AV571" i="1"/>
  <c r="AV604" i="1"/>
  <c r="AV583" i="1"/>
  <c r="M92" i="2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C74" i="2"/>
  <c r="H74" i="2"/>
  <c r="B74" i="2"/>
  <c r="F74" i="2"/>
  <c r="I74" i="2"/>
  <c r="N88" i="2"/>
  <c r="N89" i="2"/>
  <c r="N90" i="2"/>
  <c r="AK526" i="1"/>
  <c r="AK554" i="1"/>
  <c r="A659" i="1"/>
  <c r="AK561" i="1"/>
  <c r="AK520" i="1"/>
  <c r="AK515" i="1"/>
  <c r="J71" i="2"/>
  <c r="J74" i="2"/>
  <c r="AV561" i="1" l="1"/>
  <c r="AV526" i="1"/>
  <c r="AX513" i="1"/>
  <c r="AW514" i="1"/>
  <c r="AV515" i="1"/>
  <c r="AL659" i="1"/>
  <c r="AV539" i="1"/>
  <c r="AV552" i="1"/>
  <c r="AV517" i="1"/>
  <c r="AV572" i="1"/>
  <c r="AV595" i="1"/>
  <c r="AX604" i="1"/>
  <c r="AW604" i="1"/>
  <c r="AX571" i="1"/>
  <c r="AW571" i="1"/>
  <c r="AX534" i="1"/>
  <c r="AW534" i="1"/>
  <c r="AX593" i="1"/>
  <c r="AW593" i="1"/>
  <c r="AX594" i="1"/>
  <c r="AW594" i="1"/>
  <c r="AX583" i="1"/>
  <c r="AW583" i="1"/>
  <c r="AX576" i="1"/>
  <c r="AW576" i="1"/>
  <c r="AX538" i="1"/>
  <c r="AW538" i="1"/>
  <c r="AX551" i="1"/>
  <c r="AW551" i="1"/>
  <c r="AX516" i="1"/>
  <c r="AW516" i="1"/>
  <c r="AX543" i="1"/>
  <c r="AW543" i="1"/>
  <c r="R71" i="2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B73" i="2"/>
  <c r="F73" i="2"/>
  <c r="H73" i="2"/>
  <c r="I73" i="2"/>
  <c r="C73" i="2"/>
  <c r="N70" i="2"/>
  <c r="N74" i="2"/>
  <c r="AK521" i="1"/>
  <c r="AK527" i="1"/>
  <c r="A660" i="1"/>
  <c r="AK562" i="1"/>
  <c r="AK555" i="1"/>
  <c r="J73" i="2"/>
  <c r="J91" i="2"/>
  <c r="AV555" i="1" l="1"/>
  <c r="AV562" i="1"/>
  <c r="AV527" i="1"/>
  <c r="AV521" i="1"/>
  <c r="AX526" i="1"/>
  <c r="AW526" i="1"/>
  <c r="AX561" i="1"/>
  <c r="AW561" i="1"/>
  <c r="AL660" i="1"/>
  <c r="AX515" i="1"/>
  <c r="AW515" i="1"/>
  <c r="AV599" i="1"/>
  <c r="AV598" i="1"/>
  <c r="AV597" i="1"/>
  <c r="AV554" i="1"/>
  <c r="AV596" i="1"/>
  <c r="AV518" i="1"/>
  <c r="AV553" i="1"/>
  <c r="AX572" i="1"/>
  <c r="AW572" i="1"/>
  <c r="AX595" i="1"/>
  <c r="AW595" i="1"/>
  <c r="AX517" i="1"/>
  <c r="AW517" i="1"/>
  <c r="AX552" i="1"/>
  <c r="AW552" i="1"/>
  <c r="AX539" i="1"/>
  <c r="AW539" i="1"/>
  <c r="G91" i="2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B72" i="2"/>
  <c r="I72" i="2"/>
  <c r="H72" i="2"/>
  <c r="C72" i="2"/>
  <c r="F72" i="2"/>
  <c r="N71" i="2"/>
  <c r="N73" i="2"/>
  <c r="AK556" i="1"/>
  <c r="AK563" i="1"/>
  <c r="AK528" i="1"/>
  <c r="A661" i="1"/>
  <c r="A2" i="2"/>
  <c r="J72" i="2"/>
  <c r="A662" i="1"/>
  <c r="AK529" i="1"/>
  <c r="AV529" i="1" l="1"/>
  <c r="AV528" i="1"/>
  <c r="AV563" i="1"/>
  <c r="AV556" i="1"/>
  <c r="AX527" i="1"/>
  <c r="AW527" i="1"/>
  <c r="AX562" i="1"/>
  <c r="AW562" i="1"/>
  <c r="AW555" i="1"/>
  <c r="AX555" i="1"/>
  <c r="AX521" i="1"/>
  <c r="AW521" i="1"/>
  <c r="AL661" i="1"/>
  <c r="AL662" i="1"/>
  <c r="AV519" i="1"/>
  <c r="AW553" i="1"/>
  <c r="AX553" i="1"/>
  <c r="AX554" i="1"/>
  <c r="AW554" i="1"/>
  <c r="AW598" i="1"/>
  <c r="AX598" i="1"/>
  <c r="AX518" i="1"/>
  <c r="AW518" i="1"/>
  <c r="AW596" i="1"/>
  <c r="AX596" i="1"/>
  <c r="AX597" i="1"/>
  <c r="AW597" i="1"/>
  <c r="AW599" i="1"/>
  <c r="AX599" i="1"/>
  <c r="E91" i="2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AK530" i="1"/>
  <c r="B2" i="2"/>
  <c r="AK564" i="1"/>
  <c r="A663" i="1"/>
  <c r="A664" i="1"/>
  <c r="J2" i="2"/>
  <c r="F2" i="2"/>
  <c r="H2" i="2"/>
  <c r="I2" i="2"/>
  <c r="AV564" i="1" l="1"/>
  <c r="AV530" i="1"/>
  <c r="AW556" i="1"/>
  <c r="AX556" i="1"/>
  <c r="AW529" i="1"/>
  <c r="AX529" i="1"/>
  <c r="AX563" i="1"/>
  <c r="AW563" i="1"/>
  <c r="AX528" i="1"/>
  <c r="AW528" i="1"/>
  <c r="AL664" i="1"/>
  <c r="AL663" i="1"/>
  <c r="AV520" i="1"/>
  <c r="AX519" i="1"/>
  <c r="AW519" i="1"/>
  <c r="M91" i="2"/>
  <c r="O91" i="2" s="1"/>
  <c r="P91" i="2" s="1"/>
  <c r="Q91" i="2" s="1"/>
  <c r="M72" i="2"/>
  <c r="O72" i="2" s="1"/>
  <c r="P72" i="2" s="1"/>
  <c r="Q72" i="2" s="1"/>
  <c r="A665" i="1"/>
  <c r="AX530" i="1" l="1"/>
  <c r="AW530" i="1"/>
  <c r="AX564" i="1"/>
  <c r="AW564" i="1"/>
  <c r="AL665" i="1"/>
  <c r="AX520" i="1"/>
  <c r="AW520" i="1"/>
  <c r="A666" i="1"/>
  <c r="AL666" i="1" l="1"/>
  <c r="A667" i="1"/>
  <c r="A668" i="1" s="1"/>
  <c r="A669" i="1"/>
  <c r="AL668" i="1" l="1"/>
  <c r="AL667" i="1"/>
  <c r="AL669" i="1"/>
  <c r="A670" i="1"/>
  <c r="A671" i="1"/>
  <c r="A672" i="1" s="1"/>
  <c r="AL670" i="1" l="1"/>
  <c r="AL671" i="1"/>
  <c r="AL672" i="1"/>
  <c r="A673" i="1"/>
  <c r="AL673" i="1" l="1"/>
  <c r="A674" i="1"/>
  <c r="A675" i="1" s="1"/>
  <c r="A676" i="1"/>
  <c r="AL675" i="1" l="1"/>
  <c r="AL674" i="1"/>
  <c r="AL676" i="1"/>
  <c r="A677" i="1"/>
  <c r="AL677" i="1" l="1"/>
  <c r="B3" i="14"/>
  <c r="A678" i="1"/>
  <c r="A679" i="1"/>
  <c r="A680" i="1"/>
  <c r="AL679" i="1" l="1"/>
  <c r="AL678" i="1"/>
  <c r="AL680" i="1"/>
  <c r="E3" i="14"/>
  <c r="G3" i="14"/>
  <c r="D3" i="14"/>
  <c r="H3" i="14"/>
  <c r="C3" i="14"/>
  <c r="F3" i="14"/>
  <c r="B3" i="13"/>
  <c r="A681" i="1"/>
  <c r="A682" i="1"/>
  <c r="AL682" i="1" l="1"/>
  <c r="AL681" i="1"/>
  <c r="J3" i="14"/>
  <c r="A3" i="14"/>
  <c r="D3" i="13"/>
  <c r="G3" i="13"/>
  <c r="C3" i="13"/>
  <c r="H3" i="13"/>
  <c r="E3" i="13"/>
  <c r="F3" i="13"/>
  <c r="A683" i="1"/>
  <c r="A684" i="1"/>
  <c r="AL684" i="1" l="1"/>
  <c r="AL683" i="1"/>
  <c r="A3" i="13"/>
  <c r="A685" i="1"/>
  <c r="A686" i="1"/>
  <c r="A687" i="1"/>
  <c r="AL685" i="1" l="1"/>
  <c r="AL686" i="1"/>
  <c r="AL687" i="1"/>
  <c r="A688" i="1"/>
  <c r="A689" i="1" s="1"/>
  <c r="A690" i="1"/>
  <c r="A691" i="1" s="1"/>
  <c r="AL690" i="1" l="1"/>
  <c r="AL689" i="1"/>
  <c r="AL688" i="1"/>
  <c r="AL691" i="1"/>
  <c r="B4" i="7"/>
  <c r="A692" i="1"/>
  <c r="A693" i="1"/>
  <c r="A694" i="1"/>
  <c r="AL692" i="1" l="1"/>
  <c r="AL693" i="1"/>
  <c r="AL694" i="1"/>
  <c r="H4" i="7"/>
  <c r="D4" i="7"/>
  <c r="F4" i="7"/>
  <c r="E4" i="7"/>
  <c r="G4" i="7"/>
  <c r="C4" i="7"/>
  <c r="A695" i="1"/>
  <c r="A696" i="1" s="1"/>
  <c r="AL695" i="1" l="1"/>
  <c r="AL696" i="1"/>
  <c r="J4" i="7"/>
  <c r="A4" i="7"/>
  <c r="A697" i="1"/>
  <c r="A698" i="1"/>
  <c r="AL697" i="1" l="1"/>
  <c r="AL698" i="1"/>
  <c r="A699" i="1"/>
  <c r="A700" i="1"/>
  <c r="AL699" i="1" l="1"/>
  <c r="AL700" i="1"/>
  <c r="A701" i="1"/>
  <c r="A702" i="1"/>
  <c r="AL701" i="1" l="1"/>
  <c r="AL702" i="1"/>
  <c r="B3" i="11"/>
  <c r="A703" i="1"/>
  <c r="A704" i="1"/>
  <c r="AL703" i="1" l="1"/>
  <c r="AL704" i="1"/>
  <c r="J3" i="11"/>
  <c r="C3" i="11"/>
  <c r="F3" i="11"/>
  <c r="E3" i="11"/>
  <c r="G3" i="11"/>
  <c r="H3" i="11"/>
  <c r="D3" i="11"/>
  <c r="A705" i="1"/>
  <c r="A706" i="1" s="1"/>
  <c r="AL705" i="1" l="1"/>
  <c r="AL706" i="1"/>
  <c r="A3" i="11"/>
  <c r="I3" i="11"/>
  <c r="A707" i="1"/>
  <c r="A708" i="1"/>
  <c r="AL707" i="1" l="1"/>
  <c r="AL708" i="1"/>
  <c r="K3" i="11"/>
  <c r="A709" i="1"/>
  <c r="A710" i="1" s="1"/>
  <c r="A711" i="1"/>
  <c r="AL709" i="1" l="1"/>
  <c r="AL710" i="1"/>
  <c r="AL711" i="1"/>
  <c r="L3" i="11"/>
  <c r="A712" i="1"/>
  <c r="AL712" i="1" l="1"/>
  <c r="M3" i="11"/>
  <c r="A713" i="1"/>
  <c r="A714" i="1"/>
  <c r="AL713" i="1" l="1"/>
  <c r="AL714" i="1"/>
  <c r="A715" i="1"/>
  <c r="A716" i="1"/>
  <c r="AL715" i="1" l="1"/>
  <c r="AL716" i="1"/>
  <c r="A717" i="1"/>
  <c r="AL717" i="1" l="1"/>
  <c r="A718" i="1"/>
  <c r="AL718" i="1" l="1"/>
  <c r="A719" i="1"/>
  <c r="AL719" i="1" l="1"/>
  <c r="A720" i="1"/>
  <c r="A721" i="1" s="1"/>
  <c r="AL720" i="1" l="1"/>
  <c r="AL721" i="1"/>
  <c r="A722" i="1"/>
  <c r="AL722" i="1" l="1"/>
  <c r="A723" i="1"/>
  <c r="A724" i="1" s="1"/>
  <c r="A725" i="1"/>
  <c r="A726" i="1" s="1"/>
  <c r="AL726" i="1" l="1"/>
  <c r="AL725" i="1"/>
  <c r="AL724" i="1"/>
  <c r="AL723" i="1"/>
  <c r="B27" i="5"/>
  <c r="A727" i="1"/>
  <c r="A728" i="1" s="1"/>
  <c r="A729" i="1"/>
  <c r="AL728" i="1" l="1"/>
  <c r="AL727" i="1"/>
  <c r="AL729" i="1"/>
  <c r="I27" i="5"/>
  <c r="J27" i="5"/>
  <c r="E27" i="5"/>
  <c r="G27" i="5"/>
  <c r="F27" i="5"/>
  <c r="D27" i="5"/>
  <c r="B28" i="5"/>
  <c r="H27" i="5"/>
  <c r="B29" i="5"/>
  <c r="C27" i="5"/>
  <c r="A730" i="1"/>
  <c r="A731" i="1"/>
  <c r="AL730" i="1" l="1"/>
  <c r="AL731" i="1"/>
  <c r="K27" i="5"/>
  <c r="L27" i="5" s="1"/>
  <c r="A27" i="5"/>
  <c r="I28" i="5"/>
  <c r="J28" i="5"/>
  <c r="AS445" i="1"/>
  <c r="AS458" i="1"/>
  <c r="AU458" i="1" s="1"/>
  <c r="AV458" i="1" s="1"/>
  <c r="AS474" i="1"/>
  <c r="AU474" i="1" s="1"/>
  <c r="AV474" i="1" s="1"/>
  <c r="AS384" i="1"/>
  <c r="AU384" i="1" s="1"/>
  <c r="AV384" i="1" s="1"/>
  <c r="AS454" i="1"/>
  <c r="AU454" i="1" s="1"/>
  <c r="AV454" i="1" s="1"/>
  <c r="AS478" i="1"/>
  <c r="AS494" i="1"/>
  <c r="AS495" i="1"/>
  <c r="AU495" i="1" s="1"/>
  <c r="AV495" i="1" s="1"/>
  <c r="AS339" i="1"/>
  <c r="AS412" i="1"/>
  <c r="AS464" i="1"/>
  <c r="AU464" i="1" s="1"/>
  <c r="AV464" i="1" s="1"/>
  <c r="AS448" i="1"/>
  <c r="AS382" i="1"/>
  <c r="AS485" i="1"/>
  <c r="AS477" i="1"/>
  <c r="AU477" i="1" s="1"/>
  <c r="AV477" i="1" s="1"/>
  <c r="AS469" i="1"/>
  <c r="AS457" i="1"/>
  <c r="AU457" i="1" s="1"/>
  <c r="AV457" i="1" s="1"/>
  <c r="AS449" i="1"/>
  <c r="AU449" i="1" s="1"/>
  <c r="AV449" i="1" s="1"/>
  <c r="AS440" i="1"/>
  <c r="AU440" i="1" s="1"/>
  <c r="AV440" i="1" s="1"/>
  <c r="AS399" i="1"/>
  <c r="AS343" i="1"/>
  <c r="AS437" i="1"/>
  <c r="AU437" i="1" s="1"/>
  <c r="AV437" i="1" s="1"/>
  <c r="AS492" i="1"/>
  <c r="AS476" i="1"/>
  <c r="AS460" i="1"/>
  <c r="AU460" i="1" s="1"/>
  <c r="AV460" i="1" s="1"/>
  <c r="AS443" i="1"/>
  <c r="AS410" i="1"/>
  <c r="AS487" i="1"/>
  <c r="AU487" i="1" s="1"/>
  <c r="AV487" i="1" s="1"/>
  <c r="AS471" i="1"/>
  <c r="AS451" i="1"/>
  <c r="AU451" i="1" s="1"/>
  <c r="AV451" i="1" s="1"/>
  <c r="AS393" i="1"/>
  <c r="AS172" i="1"/>
  <c r="AS491" i="1"/>
  <c r="AS467" i="1"/>
  <c r="AS447" i="1"/>
  <c r="AS434" i="1"/>
  <c r="AU434" i="1" s="1"/>
  <c r="AV434" i="1" s="1"/>
  <c r="AS397" i="1"/>
  <c r="AS246" i="1"/>
  <c r="AS190" i="1"/>
  <c r="AU190" i="1" s="1"/>
  <c r="AV190" i="1" s="1"/>
  <c r="AS231" i="1"/>
  <c r="AS138" i="1"/>
  <c r="AS125" i="1"/>
  <c r="AS64" i="1"/>
  <c r="AS252" i="1"/>
  <c r="AS302" i="1"/>
  <c r="AS83" i="1"/>
  <c r="AS28" i="1"/>
  <c r="AS466" i="1"/>
  <c r="AU466" i="1" s="1"/>
  <c r="AV466" i="1" s="1"/>
  <c r="AS490" i="1"/>
  <c r="AS441" i="1"/>
  <c r="AS462" i="1"/>
  <c r="AU462" i="1" s="1"/>
  <c r="AV462" i="1" s="1"/>
  <c r="AS486" i="1"/>
  <c r="AS408" i="1"/>
  <c r="AS433" i="1"/>
  <c r="AU433" i="1" s="1"/>
  <c r="AV433" i="1" s="1"/>
  <c r="AS480" i="1"/>
  <c r="AS456" i="1"/>
  <c r="AU456" i="1" s="1"/>
  <c r="AV456" i="1" s="1"/>
  <c r="AS439" i="1"/>
  <c r="AS390" i="1"/>
  <c r="AS358" i="1"/>
  <c r="AS489" i="1"/>
  <c r="AS481" i="1"/>
  <c r="AS473" i="1"/>
  <c r="AS461" i="1"/>
  <c r="AU461" i="1" s="1"/>
  <c r="AV461" i="1" s="1"/>
  <c r="AS453" i="1"/>
  <c r="AU453" i="1" s="1"/>
  <c r="AV453" i="1" s="1"/>
  <c r="AS444" i="1"/>
  <c r="AU444" i="1" s="1"/>
  <c r="AV444" i="1" s="1"/>
  <c r="AS395" i="1"/>
  <c r="AU395" i="1" s="1"/>
  <c r="AV395" i="1" s="1"/>
  <c r="AS387" i="1"/>
  <c r="AS371" i="1"/>
  <c r="AS346" i="1"/>
  <c r="AS446" i="1"/>
  <c r="AU446" i="1" s="1"/>
  <c r="AV446" i="1" s="1"/>
  <c r="AS484" i="1"/>
  <c r="AS468" i="1"/>
  <c r="AU468" i="1" s="1"/>
  <c r="AV468" i="1" s="1"/>
  <c r="AS452" i="1"/>
  <c r="AS435" i="1"/>
  <c r="AU435" i="1" s="1"/>
  <c r="AV435" i="1" s="1"/>
  <c r="AS182" i="1"/>
  <c r="AS479" i="1"/>
  <c r="AS459" i="1"/>
  <c r="AU459" i="1" s="1"/>
  <c r="AV459" i="1" s="1"/>
  <c r="AS429" i="1"/>
  <c r="AS497" i="1"/>
  <c r="AS483" i="1"/>
  <c r="AS455" i="1"/>
  <c r="AU455" i="1" s="1"/>
  <c r="AV455" i="1" s="1"/>
  <c r="AS438" i="1"/>
  <c r="AU438" i="1" s="1"/>
  <c r="AV438" i="1" s="1"/>
  <c r="AS421" i="1"/>
  <c r="AS261" i="1"/>
  <c r="AS176" i="1"/>
  <c r="AU176" i="1" s="1"/>
  <c r="AV176" i="1" s="1"/>
  <c r="AS297" i="1"/>
  <c r="AS243" i="1"/>
  <c r="AS227" i="1"/>
  <c r="AS201" i="1"/>
  <c r="AS331" i="1"/>
  <c r="AU331" i="1" s="1"/>
  <c r="AV331" i="1" s="1"/>
  <c r="AS206" i="1"/>
  <c r="AS150" i="1"/>
  <c r="AS322" i="1"/>
  <c r="AS304" i="1"/>
  <c r="AS30" i="1"/>
  <c r="AU30" i="1" s="1"/>
  <c r="AV30" i="1" s="1"/>
  <c r="AS108" i="1"/>
  <c r="AU108" i="1" s="1"/>
  <c r="AV108" i="1" s="1"/>
  <c r="AS288" i="1"/>
  <c r="AS184" i="1"/>
  <c r="AS312" i="1"/>
  <c r="AU312" i="1" s="1"/>
  <c r="AV312" i="1" s="1"/>
  <c r="AS273" i="1"/>
  <c r="AS211" i="1"/>
  <c r="AS163" i="1"/>
  <c r="AS174" i="1"/>
  <c r="AS178" i="1"/>
  <c r="AS193" i="1"/>
  <c r="AS113" i="1"/>
  <c r="AU113" i="1" s="1"/>
  <c r="AV113" i="1" s="1"/>
  <c r="AS73" i="1"/>
  <c r="AS55" i="1"/>
  <c r="AU55" i="1" s="1"/>
  <c r="AV55" i="1" s="1"/>
  <c r="AS94" i="1"/>
  <c r="AS26" i="1"/>
  <c r="D28" i="5"/>
  <c r="D29" i="5"/>
  <c r="C29" i="5"/>
  <c r="H29" i="5"/>
  <c r="B30" i="5"/>
  <c r="H28" i="5"/>
  <c r="G29" i="5"/>
  <c r="E28" i="5"/>
  <c r="G28" i="5"/>
  <c r="F29" i="5"/>
  <c r="E29" i="5"/>
  <c r="F28" i="5"/>
  <c r="C28" i="5"/>
  <c r="A732" i="1"/>
  <c r="A733" i="1" s="1"/>
  <c r="AL732" i="1" l="1"/>
  <c r="AL733" i="1"/>
  <c r="AX495" i="1"/>
  <c r="AW495" i="1"/>
  <c r="AX487" i="1"/>
  <c r="AW487" i="1"/>
  <c r="AX477" i="1"/>
  <c r="AW477" i="1"/>
  <c r="AW474" i="1"/>
  <c r="AX474" i="1"/>
  <c r="AX468" i="1"/>
  <c r="AW468" i="1"/>
  <c r="AX464" i="1"/>
  <c r="AW464" i="1"/>
  <c r="AX466" i="1"/>
  <c r="AW466" i="1"/>
  <c r="AX459" i="1"/>
  <c r="AW459" i="1"/>
  <c r="AX461" i="1"/>
  <c r="AW461" i="1"/>
  <c r="AX462" i="1"/>
  <c r="AW462" i="1"/>
  <c r="AW460" i="1"/>
  <c r="AX460" i="1"/>
  <c r="AX458" i="1"/>
  <c r="AW458" i="1"/>
  <c r="AW455" i="1"/>
  <c r="AX455" i="1"/>
  <c r="AW457" i="1"/>
  <c r="AX457" i="1"/>
  <c r="AX454" i="1"/>
  <c r="AW454" i="1"/>
  <c r="AW453" i="1"/>
  <c r="AX453" i="1"/>
  <c r="AX456" i="1"/>
  <c r="AW456" i="1"/>
  <c r="AX451" i="1"/>
  <c r="AW451" i="1"/>
  <c r="AW449" i="1"/>
  <c r="AX449" i="1"/>
  <c r="AX438" i="1"/>
  <c r="AW438" i="1"/>
  <c r="AW433" i="1"/>
  <c r="AX433" i="1"/>
  <c r="AX435" i="1"/>
  <c r="AW435" i="1"/>
  <c r="AW434" i="1"/>
  <c r="AX434" i="1"/>
  <c r="AX55" i="1"/>
  <c r="AW55" i="1"/>
  <c r="K28" i="5"/>
  <c r="L28" i="5" s="1"/>
  <c r="A28" i="5"/>
  <c r="A29" i="5"/>
  <c r="J29" i="5"/>
  <c r="M27" i="5"/>
  <c r="AU183" i="1"/>
  <c r="AV183" i="1" s="1"/>
  <c r="AW183" i="1" s="1"/>
  <c r="AU214" i="1"/>
  <c r="AV214" i="1" s="1"/>
  <c r="AX214" i="1" s="1"/>
  <c r="AU273" i="1"/>
  <c r="AV273" i="1" s="1"/>
  <c r="AW273" i="1" s="1"/>
  <c r="AU206" i="1"/>
  <c r="AV206" i="1" s="1"/>
  <c r="AW206" i="1" s="1"/>
  <c r="AU201" i="1"/>
  <c r="AV201" i="1" s="1"/>
  <c r="AW201" i="1" s="1"/>
  <c r="AU217" i="1"/>
  <c r="AV217" i="1" s="1"/>
  <c r="AW217" i="1" s="1"/>
  <c r="AU251" i="1"/>
  <c r="AV251" i="1" s="1"/>
  <c r="AW251" i="1" s="1"/>
  <c r="AU261" i="1"/>
  <c r="AV261" i="1" s="1"/>
  <c r="AX261" i="1" s="1"/>
  <c r="AU371" i="1"/>
  <c r="AV371" i="1" s="1"/>
  <c r="AW371" i="1" s="1"/>
  <c r="AU387" i="1"/>
  <c r="AV387" i="1" s="1"/>
  <c r="AW387" i="1" s="1"/>
  <c r="AU390" i="1"/>
  <c r="AV390" i="1" s="1"/>
  <c r="AW390" i="1" s="1"/>
  <c r="AU392" i="1"/>
  <c r="AV392" i="1" s="1"/>
  <c r="AW392" i="1" s="1"/>
  <c r="AU83" i="1"/>
  <c r="AV83" i="1" s="1"/>
  <c r="AX83" i="1" s="1"/>
  <c r="AU198" i="1"/>
  <c r="AV198" i="1" s="1"/>
  <c r="AW198" i="1" s="1"/>
  <c r="AU215" i="1"/>
  <c r="AV215" i="1" s="1"/>
  <c r="AW215" i="1" s="1"/>
  <c r="AU252" i="1"/>
  <c r="AV252" i="1" s="1"/>
  <c r="AW252" i="1" s="1"/>
  <c r="AU192" i="1"/>
  <c r="AV192" i="1" s="1"/>
  <c r="AW192" i="1" s="1"/>
  <c r="AU213" i="1"/>
  <c r="AV213" i="1" s="1"/>
  <c r="AW213" i="1" s="1"/>
  <c r="AU218" i="1"/>
  <c r="AV218" i="1" s="1"/>
  <c r="AX218" i="1" s="1"/>
  <c r="AU447" i="1"/>
  <c r="AV447" i="1" s="1"/>
  <c r="AW447" i="1" s="1"/>
  <c r="AU383" i="1"/>
  <c r="AV383" i="1" s="1"/>
  <c r="AX383" i="1" s="1"/>
  <c r="AU180" i="1"/>
  <c r="AV180" i="1" s="1"/>
  <c r="AX180" i="1" s="1"/>
  <c r="AU382" i="1"/>
  <c r="AV382" i="1" s="1"/>
  <c r="AX382" i="1" s="1"/>
  <c r="AU448" i="1"/>
  <c r="AV448" i="1" s="1"/>
  <c r="AX448" i="1" s="1"/>
  <c r="AU26" i="1"/>
  <c r="AV26" i="1" s="1"/>
  <c r="AX26" i="1" s="1"/>
  <c r="AU73" i="1"/>
  <c r="AV73" i="1" s="1"/>
  <c r="AX73" i="1" s="1"/>
  <c r="AU193" i="1"/>
  <c r="AV193" i="1" s="1"/>
  <c r="AX193" i="1" s="1"/>
  <c r="AU178" i="1"/>
  <c r="AV178" i="1" s="1"/>
  <c r="AW178" i="1" s="1"/>
  <c r="AU174" i="1"/>
  <c r="AV174" i="1" s="1"/>
  <c r="AW174" i="1" s="1"/>
  <c r="AU191" i="1"/>
  <c r="AV191" i="1" s="1"/>
  <c r="AW191" i="1" s="1"/>
  <c r="AU211" i="1"/>
  <c r="AV211" i="1" s="1"/>
  <c r="AW211" i="1" s="1"/>
  <c r="AU184" i="1"/>
  <c r="AV184" i="1" s="1"/>
  <c r="AX184" i="1" s="1"/>
  <c r="AU210" i="1"/>
  <c r="AV210" i="1" s="1"/>
  <c r="AX210" i="1" s="1"/>
  <c r="AU27" i="1"/>
  <c r="AV27" i="1" s="1"/>
  <c r="AX27" i="1" s="1"/>
  <c r="AU189" i="1"/>
  <c r="AV189" i="1" s="1"/>
  <c r="AX189" i="1" s="1"/>
  <c r="AU185" i="1"/>
  <c r="AV185" i="1" s="1"/>
  <c r="AW185" i="1" s="1"/>
  <c r="AU209" i="1"/>
  <c r="AV209" i="1" s="1"/>
  <c r="AX209" i="1" s="1"/>
  <c r="AU243" i="1"/>
  <c r="AV243" i="1" s="1"/>
  <c r="AW243" i="1" s="1"/>
  <c r="AU202" i="1"/>
  <c r="AV202" i="1" s="1"/>
  <c r="AX202" i="1" s="1"/>
  <c r="AU181" i="1"/>
  <c r="AV181" i="1" s="1"/>
  <c r="AX181" i="1" s="1"/>
  <c r="AU439" i="1"/>
  <c r="AV439" i="1" s="1"/>
  <c r="AW439" i="1" s="1"/>
  <c r="AU441" i="1"/>
  <c r="AV441" i="1" s="1"/>
  <c r="AW441" i="1" s="1"/>
  <c r="AU28" i="1"/>
  <c r="AV28" i="1" s="1"/>
  <c r="AX28" i="1" s="1"/>
  <c r="AU207" i="1"/>
  <c r="AV207" i="1" s="1"/>
  <c r="AX207" i="1" s="1"/>
  <c r="AU186" i="1"/>
  <c r="AV186" i="1" s="1"/>
  <c r="AW186" i="1" s="1"/>
  <c r="AU194" i="1"/>
  <c r="AV194" i="1" s="1"/>
  <c r="AW194" i="1" s="1"/>
  <c r="AU173" i="1"/>
  <c r="AV173" i="1" s="1"/>
  <c r="AW173" i="1" s="1"/>
  <c r="AU244" i="1"/>
  <c r="AV244" i="1" s="1"/>
  <c r="AX244" i="1" s="1"/>
  <c r="AU246" i="1"/>
  <c r="AV246" i="1" s="1"/>
  <c r="AW246" i="1" s="1"/>
  <c r="AU172" i="1"/>
  <c r="AV172" i="1" s="1"/>
  <c r="AX172" i="1" s="1"/>
  <c r="AU393" i="1"/>
  <c r="AV393" i="1" s="1"/>
  <c r="AW393" i="1" s="1"/>
  <c r="AU443" i="1"/>
  <c r="AV443" i="1" s="1"/>
  <c r="AW443" i="1" s="1"/>
  <c r="AU179" i="1"/>
  <c r="AV179" i="1" s="1"/>
  <c r="AW179" i="1" s="1"/>
  <c r="AU445" i="1"/>
  <c r="AV445" i="1" s="1"/>
  <c r="AX445" i="1" s="1"/>
  <c r="AX113" i="1"/>
  <c r="AW113" i="1"/>
  <c r="AW312" i="1"/>
  <c r="AX312" i="1"/>
  <c r="AX108" i="1"/>
  <c r="AW108" i="1"/>
  <c r="AW176" i="1"/>
  <c r="AX176" i="1"/>
  <c r="AW395" i="1"/>
  <c r="AX395" i="1"/>
  <c r="AX437" i="1"/>
  <c r="AW437" i="1"/>
  <c r="AW440" i="1"/>
  <c r="AX440" i="1"/>
  <c r="AW30" i="1"/>
  <c r="AX30" i="1"/>
  <c r="AX331" i="1"/>
  <c r="AW331" i="1"/>
  <c r="AX446" i="1"/>
  <c r="AW446" i="1"/>
  <c r="AX444" i="1"/>
  <c r="AW444" i="1"/>
  <c r="AX190" i="1"/>
  <c r="AW190" i="1"/>
  <c r="AW384" i="1"/>
  <c r="AX384" i="1"/>
  <c r="C30" i="5"/>
  <c r="F30" i="5"/>
  <c r="H30" i="5"/>
  <c r="E30" i="5"/>
  <c r="D30" i="5"/>
  <c r="G30" i="5"/>
  <c r="A56" i="2"/>
  <c r="A734" i="1"/>
  <c r="A735" i="1" s="1"/>
  <c r="AL735" i="1" l="1"/>
  <c r="AL734" i="1"/>
  <c r="M28" i="5"/>
  <c r="AW184" i="1"/>
  <c r="J30" i="5"/>
  <c r="R56" i="2"/>
  <c r="G56" i="2"/>
  <c r="A30" i="5"/>
  <c r="I29" i="5"/>
  <c r="K29" i="5" s="1"/>
  <c r="AW209" i="1"/>
  <c r="AX243" i="1"/>
  <c r="AX185" i="1"/>
  <c r="AX183" i="1"/>
  <c r="AX371" i="1"/>
  <c r="AX246" i="1"/>
  <c r="AX447" i="1"/>
  <c r="AX201" i="1"/>
  <c r="AW383" i="1"/>
  <c r="AX252" i="1"/>
  <c r="AX179" i="1"/>
  <c r="AX194" i="1"/>
  <c r="AX390" i="1"/>
  <c r="AW261" i="1"/>
  <c r="AX217" i="1"/>
  <c r="AW214" i="1"/>
  <c r="AW26" i="1"/>
  <c r="AX192" i="1"/>
  <c r="AX198" i="1"/>
  <c r="AW181" i="1"/>
  <c r="AX174" i="1"/>
  <c r="AX393" i="1"/>
  <c r="AW244" i="1"/>
  <c r="AW207" i="1"/>
  <c r="AW382" i="1"/>
  <c r="AW218" i="1"/>
  <c r="AX439" i="1"/>
  <c r="AW210" i="1"/>
  <c r="AX211" i="1"/>
  <c r="AW193" i="1"/>
  <c r="AW445" i="1"/>
  <c r="AX173" i="1"/>
  <c r="AX441" i="1"/>
  <c r="AX443" i="1"/>
  <c r="AX392" i="1"/>
  <c r="AX206" i="1"/>
  <c r="AX273" i="1"/>
  <c r="AW448" i="1"/>
  <c r="AX213" i="1"/>
  <c r="AW83" i="1"/>
  <c r="AW27" i="1"/>
  <c r="AX178" i="1"/>
  <c r="AW172" i="1"/>
  <c r="AX186" i="1"/>
  <c r="AW28" i="1"/>
  <c r="AX387" i="1"/>
  <c r="AX251" i="1"/>
  <c r="AW180" i="1"/>
  <c r="AX215" i="1"/>
  <c r="AW202" i="1"/>
  <c r="AW189" i="1"/>
  <c r="AX191" i="1"/>
  <c r="AW73" i="1"/>
  <c r="B56" i="2"/>
  <c r="F56" i="2"/>
  <c r="C56" i="2"/>
  <c r="I56" i="2"/>
  <c r="H56" i="2"/>
  <c r="A57" i="2"/>
  <c r="A736" i="1"/>
  <c r="J56" i="2"/>
  <c r="AL736" i="1" l="1"/>
  <c r="R57" i="2"/>
  <c r="G57" i="2"/>
  <c r="E56" i="2"/>
  <c r="K56" i="2"/>
  <c r="L56" i="2"/>
  <c r="L29" i="5"/>
  <c r="M29" i="5" s="1"/>
  <c r="B57" i="2"/>
  <c r="I57" i="2"/>
  <c r="N56" i="2"/>
  <c r="F57" i="2"/>
  <c r="C57" i="2"/>
  <c r="H57" i="2"/>
  <c r="A737" i="1"/>
  <c r="J57" i="2"/>
  <c r="B3" i="4"/>
  <c r="A738" i="1"/>
  <c r="A739" i="1"/>
  <c r="A740" i="1"/>
  <c r="A741" i="1" s="1"/>
  <c r="AL739" i="1" l="1"/>
  <c r="AL738" i="1"/>
  <c r="AL737" i="1"/>
  <c r="AL740" i="1"/>
  <c r="AL741" i="1"/>
  <c r="M56" i="2"/>
  <c r="O56" i="2" s="1"/>
  <c r="P56" i="2" s="1"/>
  <c r="Q56" i="2" s="1"/>
  <c r="E57" i="2"/>
  <c r="K57" i="2"/>
  <c r="L57" i="2"/>
  <c r="N57" i="2"/>
  <c r="A742" i="1"/>
  <c r="D3" i="4"/>
  <c r="H3" i="4"/>
  <c r="E3" i="4"/>
  <c r="F3" i="4"/>
  <c r="A743" i="1"/>
  <c r="C3" i="4"/>
  <c r="G3" i="4"/>
  <c r="AL742" i="1" l="1"/>
  <c r="AL743" i="1"/>
  <c r="A3" i="4"/>
  <c r="M57" i="2"/>
  <c r="O57" i="2" s="1"/>
  <c r="P57" i="2" s="1"/>
  <c r="Q57" i="2" s="1"/>
  <c r="A744" i="1"/>
  <c r="AL744" i="1" l="1"/>
  <c r="A745" i="1"/>
  <c r="AL745" i="1" l="1"/>
  <c r="A746" i="1"/>
  <c r="A747" i="1" s="1"/>
  <c r="A748" i="1"/>
  <c r="AL747" i="1" l="1"/>
  <c r="AL746" i="1"/>
  <c r="AL748" i="1"/>
  <c r="A749" i="1"/>
  <c r="AL749" i="1" l="1"/>
  <c r="C22" i="1"/>
  <c r="AS22" i="1"/>
  <c r="AT22" i="1"/>
  <c r="A750" i="1"/>
  <c r="A751" i="1"/>
  <c r="AL751" i="1" l="1"/>
  <c r="AL750" i="1"/>
  <c r="AL3" i="1"/>
  <c r="B3" i="1" s="1"/>
  <c r="AL13" i="1"/>
  <c r="B13" i="1" s="1"/>
  <c r="AL6" i="1"/>
  <c r="B6" i="1" s="1"/>
  <c r="AL18" i="1"/>
  <c r="B18" i="1" s="1"/>
  <c r="B36" i="1"/>
  <c r="C36" i="1" s="1"/>
  <c r="B32" i="1"/>
  <c r="C32" i="1" s="1"/>
  <c r="B27" i="1"/>
  <c r="C27" i="1" s="1"/>
  <c r="B24" i="1"/>
  <c r="C24" i="1" s="1"/>
  <c r="B49" i="1"/>
  <c r="C49" i="1" s="1"/>
  <c r="B33" i="1"/>
  <c r="C33" i="1" s="1"/>
  <c r="B28" i="1"/>
  <c r="C28" i="1" s="1"/>
  <c r="B45" i="1"/>
  <c r="C45" i="1" s="1"/>
  <c r="K2" i="2"/>
  <c r="E2" i="2"/>
  <c r="L2" i="2"/>
  <c r="A752" i="1"/>
  <c r="AE21" i="1"/>
  <c r="AE4" i="1"/>
  <c r="AF13" i="1"/>
  <c r="AE8" i="1"/>
  <c r="AF22" i="1"/>
  <c r="AE19" i="1"/>
  <c r="AF15" i="1"/>
  <c r="AF24" i="1"/>
  <c r="AF3" i="1"/>
  <c r="AE14" i="1"/>
  <c r="C2" i="2"/>
  <c r="AE16" i="1"/>
  <c r="AF25" i="1"/>
  <c r="AE6" i="1"/>
  <c r="AF18" i="1"/>
  <c r="I3" i="4"/>
  <c r="AE7" i="1"/>
  <c r="AF8" i="1"/>
  <c r="AF16" i="1"/>
  <c r="AF11" i="1"/>
  <c r="J3" i="4"/>
  <c r="AF21" i="1"/>
  <c r="A753" i="1"/>
  <c r="A754" i="1" s="1"/>
  <c r="AE24" i="1"/>
  <c r="AF10" i="1"/>
  <c r="AE13" i="1"/>
  <c r="AF6" i="1"/>
  <c r="AF14" i="1"/>
  <c r="AE9" i="1"/>
  <c r="AE20" i="1"/>
  <c r="AF20" i="1"/>
  <c r="AE22" i="1"/>
  <c r="AF4" i="1"/>
  <c r="AK22" i="1"/>
  <c r="AE18" i="1"/>
  <c r="AI22" i="1"/>
  <c r="N2" i="2"/>
  <c r="AF9" i="1"/>
  <c r="AF19" i="1"/>
  <c r="AE25" i="1"/>
  <c r="AE15" i="1"/>
  <c r="AF7" i="1"/>
  <c r="AE3" i="1"/>
  <c r="AE11" i="1"/>
  <c r="AE10" i="1"/>
  <c r="AL752" i="1" l="1"/>
  <c r="AL753" i="1"/>
  <c r="AL754" i="1"/>
  <c r="K3" i="4"/>
  <c r="L3" i="4" s="1"/>
  <c r="M3" i="4" s="1"/>
  <c r="N3" i="4"/>
  <c r="C18" i="1"/>
  <c r="C13" i="1"/>
  <c r="M2" i="2"/>
  <c r="O2" i="2" s="1"/>
  <c r="P2" i="2" s="1"/>
  <c r="Q2" i="2" s="1"/>
  <c r="C6" i="1"/>
  <c r="C3" i="1"/>
  <c r="A755" i="1"/>
  <c r="AL755" i="1" l="1"/>
  <c r="AM22" i="1"/>
  <c r="A756" i="1"/>
  <c r="A757" i="1"/>
  <c r="AL757" i="1" l="1"/>
  <c r="AL756" i="1"/>
  <c r="A758" i="1"/>
  <c r="A759" i="1"/>
  <c r="A760" i="1"/>
  <c r="AL759" i="1" l="1"/>
  <c r="AL758" i="1"/>
  <c r="AL760" i="1"/>
  <c r="A761" i="1"/>
  <c r="AL761" i="1" l="1"/>
  <c r="A762" i="1"/>
  <c r="A763" i="1" s="1"/>
  <c r="AL762" i="1" l="1"/>
  <c r="AL763" i="1"/>
  <c r="AH38" i="1"/>
  <c r="AG38" i="1" s="1"/>
  <c r="X38" i="1"/>
  <c r="A764" i="1"/>
  <c r="A765" i="1"/>
  <c r="A766" i="1"/>
  <c r="AL765" i="1" l="1"/>
  <c r="AL764" i="1"/>
  <c r="AL766" i="1"/>
  <c r="AP38" i="1"/>
  <c r="AO38" i="1"/>
  <c r="Y38" i="1"/>
  <c r="A767" i="1"/>
  <c r="AL767" i="1" l="1"/>
  <c r="Z38" i="1"/>
  <c r="AA38" i="1" s="1"/>
  <c r="A768" i="1"/>
  <c r="AL768" i="1" l="1"/>
  <c r="AB38" i="1"/>
  <c r="AC38" i="1" s="1"/>
  <c r="A769" i="1"/>
  <c r="A770" i="1"/>
  <c r="AE40" i="1"/>
  <c r="AF38" i="1"/>
  <c r="AF40" i="1"/>
  <c r="AE38" i="1"/>
  <c r="AL770" i="1" l="1"/>
  <c r="AL769" i="1"/>
  <c r="A771" i="1"/>
  <c r="AL771" i="1" l="1"/>
  <c r="A772" i="1"/>
  <c r="A773" i="1"/>
  <c r="A774" i="1" s="1"/>
  <c r="AL772" i="1" l="1"/>
  <c r="AL773" i="1"/>
  <c r="AL774" i="1"/>
  <c r="A775" i="1"/>
  <c r="AL775" i="1" l="1"/>
  <c r="A776" i="1"/>
  <c r="AL776" i="1" l="1"/>
  <c r="A777" i="1"/>
  <c r="A778" i="1"/>
  <c r="A779" i="1"/>
  <c r="AL778" i="1" l="1"/>
  <c r="AL777" i="1"/>
  <c r="AL779" i="1"/>
  <c r="A780" i="1"/>
  <c r="A781" i="1" s="1"/>
  <c r="A782" i="1"/>
  <c r="A783" i="1" s="1"/>
  <c r="AL782" i="1" l="1"/>
  <c r="AL781" i="1"/>
  <c r="AL780" i="1"/>
  <c r="AL783" i="1"/>
  <c r="A784" i="1"/>
  <c r="AL784" i="1" l="1"/>
  <c r="A785" i="1"/>
  <c r="AL785" i="1" l="1"/>
  <c r="A786" i="1"/>
  <c r="AL786" i="1" l="1"/>
  <c r="A787" i="1"/>
  <c r="AL787" i="1" l="1"/>
  <c r="A788" i="1"/>
  <c r="A789" i="1"/>
  <c r="AL788" i="1" l="1"/>
  <c r="AL789" i="1"/>
  <c r="A790" i="1"/>
  <c r="AL790" i="1" l="1"/>
  <c r="A791" i="1"/>
  <c r="A792" i="1"/>
  <c r="A793" i="1" s="1"/>
  <c r="AL791" i="1" l="1"/>
  <c r="AL793" i="1"/>
  <c r="AL792" i="1"/>
  <c r="A794" i="1"/>
  <c r="AL794" i="1" l="1"/>
  <c r="A795" i="1"/>
  <c r="A796" i="1"/>
  <c r="A797" i="1"/>
  <c r="AL797" i="1" l="1"/>
  <c r="AL796" i="1"/>
  <c r="AL795" i="1"/>
  <c r="A798" i="1"/>
  <c r="A799" i="1"/>
  <c r="AL799" i="1" l="1"/>
  <c r="AL798" i="1"/>
  <c r="A800" i="1"/>
  <c r="A801" i="1"/>
  <c r="AL801" i="1" l="1"/>
  <c r="AL800" i="1"/>
  <c r="A802" i="1"/>
  <c r="A803" i="1"/>
  <c r="A804" i="1"/>
  <c r="A805" i="1"/>
  <c r="A806" i="1"/>
  <c r="AL806" i="1" l="1"/>
  <c r="AL805" i="1"/>
  <c r="AL804" i="1"/>
  <c r="AL803" i="1"/>
  <c r="AL802" i="1"/>
  <c r="A807" i="1"/>
  <c r="AL807" i="1" l="1"/>
  <c r="A808" i="1"/>
  <c r="A809" i="1"/>
  <c r="A810" i="1"/>
  <c r="A811" i="1"/>
  <c r="A812" i="1"/>
  <c r="A813" i="1"/>
  <c r="A814" i="1"/>
  <c r="AL813" i="1" l="1"/>
  <c r="AL812" i="1"/>
  <c r="AL811" i="1"/>
  <c r="AL810" i="1"/>
  <c r="AL809" i="1"/>
  <c r="AL808" i="1"/>
  <c r="AL814" i="1"/>
  <c r="A815" i="1"/>
  <c r="A816" i="1"/>
  <c r="A817" i="1" s="1"/>
  <c r="AL815" i="1" l="1"/>
  <c r="AL816" i="1"/>
  <c r="AL817" i="1"/>
  <c r="A818" i="1"/>
  <c r="A819" i="1" s="1"/>
  <c r="AL818" i="1" l="1"/>
  <c r="AL819" i="1"/>
  <c r="A820" i="1"/>
  <c r="A821" i="1"/>
  <c r="AL820" i="1" l="1"/>
  <c r="AL821" i="1"/>
  <c r="A822" i="1"/>
  <c r="A823" i="1"/>
  <c r="A824" i="1" s="1"/>
  <c r="AL822" i="1" l="1"/>
  <c r="AL823" i="1"/>
  <c r="AL824" i="1"/>
  <c r="A825" i="1"/>
  <c r="AL825" i="1" l="1"/>
  <c r="A826" i="1"/>
  <c r="A827" i="1"/>
  <c r="A828" i="1" s="1"/>
  <c r="AL826" i="1" l="1"/>
  <c r="AL827" i="1"/>
  <c r="AL828" i="1"/>
  <c r="A829" i="1"/>
  <c r="A830" i="1" s="1"/>
  <c r="AL829" i="1" l="1"/>
  <c r="AL830" i="1"/>
  <c r="A831" i="1"/>
  <c r="A832" i="1"/>
  <c r="AL831" i="1" l="1"/>
  <c r="AL832" i="1"/>
  <c r="A833" i="1"/>
  <c r="A834" i="1"/>
  <c r="AL833" i="1" l="1"/>
  <c r="AL834" i="1"/>
  <c r="A835" i="1"/>
  <c r="A836" i="1"/>
  <c r="AL835" i="1" l="1"/>
  <c r="AL836" i="1"/>
  <c r="A837" i="1"/>
  <c r="A838" i="1"/>
  <c r="AL837" i="1" l="1"/>
  <c r="AL838" i="1"/>
  <c r="A839" i="1"/>
  <c r="A840" i="1"/>
  <c r="AL839" i="1" l="1"/>
  <c r="AL840" i="1"/>
  <c r="A841" i="1"/>
  <c r="A842" i="1"/>
  <c r="AL841" i="1" l="1"/>
  <c r="AL842" i="1"/>
  <c r="A843" i="1"/>
  <c r="A844" i="1"/>
  <c r="AL843" i="1" l="1"/>
  <c r="AL844" i="1"/>
  <c r="A845" i="1"/>
  <c r="A846" i="1"/>
  <c r="AL845" i="1" l="1"/>
  <c r="AL846" i="1"/>
  <c r="A847" i="1"/>
  <c r="A848" i="1"/>
  <c r="AL847" i="1" l="1"/>
  <c r="AL848" i="1"/>
  <c r="A849" i="1"/>
  <c r="A850" i="1"/>
  <c r="AL849" i="1" l="1"/>
  <c r="AL850" i="1"/>
  <c r="A851" i="1"/>
  <c r="A852" i="1"/>
  <c r="AL851" i="1" l="1"/>
  <c r="AL852" i="1"/>
  <c r="A853" i="1"/>
  <c r="A854" i="1"/>
  <c r="AL853" i="1" l="1"/>
  <c r="AL854" i="1"/>
  <c r="A855" i="1"/>
  <c r="A856" i="1"/>
  <c r="A857" i="1"/>
  <c r="AL855" i="1" l="1"/>
  <c r="AL857" i="1"/>
  <c r="AL856" i="1"/>
  <c r="A858" i="1"/>
  <c r="A859" i="1" s="1"/>
  <c r="AL859" i="1" l="1"/>
  <c r="AL858" i="1"/>
  <c r="A860" i="1"/>
  <c r="AL860" i="1" l="1"/>
  <c r="A861" i="1"/>
  <c r="AL861" i="1" l="1"/>
  <c r="A862" i="1"/>
  <c r="AL862" i="1" l="1"/>
  <c r="A863" i="1"/>
  <c r="AL863" i="1" l="1"/>
  <c r="A864" i="1"/>
  <c r="AL864" i="1" l="1"/>
  <c r="A865" i="1"/>
  <c r="AL865" i="1" l="1"/>
  <c r="A866" i="1"/>
  <c r="AL866" i="1" l="1"/>
  <c r="A867" i="1"/>
  <c r="AL867" i="1" l="1"/>
  <c r="A868" i="1"/>
  <c r="AL868" i="1" l="1"/>
  <c r="A869" i="1"/>
  <c r="AL869" i="1" l="1"/>
  <c r="A870" i="1"/>
  <c r="A871" i="1"/>
  <c r="AL870" i="1" l="1"/>
  <c r="AL871" i="1"/>
  <c r="A872" i="1"/>
  <c r="AL872" i="1" l="1"/>
  <c r="A873" i="1"/>
  <c r="AL873" i="1" l="1"/>
  <c r="A874" i="1"/>
  <c r="A875" i="1" s="1"/>
  <c r="AL874" i="1" l="1"/>
  <c r="AL875" i="1"/>
  <c r="A876" i="1"/>
  <c r="AL876" i="1" l="1"/>
  <c r="A877" i="1"/>
  <c r="AL877" i="1" l="1"/>
  <c r="A878" i="1"/>
  <c r="A879" i="1"/>
  <c r="AL878" i="1" l="1"/>
  <c r="AL879" i="1"/>
  <c r="A880" i="1"/>
  <c r="AL880" i="1" l="1"/>
  <c r="A881" i="1"/>
  <c r="AL881" i="1" l="1"/>
  <c r="A882" i="1"/>
  <c r="A883" i="1"/>
  <c r="AL882" i="1" l="1"/>
  <c r="AL883" i="1"/>
  <c r="A884" i="1"/>
  <c r="AL884" i="1" l="1"/>
  <c r="A885" i="1"/>
  <c r="AL885" i="1" l="1"/>
  <c r="A886" i="1"/>
  <c r="A887" i="1" s="1"/>
  <c r="AL886" i="1" l="1"/>
  <c r="AL887" i="1"/>
  <c r="A888" i="1"/>
  <c r="AL888" i="1" l="1"/>
  <c r="A889" i="1"/>
  <c r="AL889" i="1" l="1"/>
  <c r="A890" i="1"/>
  <c r="A891" i="1" s="1"/>
  <c r="AL890" i="1" l="1"/>
  <c r="AL891" i="1"/>
  <c r="A892" i="1"/>
  <c r="AL892" i="1" l="1"/>
  <c r="A893" i="1"/>
  <c r="AL893" i="1" l="1"/>
  <c r="A894" i="1"/>
  <c r="A895" i="1" s="1"/>
  <c r="AL894" i="1" l="1"/>
  <c r="AL895" i="1"/>
  <c r="A896" i="1"/>
  <c r="AL896" i="1" l="1"/>
  <c r="A897" i="1"/>
  <c r="AL897" i="1" l="1"/>
  <c r="A898" i="1"/>
  <c r="A899" i="1" s="1"/>
  <c r="AL898" i="1" l="1"/>
  <c r="AL899" i="1"/>
  <c r="A900" i="1"/>
  <c r="AL900" i="1" l="1"/>
  <c r="A901" i="1"/>
  <c r="AL901" i="1" l="1"/>
  <c r="A902" i="1"/>
  <c r="A903" i="1" s="1"/>
  <c r="AL902" i="1" l="1"/>
  <c r="AL903" i="1"/>
  <c r="A904" i="1"/>
  <c r="AL904" i="1" l="1"/>
  <c r="A905" i="1"/>
  <c r="AL905" i="1" l="1"/>
  <c r="A906" i="1"/>
  <c r="A907" i="1"/>
  <c r="AL906" i="1" l="1"/>
  <c r="AL907" i="1"/>
  <c r="A908" i="1"/>
  <c r="AL908" i="1" l="1"/>
  <c r="A909" i="1"/>
  <c r="AL909" i="1" l="1"/>
  <c r="A910" i="1"/>
  <c r="A911" i="1" s="1"/>
  <c r="AL910" i="1" l="1"/>
  <c r="AL911" i="1"/>
  <c r="A912" i="1"/>
  <c r="AL912" i="1" l="1"/>
  <c r="A913" i="1"/>
  <c r="AL913" i="1" l="1"/>
  <c r="A914" i="1"/>
  <c r="A915" i="1" s="1"/>
  <c r="AL914" i="1" l="1"/>
  <c r="AL915" i="1"/>
  <c r="A916" i="1"/>
  <c r="AL916" i="1" l="1"/>
  <c r="A917" i="1"/>
  <c r="AL917" i="1" l="1"/>
  <c r="A918" i="1"/>
  <c r="A919" i="1" s="1"/>
  <c r="AL918" i="1" l="1"/>
  <c r="AL919" i="1"/>
  <c r="A920" i="1"/>
  <c r="AL920" i="1" l="1"/>
  <c r="A921" i="1"/>
  <c r="AL921" i="1" l="1"/>
  <c r="A922" i="1"/>
  <c r="A923" i="1" s="1"/>
  <c r="AL922" i="1" l="1"/>
  <c r="AL923" i="1"/>
  <c r="A924" i="1"/>
  <c r="AL924" i="1" l="1"/>
  <c r="A925" i="1"/>
  <c r="AL925" i="1" l="1"/>
  <c r="A926" i="1"/>
  <c r="A927" i="1" s="1"/>
  <c r="AL926" i="1" l="1"/>
  <c r="AL927" i="1"/>
  <c r="A928" i="1"/>
  <c r="AL928" i="1" l="1"/>
  <c r="A929" i="1"/>
  <c r="AL929" i="1" l="1"/>
  <c r="A930" i="1"/>
  <c r="A931" i="1"/>
  <c r="AL930" i="1" l="1"/>
  <c r="AL931" i="1"/>
  <c r="A932" i="1"/>
  <c r="AL932" i="1" l="1"/>
  <c r="A933" i="1"/>
  <c r="AL933" i="1" l="1"/>
  <c r="A934" i="1"/>
  <c r="A935" i="1" s="1"/>
  <c r="AL934" i="1" l="1"/>
  <c r="AL935" i="1"/>
  <c r="A936" i="1"/>
  <c r="AL936" i="1" l="1"/>
  <c r="A937" i="1"/>
  <c r="AL937" i="1" l="1"/>
  <c r="A938" i="1"/>
  <c r="A939" i="1" s="1"/>
  <c r="AL938" i="1" l="1"/>
  <c r="AL939" i="1"/>
  <c r="A940" i="1"/>
  <c r="AL940" i="1" l="1"/>
  <c r="A941" i="1"/>
  <c r="AL941" i="1" l="1"/>
  <c r="A942" i="1"/>
  <c r="A943" i="1" s="1"/>
  <c r="AL942" i="1" l="1"/>
  <c r="AL943" i="1"/>
  <c r="A944" i="1"/>
  <c r="AL944" i="1" l="1"/>
  <c r="B1" i="3"/>
  <c r="B2" i="3" s="1"/>
  <c r="A3" i="2"/>
  <c r="A4" i="2"/>
  <c r="R3" i="2" l="1"/>
  <c r="G3" i="2"/>
  <c r="G4" i="2"/>
  <c r="R4" i="2"/>
  <c r="F3" i="2"/>
  <c r="F4" i="2"/>
  <c r="B4" i="2"/>
  <c r="I3" i="2"/>
  <c r="C3" i="2"/>
  <c r="B3" i="2"/>
  <c r="C4" i="2"/>
  <c r="J3" i="2"/>
  <c r="H3" i="2"/>
  <c r="H4" i="2"/>
  <c r="J4" i="2"/>
  <c r="A5" i="2"/>
  <c r="I4" i="2"/>
  <c r="K3" i="2" l="1"/>
  <c r="L3" i="2"/>
  <c r="E3" i="2"/>
  <c r="G5" i="2"/>
  <c r="R5" i="2"/>
  <c r="E4" i="2"/>
  <c r="L4" i="2"/>
  <c r="K4" i="2"/>
  <c r="A6" i="2"/>
  <c r="J5" i="2"/>
  <c r="N3" i="2"/>
  <c r="F5" i="2"/>
  <c r="B4" i="4"/>
  <c r="B5" i="4"/>
  <c r="N4" i="2"/>
  <c r="C5" i="2"/>
  <c r="B5" i="2"/>
  <c r="I5" i="2"/>
  <c r="H5" i="2"/>
  <c r="M3" i="2" l="1"/>
  <c r="O3" i="2" s="1"/>
  <c r="P3" i="2" s="1"/>
  <c r="Q3" i="2" s="1"/>
  <c r="E5" i="2"/>
  <c r="L5" i="2"/>
  <c r="K5" i="2"/>
  <c r="M4" i="2"/>
  <c r="O4" i="2" s="1"/>
  <c r="P4" i="2" s="1"/>
  <c r="Q4" i="2" s="1"/>
  <c r="G6" i="2"/>
  <c r="R6" i="2"/>
  <c r="G4" i="4"/>
  <c r="C4" i="4"/>
  <c r="F6" i="2"/>
  <c r="C5" i="4"/>
  <c r="H4" i="4"/>
  <c r="A7" i="2"/>
  <c r="B6" i="2"/>
  <c r="C6" i="2"/>
  <c r="E4" i="4"/>
  <c r="B6" i="4"/>
  <c r="G5" i="4"/>
  <c r="D4" i="4"/>
  <c r="H5" i="4"/>
  <c r="J6" i="2"/>
  <c r="J5" i="4"/>
  <c r="I4" i="4"/>
  <c r="I6" i="2"/>
  <c r="E5" i="4"/>
  <c r="F4" i="4"/>
  <c r="D5" i="4"/>
  <c r="I5" i="4"/>
  <c r="F5" i="4"/>
  <c r="J4" i="4"/>
  <c r="H6" i="2"/>
  <c r="N5" i="2"/>
  <c r="A4" i="4" l="1"/>
  <c r="N4" i="4"/>
  <c r="K4" i="4"/>
  <c r="M5" i="2"/>
  <c r="N5" i="4"/>
  <c r="A5" i="4"/>
  <c r="K5" i="4"/>
  <c r="O5" i="2"/>
  <c r="P5" i="2" s="1"/>
  <c r="Q5" i="2" s="1"/>
  <c r="L5" i="4"/>
  <c r="E6" i="2"/>
  <c r="L6" i="2"/>
  <c r="K6" i="2"/>
  <c r="G7" i="2"/>
  <c r="R7" i="2"/>
  <c r="E6" i="4"/>
  <c r="B7" i="2"/>
  <c r="B7" i="4"/>
  <c r="G6" i="4"/>
  <c r="N6" i="2"/>
  <c r="C6" i="4"/>
  <c r="C7" i="2"/>
  <c r="H6" i="4"/>
  <c r="H7" i="2"/>
  <c r="F6" i="4"/>
  <c r="A8" i="2"/>
  <c r="I6" i="4"/>
  <c r="J7" i="2"/>
  <c r="D6" i="4"/>
  <c r="F7" i="2"/>
  <c r="J6" i="4"/>
  <c r="I7" i="2"/>
  <c r="L4" i="4" l="1"/>
  <c r="K6" i="4"/>
  <c r="N6" i="4"/>
  <c r="A6" i="4"/>
  <c r="R8" i="2"/>
  <c r="G8" i="2"/>
  <c r="M5" i="4"/>
  <c r="E7" i="2"/>
  <c r="K7" i="2"/>
  <c r="L7" i="2"/>
  <c r="M6" i="2"/>
  <c r="O6" i="2" s="1"/>
  <c r="P6" i="2" s="1"/>
  <c r="Q6" i="2" s="1"/>
  <c r="F8" i="2"/>
  <c r="A9" i="2"/>
  <c r="E7" i="4"/>
  <c r="C8" i="2"/>
  <c r="F7" i="4"/>
  <c r="G7" i="4"/>
  <c r="N7" i="2"/>
  <c r="H7" i="4"/>
  <c r="J7" i="4"/>
  <c r="D7" i="4"/>
  <c r="B8" i="4"/>
  <c r="I7" i="4"/>
  <c r="C7" i="4"/>
  <c r="I8" i="2"/>
  <c r="B8" i="2"/>
  <c r="H8" i="2"/>
  <c r="J8" i="2"/>
  <c r="M4" i="4" l="1"/>
  <c r="G9" i="2"/>
  <c r="R9" i="2"/>
  <c r="L6" i="4"/>
  <c r="E8" i="2"/>
  <c r="K8" i="2"/>
  <c r="L8" i="2"/>
  <c r="A7" i="4"/>
  <c r="N7" i="4"/>
  <c r="K7" i="4"/>
  <c r="M7" i="2"/>
  <c r="O7" i="2" s="1"/>
  <c r="P7" i="2" s="1"/>
  <c r="Q7" i="2" s="1"/>
  <c r="C8" i="4"/>
  <c r="D8" i="4"/>
  <c r="B9" i="4"/>
  <c r="A10" i="2"/>
  <c r="B9" i="2"/>
  <c r="H8" i="4"/>
  <c r="G8" i="4"/>
  <c r="F8" i="4"/>
  <c r="E8" i="4"/>
  <c r="F9" i="2"/>
  <c r="C9" i="2"/>
  <c r="J9" i="2"/>
  <c r="H9" i="2"/>
  <c r="I9" i="2"/>
  <c r="I8" i="4"/>
  <c r="J8" i="4"/>
  <c r="N8" i="2"/>
  <c r="A11" i="2"/>
  <c r="G10" i="2" l="1"/>
  <c r="R10" i="2"/>
  <c r="G11" i="2"/>
  <c r="R11" i="2"/>
  <c r="M6" i="4"/>
  <c r="E9" i="2"/>
  <c r="K9" i="2"/>
  <c r="L9" i="2"/>
  <c r="L7" i="4"/>
  <c r="K8" i="4"/>
  <c r="A8" i="4"/>
  <c r="N8" i="4"/>
  <c r="M8" i="2"/>
  <c r="O8" i="2" s="1"/>
  <c r="P8" i="2" s="1"/>
  <c r="Q8" i="2" s="1"/>
  <c r="I3" i="14"/>
  <c r="K3" i="14" s="1"/>
  <c r="A12" i="2"/>
  <c r="I10" i="2"/>
  <c r="A13" i="2"/>
  <c r="G9" i="4"/>
  <c r="B10" i="4"/>
  <c r="B10" i="2"/>
  <c r="N9" i="2"/>
  <c r="H10" i="2"/>
  <c r="J9" i="4"/>
  <c r="C11" i="2"/>
  <c r="I11" i="2"/>
  <c r="F9" i="4"/>
  <c r="C9" i="4"/>
  <c r="F10" i="2"/>
  <c r="H9" i="4"/>
  <c r="F11" i="2"/>
  <c r="B11" i="2"/>
  <c r="C10" i="2"/>
  <c r="D9" i="4"/>
  <c r="I9" i="4"/>
  <c r="J10" i="2"/>
  <c r="J11" i="2"/>
  <c r="H11" i="2"/>
  <c r="E9" i="4"/>
  <c r="G12" i="2" l="1"/>
  <c r="R12" i="2"/>
  <c r="E10" i="2"/>
  <c r="L10" i="2"/>
  <c r="K10" i="2"/>
  <c r="K11" i="2"/>
  <c r="L11" i="2"/>
  <c r="E11" i="2"/>
  <c r="M9" i="2"/>
  <c r="O9" i="2" s="1"/>
  <c r="P9" i="2" s="1"/>
  <c r="Q9" i="2" s="1"/>
  <c r="K9" i="4"/>
  <c r="R13" i="2"/>
  <c r="G13" i="2"/>
  <c r="A9" i="4"/>
  <c r="N9" i="4"/>
  <c r="L8" i="4"/>
  <c r="M7" i="4"/>
  <c r="L3" i="14"/>
  <c r="M3" i="14" s="1"/>
  <c r="J12" i="2"/>
  <c r="F12" i="2"/>
  <c r="B12" i="2"/>
  <c r="B11" i="4"/>
  <c r="E10" i="4"/>
  <c r="F13" i="2"/>
  <c r="D10" i="4"/>
  <c r="C13" i="2"/>
  <c r="J10" i="4"/>
  <c r="H13" i="2"/>
  <c r="J13" i="2"/>
  <c r="G10" i="4"/>
  <c r="I13" i="2"/>
  <c r="B13" i="2"/>
  <c r="C12" i="2"/>
  <c r="I12" i="2"/>
  <c r="H12" i="2"/>
  <c r="B12" i="4"/>
  <c r="B13" i="4" s="1"/>
  <c r="C10" i="4"/>
  <c r="H10" i="4"/>
  <c r="N10" i="2"/>
  <c r="F10" i="4"/>
  <c r="N11" i="2"/>
  <c r="I10" i="4"/>
  <c r="E12" i="2" l="1"/>
  <c r="K12" i="2"/>
  <c r="L12" i="2"/>
  <c r="M10" i="2"/>
  <c r="O10" i="2" s="1"/>
  <c r="P10" i="2" s="1"/>
  <c r="Q10" i="2" s="1"/>
  <c r="M11" i="2"/>
  <c r="N10" i="4"/>
  <c r="A10" i="4"/>
  <c r="K10" i="4"/>
  <c r="O11" i="2"/>
  <c r="P11" i="2" s="1"/>
  <c r="Q11" i="2" s="1"/>
  <c r="M8" i="4"/>
  <c r="K13" i="2"/>
  <c r="L13" i="2"/>
  <c r="E13" i="2"/>
  <c r="L9" i="4"/>
  <c r="M12" i="2"/>
  <c r="N12" i="2"/>
  <c r="I11" i="4"/>
  <c r="D11" i="4"/>
  <c r="I12" i="4"/>
  <c r="H12" i="4"/>
  <c r="E13" i="4"/>
  <c r="E11" i="4"/>
  <c r="J11" i="4"/>
  <c r="F12" i="4"/>
  <c r="C13" i="4"/>
  <c r="C12" i="4"/>
  <c r="N13" i="2"/>
  <c r="A14" i="2"/>
  <c r="G12" i="4"/>
  <c r="F11" i="4"/>
  <c r="C11" i="4"/>
  <c r="D12" i="4"/>
  <c r="J13" i="4"/>
  <c r="G13" i="4"/>
  <c r="H11" i="4"/>
  <c r="G11" i="4"/>
  <c r="E12" i="4"/>
  <c r="B14" i="4"/>
  <c r="J12" i="4"/>
  <c r="D13" i="4"/>
  <c r="H13" i="4"/>
  <c r="F13" i="4"/>
  <c r="I13" i="4"/>
  <c r="O12" i="2" l="1"/>
  <c r="P12" i="2" s="1"/>
  <c r="Q12" i="2" s="1"/>
  <c r="A11" i="4"/>
  <c r="N11" i="4"/>
  <c r="K11" i="4"/>
  <c r="A12" i="4"/>
  <c r="N12" i="4"/>
  <c r="K12" i="4"/>
  <c r="L12" i="4" s="1"/>
  <c r="L10" i="4"/>
  <c r="N13" i="4"/>
  <c r="A13" i="4"/>
  <c r="K13" i="4"/>
  <c r="M13" i="2"/>
  <c r="O13" i="2" s="1"/>
  <c r="P13" i="2" s="1"/>
  <c r="Q13" i="2" s="1"/>
  <c r="M9" i="4"/>
  <c r="L11" i="4"/>
  <c r="R14" i="2"/>
  <c r="G14" i="2"/>
  <c r="J14" i="4"/>
  <c r="G14" i="4"/>
  <c r="A15" i="2"/>
  <c r="E14" i="4"/>
  <c r="J14" i="2"/>
  <c r="A16" i="2"/>
  <c r="I14" i="2"/>
  <c r="F14" i="2"/>
  <c r="B14" i="2"/>
  <c r="H14" i="2"/>
  <c r="C14" i="4"/>
  <c r="C14" i="2"/>
  <c r="F14" i="4"/>
  <c r="D14" i="4"/>
  <c r="I14" i="4"/>
  <c r="H14" i="4"/>
  <c r="M10" i="4" l="1"/>
  <c r="L13" i="4"/>
  <c r="A14" i="4"/>
  <c r="N14" i="4"/>
  <c r="K14" i="4"/>
  <c r="M12" i="4"/>
  <c r="M11" i="4"/>
  <c r="G16" i="2"/>
  <c r="R16" i="2"/>
  <c r="E14" i="2"/>
  <c r="K14" i="2"/>
  <c r="L14" i="2"/>
  <c r="G15" i="2"/>
  <c r="R15" i="2"/>
  <c r="J15" i="2"/>
  <c r="F15" i="2"/>
  <c r="C15" i="2"/>
  <c r="B16" i="2"/>
  <c r="N14" i="2"/>
  <c r="H16" i="2"/>
  <c r="I16" i="2"/>
  <c r="I15" i="2"/>
  <c r="F16" i="2"/>
  <c r="H15" i="2"/>
  <c r="B3" i="5"/>
  <c r="B15" i="2"/>
  <c r="C16" i="2"/>
  <c r="J16" i="2"/>
  <c r="L14" i="4" l="1"/>
  <c r="M13" i="4"/>
  <c r="E15" i="2"/>
  <c r="L15" i="2"/>
  <c r="J5" i="13" s="1"/>
  <c r="K15" i="2"/>
  <c r="J3" i="5"/>
  <c r="E16" i="2"/>
  <c r="K16" i="2"/>
  <c r="L16" i="2"/>
  <c r="J3" i="13" s="1"/>
  <c r="I3" i="13" s="1"/>
  <c r="L3" i="13" s="1"/>
  <c r="M3" i="13" s="1"/>
  <c r="N3" i="13" s="1"/>
  <c r="M14" i="2"/>
  <c r="A4" i="10"/>
  <c r="G3" i="5"/>
  <c r="B4" i="5"/>
  <c r="D3" i="5"/>
  <c r="C3" i="5"/>
  <c r="E3" i="5"/>
  <c r="N15" i="2"/>
  <c r="H3" i="5"/>
  <c r="F3" i="5"/>
  <c r="N16" i="2"/>
  <c r="M14" i="4" l="1"/>
  <c r="M15" i="2"/>
  <c r="I4" i="5" s="1"/>
  <c r="J4" i="5"/>
  <c r="A3" i="5"/>
  <c r="I3" i="5"/>
  <c r="O14" i="2"/>
  <c r="P14" i="2" s="1"/>
  <c r="Q14" i="2" s="1"/>
  <c r="M16" i="2"/>
  <c r="O16" i="2" s="1"/>
  <c r="P16" i="2" s="1"/>
  <c r="Q16" i="2" s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B5" i="5"/>
  <c r="G4" i="5"/>
  <c r="H4" i="5"/>
  <c r="E4" i="5"/>
  <c r="D4" i="5"/>
  <c r="C4" i="5"/>
  <c r="F4" i="5"/>
  <c r="J5" i="5" l="1"/>
  <c r="A4" i="5"/>
  <c r="O15" i="2"/>
  <c r="P15" i="2" s="1"/>
  <c r="Q15" i="2" s="1"/>
  <c r="K4" i="5"/>
  <c r="K3" i="5"/>
  <c r="I5" i="5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G5" i="5"/>
  <c r="C5" i="5"/>
  <c r="H5" i="5"/>
  <c r="F5" i="5"/>
  <c r="E5" i="5"/>
  <c r="D5" i="5"/>
  <c r="A5" i="5" l="1"/>
  <c r="L4" i="5"/>
  <c r="K5" i="5"/>
  <c r="L3" i="5"/>
  <c r="L4" i="7"/>
  <c r="M4" i="7" s="1"/>
  <c r="M4" i="5" l="1"/>
  <c r="M3" i="5"/>
  <c r="L5" i="5"/>
  <c r="AV22" i="1"/>
  <c r="M5" i="5" l="1"/>
  <c r="AW22" i="1"/>
  <c r="AY22" i="1" l="1"/>
  <c r="AX22" i="1"/>
  <c r="A17" i="2"/>
  <c r="R17" i="2" l="1"/>
  <c r="C17" i="2"/>
  <c r="F17" i="2"/>
  <c r="A18" i="2"/>
  <c r="J17" i="2"/>
  <c r="I17" i="2"/>
  <c r="B17" i="2"/>
  <c r="K17" i="2" l="1"/>
  <c r="E17" i="2"/>
  <c r="L17" i="2"/>
  <c r="R18" i="2"/>
  <c r="G18" i="2"/>
  <c r="G17" i="2"/>
  <c r="B6" i="5"/>
  <c r="C18" i="2"/>
  <c r="I18" i="2"/>
  <c r="H18" i="2"/>
  <c r="N17" i="2"/>
  <c r="A19" i="2"/>
  <c r="F18" i="2"/>
  <c r="J18" i="2"/>
  <c r="H17" i="2"/>
  <c r="B18" i="2"/>
  <c r="G19" i="2" l="1"/>
  <c r="R19" i="2"/>
  <c r="E18" i="2"/>
  <c r="K18" i="2"/>
  <c r="L18" i="2"/>
  <c r="J6" i="5"/>
  <c r="M17" i="2"/>
  <c r="A20" i="2"/>
  <c r="G6" i="5"/>
  <c r="E6" i="5"/>
  <c r="D6" i="5"/>
  <c r="C6" i="5"/>
  <c r="H6" i="5"/>
  <c r="F6" i="5"/>
  <c r="J19" i="2"/>
  <c r="C19" i="2"/>
  <c r="I19" i="2"/>
  <c r="F19" i="2"/>
  <c r="N18" i="2"/>
  <c r="B7" i="5"/>
  <c r="H19" i="2"/>
  <c r="B19" i="2"/>
  <c r="A21" i="2"/>
  <c r="A22" i="2"/>
  <c r="R21" i="2" l="1"/>
  <c r="G21" i="2"/>
  <c r="A6" i="5"/>
  <c r="G20" i="2"/>
  <c r="R20" i="2"/>
  <c r="K19" i="2"/>
  <c r="E19" i="2"/>
  <c r="L19" i="2"/>
  <c r="J7" i="5"/>
  <c r="G22" i="2"/>
  <c r="R22" i="2"/>
  <c r="I6" i="5"/>
  <c r="O17" i="2"/>
  <c r="P17" i="2" s="1"/>
  <c r="Q17" i="2" s="1"/>
  <c r="M18" i="2"/>
  <c r="J21" i="2"/>
  <c r="I21" i="2"/>
  <c r="B21" i="2"/>
  <c r="B8" i="5"/>
  <c r="J20" i="2"/>
  <c r="H20" i="2"/>
  <c r="C7" i="5"/>
  <c r="F7" i="5"/>
  <c r="I22" i="2"/>
  <c r="C21" i="2"/>
  <c r="F21" i="2"/>
  <c r="H21" i="2"/>
  <c r="B20" i="2"/>
  <c r="F20" i="2"/>
  <c r="B3" i="17" s="1"/>
  <c r="C20" i="2"/>
  <c r="I20" i="2"/>
  <c r="A23" i="2"/>
  <c r="H22" i="2"/>
  <c r="F22" i="2"/>
  <c r="A24" i="2"/>
  <c r="C22" i="2"/>
  <c r="N19" i="2"/>
  <c r="J22" i="2"/>
  <c r="B22" i="2"/>
  <c r="H7" i="5"/>
  <c r="G7" i="5"/>
  <c r="D7" i="5"/>
  <c r="E7" i="5"/>
  <c r="B9" i="5"/>
  <c r="L20" i="2" l="1"/>
  <c r="K20" i="2"/>
  <c r="E20" i="2"/>
  <c r="E21" i="2"/>
  <c r="L21" i="2"/>
  <c r="K21" i="2"/>
  <c r="M21" i="2" s="1"/>
  <c r="I3" i="17" s="1"/>
  <c r="M19" i="2"/>
  <c r="O19" i="2" s="1"/>
  <c r="P19" i="2" s="1"/>
  <c r="Q19" i="2" s="1"/>
  <c r="R23" i="2"/>
  <c r="G23" i="2"/>
  <c r="A7" i="5"/>
  <c r="J8" i="5"/>
  <c r="M20" i="2"/>
  <c r="I9" i="5" s="1"/>
  <c r="E22" i="2"/>
  <c r="K22" i="2"/>
  <c r="L22" i="2"/>
  <c r="R24" i="2"/>
  <c r="G24" i="2"/>
  <c r="I8" i="5"/>
  <c r="I7" i="5"/>
  <c r="O18" i="2"/>
  <c r="P18" i="2" s="1"/>
  <c r="Q18" i="2" s="1"/>
  <c r="K6" i="5"/>
  <c r="F9" i="5"/>
  <c r="E9" i="5"/>
  <c r="G9" i="5"/>
  <c r="E3" i="17"/>
  <c r="C3" i="17"/>
  <c r="G3" i="17"/>
  <c r="N20" i="2"/>
  <c r="H8" i="5"/>
  <c r="E8" i="5"/>
  <c r="D8" i="5"/>
  <c r="N22" i="2"/>
  <c r="J23" i="2"/>
  <c r="B24" i="2"/>
  <c r="H9" i="5"/>
  <c r="C9" i="5"/>
  <c r="D9" i="5"/>
  <c r="H3" i="17"/>
  <c r="D3" i="17"/>
  <c r="F3" i="17"/>
  <c r="F8" i="5"/>
  <c r="G8" i="5"/>
  <c r="C8" i="5"/>
  <c r="N21" i="2"/>
  <c r="I23" i="2"/>
  <c r="J24" i="2"/>
  <c r="F24" i="2"/>
  <c r="F23" i="2"/>
  <c r="B23" i="2"/>
  <c r="C24" i="2"/>
  <c r="B3" i="9"/>
  <c r="H23" i="2"/>
  <c r="A25" i="2"/>
  <c r="I24" i="2"/>
  <c r="H24" i="2"/>
  <c r="C23" i="2"/>
  <c r="J3" i="17" l="1"/>
  <c r="A8" i="5"/>
  <c r="A9" i="5"/>
  <c r="J9" i="5"/>
  <c r="A3" i="17"/>
  <c r="O21" i="2"/>
  <c r="P21" i="2" s="1"/>
  <c r="Q21" i="2" s="1"/>
  <c r="K23" i="2"/>
  <c r="E23" i="2"/>
  <c r="L23" i="2"/>
  <c r="R25" i="2"/>
  <c r="G25" i="2"/>
  <c r="O20" i="2"/>
  <c r="P20" i="2" s="1"/>
  <c r="Q20" i="2" s="1"/>
  <c r="K3" i="17"/>
  <c r="M22" i="2"/>
  <c r="O22" i="2" s="1"/>
  <c r="P22" i="2" s="1"/>
  <c r="Q22" i="2" s="1"/>
  <c r="L3" i="17"/>
  <c r="E24" i="2"/>
  <c r="L24" i="2"/>
  <c r="K24" i="2"/>
  <c r="L6" i="5"/>
  <c r="K7" i="5"/>
  <c r="K8" i="5"/>
  <c r="K9" i="5"/>
  <c r="F3" i="9"/>
  <c r="D3" i="9"/>
  <c r="N23" i="2"/>
  <c r="G3" i="9"/>
  <c r="N24" i="2"/>
  <c r="C25" i="2"/>
  <c r="I25" i="2"/>
  <c r="J25" i="2"/>
  <c r="E3" i="9"/>
  <c r="H3" i="9"/>
  <c r="J3" i="9"/>
  <c r="I3" i="9"/>
  <c r="B15" i="4"/>
  <c r="B16" i="4" s="1"/>
  <c r="C3" i="9"/>
  <c r="H25" i="2"/>
  <c r="F25" i="2"/>
  <c r="A26" i="2"/>
  <c r="B25" i="2"/>
  <c r="M23" i="2" l="1"/>
  <c r="O23" i="2" s="1"/>
  <c r="P23" i="2" s="1"/>
  <c r="Q23" i="2" s="1"/>
  <c r="G26" i="2"/>
  <c r="R26" i="2"/>
  <c r="K25" i="2"/>
  <c r="E25" i="2"/>
  <c r="L25" i="2"/>
  <c r="K3" i="9"/>
  <c r="A3" i="9"/>
  <c r="M6" i="5"/>
  <c r="M3" i="17"/>
  <c r="L8" i="5"/>
  <c r="L9" i="5"/>
  <c r="L7" i="5"/>
  <c r="M24" i="2"/>
  <c r="O24" i="2" s="1"/>
  <c r="P24" i="2" s="1"/>
  <c r="Q24" i="2" s="1"/>
  <c r="L3" i="9"/>
  <c r="A27" i="2"/>
  <c r="F16" i="4"/>
  <c r="C26" i="2"/>
  <c r="E15" i="4"/>
  <c r="J16" i="4"/>
  <c r="B26" i="2"/>
  <c r="H15" i="4"/>
  <c r="I16" i="4"/>
  <c r="H26" i="2"/>
  <c r="J15" i="4"/>
  <c r="D16" i="4"/>
  <c r="F26" i="2"/>
  <c r="A3" i="10" s="1"/>
  <c r="F15" i="4"/>
  <c r="J26" i="2"/>
  <c r="H16" i="4"/>
  <c r="D15" i="4"/>
  <c r="B17" i="4"/>
  <c r="E16" i="4"/>
  <c r="I15" i="4"/>
  <c r="C16" i="4"/>
  <c r="I26" i="2"/>
  <c r="C15" i="4"/>
  <c r="N25" i="2"/>
  <c r="G16" i="4"/>
  <c r="G15" i="4"/>
  <c r="R27" i="2" l="1"/>
  <c r="G27" i="2"/>
  <c r="M25" i="2"/>
  <c r="K15" i="4"/>
  <c r="E26" i="2"/>
  <c r="K26" i="2"/>
  <c r="L26" i="2"/>
  <c r="M3" i="10" s="1"/>
  <c r="A15" i="4"/>
  <c r="N15" i="4"/>
  <c r="A16" i="4"/>
  <c r="N16" i="4"/>
  <c r="K16" i="4"/>
  <c r="O25" i="2"/>
  <c r="P25" i="2" s="1"/>
  <c r="Q25" i="2" s="1"/>
  <c r="M3" i="9"/>
  <c r="M7" i="5"/>
  <c r="M9" i="5"/>
  <c r="M8" i="5"/>
  <c r="A28" i="2"/>
  <c r="I27" i="2"/>
  <c r="J27" i="2"/>
  <c r="B27" i="2"/>
  <c r="C27" i="2"/>
  <c r="E3" i="10"/>
  <c r="B3" i="10"/>
  <c r="D3" i="10"/>
  <c r="J17" i="4"/>
  <c r="C17" i="4"/>
  <c r="C3" i="10"/>
  <c r="N26" i="2"/>
  <c r="G17" i="4"/>
  <c r="F17" i="4"/>
  <c r="F3" i="10"/>
  <c r="H3" i="10"/>
  <c r="D17" i="4"/>
  <c r="E17" i="4"/>
  <c r="I17" i="4"/>
  <c r="H17" i="4"/>
  <c r="G3" i="10"/>
  <c r="F27" i="2"/>
  <c r="H27" i="2"/>
  <c r="A29" i="2"/>
  <c r="B18" i="4"/>
  <c r="A30" i="2"/>
  <c r="G29" i="2" l="1"/>
  <c r="R29" i="2"/>
  <c r="L27" i="2"/>
  <c r="E27" i="2"/>
  <c r="K27" i="2"/>
  <c r="M27" i="2" s="1"/>
  <c r="R28" i="2"/>
  <c r="G28" i="2"/>
  <c r="M26" i="2"/>
  <c r="O26" i="2" s="1"/>
  <c r="P26" i="2" s="1"/>
  <c r="Q26" i="2" s="1"/>
  <c r="R30" i="2"/>
  <c r="G30" i="2"/>
  <c r="L16" i="4"/>
  <c r="L15" i="4"/>
  <c r="N3" i="10"/>
  <c r="I3" i="10" s="1"/>
  <c r="K1" i="10" s="1"/>
  <c r="A17" i="4"/>
  <c r="N17" i="4"/>
  <c r="K17" i="4"/>
  <c r="J3" i="10"/>
  <c r="D18" i="4"/>
  <c r="I18" i="4"/>
  <c r="E18" i="4"/>
  <c r="J18" i="4"/>
  <c r="F29" i="2"/>
  <c r="H29" i="2"/>
  <c r="I29" i="2"/>
  <c r="B28" i="2"/>
  <c r="F28" i="2"/>
  <c r="B10" i="5" s="1"/>
  <c r="C28" i="2"/>
  <c r="H28" i="2"/>
  <c r="B30" i="2"/>
  <c r="H18" i="4"/>
  <c r="C18" i="4"/>
  <c r="G18" i="4"/>
  <c r="F18" i="4"/>
  <c r="J29" i="2"/>
  <c r="C29" i="2"/>
  <c r="B29" i="2"/>
  <c r="N27" i="2"/>
  <c r="I28" i="2"/>
  <c r="J28" i="2"/>
  <c r="C30" i="2"/>
  <c r="F30" i="2"/>
  <c r="J30" i="2"/>
  <c r="B11" i="5"/>
  <c r="A31" i="2"/>
  <c r="A32" i="2" s="1"/>
  <c r="I30" i="2"/>
  <c r="H30" i="2"/>
  <c r="A33" i="2"/>
  <c r="L29" i="2" l="1"/>
  <c r="K29" i="2"/>
  <c r="E29" i="2"/>
  <c r="A18" i="4"/>
  <c r="N18" i="4"/>
  <c r="E28" i="2"/>
  <c r="L28" i="2"/>
  <c r="K28" i="2"/>
  <c r="M28" i="2" s="1"/>
  <c r="I10" i="5" s="1"/>
  <c r="K18" i="4"/>
  <c r="O27" i="2"/>
  <c r="P27" i="2" s="1"/>
  <c r="Q27" i="2" s="1"/>
  <c r="M29" i="2"/>
  <c r="I11" i="5" s="1"/>
  <c r="R32" i="2"/>
  <c r="G32" i="2"/>
  <c r="K30" i="2"/>
  <c r="E30" i="2"/>
  <c r="L30" i="2"/>
  <c r="G31" i="2"/>
  <c r="R31" i="2"/>
  <c r="M16" i="4"/>
  <c r="M15" i="4"/>
  <c r="K3" i="10"/>
  <c r="L18" i="4"/>
  <c r="L17" i="4"/>
  <c r="R33" i="2"/>
  <c r="G33" i="2"/>
  <c r="A34" i="2"/>
  <c r="G10" i="5"/>
  <c r="F10" i="5"/>
  <c r="E10" i="5"/>
  <c r="I32" i="2"/>
  <c r="H32" i="2"/>
  <c r="J32" i="2"/>
  <c r="F32" i="2"/>
  <c r="N30" i="2"/>
  <c r="I31" i="2"/>
  <c r="B33" i="2"/>
  <c r="G11" i="5"/>
  <c r="J31" i="2"/>
  <c r="B31" i="2"/>
  <c r="I33" i="2"/>
  <c r="J33" i="2"/>
  <c r="E11" i="5"/>
  <c r="H11" i="5"/>
  <c r="A35" i="2"/>
  <c r="B32" i="2"/>
  <c r="C32" i="2"/>
  <c r="B12" i="5"/>
  <c r="H33" i="2"/>
  <c r="D11" i="5"/>
  <c r="C33" i="2"/>
  <c r="C31" i="2"/>
  <c r="F11" i="5"/>
  <c r="A36" i="2"/>
  <c r="N29" i="2"/>
  <c r="C10" i="5"/>
  <c r="H10" i="5"/>
  <c r="D10" i="5"/>
  <c r="N28" i="2"/>
  <c r="H31" i="2"/>
  <c r="F33" i="2"/>
  <c r="F31" i="2"/>
  <c r="C11" i="5"/>
  <c r="J10" i="5" l="1"/>
  <c r="O28" i="2"/>
  <c r="P28" i="2" s="1"/>
  <c r="Q28" i="2" s="1"/>
  <c r="A10" i="5"/>
  <c r="O29" i="2"/>
  <c r="P29" i="2" s="1"/>
  <c r="Q29" i="2" s="1"/>
  <c r="J11" i="5"/>
  <c r="G34" i="2"/>
  <c r="R34" i="2"/>
  <c r="K10" i="5"/>
  <c r="M30" i="2"/>
  <c r="O30" i="2" s="1"/>
  <c r="P30" i="2" s="1"/>
  <c r="Q30" i="2" s="1"/>
  <c r="E31" i="2"/>
  <c r="L31" i="2"/>
  <c r="K31" i="2"/>
  <c r="J12" i="5"/>
  <c r="K32" i="2"/>
  <c r="E32" i="2"/>
  <c r="L32" i="2"/>
  <c r="R35" i="2"/>
  <c r="G35" i="2"/>
  <c r="I12" i="5"/>
  <c r="L3" i="10"/>
  <c r="M17" i="4"/>
  <c r="M18" i="4"/>
  <c r="A11" i="5"/>
  <c r="L33" i="2"/>
  <c r="E33" i="2"/>
  <c r="K33" i="2"/>
  <c r="L10" i="5"/>
  <c r="K12" i="5"/>
  <c r="K11" i="5"/>
  <c r="G36" i="2"/>
  <c r="R36" i="2"/>
  <c r="B13" i="5"/>
  <c r="F34" i="2"/>
  <c r="I34" i="2"/>
  <c r="H12" i="5"/>
  <c r="E12" i="5"/>
  <c r="N32" i="2"/>
  <c r="H35" i="2"/>
  <c r="I36" i="2"/>
  <c r="F36" i="2"/>
  <c r="H36" i="2"/>
  <c r="A37" i="2"/>
  <c r="B36" i="2"/>
  <c r="C36" i="2"/>
  <c r="G12" i="5"/>
  <c r="B35" i="2"/>
  <c r="B34" i="2"/>
  <c r="C34" i="2"/>
  <c r="H34" i="2"/>
  <c r="J34" i="2"/>
  <c r="N31" i="2"/>
  <c r="F12" i="5"/>
  <c r="B3" i="8"/>
  <c r="C35" i="2"/>
  <c r="N33" i="2"/>
  <c r="B14" i="5"/>
  <c r="D12" i="5"/>
  <c r="C12" i="5"/>
  <c r="I35" i="2"/>
  <c r="F35" i="2"/>
  <c r="J36" i="2"/>
  <c r="J35" i="2"/>
  <c r="K34" i="2" l="1"/>
  <c r="E34" i="2"/>
  <c r="L34" i="2"/>
  <c r="M32" i="2"/>
  <c r="M31" i="2"/>
  <c r="I13" i="5" s="1"/>
  <c r="L35" i="2"/>
  <c r="E35" i="2"/>
  <c r="K35" i="2"/>
  <c r="M35" i="2" s="1"/>
  <c r="A12" i="5"/>
  <c r="J13" i="5"/>
  <c r="O31" i="2"/>
  <c r="P31" i="2" s="1"/>
  <c r="Q31" i="2" s="1"/>
  <c r="O32" i="2"/>
  <c r="P32" i="2" s="1"/>
  <c r="Q32" i="2" s="1"/>
  <c r="M33" i="2"/>
  <c r="O33" i="2" s="1"/>
  <c r="P33" i="2" s="1"/>
  <c r="Q33" i="2" s="1"/>
  <c r="J14" i="5"/>
  <c r="R37" i="2"/>
  <c r="G37" i="2"/>
  <c r="L12" i="5"/>
  <c r="M10" i="5"/>
  <c r="K36" i="2"/>
  <c r="L36" i="2"/>
  <c r="M34" i="2"/>
  <c r="L11" i="5"/>
  <c r="E36" i="2"/>
  <c r="B19" i="4"/>
  <c r="C13" i="5"/>
  <c r="E13" i="5"/>
  <c r="F13" i="5"/>
  <c r="C3" i="8"/>
  <c r="E3" i="8"/>
  <c r="N35" i="2"/>
  <c r="H3" i="8"/>
  <c r="F3" i="8"/>
  <c r="E14" i="5"/>
  <c r="H37" i="2"/>
  <c r="B15" i="5"/>
  <c r="N34" i="2"/>
  <c r="A38" i="2"/>
  <c r="H13" i="5"/>
  <c r="D13" i="5"/>
  <c r="G13" i="5"/>
  <c r="D3" i="8"/>
  <c r="G3" i="8"/>
  <c r="J3" i="8"/>
  <c r="I3" i="8"/>
  <c r="H14" i="5"/>
  <c r="G14" i="5"/>
  <c r="N36" i="2"/>
  <c r="I37" i="2"/>
  <c r="D14" i="5"/>
  <c r="J37" i="2"/>
  <c r="B37" i="2"/>
  <c r="C37" i="2"/>
  <c r="F37" i="2"/>
  <c r="C14" i="5"/>
  <c r="F14" i="5"/>
  <c r="B16" i="5"/>
  <c r="A39" i="2"/>
  <c r="A40" i="2" s="1"/>
  <c r="G38" i="2" l="1"/>
  <c r="R38" i="2"/>
  <c r="J15" i="5"/>
  <c r="A13" i="5"/>
  <c r="K13" i="5"/>
  <c r="L13" i="5" s="1"/>
  <c r="I14" i="5"/>
  <c r="K14" i="5" s="1"/>
  <c r="K3" i="8"/>
  <c r="L3" i="8" s="1"/>
  <c r="A3" i="8"/>
  <c r="O35" i="2"/>
  <c r="P35" i="2" s="1"/>
  <c r="Q35" i="2" s="1"/>
  <c r="A14" i="5"/>
  <c r="R39" i="2"/>
  <c r="G39" i="2"/>
  <c r="K37" i="2"/>
  <c r="L37" i="2"/>
  <c r="E37" i="2"/>
  <c r="M12" i="5"/>
  <c r="J16" i="5"/>
  <c r="O34" i="2"/>
  <c r="P34" i="2" s="1"/>
  <c r="Q34" i="2" s="1"/>
  <c r="I15" i="5"/>
  <c r="M11" i="5"/>
  <c r="M36" i="2"/>
  <c r="G40" i="2"/>
  <c r="R40" i="2"/>
  <c r="C38" i="2"/>
  <c r="H38" i="2"/>
  <c r="J38" i="2"/>
  <c r="D15" i="5"/>
  <c r="G15" i="5"/>
  <c r="C15" i="5"/>
  <c r="H19" i="4"/>
  <c r="D19" i="4"/>
  <c r="C19" i="4"/>
  <c r="G19" i="4"/>
  <c r="B17" i="5"/>
  <c r="C40" i="2"/>
  <c r="G16" i="5"/>
  <c r="D16" i="5"/>
  <c r="C39" i="2"/>
  <c r="E16" i="5"/>
  <c r="F40" i="2"/>
  <c r="B39" i="2"/>
  <c r="I40" i="2"/>
  <c r="F16" i="5"/>
  <c r="I39" i="2"/>
  <c r="A41" i="2"/>
  <c r="F39" i="2"/>
  <c r="H39" i="2"/>
  <c r="N37" i="2"/>
  <c r="H16" i="5"/>
  <c r="B38" i="2"/>
  <c r="I38" i="2"/>
  <c r="F38" i="2"/>
  <c r="H15" i="5"/>
  <c r="F15" i="5"/>
  <c r="E15" i="5"/>
  <c r="F19" i="4"/>
  <c r="E19" i="4"/>
  <c r="I19" i="4"/>
  <c r="J19" i="4"/>
  <c r="B40" i="2"/>
  <c r="J40" i="2"/>
  <c r="H40" i="2"/>
  <c r="C16" i="5"/>
  <c r="J39" i="2"/>
  <c r="B18" i="5"/>
  <c r="B4" i="8"/>
  <c r="K19" i="4" l="1"/>
  <c r="L38" i="2"/>
  <c r="K38" i="2"/>
  <c r="E38" i="2"/>
  <c r="N19" i="4"/>
  <c r="A19" i="4"/>
  <c r="A15" i="5"/>
  <c r="M3" i="8"/>
  <c r="M37" i="2"/>
  <c r="I17" i="5" s="1"/>
  <c r="L19" i="4"/>
  <c r="K39" i="2"/>
  <c r="L39" i="2"/>
  <c r="E39" i="2"/>
  <c r="J17" i="5"/>
  <c r="O37" i="2"/>
  <c r="P37" i="2" s="1"/>
  <c r="Q37" i="2" s="1"/>
  <c r="G41" i="2"/>
  <c r="R41" i="2"/>
  <c r="A16" i="5"/>
  <c r="L40" i="2"/>
  <c r="K40" i="2"/>
  <c r="L14" i="5"/>
  <c r="K15" i="5"/>
  <c r="M13" i="5"/>
  <c r="O36" i="2"/>
  <c r="P36" i="2" s="1"/>
  <c r="Q36" i="2" s="1"/>
  <c r="I16" i="5"/>
  <c r="M38" i="2"/>
  <c r="E40" i="2"/>
  <c r="G17" i="5"/>
  <c r="H17" i="5"/>
  <c r="C17" i="5"/>
  <c r="B19" i="5"/>
  <c r="N39" i="2"/>
  <c r="F4" i="8"/>
  <c r="E4" i="8"/>
  <c r="B41" i="2"/>
  <c r="G18" i="5"/>
  <c r="F18" i="5"/>
  <c r="F41" i="2"/>
  <c r="C41" i="2"/>
  <c r="H41" i="2"/>
  <c r="C4" i="8"/>
  <c r="A42" i="2"/>
  <c r="A43" i="2"/>
  <c r="N38" i="2"/>
  <c r="D17" i="5"/>
  <c r="E17" i="5"/>
  <c r="F17" i="5"/>
  <c r="C18" i="5"/>
  <c r="D4" i="8"/>
  <c r="J4" i="8"/>
  <c r="G4" i="8"/>
  <c r="I4" i="8"/>
  <c r="E18" i="5"/>
  <c r="H18" i="5"/>
  <c r="J41" i="2"/>
  <c r="N40" i="2"/>
  <c r="H4" i="8"/>
  <c r="I41" i="2"/>
  <c r="D18" i="5"/>
  <c r="J18" i="5" l="1"/>
  <c r="A17" i="5"/>
  <c r="K17" i="5"/>
  <c r="L17" i="5" s="1"/>
  <c r="G42" i="2"/>
  <c r="R42" i="2"/>
  <c r="A18" i="5"/>
  <c r="M39" i="2"/>
  <c r="O39" i="2" s="1"/>
  <c r="P39" i="2" s="1"/>
  <c r="Q39" i="2" s="1"/>
  <c r="M19" i="4"/>
  <c r="J19" i="5"/>
  <c r="K41" i="2"/>
  <c r="E41" i="2"/>
  <c r="L41" i="2"/>
  <c r="R43" i="2"/>
  <c r="G43" i="2"/>
  <c r="M40" i="2"/>
  <c r="O40" i="2" s="1"/>
  <c r="P40" i="2" s="1"/>
  <c r="Q40" i="2" s="1"/>
  <c r="A4" i="8"/>
  <c r="K4" i="8"/>
  <c r="L4" i="8" s="1"/>
  <c r="M4" i="8" s="1"/>
  <c r="O38" i="2"/>
  <c r="P38" i="2" s="1"/>
  <c r="Q38" i="2" s="1"/>
  <c r="I18" i="5"/>
  <c r="M14" i="5"/>
  <c r="K16" i="5"/>
  <c r="L15" i="5"/>
  <c r="B42" i="2"/>
  <c r="I42" i="2"/>
  <c r="B20" i="5"/>
  <c r="A44" i="2"/>
  <c r="F19" i="5"/>
  <c r="J43" i="2"/>
  <c r="H43" i="2"/>
  <c r="B43" i="2"/>
  <c r="J42" i="2"/>
  <c r="G19" i="5"/>
  <c r="D19" i="5"/>
  <c r="E19" i="5"/>
  <c r="I43" i="2"/>
  <c r="H42" i="2"/>
  <c r="H19" i="5"/>
  <c r="C43" i="2"/>
  <c r="F43" i="2"/>
  <c r="C42" i="2"/>
  <c r="F42" i="2"/>
  <c r="N41" i="2"/>
  <c r="C19" i="5"/>
  <c r="I19" i="5" l="1"/>
  <c r="M41" i="2"/>
  <c r="O41" i="2" s="1"/>
  <c r="P41" i="2" s="1"/>
  <c r="Q41" i="2" s="1"/>
  <c r="G44" i="2"/>
  <c r="R44" i="2"/>
  <c r="A19" i="5"/>
  <c r="K42" i="2"/>
  <c r="L42" i="2"/>
  <c r="E42" i="2"/>
  <c r="E43" i="2"/>
  <c r="K43" i="2"/>
  <c r="L43" i="2"/>
  <c r="J20" i="5"/>
  <c r="K19" i="5"/>
  <c r="M17" i="5"/>
  <c r="L16" i="5"/>
  <c r="M15" i="5"/>
  <c r="I20" i="5"/>
  <c r="K18" i="5"/>
  <c r="G20" i="5"/>
  <c r="H20" i="5"/>
  <c r="F20" i="5"/>
  <c r="H44" i="2"/>
  <c r="A45" i="2"/>
  <c r="B44" i="2"/>
  <c r="J44" i="2"/>
  <c r="N42" i="2"/>
  <c r="A46" i="2"/>
  <c r="I44" i="2"/>
  <c r="B20" i="4"/>
  <c r="E20" i="5"/>
  <c r="D20" i="5"/>
  <c r="C20" i="5"/>
  <c r="B21" i="5"/>
  <c r="C44" i="2"/>
  <c r="F44" i="2"/>
  <c r="N43" i="2"/>
  <c r="A47" i="2"/>
  <c r="A20" i="5" l="1"/>
  <c r="G46" i="2"/>
  <c r="R46" i="2"/>
  <c r="E44" i="2"/>
  <c r="K44" i="2"/>
  <c r="L44" i="2"/>
  <c r="G45" i="2"/>
  <c r="R45" i="2"/>
  <c r="M42" i="2"/>
  <c r="I21" i="5" s="1"/>
  <c r="J21" i="5"/>
  <c r="O42" i="2"/>
  <c r="P42" i="2" s="1"/>
  <c r="Q42" i="2" s="1"/>
  <c r="L19" i="5"/>
  <c r="M43" i="2"/>
  <c r="O43" i="2" s="1"/>
  <c r="P43" i="2" s="1"/>
  <c r="Q43" i="2" s="1"/>
  <c r="R47" i="2"/>
  <c r="G47" i="2"/>
  <c r="M19" i="5"/>
  <c r="K20" i="5"/>
  <c r="M16" i="5"/>
  <c r="L18" i="5"/>
  <c r="B21" i="4"/>
  <c r="F46" i="2"/>
  <c r="B45" i="2"/>
  <c r="D21" i="5"/>
  <c r="E21" i="5"/>
  <c r="I20" i="4"/>
  <c r="F47" i="2"/>
  <c r="E20" i="4"/>
  <c r="G20" i="4"/>
  <c r="B47" i="2"/>
  <c r="H20" i="4"/>
  <c r="H45" i="2"/>
  <c r="C21" i="5"/>
  <c r="F21" i="5"/>
  <c r="C47" i="2"/>
  <c r="J47" i="2"/>
  <c r="D20" i="4"/>
  <c r="B46" i="2"/>
  <c r="H46" i="2"/>
  <c r="C46" i="2"/>
  <c r="F45" i="2"/>
  <c r="J45" i="2"/>
  <c r="H21" i="5"/>
  <c r="H47" i="2"/>
  <c r="A48" i="2"/>
  <c r="I45" i="2"/>
  <c r="C45" i="2"/>
  <c r="G21" i="5"/>
  <c r="B22" i="5"/>
  <c r="C20" i="4"/>
  <c r="I47" i="2"/>
  <c r="F20" i="4"/>
  <c r="J20" i="4"/>
  <c r="I46" i="2"/>
  <c r="J46" i="2"/>
  <c r="N44" i="2"/>
  <c r="M44" i="2" l="1"/>
  <c r="K21" i="5"/>
  <c r="E46" i="2"/>
  <c r="K46" i="2"/>
  <c r="L46" i="2"/>
  <c r="A21" i="5"/>
  <c r="E45" i="2"/>
  <c r="K45" i="2"/>
  <c r="L45" i="2"/>
  <c r="O44" i="2"/>
  <c r="P44" i="2" s="1"/>
  <c r="Q44" i="2" s="1"/>
  <c r="A20" i="4"/>
  <c r="N20" i="4"/>
  <c r="K20" i="4"/>
  <c r="E47" i="2"/>
  <c r="K47" i="2"/>
  <c r="L47" i="2"/>
  <c r="R48" i="2"/>
  <c r="G48" i="2"/>
  <c r="L21" i="5"/>
  <c r="M18" i="5"/>
  <c r="L20" i="5"/>
  <c r="B22" i="4"/>
  <c r="J21" i="4"/>
  <c r="H21" i="4"/>
  <c r="I21" i="4"/>
  <c r="E21" i="4"/>
  <c r="N45" i="2"/>
  <c r="G22" i="5"/>
  <c r="F22" i="5"/>
  <c r="J48" i="2"/>
  <c r="F48" i="2"/>
  <c r="H22" i="5"/>
  <c r="B48" i="2"/>
  <c r="A49" i="2"/>
  <c r="N46" i="2"/>
  <c r="B3" i="7"/>
  <c r="D22" i="5"/>
  <c r="I48" i="2"/>
  <c r="C48" i="2"/>
  <c r="E22" i="5"/>
  <c r="C22" i="5"/>
  <c r="N47" i="2"/>
  <c r="H48" i="2"/>
  <c r="G21" i="4"/>
  <c r="C21" i="4"/>
  <c r="D21" i="4"/>
  <c r="F21" i="4"/>
  <c r="N21" i="4" l="1"/>
  <c r="A21" i="4"/>
  <c r="K21" i="4"/>
  <c r="M46" i="2"/>
  <c r="I22" i="5" s="1"/>
  <c r="J22" i="5"/>
  <c r="K22" i="5" s="1"/>
  <c r="M45" i="2"/>
  <c r="O45" i="2" s="1"/>
  <c r="P45" i="2" s="1"/>
  <c r="Q45" i="2" s="1"/>
  <c r="A22" i="5"/>
  <c r="L21" i="4"/>
  <c r="L20" i="4"/>
  <c r="E48" i="2"/>
  <c r="K48" i="2"/>
  <c r="L48" i="2"/>
  <c r="R49" i="2"/>
  <c r="G49" i="2"/>
  <c r="J3" i="7"/>
  <c r="M47" i="2"/>
  <c r="M21" i="5"/>
  <c r="M20" i="5"/>
  <c r="A50" i="2"/>
  <c r="I22" i="4"/>
  <c r="J22" i="4"/>
  <c r="F22" i="4"/>
  <c r="E22" i="4"/>
  <c r="D3" i="7"/>
  <c r="H3" i="7"/>
  <c r="B49" i="2"/>
  <c r="N48" i="2"/>
  <c r="E3" i="7"/>
  <c r="C49" i="2"/>
  <c r="F49" i="2"/>
  <c r="G3" i="7"/>
  <c r="B23" i="5"/>
  <c r="J49" i="2"/>
  <c r="D22" i="4"/>
  <c r="H22" i="4"/>
  <c r="G22" i="4"/>
  <c r="C22" i="4"/>
  <c r="H49" i="2"/>
  <c r="C3" i="7"/>
  <c r="F3" i="7"/>
  <c r="I49" i="2"/>
  <c r="A22" i="4" l="1"/>
  <c r="N22" i="4"/>
  <c r="K22" i="4"/>
  <c r="L22" i="4" s="1"/>
  <c r="R50" i="2"/>
  <c r="G50" i="2"/>
  <c r="O46" i="2"/>
  <c r="P46" i="2" s="1"/>
  <c r="Q46" i="2" s="1"/>
  <c r="A3" i="7"/>
  <c r="M21" i="4"/>
  <c r="M20" i="4"/>
  <c r="M22" i="4"/>
  <c r="L22" i="5"/>
  <c r="M48" i="2"/>
  <c r="I23" i="5" s="1"/>
  <c r="E49" i="2"/>
  <c r="K49" i="2"/>
  <c r="L49" i="2"/>
  <c r="J23" i="5"/>
  <c r="I3" i="7"/>
  <c r="O47" i="2"/>
  <c r="P47" i="2" s="1"/>
  <c r="Q47" i="2" s="1"/>
  <c r="AS122" i="1"/>
  <c r="AS123" i="1"/>
  <c r="AS59" i="1"/>
  <c r="AS110" i="1"/>
  <c r="AS114" i="1"/>
  <c r="AS117" i="1"/>
  <c r="AS119" i="1"/>
  <c r="AS121" i="1"/>
  <c r="AS200" i="1"/>
  <c r="AS224" i="1"/>
  <c r="AU224" i="1" s="1"/>
  <c r="AV224" i="1" s="1"/>
  <c r="AS303" i="1"/>
  <c r="AU303" i="1" s="1"/>
  <c r="AV303" i="1" s="1"/>
  <c r="AS359" i="1"/>
  <c r="AS236" i="1"/>
  <c r="AU236" i="1" s="1"/>
  <c r="AV236" i="1" s="1"/>
  <c r="AS319" i="1"/>
  <c r="AS356" i="1"/>
  <c r="AS350" i="1"/>
  <c r="AS385" i="1"/>
  <c r="AU385" i="1" s="1"/>
  <c r="AV385" i="1" s="1"/>
  <c r="AS301" i="1"/>
  <c r="AS336" i="1"/>
  <c r="AS267" i="1"/>
  <c r="AS140" i="1"/>
  <c r="AS332" i="1"/>
  <c r="AS79" i="1"/>
  <c r="AS420" i="1"/>
  <c r="AU420" i="1" s="1"/>
  <c r="AV420" i="1" s="1"/>
  <c r="AS427" i="1"/>
  <c r="AU427" i="1" s="1"/>
  <c r="AV427" i="1" s="1"/>
  <c r="AS377" i="1"/>
  <c r="AU377" i="1" s="1"/>
  <c r="AV377" i="1" s="1"/>
  <c r="AS84" i="1"/>
  <c r="AU84" i="1" s="1"/>
  <c r="AV84" i="1" s="1"/>
  <c r="AS145" i="1"/>
  <c r="AS34" i="1"/>
  <c r="AU34" i="1" s="1"/>
  <c r="AV34" i="1" s="1"/>
  <c r="AS102" i="1"/>
  <c r="AS54" i="1"/>
  <c r="AS46" i="1"/>
  <c r="AS135" i="1"/>
  <c r="AS76" i="1"/>
  <c r="AS29" i="1"/>
  <c r="AS100" i="1"/>
  <c r="AU100" i="1" s="1"/>
  <c r="AV100" i="1" s="1"/>
  <c r="AS56" i="1"/>
  <c r="AU56" i="1" s="1"/>
  <c r="AV56" i="1" s="1"/>
  <c r="AS116" i="1"/>
  <c r="AS137" i="1"/>
  <c r="AS416" i="1"/>
  <c r="AU416" i="1" s="1"/>
  <c r="AV416" i="1" s="1"/>
  <c r="AS398" i="1"/>
  <c r="AU398" i="1" s="1"/>
  <c r="AV398" i="1" s="1"/>
  <c r="AS423" i="1"/>
  <c r="AU423" i="1" s="1"/>
  <c r="AV423" i="1" s="1"/>
  <c r="AS391" i="1"/>
  <c r="AU391" i="1" s="1"/>
  <c r="AV391" i="1" s="1"/>
  <c r="AS357" i="1"/>
  <c r="AS179" i="1"/>
  <c r="AS378" i="1"/>
  <c r="AU378" i="1" s="1"/>
  <c r="AV378" i="1" s="1"/>
  <c r="AS338" i="1"/>
  <c r="AU338" i="1" s="1"/>
  <c r="AV338" i="1" s="1"/>
  <c r="AS270" i="1"/>
  <c r="AS196" i="1"/>
  <c r="AU196" i="1" s="1"/>
  <c r="AV196" i="1" s="1"/>
  <c r="AS314" i="1"/>
  <c r="AU314" i="1" s="1"/>
  <c r="AV314" i="1" s="1"/>
  <c r="AS247" i="1"/>
  <c r="AU247" i="1" s="1"/>
  <c r="AV247" i="1" s="1"/>
  <c r="AS195" i="1"/>
  <c r="AU195" i="1" s="1"/>
  <c r="AV195" i="1" s="1"/>
  <c r="AS248" i="1"/>
  <c r="AU248" i="1" s="1"/>
  <c r="AV248" i="1" s="1"/>
  <c r="AS228" i="1"/>
  <c r="AU228" i="1" s="1"/>
  <c r="AV228" i="1" s="1"/>
  <c r="AS326" i="1"/>
  <c r="AU326" i="1" s="1"/>
  <c r="AV326" i="1" s="1"/>
  <c r="AS197" i="1"/>
  <c r="AU197" i="1" s="1"/>
  <c r="AV197" i="1" s="1"/>
  <c r="AS89" i="1"/>
  <c r="AS109" i="1"/>
  <c r="AS63" i="1"/>
  <c r="AS21" i="1"/>
  <c r="AS24" i="1"/>
  <c r="AU24" i="1" s="1"/>
  <c r="AV24" i="1" s="1"/>
  <c r="AS254" i="1"/>
  <c r="AU254" i="1" s="1"/>
  <c r="AV254" i="1" s="1"/>
  <c r="AS156" i="1"/>
  <c r="AS279" i="1"/>
  <c r="AU279" i="1" s="1"/>
  <c r="AV279" i="1" s="1"/>
  <c r="AS241" i="1"/>
  <c r="AS207" i="1"/>
  <c r="AS278" i="1"/>
  <c r="AS78" i="1"/>
  <c r="AS146" i="1"/>
  <c r="AS289" i="1"/>
  <c r="AU289" i="1" s="1"/>
  <c r="AV289" i="1" s="1"/>
  <c r="AS153" i="1"/>
  <c r="AU153" i="1" s="1"/>
  <c r="AV153" i="1" s="1"/>
  <c r="AS53" i="1"/>
  <c r="AU53" i="1" s="1"/>
  <c r="AV53" i="1" s="1"/>
  <c r="AS68" i="1"/>
  <c r="AS71" i="1"/>
  <c r="AU71" i="1" s="1"/>
  <c r="AV71" i="1" s="1"/>
  <c r="AS96" i="1"/>
  <c r="AU96" i="1" s="1"/>
  <c r="AV96" i="1" s="1"/>
  <c r="AS388" i="1"/>
  <c r="AU388" i="1" s="1"/>
  <c r="AV388" i="1" s="1"/>
  <c r="AS351" i="1"/>
  <c r="AS374" i="1"/>
  <c r="AU374" i="1" s="1"/>
  <c r="AV374" i="1" s="1"/>
  <c r="AS411" i="1"/>
  <c r="AS363" i="1"/>
  <c r="AS181" i="1"/>
  <c r="AS424" i="1"/>
  <c r="AU424" i="1" s="1"/>
  <c r="AV424" i="1" s="1"/>
  <c r="AS386" i="1"/>
  <c r="AU386" i="1" s="1"/>
  <c r="AV386" i="1" s="1"/>
  <c r="AS362" i="1"/>
  <c r="AU362" i="1" s="1"/>
  <c r="AV362" i="1" s="1"/>
  <c r="AS373" i="1"/>
  <c r="AU373" i="1" s="1"/>
  <c r="AV373" i="1" s="1"/>
  <c r="AS58" i="1"/>
  <c r="AS262" i="1"/>
  <c r="AS296" i="1"/>
  <c r="AS209" i="1"/>
  <c r="AS284" i="1"/>
  <c r="AU284" i="1" s="1"/>
  <c r="AV284" i="1" s="1"/>
  <c r="AS168" i="1"/>
  <c r="AS291" i="1"/>
  <c r="AU291" i="1" s="1"/>
  <c r="AV291" i="1" s="1"/>
  <c r="AS155" i="1"/>
  <c r="AS57" i="1"/>
  <c r="AS72" i="1"/>
  <c r="AS27" i="1"/>
  <c r="AS90" i="1"/>
  <c r="AS32" i="1"/>
  <c r="AS266" i="1"/>
  <c r="AS313" i="1"/>
  <c r="AS245" i="1"/>
  <c r="AS191" i="1"/>
  <c r="AS242" i="1"/>
  <c r="AU242" i="1" s="1"/>
  <c r="AV242" i="1" s="1"/>
  <c r="AS324" i="1"/>
  <c r="AU324" i="1" s="1"/>
  <c r="AV324" i="1" s="1"/>
  <c r="AS157" i="1"/>
  <c r="AS18" i="1"/>
  <c r="AS95" i="1"/>
  <c r="AS16" i="1"/>
  <c r="AS124" i="1"/>
  <c r="AS38" i="1"/>
  <c r="AS380" i="1"/>
  <c r="AU380" i="1" s="1"/>
  <c r="AV380" i="1" s="1"/>
  <c r="AS400" i="1"/>
  <c r="AS180" i="1"/>
  <c r="AS383" i="1"/>
  <c r="AS341" i="1"/>
  <c r="AU341" i="1" s="1"/>
  <c r="AV341" i="1" s="1"/>
  <c r="AS360" i="1"/>
  <c r="AS394" i="1"/>
  <c r="AU394" i="1" s="1"/>
  <c r="AV394" i="1" s="1"/>
  <c r="AS425" i="1"/>
  <c r="AU425" i="1" s="1"/>
  <c r="AV425" i="1" s="1"/>
  <c r="AS413" i="1"/>
  <c r="AU413" i="1" s="1"/>
  <c r="AV413" i="1" s="1"/>
  <c r="AS337" i="1"/>
  <c r="AS307" i="1"/>
  <c r="AS170" i="1"/>
  <c r="AS255" i="1"/>
  <c r="AU255" i="1" s="1"/>
  <c r="AV255" i="1" s="1"/>
  <c r="AS223" i="1"/>
  <c r="AS167" i="1"/>
  <c r="AU167" i="1" s="1"/>
  <c r="AV167" i="1" s="1"/>
  <c r="AS222" i="1"/>
  <c r="AS325" i="1"/>
  <c r="AS308" i="1"/>
  <c r="AS173" i="1"/>
  <c r="AS70" i="1"/>
  <c r="AU70" i="1" s="1"/>
  <c r="AV70" i="1" s="1"/>
  <c r="AS25" i="1"/>
  <c r="AU25" i="1" s="1"/>
  <c r="AV25" i="1" s="1"/>
  <c r="AS15" i="1"/>
  <c r="AS40" i="1"/>
  <c r="AU40" i="1" s="1"/>
  <c r="AV40" i="1" s="1"/>
  <c r="AS42" i="1"/>
  <c r="AS274" i="1"/>
  <c r="AU274" i="1" s="1"/>
  <c r="AV274" i="1" s="1"/>
  <c r="AS329" i="1"/>
  <c r="AS269" i="1"/>
  <c r="AU269" i="1" s="1"/>
  <c r="AV269" i="1" s="1"/>
  <c r="AS233" i="1"/>
  <c r="AU233" i="1" s="1"/>
  <c r="AV233" i="1" s="1"/>
  <c r="AS199" i="1"/>
  <c r="AU199" i="1" s="1"/>
  <c r="AV199" i="1" s="1"/>
  <c r="AS258" i="1"/>
  <c r="AU258" i="1" s="1"/>
  <c r="AV258" i="1" s="1"/>
  <c r="AS276" i="1"/>
  <c r="AS328" i="1"/>
  <c r="AS142" i="1"/>
  <c r="AS93" i="1"/>
  <c r="AS47" i="1"/>
  <c r="AU47" i="1" s="1"/>
  <c r="AV47" i="1" s="1"/>
  <c r="AS103" i="1"/>
  <c r="AU103" i="1" s="1"/>
  <c r="AV103" i="1" s="1"/>
  <c r="AS19" i="1"/>
  <c r="AS372" i="1"/>
  <c r="AU372" i="1" s="1"/>
  <c r="AV372" i="1" s="1"/>
  <c r="AS392" i="1"/>
  <c r="AS419" i="1"/>
  <c r="AU419" i="1" s="1"/>
  <c r="AV419" i="1" s="1"/>
  <c r="AS349" i="1"/>
  <c r="AU349" i="1" s="1"/>
  <c r="AV349" i="1" s="1"/>
  <c r="AS364" i="1"/>
  <c r="AU364" i="1" s="1"/>
  <c r="AV364" i="1" s="1"/>
  <c r="AS370" i="1"/>
  <c r="AU370" i="1" s="1"/>
  <c r="AV370" i="1" s="1"/>
  <c r="AS389" i="1"/>
  <c r="AU389" i="1" s="1"/>
  <c r="AV389" i="1" s="1"/>
  <c r="AS292" i="1"/>
  <c r="AU292" i="1" s="1"/>
  <c r="AV292" i="1" s="1"/>
  <c r="AS232" i="1"/>
  <c r="AU232" i="1" s="1"/>
  <c r="AV232" i="1" s="1"/>
  <c r="AS139" i="1"/>
  <c r="AS271" i="1"/>
  <c r="AS235" i="1"/>
  <c r="AU235" i="1" s="1"/>
  <c r="AV235" i="1" s="1"/>
  <c r="AS264" i="1"/>
  <c r="AS309" i="1"/>
  <c r="AS283" i="1"/>
  <c r="AS81" i="1"/>
  <c r="AS104" i="1"/>
  <c r="AU104" i="1" s="1"/>
  <c r="AV104" i="1" s="1"/>
  <c r="AS127" i="1"/>
  <c r="AS3" i="1"/>
  <c r="AS132" i="1"/>
  <c r="AS14" i="1"/>
  <c r="AU14" i="1" s="1"/>
  <c r="AV14" i="1" s="1"/>
  <c r="AS166" i="1"/>
  <c r="AS320" i="1"/>
  <c r="AS237" i="1"/>
  <c r="AS203" i="1"/>
  <c r="AU203" i="1" s="1"/>
  <c r="AV203" i="1" s="1"/>
  <c r="AS214" i="1"/>
  <c r="AS317" i="1"/>
  <c r="AS306" i="1"/>
  <c r="AS169" i="1"/>
  <c r="AU169" i="1" s="1"/>
  <c r="AV169" i="1" s="1"/>
  <c r="AS66" i="1"/>
  <c r="AS33" i="1"/>
  <c r="AS144" i="1"/>
  <c r="AS99" i="1"/>
  <c r="AS107" i="1"/>
  <c r="AS112" i="1"/>
  <c r="AS115" i="1"/>
  <c r="AS118" i="1"/>
  <c r="AS120" i="1"/>
  <c r="AS294" i="1"/>
  <c r="AS208" i="1"/>
  <c r="AS240" i="1"/>
  <c r="AU240" i="1" s="1"/>
  <c r="AV240" i="1" s="1"/>
  <c r="AS347" i="1"/>
  <c r="AU347" i="1" s="1"/>
  <c r="AV347" i="1" s="1"/>
  <c r="AS158" i="1"/>
  <c r="AU158" i="1" s="1"/>
  <c r="AV158" i="1" s="1"/>
  <c r="AS250" i="1"/>
  <c r="AS352" i="1"/>
  <c r="AU352" i="1" s="1"/>
  <c r="AV352" i="1" s="1"/>
  <c r="AS212" i="1"/>
  <c r="AS152" i="1"/>
  <c r="AS369" i="1"/>
  <c r="AU369" i="1" s="1"/>
  <c r="AV369" i="1" s="1"/>
  <c r="AS154" i="1"/>
  <c r="AS281" i="1"/>
  <c r="AS149" i="1"/>
  <c r="AS342" i="1"/>
  <c r="AU342" i="1" s="1"/>
  <c r="AV342" i="1" s="1"/>
  <c r="AS175" i="1"/>
  <c r="AS396" i="1"/>
  <c r="AU396" i="1" s="1"/>
  <c r="AV396" i="1" s="1"/>
  <c r="AS164" i="1"/>
  <c r="AU164" i="1" s="1"/>
  <c r="AV164" i="1" s="1"/>
  <c r="AS409" i="1"/>
  <c r="AS305" i="1"/>
  <c r="AS275" i="1"/>
  <c r="AU275" i="1" s="1"/>
  <c r="AV275" i="1" s="1"/>
  <c r="AS13" i="1"/>
  <c r="AS97" i="1"/>
  <c r="AU97" i="1" s="1"/>
  <c r="AV97" i="1" s="1"/>
  <c r="AS50" i="1"/>
  <c r="AU50" i="1" s="1"/>
  <c r="AV50" i="1" s="1"/>
  <c r="AS60" i="1"/>
  <c r="AU60" i="1" s="1"/>
  <c r="AV60" i="1" s="1"/>
  <c r="AS128" i="1"/>
  <c r="AS67" i="1"/>
  <c r="AS9" i="1"/>
  <c r="AS37" i="1"/>
  <c r="AS52" i="1"/>
  <c r="AU52" i="1" s="1"/>
  <c r="AV52" i="1" s="1"/>
  <c r="AS62" i="1"/>
  <c r="AS130" i="1"/>
  <c r="AS69" i="1"/>
  <c r="AS430" i="1"/>
  <c r="AU430" i="1" s="1"/>
  <c r="AV430" i="1" s="1"/>
  <c r="AS366" i="1"/>
  <c r="AS407" i="1"/>
  <c r="AS375" i="1"/>
  <c r="AU375" i="1" s="1"/>
  <c r="AV375" i="1" s="1"/>
  <c r="AS348" i="1"/>
  <c r="AU348" i="1" s="1"/>
  <c r="AV348" i="1" s="1"/>
  <c r="AS404" i="1"/>
  <c r="AS365" i="1"/>
  <c r="AU365" i="1" s="1"/>
  <c r="AV365" i="1" s="1"/>
  <c r="AS260" i="1"/>
  <c r="AS218" i="1"/>
  <c r="AS321" i="1"/>
  <c r="AS265" i="1"/>
  <c r="AS213" i="1"/>
  <c r="AS311" i="1"/>
  <c r="AS192" i="1"/>
  <c r="AS282" i="1"/>
  <c r="AS300" i="1"/>
  <c r="AU300" i="1" s="1"/>
  <c r="AV300" i="1" s="1"/>
  <c r="AS159" i="1"/>
  <c r="AS75" i="1"/>
  <c r="AS43" i="1"/>
  <c r="AS98" i="1"/>
  <c r="AU98" i="1" s="1"/>
  <c r="AV98" i="1" s="1"/>
  <c r="AS101" i="1"/>
  <c r="AS315" i="1"/>
  <c r="AU315" i="1" s="1"/>
  <c r="AV315" i="1" s="1"/>
  <c r="AS194" i="1"/>
  <c r="AS186" i="1"/>
  <c r="AS257" i="1"/>
  <c r="AU257" i="1" s="1"/>
  <c r="AV257" i="1" s="1"/>
  <c r="AS225" i="1"/>
  <c r="AS171" i="1"/>
  <c r="AS230" i="1"/>
  <c r="AU230" i="1" s="1"/>
  <c r="AV230" i="1" s="1"/>
  <c r="AS160" i="1"/>
  <c r="AU160" i="1" s="1"/>
  <c r="AV160" i="1" s="1"/>
  <c r="AS310" i="1"/>
  <c r="AS183" i="1"/>
  <c r="AS74" i="1"/>
  <c r="AS31" i="1"/>
  <c r="AS87" i="1"/>
  <c r="AS86" i="1"/>
  <c r="AS88" i="1"/>
  <c r="AS376" i="1"/>
  <c r="AU376" i="1" s="1"/>
  <c r="AV376" i="1" s="1"/>
  <c r="AS406" i="1"/>
  <c r="AS431" i="1"/>
  <c r="AU431" i="1" s="1"/>
  <c r="AV431" i="1" s="1"/>
  <c r="AS379" i="1"/>
  <c r="AU379" i="1" s="1"/>
  <c r="AV379" i="1" s="1"/>
  <c r="AS333" i="1"/>
  <c r="AU333" i="1" s="1"/>
  <c r="AV333" i="1" s="1"/>
  <c r="AS355" i="1"/>
  <c r="AU355" i="1" s="1"/>
  <c r="AV355" i="1" s="1"/>
  <c r="AS418" i="1"/>
  <c r="AS401" i="1"/>
  <c r="AS405" i="1"/>
  <c r="AS340" i="1"/>
  <c r="AS327" i="1"/>
  <c r="AU327" i="1" s="1"/>
  <c r="AV327" i="1" s="1"/>
  <c r="AS202" i="1"/>
  <c r="AS259" i="1"/>
  <c r="AU259" i="1" s="1"/>
  <c r="AV259" i="1" s="1"/>
  <c r="AS185" i="1"/>
  <c r="AS234" i="1"/>
  <c r="AS162" i="1"/>
  <c r="AU162" i="1" s="1"/>
  <c r="AV162" i="1" s="1"/>
  <c r="AS189" i="1"/>
  <c r="AS77" i="1"/>
  <c r="AS39" i="1"/>
  <c r="AS51" i="1"/>
  <c r="AU51" i="1" s="1"/>
  <c r="AV51" i="1" s="1"/>
  <c r="AS126" i="1"/>
  <c r="AS11" i="1"/>
  <c r="AS335" i="1"/>
  <c r="AS210" i="1"/>
  <c r="AS263" i="1"/>
  <c r="AU263" i="1" s="1"/>
  <c r="AV263" i="1" s="1"/>
  <c r="AS229" i="1"/>
  <c r="AS295" i="1"/>
  <c r="AS188" i="1"/>
  <c r="AS298" i="1"/>
  <c r="AU298" i="1" s="1"/>
  <c r="AV298" i="1" s="1"/>
  <c r="AS111" i="1"/>
  <c r="AS131" i="1"/>
  <c r="AS8" i="1"/>
  <c r="AS48" i="1"/>
  <c r="AU48" i="1" s="1"/>
  <c r="AV48" i="1" s="1"/>
  <c r="AS134" i="1"/>
  <c r="AS7" i="1"/>
  <c r="AS368" i="1"/>
  <c r="AU368" i="1" s="1"/>
  <c r="AV368" i="1" s="1"/>
  <c r="AS414" i="1"/>
  <c r="AU414" i="1" s="1"/>
  <c r="AV414" i="1" s="1"/>
  <c r="AS415" i="1"/>
  <c r="AU415" i="1" s="1"/>
  <c r="AV415" i="1" s="1"/>
  <c r="AS367" i="1"/>
  <c r="AS344" i="1"/>
  <c r="AU344" i="1" s="1"/>
  <c r="AV344" i="1" s="1"/>
  <c r="AS426" i="1"/>
  <c r="AU426" i="1" s="1"/>
  <c r="AV426" i="1" s="1"/>
  <c r="AS354" i="1"/>
  <c r="AU354" i="1" s="1"/>
  <c r="AV354" i="1" s="1"/>
  <c r="AS345" i="1"/>
  <c r="AU345" i="1" s="1"/>
  <c r="AV345" i="1" s="1"/>
  <c r="AS381" i="1"/>
  <c r="AU381" i="1" s="1"/>
  <c r="AV381" i="1" s="1"/>
  <c r="AS35" i="1"/>
  <c r="AS148" i="1"/>
  <c r="AU148" i="1" s="1"/>
  <c r="AV148" i="1" s="1"/>
  <c r="AS277" i="1"/>
  <c r="AU277" i="1" s="1"/>
  <c r="AV277" i="1" s="1"/>
  <c r="AS239" i="1"/>
  <c r="AU239" i="1" s="1"/>
  <c r="AV239" i="1" s="1"/>
  <c r="AS205" i="1"/>
  <c r="AU205" i="1" s="1"/>
  <c r="AV205" i="1" s="1"/>
  <c r="AS272" i="1"/>
  <c r="AS244" i="1"/>
  <c r="AS80" i="1"/>
  <c r="AS287" i="1"/>
  <c r="AU287" i="1" s="1"/>
  <c r="AV287" i="1" s="1"/>
  <c r="AS151" i="1"/>
  <c r="AS49" i="1"/>
  <c r="AU49" i="1" s="1"/>
  <c r="AV49" i="1" s="1"/>
  <c r="AS106" i="1"/>
  <c r="AS45" i="1"/>
  <c r="AS65" i="1"/>
  <c r="AS293" i="1"/>
  <c r="AU293" i="1" s="1"/>
  <c r="AV293" i="1" s="1"/>
  <c r="AS226" i="1"/>
  <c r="AU226" i="1" s="1"/>
  <c r="AV226" i="1" s="1"/>
  <c r="AS316" i="1"/>
  <c r="AS249" i="1"/>
  <c r="AU249" i="1" s="1"/>
  <c r="AV249" i="1" s="1"/>
  <c r="AS215" i="1"/>
  <c r="AS323" i="1"/>
  <c r="AS198" i="1"/>
  <c r="AS290" i="1"/>
  <c r="AS161" i="1"/>
  <c r="AU161" i="1" s="1"/>
  <c r="AV161" i="1" s="1"/>
  <c r="AS129" i="1"/>
  <c r="AS6" i="1"/>
  <c r="AS20" i="1"/>
  <c r="AS136" i="1"/>
  <c r="AS4" i="1"/>
  <c r="AS428" i="1"/>
  <c r="AU428" i="1" s="1"/>
  <c r="AV428" i="1" s="1"/>
  <c r="AS422" i="1"/>
  <c r="AU422" i="1" s="1"/>
  <c r="AV422" i="1" s="1"/>
  <c r="AS403" i="1"/>
  <c r="AS177" i="1"/>
  <c r="AU177" i="1" s="1"/>
  <c r="AV177" i="1" s="1"/>
  <c r="AS402" i="1"/>
  <c r="AS361" i="1"/>
  <c r="AU361" i="1" s="1"/>
  <c r="AV361" i="1" s="1"/>
  <c r="AS353" i="1"/>
  <c r="AS280" i="1"/>
  <c r="AU280" i="1" s="1"/>
  <c r="AV280" i="1" s="1"/>
  <c r="AS82" i="1"/>
  <c r="AU82" i="1" s="1"/>
  <c r="AV82" i="1" s="1"/>
  <c r="AS318" i="1"/>
  <c r="AS251" i="1"/>
  <c r="AS217" i="1"/>
  <c r="AS141" i="1"/>
  <c r="AS330" i="1"/>
  <c r="AS165" i="1"/>
  <c r="AS133" i="1"/>
  <c r="AS10" i="1"/>
  <c r="AS91" i="1"/>
  <c r="AS61" i="1"/>
  <c r="AS92" i="1"/>
  <c r="AU92" i="1" s="1"/>
  <c r="AV92" i="1" s="1"/>
  <c r="AS238" i="1"/>
  <c r="AS143" i="1"/>
  <c r="AS253" i="1"/>
  <c r="AS221" i="1"/>
  <c r="AS268" i="1"/>
  <c r="AU268" i="1" s="1"/>
  <c r="AV268" i="1" s="1"/>
  <c r="AS220" i="1"/>
  <c r="AU220" i="1" s="1"/>
  <c r="AV220" i="1" s="1"/>
  <c r="AS334" i="1"/>
  <c r="AS285" i="1"/>
  <c r="AU285" i="1" s="1"/>
  <c r="AV285" i="1" s="1"/>
  <c r="AS147" i="1"/>
  <c r="AU147" i="1" s="1"/>
  <c r="AV147" i="1" s="1"/>
  <c r="AS85" i="1"/>
  <c r="AS36" i="1"/>
  <c r="A51" i="2"/>
  <c r="F50" i="2"/>
  <c r="B23" i="4" s="1"/>
  <c r="I50" i="2"/>
  <c r="J50" i="2"/>
  <c r="B50" i="2"/>
  <c r="C50" i="2"/>
  <c r="H50" i="2"/>
  <c r="H23" i="5"/>
  <c r="C23" i="5"/>
  <c r="F23" i="5"/>
  <c r="N49" i="2"/>
  <c r="G23" i="5"/>
  <c r="E23" i="5"/>
  <c r="B24" i="5"/>
  <c r="D23" i="5"/>
  <c r="L50" i="2" l="1"/>
  <c r="E50" i="2"/>
  <c r="K50" i="2"/>
  <c r="G51" i="2"/>
  <c r="R51" i="2"/>
  <c r="I30" i="5"/>
  <c r="K30" i="5" s="1"/>
  <c r="L30" i="5" s="1"/>
  <c r="M30" i="5" s="1"/>
  <c r="M50" i="2"/>
  <c r="A23" i="5"/>
  <c r="K3" i="7"/>
  <c r="K23" i="5"/>
  <c r="O48" i="2"/>
  <c r="P48" i="2" s="1"/>
  <c r="Q48" i="2" s="1"/>
  <c r="M22" i="5"/>
  <c r="J24" i="5"/>
  <c r="M49" i="2"/>
  <c r="AU36" i="1"/>
  <c r="AV36" i="1" s="1"/>
  <c r="AW147" i="1"/>
  <c r="AX147" i="1"/>
  <c r="AU334" i="1"/>
  <c r="AV334" i="1" s="1"/>
  <c r="AW268" i="1"/>
  <c r="AX268" i="1"/>
  <c r="AU253" i="1"/>
  <c r="AV253" i="1" s="1"/>
  <c r="AU238" i="1"/>
  <c r="AV238" i="1" s="1"/>
  <c r="AU61" i="1"/>
  <c r="AV61" i="1" s="1"/>
  <c r="AU10" i="1"/>
  <c r="AV10" i="1" s="1"/>
  <c r="AU165" i="1"/>
  <c r="AV165" i="1" s="1"/>
  <c r="AU141" i="1"/>
  <c r="AV141" i="1" s="1"/>
  <c r="AW82" i="1"/>
  <c r="AX82" i="1"/>
  <c r="AU353" i="1"/>
  <c r="AV353" i="1" s="1"/>
  <c r="AX428" i="1"/>
  <c r="AW428" i="1"/>
  <c r="AU136" i="1"/>
  <c r="AV136" i="1" s="1"/>
  <c r="AU6" i="1"/>
  <c r="AV6" i="1" s="1"/>
  <c r="AX161" i="1"/>
  <c r="AW161" i="1"/>
  <c r="AU316" i="1"/>
  <c r="AV316" i="1" s="1"/>
  <c r="AX293" i="1"/>
  <c r="AW293" i="1"/>
  <c r="AU45" i="1"/>
  <c r="AV45" i="1" s="1"/>
  <c r="AX49" i="1"/>
  <c r="AW49" i="1"/>
  <c r="AW287" i="1"/>
  <c r="AX287" i="1"/>
  <c r="AW205" i="1"/>
  <c r="AX205" i="1"/>
  <c r="AX277" i="1"/>
  <c r="AW277" i="1"/>
  <c r="AU35" i="1"/>
  <c r="AV35" i="1" s="1"/>
  <c r="AW345" i="1"/>
  <c r="AX345" i="1"/>
  <c r="AX426" i="1"/>
  <c r="AW426" i="1"/>
  <c r="AU367" i="1"/>
  <c r="AV367" i="1" s="1"/>
  <c r="AW414" i="1"/>
  <c r="AX414" i="1"/>
  <c r="AU7" i="1"/>
  <c r="AV7" i="1" s="1"/>
  <c r="AW48" i="1"/>
  <c r="AX48" i="1"/>
  <c r="AU131" i="1"/>
  <c r="AV131" i="1" s="1"/>
  <c r="AX298" i="1"/>
  <c r="AW298" i="1"/>
  <c r="AW263" i="1"/>
  <c r="AX263" i="1"/>
  <c r="AU335" i="1"/>
  <c r="AV335" i="1" s="1"/>
  <c r="AU126" i="1"/>
  <c r="AV126" i="1" s="1"/>
  <c r="AU39" i="1"/>
  <c r="AV39" i="1" s="1"/>
  <c r="AU234" i="1"/>
  <c r="AV234" i="1" s="1"/>
  <c r="AX259" i="1"/>
  <c r="AW259" i="1"/>
  <c r="AX327" i="1"/>
  <c r="AW327" i="1"/>
  <c r="AX333" i="1"/>
  <c r="AW333" i="1"/>
  <c r="AX431" i="1"/>
  <c r="AW431" i="1"/>
  <c r="AW376" i="1"/>
  <c r="AX376" i="1"/>
  <c r="AU86" i="1"/>
  <c r="AV86" i="1" s="1"/>
  <c r="AU31" i="1"/>
  <c r="AV31" i="1" s="1"/>
  <c r="AX160" i="1"/>
  <c r="AW160" i="1"/>
  <c r="AU171" i="1"/>
  <c r="AV171" i="1" s="1"/>
  <c r="AX257" i="1"/>
  <c r="AW257" i="1"/>
  <c r="AU101" i="1"/>
  <c r="AV101" i="1" s="1"/>
  <c r="AU43" i="1"/>
  <c r="AV43" i="1" s="1"/>
  <c r="AU159" i="1"/>
  <c r="AV159" i="1" s="1"/>
  <c r="AU282" i="1"/>
  <c r="AV282" i="1" s="1"/>
  <c r="AU311" i="1"/>
  <c r="AV311" i="1" s="1"/>
  <c r="AU265" i="1"/>
  <c r="AV265" i="1" s="1"/>
  <c r="AW365" i="1"/>
  <c r="AX365" i="1"/>
  <c r="AX348" i="1"/>
  <c r="AW348" i="1"/>
  <c r="AX430" i="1"/>
  <c r="AW430" i="1"/>
  <c r="AU130" i="1"/>
  <c r="AV130" i="1" s="1"/>
  <c r="AW52" i="1"/>
  <c r="AX52" i="1"/>
  <c r="AU9" i="1"/>
  <c r="AV9" i="1" s="1"/>
  <c r="AU128" i="1"/>
  <c r="AV128" i="1" s="1"/>
  <c r="AW50" i="1"/>
  <c r="AX50" i="1"/>
  <c r="AU13" i="1"/>
  <c r="AV13" i="1" s="1"/>
  <c r="AX164" i="1"/>
  <c r="AW164" i="1"/>
  <c r="AU149" i="1"/>
  <c r="AV149" i="1" s="1"/>
  <c r="AU154" i="1"/>
  <c r="AV154" i="1" s="1"/>
  <c r="AU152" i="1"/>
  <c r="AV152" i="1" s="1"/>
  <c r="AX352" i="1"/>
  <c r="AW352" i="1"/>
  <c r="AW158" i="1"/>
  <c r="AX158" i="1"/>
  <c r="AX240" i="1"/>
  <c r="AW240" i="1"/>
  <c r="AU99" i="1"/>
  <c r="AV99" i="1" s="1"/>
  <c r="AU33" i="1"/>
  <c r="AV33" i="1" s="1"/>
  <c r="AX169" i="1"/>
  <c r="AW169" i="1"/>
  <c r="AU317" i="1"/>
  <c r="AV317" i="1" s="1"/>
  <c r="AW203" i="1"/>
  <c r="AX203" i="1"/>
  <c r="AU320" i="1"/>
  <c r="AV320" i="1" s="1"/>
  <c r="AW14" i="1"/>
  <c r="AX14" i="1"/>
  <c r="AU3" i="1"/>
  <c r="AV3" i="1" s="1"/>
  <c r="AW104" i="1"/>
  <c r="AX104" i="1"/>
  <c r="AU283" i="1"/>
  <c r="AV283" i="1" s="1"/>
  <c r="AU264" i="1"/>
  <c r="AV264" i="1" s="1"/>
  <c r="AU271" i="1"/>
  <c r="AV271" i="1" s="1"/>
  <c r="AX232" i="1"/>
  <c r="AW232" i="1"/>
  <c r="AW389" i="1"/>
  <c r="AX389" i="1"/>
  <c r="AX364" i="1"/>
  <c r="AW364" i="1"/>
  <c r="AX419" i="1"/>
  <c r="AW419" i="1"/>
  <c r="AW372" i="1"/>
  <c r="AX372" i="1"/>
  <c r="AW103" i="1"/>
  <c r="AX103" i="1"/>
  <c r="AU93" i="1"/>
  <c r="AV93" i="1" s="1"/>
  <c r="AU328" i="1"/>
  <c r="AV328" i="1" s="1"/>
  <c r="AW258" i="1"/>
  <c r="AX258" i="1"/>
  <c r="AW233" i="1"/>
  <c r="AX233" i="1"/>
  <c r="AU329" i="1"/>
  <c r="AV329" i="1" s="1"/>
  <c r="AU42" i="1"/>
  <c r="AV42" i="1" s="1"/>
  <c r="AU15" i="1"/>
  <c r="AV15" i="1" s="1"/>
  <c r="AX70" i="1"/>
  <c r="AW70" i="1"/>
  <c r="AU308" i="1"/>
  <c r="AV308" i="1" s="1"/>
  <c r="AU222" i="1"/>
  <c r="AV222" i="1" s="1"/>
  <c r="AU223" i="1"/>
  <c r="AV223" i="1" s="1"/>
  <c r="AU170" i="1"/>
  <c r="AV170" i="1" s="1"/>
  <c r="AU337" i="1"/>
  <c r="AV337" i="1" s="1"/>
  <c r="AW425" i="1"/>
  <c r="AX425" i="1"/>
  <c r="AU360" i="1"/>
  <c r="AV360" i="1" s="1"/>
  <c r="AU38" i="1"/>
  <c r="AV38" i="1" s="1"/>
  <c r="AU16" i="1"/>
  <c r="AV16" i="1" s="1"/>
  <c r="AU18" i="1"/>
  <c r="AV18" i="1" s="1"/>
  <c r="AX324" i="1"/>
  <c r="AW324" i="1"/>
  <c r="AU313" i="1"/>
  <c r="AV313" i="1" s="1"/>
  <c r="AU32" i="1"/>
  <c r="AV32" i="1" s="1"/>
  <c r="AU57" i="1"/>
  <c r="AV57" i="1" s="1"/>
  <c r="AW291" i="1"/>
  <c r="AX291" i="1"/>
  <c r="AW284" i="1"/>
  <c r="AX284" i="1"/>
  <c r="AU58" i="1"/>
  <c r="AV58" i="1" s="1"/>
  <c r="AW362" i="1"/>
  <c r="AX362" i="1"/>
  <c r="AX424" i="1"/>
  <c r="AW424" i="1"/>
  <c r="AU363" i="1"/>
  <c r="AV363" i="1" s="1"/>
  <c r="AW374" i="1"/>
  <c r="AX374" i="1"/>
  <c r="AX388" i="1"/>
  <c r="AW388" i="1"/>
  <c r="AX71" i="1"/>
  <c r="AW71" i="1"/>
  <c r="AW53" i="1"/>
  <c r="AX53" i="1"/>
  <c r="AX289" i="1"/>
  <c r="AW289" i="1"/>
  <c r="AU78" i="1"/>
  <c r="AV78" i="1" s="1"/>
  <c r="AW279" i="1"/>
  <c r="AX279" i="1"/>
  <c r="AW254" i="1"/>
  <c r="AX254" i="1"/>
  <c r="AU21" i="1"/>
  <c r="AV21" i="1" s="1"/>
  <c r="AU109" i="1"/>
  <c r="AV109" i="1" s="1"/>
  <c r="AX197" i="1"/>
  <c r="AW197" i="1"/>
  <c r="AX228" i="1"/>
  <c r="AW228" i="1"/>
  <c r="AX195" i="1"/>
  <c r="AW195" i="1"/>
  <c r="AX314" i="1"/>
  <c r="AW314" i="1"/>
  <c r="AU270" i="1"/>
  <c r="AV270" i="1" s="1"/>
  <c r="AX378" i="1"/>
  <c r="AW378" i="1"/>
  <c r="AU357" i="1"/>
  <c r="AV357" i="1" s="1"/>
  <c r="AX423" i="1"/>
  <c r="AW423" i="1"/>
  <c r="AX416" i="1"/>
  <c r="AW416" i="1"/>
  <c r="AX100" i="1"/>
  <c r="AW100" i="1"/>
  <c r="AU76" i="1"/>
  <c r="AV76" i="1" s="1"/>
  <c r="AU46" i="1"/>
  <c r="AV46" i="1" s="1"/>
  <c r="AU102" i="1"/>
  <c r="AV102" i="1" s="1"/>
  <c r="AX377" i="1"/>
  <c r="AW377" i="1"/>
  <c r="AX420" i="1"/>
  <c r="AW420" i="1"/>
  <c r="AU332" i="1"/>
  <c r="AV332" i="1" s="1"/>
  <c r="AU267" i="1"/>
  <c r="AV267" i="1" s="1"/>
  <c r="AU350" i="1"/>
  <c r="AV350" i="1" s="1"/>
  <c r="AU319" i="1"/>
  <c r="AV319" i="1" s="1"/>
  <c r="AU359" i="1"/>
  <c r="AV359" i="1" s="1"/>
  <c r="AX224" i="1"/>
  <c r="AW224" i="1"/>
  <c r="AU85" i="1"/>
  <c r="AV85" i="1" s="1"/>
  <c r="AX285" i="1"/>
  <c r="AW285" i="1"/>
  <c r="AW220" i="1"/>
  <c r="AX220" i="1"/>
  <c r="AU221" i="1"/>
  <c r="AV221" i="1" s="1"/>
  <c r="AX92" i="1"/>
  <c r="AW92" i="1"/>
  <c r="AU91" i="1"/>
  <c r="AV91" i="1" s="1"/>
  <c r="AU133" i="1"/>
  <c r="AV133" i="1" s="1"/>
  <c r="AU330" i="1"/>
  <c r="AV330" i="1" s="1"/>
  <c r="AU318" i="1"/>
  <c r="AV318" i="1" s="1"/>
  <c r="AX280" i="1"/>
  <c r="AW280" i="1"/>
  <c r="AW361" i="1"/>
  <c r="AX361" i="1"/>
  <c r="AX177" i="1"/>
  <c r="AW177" i="1"/>
  <c r="AX422" i="1"/>
  <c r="AW422" i="1"/>
  <c r="AU4" i="1"/>
  <c r="AV4" i="1" s="1"/>
  <c r="AU20" i="1"/>
  <c r="AV20" i="1" s="1"/>
  <c r="AU129" i="1"/>
  <c r="AV129" i="1" s="1"/>
  <c r="AU323" i="1"/>
  <c r="AV323" i="1" s="1"/>
  <c r="AW249" i="1"/>
  <c r="AX249" i="1"/>
  <c r="AX226" i="1"/>
  <c r="AW226" i="1"/>
  <c r="AU65" i="1"/>
  <c r="AV65" i="1" s="1"/>
  <c r="AU151" i="1"/>
  <c r="AV151" i="1" s="1"/>
  <c r="AU80" i="1"/>
  <c r="AV80" i="1" s="1"/>
  <c r="AU272" i="1"/>
  <c r="AV272" i="1" s="1"/>
  <c r="AW239" i="1"/>
  <c r="AX239" i="1"/>
  <c r="AX148" i="1"/>
  <c r="AW148" i="1"/>
  <c r="AW381" i="1"/>
  <c r="AX381" i="1"/>
  <c r="AW354" i="1"/>
  <c r="AX354" i="1"/>
  <c r="AW344" i="1"/>
  <c r="AX344" i="1"/>
  <c r="AX415" i="1"/>
  <c r="AW415" i="1"/>
  <c r="AW368" i="1"/>
  <c r="AX368" i="1"/>
  <c r="AU134" i="1"/>
  <c r="AV134" i="1" s="1"/>
  <c r="AU8" i="1"/>
  <c r="AV8" i="1" s="1"/>
  <c r="AU111" i="1"/>
  <c r="AV111" i="1" s="1"/>
  <c r="AU229" i="1"/>
  <c r="AV229" i="1" s="1"/>
  <c r="AU11" i="1"/>
  <c r="AV11" i="1" s="1"/>
  <c r="AW51" i="1"/>
  <c r="AX51" i="1"/>
  <c r="AU77" i="1"/>
  <c r="AV77" i="1" s="1"/>
  <c r="AW162" i="1"/>
  <c r="AX162" i="1"/>
  <c r="AU340" i="1"/>
  <c r="AV340" i="1" s="1"/>
  <c r="AX355" i="1"/>
  <c r="AW355" i="1"/>
  <c r="AW379" i="1"/>
  <c r="AX379" i="1"/>
  <c r="AU88" i="1"/>
  <c r="AV88" i="1" s="1"/>
  <c r="AU87" i="1"/>
  <c r="AV87" i="1" s="1"/>
  <c r="AU74" i="1"/>
  <c r="AV74" i="1" s="1"/>
  <c r="AU310" i="1"/>
  <c r="AV310" i="1" s="1"/>
  <c r="AX230" i="1"/>
  <c r="AW230" i="1"/>
  <c r="AU225" i="1"/>
  <c r="AV225" i="1" s="1"/>
  <c r="AW315" i="1"/>
  <c r="AX315" i="1"/>
  <c r="AW98" i="1"/>
  <c r="AX98" i="1"/>
  <c r="AU75" i="1"/>
  <c r="AV75" i="1" s="1"/>
  <c r="AX300" i="1"/>
  <c r="AW300" i="1"/>
  <c r="AU321" i="1"/>
  <c r="AV321" i="1" s="1"/>
  <c r="AU260" i="1"/>
  <c r="AV260" i="1" s="1"/>
  <c r="AW375" i="1"/>
  <c r="AX375" i="1"/>
  <c r="AU366" i="1"/>
  <c r="AV366" i="1" s="1"/>
  <c r="AU69" i="1"/>
  <c r="AV69" i="1" s="1"/>
  <c r="AU62" i="1"/>
  <c r="AV62" i="1" s="1"/>
  <c r="AU37" i="1"/>
  <c r="AV37" i="1" s="1"/>
  <c r="AU67" i="1"/>
  <c r="AV67" i="1" s="1"/>
  <c r="AX60" i="1"/>
  <c r="AW60" i="1"/>
  <c r="AX97" i="1"/>
  <c r="AW97" i="1"/>
  <c r="AX275" i="1"/>
  <c r="AW275" i="1"/>
  <c r="AX396" i="1"/>
  <c r="AW396" i="1"/>
  <c r="AX342" i="1"/>
  <c r="AW342" i="1"/>
  <c r="AU281" i="1"/>
  <c r="AV281" i="1" s="1"/>
  <c r="AX369" i="1"/>
  <c r="AW369" i="1"/>
  <c r="AX347" i="1"/>
  <c r="AW347" i="1"/>
  <c r="AU66" i="1"/>
  <c r="AV66" i="1" s="1"/>
  <c r="AU306" i="1"/>
  <c r="AV306" i="1" s="1"/>
  <c r="AU237" i="1"/>
  <c r="AV237" i="1" s="1"/>
  <c r="AU166" i="1"/>
  <c r="AV166" i="1" s="1"/>
  <c r="AU132" i="1"/>
  <c r="AV132" i="1" s="1"/>
  <c r="AU127" i="1"/>
  <c r="AV127" i="1" s="1"/>
  <c r="AU81" i="1"/>
  <c r="AV81" i="1" s="1"/>
  <c r="AU309" i="1"/>
  <c r="AV309" i="1" s="1"/>
  <c r="AX235" i="1"/>
  <c r="AW235" i="1"/>
  <c r="AU139" i="1"/>
  <c r="AV139" i="1" s="1"/>
  <c r="AW292" i="1"/>
  <c r="AX292" i="1"/>
  <c r="AX370" i="1"/>
  <c r="AW370" i="1"/>
  <c r="AX349" i="1"/>
  <c r="AW349" i="1"/>
  <c r="AU19" i="1"/>
  <c r="AV19" i="1" s="1"/>
  <c r="AW47" i="1"/>
  <c r="AX47" i="1"/>
  <c r="AU142" i="1"/>
  <c r="AV142" i="1" s="1"/>
  <c r="AU276" i="1"/>
  <c r="AV276" i="1" s="1"/>
  <c r="AW199" i="1"/>
  <c r="AX199" i="1"/>
  <c r="AW269" i="1"/>
  <c r="AX269" i="1"/>
  <c r="AX274" i="1"/>
  <c r="AW274" i="1"/>
  <c r="AX40" i="1"/>
  <c r="AW40" i="1"/>
  <c r="AX25" i="1"/>
  <c r="AW25" i="1"/>
  <c r="AU325" i="1"/>
  <c r="AV325" i="1" s="1"/>
  <c r="AX167" i="1"/>
  <c r="AW167" i="1"/>
  <c r="AX255" i="1"/>
  <c r="AW255" i="1"/>
  <c r="AU307" i="1"/>
  <c r="AV307" i="1" s="1"/>
  <c r="AX413" i="1"/>
  <c r="AW413" i="1"/>
  <c r="AW394" i="1"/>
  <c r="AX394" i="1"/>
  <c r="AW341" i="1"/>
  <c r="AX341" i="1"/>
  <c r="AW380" i="1"/>
  <c r="AX380" i="1"/>
  <c r="AU95" i="1"/>
  <c r="AV95" i="1" s="1"/>
  <c r="AU157" i="1"/>
  <c r="AV157" i="1" s="1"/>
  <c r="AW242" i="1"/>
  <c r="AX242" i="1"/>
  <c r="AU245" i="1"/>
  <c r="AV245" i="1" s="1"/>
  <c r="AU266" i="1"/>
  <c r="AV266" i="1" s="1"/>
  <c r="AU90" i="1"/>
  <c r="AV90" i="1" s="1"/>
  <c r="AU72" i="1"/>
  <c r="AV72" i="1" s="1"/>
  <c r="AU155" i="1"/>
  <c r="AV155" i="1" s="1"/>
  <c r="AU168" i="1"/>
  <c r="AV168" i="1" s="1"/>
  <c r="AU262" i="1"/>
  <c r="AV262" i="1" s="1"/>
  <c r="AW373" i="1"/>
  <c r="AX373" i="1"/>
  <c r="AX386" i="1"/>
  <c r="AW386" i="1"/>
  <c r="AU351" i="1"/>
  <c r="AV351" i="1" s="1"/>
  <c r="AW96" i="1"/>
  <c r="AX96" i="1"/>
  <c r="AU68" i="1"/>
  <c r="AV68" i="1" s="1"/>
  <c r="AW153" i="1"/>
  <c r="AX153" i="1"/>
  <c r="AU146" i="1"/>
  <c r="AV146" i="1" s="1"/>
  <c r="AU278" i="1"/>
  <c r="AV278" i="1" s="1"/>
  <c r="AU241" i="1"/>
  <c r="AV241" i="1" s="1"/>
  <c r="AU156" i="1"/>
  <c r="AV156" i="1" s="1"/>
  <c r="AX24" i="1"/>
  <c r="AW24" i="1"/>
  <c r="AU63" i="1"/>
  <c r="AV63" i="1" s="1"/>
  <c r="AU89" i="1"/>
  <c r="AV89" i="1" s="1"/>
  <c r="AX326" i="1"/>
  <c r="AW326" i="1"/>
  <c r="AX248" i="1"/>
  <c r="AW248" i="1"/>
  <c r="AW247" i="1"/>
  <c r="AX247" i="1"/>
  <c r="AW196" i="1"/>
  <c r="AX196" i="1"/>
  <c r="AX338" i="1"/>
  <c r="AW338" i="1"/>
  <c r="AW391" i="1"/>
  <c r="AX391" i="1"/>
  <c r="AX398" i="1"/>
  <c r="AW398" i="1"/>
  <c r="AU137" i="1"/>
  <c r="AV137" i="1" s="1"/>
  <c r="AW56" i="1"/>
  <c r="AX56" i="1"/>
  <c r="AU135" i="1"/>
  <c r="AV135" i="1" s="1"/>
  <c r="AU54" i="1"/>
  <c r="AV54" i="1" s="1"/>
  <c r="AW34" i="1"/>
  <c r="AX34" i="1"/>
  <c r="AX84" i="1"/>
  <c r="AW84" i="1"/>
  <c r="AW427" i="1"/>
  <c r="AX427" i="1"/>
  <c r="AU79" i="1"/>
  <c r="AV79" i="1" s="1"/>
  <c r="AU140" i="1"/>
  <c r="AV140" i="1" s="1"/>
  <c r="AU336" i="1"/>
  <c r="AV336" i="1" s="1"/>
  <c r="AX385" i="1"/>
  <c r="AW385" i="1"/>
  <c r="AX236" i="1"/>
  <c r="AW236" i="1"/>
  <c r="AX303" i="1"/>
  <c r="AW303" i="1"/>
  <c r="AU59" i="1"/>
  <c r="AV59" i="1" s="1"/>
  <c r="E23" i="4"/>
  <c r="D23" i="4"/>
  <c r="H23" i="4"/>
  <c r="J23" i="4"/>
  <c r="J51" i="2"/>
  <c r="I51" i="2"/>
  <c r="H51" i="2"/>
  <c r="N50" i="2"/>
  <c r="C23" i="4"/>
  <c r="I23" i="4"/>
  <c r="G23" i="4"/>
  <c r="F23" i="4"/>
  <c r="A52" i="2"/>
  <c r="B51" i="2"/>
  <c r="C51" i="2"/>
  <c r="F51" i="2"/>
  <c r="F24" i="5"/>
  <c r="C24" i="5"/>
  <c r="D24" i="5"/>
  <c r="G24" i="5"/>
  <c r="E24" i="5"/>
  <c r="H24" i="5"/>
  <c r="B24" i="4"/>
  <c r="E51" i="2" l="1"/>
  <c r="K51" i="2"/>
  <c r="L51" i="2"/>
  <c r="R52" i="2"/>
  <c r="G52" i="2"/>
  <c r="K23" i="4"/>
  <c r="L23" i="4" s="1"/>
  <c r="M23" i="4" s="1"/>
  <c r="A23" i="4"/>
  <c r="N23" i="4"/>
  <c r="O50" i="2"/>
  <c r="P50" i="2" s="1"/>
  <c r="Q50" i="2" s="1"/>
  <c r="A24" i="5"/>
  <c r="L3" i="7"/>
  <c r="L23" i="5"/>
  <c r="I24" i="5"/>
  <c r="O49" i="2"/>
  <c r="P49" i="2" s="1"/>
  <c r="Q49" i="2" s="1"/>
  <c r="AW59" i="1"/>
  <c r="AX59" i="1"/>
  <c r="AX140" i="1"/>
  <c r="AW140" i="1"/>
  <c r="AW54" i="1"/>
  <c r="AX54" i="1"/>
  <c r="AX137" i="1"/>
  <c r="AW137" i="1"/>
  <c r="AX266" i="1"/>
  <c r="AW266" i="1"/>
  <c r="AW19" i="1"/>
  <c r="AX19" i="1"/>
  <c r="AX166" i="1"/>
  <c r="AW166" i="1"/>
  <c r="AX281" i="1"/>
  <c r="AW281" i="1"/>
  <c r="AX67" i="1"/>
  <c r="AW67" i="1"/>
  <c r="AW37" i="1"/>
  <c r="AX37" i="1"/>
  <c r="AX62" i="1"/>
  <c r="AW62" i="1"/>
  <c r="AX69" i="1"/>
  <c r="AW69" i="1"/>
  <c r="AX366" i="1"/>
  <c r="AW366" i="1"/>
  <c r="AX74" i="1"/>
  <c r="AW74" i="1"/>
  <c r="AX272" i="1"/>
  <c r="AW272" i="1"/>
  <c r="AX20" i="1"/>
  <c r="AW20" i="1"/>
  <c r="AW357" i="1"/>
  <c r="AX357" i="1"/>
  <c r="AW109" i="1"/>
  <c r="AX109" i="1"/>
  <c r="AX78" i="1"/>
  <c r="AW78" i="1"/>
  <c r="AW363" i="1"/>
  <c r="AX363" i="1"/>
  <c r="AW58" i="1"/>
  <c r="AX58" i="1"/>
  <c r="AW57" i="1"/>
  <c r="AX57" i="1"/>
  <c r="AW313" i="1"/>
  <c r="AX313" i="1"/>
  <c r="AX337" i="1"/>
  <c r="AW337" i="1"/>
  <c r="AW223" i="1"/>
  <c r="AX223" i="1"/>
  <c r="AX222" i="1"/>
  <c r="AW222" i="1"/>
  <c r="AX308" i="1"/>
  <c r="AW308" i="1"/>
  <c r="AX42" i="1"/>
  <c r="AW42" i="1"/>
  <c r="AW329" i="1"/>
  <c r="AX329" i="1"/>
  <c r="AW328" i="1"/>
  <c r="AX328" i="1"/>
  <c r="AW93" i="1"/>
  <c r="AX93" i="1"/>
  <c r="AW283" i="1"/>
  <c r="AX283" i="1"/>
  <c r="AX3" i="1"/>
  <c r="AW3" i="1"/>
  <c r="AW320" i="1"/>
  <c r="AX320" i="1"/>
  <c r="AW317" i="1"/>
  <c r="AX317" i="1"/>
  <c r="AX99" i="1"/>
  <c r="AW99" i="1"/>
  <c r="AW152" i="1"/>
  <c r="AX152" i="1"/>
  <c r="AW154" i="1"/>
  <c r="AX154" i="1"/>
  <c r="AX149" i="1"/>
  <c r="AW149" i="1"/>
  <c r="AX13" i="1"/>
  <c r="AW13" i="1"/>
  <c r="AW128" i="1"/>
  <c r="AX128" i="1"/>
  <c r="AW9" i="1"/>
  <c r="AX9" i="1"/>
  <c r="AW130" i="1"/>
  <c r="AX130" i="1"/>
  <c r="AW171" i="1"/>
  <c r="AX171" i="1"/>
  <c r="AX31" i="1"/>
  <c r="AW31" i="1"/>
  <c r="AX39" i="1"/>
  <c r="AW39" i="1"/>
  <c r="AW165" i="1"/>
  <c r="AX165" i="1"/>
  <c r="AX253" i="1"/>
  <c r="AW253" i="1"/>
  <c r="AX336" i="1"/>
  <c r="AW336" i="1"/>
  <c r="AW79" i="1"/>
  <c r="AX79" i="1"/>
  <c r="AW135" i="1"/>
  <c r="AX135" i="1"/>
  <c r="AW241" i="1"/>
  <c r="AX241" i="1"/>
  <c r="AW262" i="1"/>
  <c r="AX262" i="1"/>
  <c r="AX81" i="1"/>
  <c r="AW81" i="1"/>
  <c r="AW89" i="1"/>
  <c r="AX89" i="1"/>
  <c r="AW63" i="1"/>
  <c r="AX63" i="1"/>
  <c r="AW156" i="1"/>
  <c r="AX156" i="1"/>
  <c r="AW278" i="1"/>
  <c r="AX278" i="1"/>
  <c r="AW146" i="1"/>
  <c r="AX146" i="1"/>
  <c r="AW68" i="1"/>
  <c r="AX68" i="1"/>
  <c r="AW351" i="1"/>
  <c r="AX351" i="1"/>
  <c r="AX168" i="1"/>
  <c r="AW168" i="1"/>
  <c r="AW155" i="1"/>
  <c r="AX155" i="1"/>
  <c r="AW72" i="1"/>
  <c r="AX72" i="1"/>
  <c r="AW90" i="1"/>
  <c r="AX90" i="1"/>
  <c r="AW245" i="1"/>
  <c r="AX245" i="1"/>
  <c r="AX157" i="1"/>
  <c r="AW157" i="1"/>
  <c r="AX95" i="1"/>
  <c r="AW95" i="1"/>
  <c r="AX307" i="1"/>
  <c r="AW307" i="1"/>
  <c r="AX325" i="1"/>
  <c r="AW325" i="1"/>
  <c r="AX276" i="1"/>
  <c r="AW276" i="1"/>
  <c r="AW142" i="1"/>
  <c r="AX142" i="1"/>
  <c r="AX139" i="1"/>
  <c r="AW139" i="1"/>
  <c r="AX309" i="1"/>
  <c r="AW309" i="1"/>
  <c r="AX127" i="1"/>
  <c r="AW127" i="1"/>
  <c r="AW132" i="1"/>
  <c r="AX132" i="1"/>
  <c r="AX237" i="1"/>
  <c r="AW237" i="1"/>
  <c r="AX306" i="1"/>
  <c r="AW306" i="1"/>
  <c r="AW66" i="1"/>
  <c r="AX66" i="1"/>
  <c r="AW260" i="1"/>
  <c r="AX260" i="1"/>
  <c r="AW321" i="1"/>
  <c r="AX321" i="1"/>
  <c r="AW75" i="1"/>
  <c r="AX75" i="1"/>
  <c r="AW225" i="1"/>
  <c r="AX225" i="1"/>
  <c r="AW310" i="1"/>
  <c r="AX310" i="1"/>
  <c r="AW87" i="1"/>
  <c r="AX87" i="1"/>
  <c r="AW88" i="1"/>
  <c r="AX88" i="1"/>
  <c r="AW340" i="1"/>
  <c r="AX340" i="1"/>
  <c r="AW77" i="1"/>
  <c r="AX77" i="1"/>
  <c r="AW11" i="1"/>
  <c r="AX11" i="1"/>
  <c r="AX229" i="1"/>
  <c r="AW229" i="1"/>
  <c r="AW111" i="1"/>
  <c r="AX111" i="1"/>
  <c r="AX8" i="1"/>
  <c r="AW8" i="1"/>
  <c r="AW134" i="1"/>
  <c r="AX134" i="1"/>
  <c r="AW80" i="1"/>
  <c r="AX80" i="1"/>
  <c r="AW151" i="1"/>
  <c r="AX151" i="1"/>
  <c r="AW65" i="1"/>
  <c r="AX65" i="1"/>
  <c r="AX323" i="1"/>
  <c r="AW323" i="1"/>
  <c r="AX129" i="1"/>
  <c r="AW129" i="1"/>
  <c r="AX4" i="1"/>
  <c r="AW4" i="1"/>
  <c r="AX318" i="1"/>
  <c r="AW318" i="1"/>
  <c r="AW330" i="1"/>
  <c r="AX330" i="1"/>
  <c r="AX133" i="1"/>
  <c r="AW133" i="1"/>
  <c r="AX91" i="1"/>
  <c r="AW91" i="1"/>
  <c r="AW221" i="1"/>
  <c r="AX221" i="1"/>
  <c r="AX85" i="1"/>
  <c r="AW85" i="1"/>
  <c r="AX359" i="1"/>
  <c r="AW359" i="1"/>
  <c r="AX319" i="1"/>
  <c r="AW319" i="1"/>
  <c r="AX350" i="1"/>
  <c r="AW350" i="1"/>
  <c r="AX267" i="1"/>
  <c r="AW267" i="1"/>
  <c r="AW332" i="1"/>
  <c r="AX332" i="1"/>
  <c r="AW102" i="1"/>
  <c r="AX102" i="1"/>
  <c r="AX46" i="1"/>
  <c r="AW46" i="1"/>
  <c r="AW76" i="1"/>
  <c r="AX76" i="1"/>
  <c r="AX270" i="1"/>
  <c r="AW270" i="1"/>
  <c r="AX21" i="1"/>
  <c r="AW21" i="1"/>
  <c r="AX32" i="1"/>
  <c r="AW32" i="1"/>
  <c r="AW18" i="1"/>
  <c r="AX18" i="1"/>
  <c r="AX16" i="1"/>
  <c r="AW16" i="1"/>
  <c r="AW38" i="1"/>
  <c r="AX38" i="1"/>
  <c r="AX360" i="1"/>
  <c r="AW360" i="1"/>
  <c r="AX170" i="1"/>
  <c r="AW170" i="1"/>
  <c r="AW15" i="1"/>
  <c r="AX15" i="1"/>
  <c r="AW271" i="1"/>
  <c r="AX271" i="1"/>
  <c r="AX264" i="1"/>
  <c r="AW264" i="1"/>
  <c r="AX33" i="1"/>
  <c r="AW33" i="1"/>
  <c r="AX265" i="1"/>
  <c r="AW265" i="1"/>
  <c r="AX311" i="1"/>
  <c r="AW311" i="1"/>
  <c r="AX282" i="1"/>
  <c r="AW282" i="1"/>
  <c r="AW159" i="1"/>
  <c r="AX159" i="1"/>
  <c r="AX43" i="1"/>
  <c r="AW43" i="1"/>
  <c r="AW101" i="1"/>
  <c r="AX101" i="1"/>
  <c r="AX86" i="1"/>
  <c r="AW86" i="1"/>
  <c r="AX234" i="1"/>
  <c r="AW234" i="1"/>
  <c r="AW126" i="1"/>
  <c r="AX126" i="1"/>
  <c r="AW335" i="1"/>
  <c r="AX335" i="1"/>
  <c r="AW131" i="1"/>
  <c r="AX131" i="1"/>
  <c r="AX7" i="1"/>
  <c r="AW7" i="1"/>
  <c r="AW367" i="1"/>
  <c r="AX367" i="1"/>
  <c r="AW35" i="1"/>
  <c r="AX35" i="1"/>
  <c r="AW45" i="1"/>
  <c r="AX45" i="1"/>
  <c r="AW316" i="1"/>
  <c r="AX316" i="1"/>
  <c r="AW6" i="1"/>
  <c r="AX6" i="1"/>
  <c r="AW136" i="1"/>
  <c r="AX136" i="1"/>
  <c r="AW353" i="1"/>
  <c r="AX353" i="1"/>
  <c r="AW141" i="1"/>
  <c r="AX141" i="1"/>
  <c r="AW10" i="1"/>
  <c r="AX10" i="1"/>
  <c r="AW61" i="1"/>
  <c r="AX61" i="1"/>
  <c r="AW238" i="1"/>
  <c r="AX238" i="1"/>
  <c r="AX334" i="1"/>
  <c r="AW334" i="1"/>
  <c r="AW36" i="1"/>
  <c r="AX36" i="1"/>
  <c r="H24" i="4"/>
  <c r="D24" i="4"/>
  <c r="I24" i="4"/>
  <c r="G24" i="4"/>
  <c r="A53" i="2"/>
  <c r="I52" i="2"/>
  <c r="H52" i="2"/>
  <c r="B52" i="2"/>
  <c r="J24" i="4"/>
  <c r="F24" i="4"/>
  <c r="C24" i="4"/>
  <c r="E24" i="4"/>
  <c r="N51" i="2"/>
  <c r="J52" i="2"/>
  <c r="F52" i="2"/>
  <c r="C52" i="2"/>
  <c r="B25" i="4"/>
  <c r="N24" i="4" l="1"/>
  <c r="A24" i="4"/>
  <c r="E52" i="2"/>
  <c r="L52" i="2"/>
  <c r="K52" i="2"/>
  <c r="M52" i="2" s="1"/>
  <c r="R53" i="2"/>
  <c r="G53" i="2"/>
  <c r="K24" i="4"/>
  <c r="L24" i="4" s="1"/>
  <c r="M24" i="4" s="1"/>
  <c r="M51" i="2"/>
  <c r="O51" i="2" s="1"/>
  <c r="P51" i="2" s="1"/>
  <c r="Q51" i="2" s="1"/>
  <c r="K24" i="5"/>
  <c r="L24" i="5" s="1"/>
  <c r="M3" i="7"/>
  <c r="M23" i="5"/>
  <c r="F25" i="4"/>
  <c r="H25" i="4"/>
  <c r="J25" i="4"/>
  <c r="I25" i="4"/>
  <c r="A54" i="2"/>
  <c r="F53" i="2"/>
  <c r="H53" i="2"/>
  <c r="C53" i="2"/>
  <c r="J53" i="2"/>
  <c r="B53" i="2"/>
  <c r="I53" i="2"/>
  <c r="C25" i="4"/>
  <c r="D25" i="4"/>
  <c r="E25" i="4"/>
  <c r="G25" i="4"/>
  <c r="N52" i="2"/>
  <c r="B25" i="5"/>
  <c r="N25" i="4" l="1"/>
  <c r="A25" i="4"/>
  <c r="E53" i="2"/>
  <c r="K53" i="2"/>
  <c r="L53" i="2"/>
  <c r="R54" i="2"/>
  <c r="G54" i="2"/>
  <c r="K25" i="4"/>
  <c r="L25" i="4" s="1"/>
  <c r="M25" i="4" s="1"/>
  <c r="O52" i="2"/>
  <c r="P52" i="2" s="1"/>
  <c r="Q52" i="2" s="1"/>
  <c r="M24" i="5"/>
  <c r="H25" i="5"/>
  <c r="F25" i="5"/>
  <c r="D25" i="5"/>
  <c r="A55" i="2"/>
  <c r="E25" i="5"/>
  <c r="G25" i="5"/>
  <c r="C25" i="5"/>
  <c r="N53" i="2"/>
  <c r="J54" i="2"/>
  <c r="C54" i="2"/>
  <c r="I54" i="2"/>
  <c r="B54" i="2"/>
  <c r="H54" i="2"/>
  <c r="F54" i="2"/>
  <c r="B26" i="5"/>
  <c r="E54" i="2" l="1"/>
  <c r="K54" i="2"/>
  <c r="L54" i="2"/>
  <c r="J25" i="5"/>
  <c r="A25" i="5"/>
  <c r="G55" i="2"/>
  <c r="R55" i="2"/>
  <c r="M53" i="2"/>
  <c r="D59" i="2"/>
  <c r="D60" i="2"/>
  <c r="D58" i="2"/>
  <c r="D63" i="2"/>
  <c r="D62" i="2"/>
  <c r="D64" i="2"/>
  <c r="D77" i="2"/>
  <c r="D65" i="2"/>
  <c r="D79" i="2"/>
  <c r="D61" i="2"/>
  <c r="D78" i="2"/>
  <c r="D67" i="2"/>
  <c r="D66" i="2"/>
  <c r="D68" i="2"/>
  <c r="D80" i="2"/>
  <c r="D69" i="2"/>
  <c r="D75" i="2"/>
  <c r="D81" i="2"/>
  <c r="D76" i="2"/>
  <c r="D86" i="2"/>
  <c r="D87" i="2"/>
  <c r="D82" i="2"/>
  <c r="D83" i="2"/>
  <c r="D85" i="2"/>
  <c r="D84" i="2"/>
  <c r="D92" i="2"/>
  <c r="D93" i="2"/>
  <c r="D90" i="2"/>
  <c r="D89" i="2"/>
  <c r="D88" i="2"/>
  <c r="D74" i="2"/>
  <c r="D70" i="2"/>
  <c r="D71" i="2"/>
  <c r="D73" i="2"/>
  <c r="D72" i="2"/>
  <c r="D91" i="2"/>
  <c r="D50" i="2"/>
  <c r="D51" i="2"/>
  <c r="D52" i="2"/>
  <c r="D53" i="2"/>
  <c r="D54" i="2"/>
  <c r="D56" i="2"/>
  <c r="D57" i="2"/>
  <c r="E26" i="5"/>
  <c r="G26" i="5"/>
  <c r="H26" i="5"/>
  <c r="J55" i="2"/>
  <c r="B55" i="2"/>
  <c r="C55" i="2"/>
  <c r="F26" i="5"/>
  <c r="C26" i="5"/>
  <c r="D26" i="5"/>
  <c r="N54" i="2"/>
  <c r="F55" i="2"/>
  <c r="B26" i="4" s="1"/>
  <c r="H55" i="2"/>
  <c r="I55" i="2"/>
  <c r="J26" i="5" l="1"/>
  <c r="A26" i="5"/>
  <c r="E55" i="2"/>
  <c r="N29" i="4"/>
  <c r="N35" i="4"/>
  <c r="N27" i="4"/>
  <c r="N50" i="4"/>
  <c r="N41" i="4"/>
  <c r="N52" i="4"/>
  <c r="N49" i="4"/>
  <c r="N48" i="4"/>
  <c r="N39" i="4"/>
  <c r="N45" i="4"/>
  <c r="N34" i="4"/>
  <c r="N47" i="4"/>
  <c r="N42" i="4"/>
  <c r="N46" i="4"/>
  <c r="L55" i="2"/>
  <c r="N33" i="4"/>
  <c r="N32" i="4"/>
  <c r="N43" i="4"/>
  <c r="N40" i="4"/>
  <c r="N38" i="4"/>
  <c r="N28" i="4"/>
  <c r="N37" i="4"/>
  <c r="N31" i="4"/>
  <c r="N51" i="4"/>
  <c r="N44" i="4"/>
  <c r="N30" i="4"/>
  <c r="N36" i="4"/>
  <c r="K55" i="2"/>
  <c r="D55" i="2"/>
  <c r="O53" i="2"/>
  <c r="P53" i="2" s="1"/>
  <c r="Q53" i="2" s="1"/>
  <c r="I25" i="5"/>
  <c r="K25" i="5" s="1"/>
  <c r="L25" i="5" s="1"/>
  <c r="M25" i="5" s="1"/>
  <c r="M54" i="2"/>
  <c r="D2" i="2"/>
  <c r="D3" i="2"/>
  <c r="D9" i="2"/>
  <c r="D8" i="2"/>
  <c r="D6" i="2"/>
  <c r="D12" i="2"/>
  <c r="D24" i="2"/>
  <c r="D43" i="2"/>
  <c r="D28" i="2"/>
  <c r="D18" i="2"/>
  <c r="D45" i="2"/>
  <c r="D36" i="2"/>
  <c r="D31" i="2"/>
  <c r="D21" i="2"/>
  <c r="D32" i="2"/>
  <c r="D25" i="2"/>
  <c r="D14" i="2"/>
  <c r="D39" i="2"/>
  <c r="D37" i="2"/>
  <c r="D20" i="2"/>
  <c r="D41" i="2"/>
  <c r="D38" i="2"/>
  <c r="D22" i="2"/>
  <c r="D26" i="2"/>
  <c r="D4" i="2"/>
  <c r="D5" i="2"/>
  <c r="D10" i="2"/>
  <c r="D11" i="2"/>
  <c r="D7" i="2"/>
  <c r="D13" i="2"/>
  <c r="D27" i="2"/>
  <c r="D16" i="2"/>
  <c r="D15" i="2"/>
  <c r="D42" i="2"/>
  <c r="D30" i="2"/>
  <c r="D29" i="2"/>
  <c r="D46" i="2"/>
  <c r="D47" i="2"/>
  <c r="D23" i="2"/>
  <c r="D35" i="2"/>
  <c r="D34" i="2"/>
  <c r="D33" i="2"/>
  <c r="D44" i="2"/>
  <c r="D17" i="2"/>
  <c r="D19" i="2"/>
  <c r="D48" i="2"/>
  <c r="D40" i="2"/>
  <c r="D49" i="2"/>
  <c r="I26" i="4"/>
  <c r="D26" i="4"/>
  <c r="J26" i="4"/>
  <c r="F26" i="4"/>
  <c r="N55" i="2"/>
  <c r="H26" i="4"/>
  <c r="G26" i="4"/>
  <c r="C26" i="4"/>
  <c r="E26" i="4"/>
  <c r="A26" i="4" l="1"/>
  <c r="N26" i="4"/>
  <c r="K26" i="4"/>
  <c r="L26" i="4" s="1"/>
  <c r="M26" i="4" s="1"/>
  <c r="I26" i="5"/>
  <c r="K26" i="5" s="1"/>
  <c r="O54" i="2"/>
  <c r="P54" i="2" s="1"/>
  <c r="Q54" i="2" s="1"/>
  <c r="M55" i="2"/>
  <c r="O55" i="2" s="1"/>
  <c r="P55" i="2" s="1"/>
  <c r="Q55" i="2" s="1"/>
  <c r="L26" i="5" l="1"/>
  <c r="M26" i="5"/>
</calcChain>
</file>

<file path=xl/comments1.xml><?xml version="1.0" encoding="utf-8"?>
<comments xmlns="http://schemas.openxmlformats.org/spreadsheetml/2006/main">
  <authors>
    <author>Hp</author>
  </authors>
  <commentList>
    <comment ref="S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<sst xmlns="http://schemas.openxmlformats.org/spreadsheetml/2006/main" count="1502" uniqueCount="664">
  <si>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</si>
  <si>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</si>
  <si>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</si>
  <si>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</si>
  <si>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</si>
  <si>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</si>
  <si>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</si>
  <si>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</si>
  <si>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</si>
  <si>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</si>
  <si>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</si>
  <si>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</si>
  <si>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</si>
  <si>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</si>
  <si>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</si>
  <si>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</si>
  <si>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</si>
  <si>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</si>
  <si>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</si>
  <si>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</si>
  <si>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</si>
  <si>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</si>
  <si>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</si>
  <si>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</si>
  <si>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</si>
  <si>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</si>
  <si>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</si>
  <si>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</si>
  <si>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</si>
  <si>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</si>
  <si>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</si>
  <si>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</si>
  <si>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</si>
  <si>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</si>
  <si>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</si>
  <si>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</si>
  <si>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</si>
  <si>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</si>
  <si>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</si>
  <si>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</si>
  <si>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</si>
  <si>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</si>
  <si>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</si>
  <si>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</si>
  <si>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</si>
  <si>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</si>
  <si>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</si>
  <si>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</si>
  <si>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</si>
  <si>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</si>
  <si>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</si>
  <si>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</si>
  <si>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</si>
  <si>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</si>
  <si>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</si>
  <si>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</si>
  <si>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</si>
  <si>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</si>
  <si>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</si>
  <si>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</si>
  <si>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</si>
  <si>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</si>
  <si>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</si>
  <si>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</si>
  <si>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</si>
  <si>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</si>
  <si>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</si>
  <si>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</si>
  <si>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</si>
  <si>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</si>
  <si>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</si>
  <si>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</si>
  <si>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</si>
  <si>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</si>
  <si>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</si>
  <si>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</si>
  <si>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</si>
  <si>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</si>
  <si>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</si>
  <si>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</si>
  <si>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</si>
  <si>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</si>
  <si>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</si>
  <si>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</si>
  <si>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</si>
  <si>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</si>
  <si>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</si>
  <si>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</si>
  <si>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</si>
  <si>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</si>
  <si>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</si>
  <si>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</si>
  <si>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</si>
  <si>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</si>
  <si>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</si>
  <si>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</si>
  <si>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</si>
  <si>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</si>
  <si>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</si>
  <si>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</si>
  <si>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</si>
  <si>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</si>
  <si>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</si>
  <si>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KENKO CUTTER L 500 18MM BLADE</t>
  </si>
  <si>
    <t>KENKO GEL PEN HI TECH H 0.28MM BLUE</t>
  </si>
  <si>
    <t>KENKO STAPLER HD-10</t>
  </si>
  <si>
    <t>KENKO STAPLER HD-50</t>
  </si>
  <si>
    <t>KENKO BINDER CLIP NO.260</t>
  </si>
  <si>
    <t>KENKO LOOSE LEAF A5-LL 50-2070</t>
  </si>
  <si>
    <t>KENKO CUTTER BLADE L-150 18 MM</t>
  </si>
  <si>
    <t>KENKO GEL PEN EASY GEL BLACK</t>
  </si>
  <si>
    <t>KENKO 12 COLOR PENCIL CP 12 F CLASSIC</t>
  </si>
  <si>
    <t>CV PARAMA CREATIVINDO</t>
  </si>
  <si>
    <t>23090036</t>
  </si>
  <si>
    <t>23090252</t>
  </si>
  <si>
    <t>KENKO TAPE DISPENSER TD-323 1" &amp; 3" CORE</t>
  </si>
  <si>
    <t>KENKO BINDER CLIP NO.280 6 PCS / BOX</t>
  </si>
  <si>
    <t>23090082</t>
  </si>
  <si>
    <t>KENKO GEL PEN WINJELLER KE 600 BLACK</t>
  </si>
  <si>
    <t>23090138</t>
  </si>
  <si>
    <t>KENKO GEL PEN FUN GEL BLACK</t>
  </si>
  <si>
    <t>KENKO TAPE DISPENSER TD-321 1" &amp; 3" CORE</t>
  </si>
  <si>
    <t>Column4</t>
  </si>
  <si>
    <t>HANSA</t>
  </si>
  <si>
    <t>UNTANA</t>
  </si>
  <si>
    <t>HN092023113</t>
  </si>
  <si>
    <t>MALAM SHINTOENG K 6-12W</t>
  </si>
  <si>
    <t>PCS</t>
  </si>
  <si>
    <t>MALAM SHINTOENG TG 6-12W</t>
  </si>
  <si>
    <t>SEJATI STATIONERY</t>
  </si>
  <si>
    <t>2023/09/0058</t>
  </si>
  <si>
    <t xml:space="preserve">PAPER CASE 110N/120 (5CC) (X12ST) SIMBALION </t>
  </si>
  <si>
    <t>WATER COLOR OSAMA</t>
  </si>
  <si>
    <t>SET</t>
  </si>
  <si>
    <t>DISC 3</t>
  </si>
  <si>
    <t>DISC 3-</t>
  </si>
  <si>
    <t>COMBI</t>
  </si>
  <si>
    <t>0011</t>
  </si>
  <si>
    <t>PC B128</t>
  </si>
  <si>
    <t>LSN</t>
  </si>
  <si>
    <t>144 SET</t>
  </si>
  <si>
    <t>32 LSN</t>
  </si>
  <si>
    <t>23090701</t>
  </si>
  <si>
    <t>KENKO CORRECTION TAPE CT 903 12M X 5 MM</t>
  </si>
  <si>
    <t>KENKO SCISSOR SC-838N</t>
  </si>
  <si>
    <t>KENKO TAPE DISPENSER TD-323 1"&amp;3" CORE</t>
  </si>
  <si>
    <t>KENKO SCISSOR SC-828</t>
  </si>
  <si>
    <t>KENKO GLUE STICK 8 GR SMALL</t>
  </si>
  <si>
    <t>KENKO GLUE STICK 15 GR MEDIUM</t>
  </si>
  <si>
    <t>KENKO GLUE STICK 25 GR LARGE</t>
  </si>
  <si>
    <t>KENKO COLOR PENCIL CP 12 HALF CLASSIC</t>
  </si>
  <si>
    <t>KENKO CORRECTION FLUID KE-01</t>
  </si>
  <si>
    <t>23090747</t>
  </si>
  <si>
    <t>KENKO ERASER ERB 40 SQ BLACK</t>
  </si>
  <si>
    <t>KENKO ERASER ERB 20 SQ BLACK</t>
  </si>
  <si>
    <t>23090817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</si>
  <si>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</si>
  <si>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</si>
  <si>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</si>
  <si>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</si>
  <si>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</si>
  <si>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48 COLOR OIL PASTEL TI P 48 S</t>
  </si>
  <si>
    <t>TITI 55 COLOR OIL PASTEL TI P 55 S</t>
  </si>
  <si>
    <t>KENKO GEL PEN KE 303 T GEL TRIANGULAR BLACK</t>
  </si>
  <si>
    <t>23090463</t>
  </si>
  <si>
    <t>KENKO TAPE DISPENSER TD-323 1" &amp; 3"CORE</t>
  </si>
  <si>
    <t>KENKO STAPLER HD 10 D</t>
  </si>
  <si>
    <t>KENKO PUNCH NO.85</t>
  </si>
  <si>
    <t>KENKO CUTTER BLADE L 150 18 MM</t>
  </si>
  <si>
    <t>KENKO GEL PEN EASY GEL BLUE</t>
  </si>
  <si>
    <t>KENKO GEL PEN HI TECH H 0.28MM BLACK</t>
  </si>
  <si>
    <t>KENKO CORRECTION FLUID KE 823M</t>
  </si>
  <si>
    <t>KENKO PUNCH NO.85 XL</t>
  </si>
  <si>
    <t>23090468</t>
  </si>
  <si>
    <t>KENKO CORRECTION TAPE CT 809 8M X 5MM</t>
  </si>
  <si>
    <t>KENKO CORRECTION TAPE CT 902 12M X 5 MM</t>
  </si>
  <si>
    <t>KENKO CORRECTION TAPE CT 902 CL 12M X 5 MM</t>
  </si>
  <si>
    <t>KENKO CORRECTION TAPE CT 902 P 12 M X 5 MM</t>
  </si>
  <si>
    <t>KENKO SCISSOR SC 828</t>
  </si>
  <si>
    <t>KENKO SCISSOR SC 838 N</t>
  </si>
  <si>
    <t xml:space="preserve">KENKO SCISSOR SC 848 N </t>
  </si>
  <si>
    <t>KENKO CORRECTION TAPE CT 309 12M X 5MM</t>
  </si>
  <si>
    <t>23090971</t>
  </si>
  <si>
    <t>KENKO COLOR CLIP 3100</t>
  </si>
  <si>
    <t>BOX</t>
  </si>
  <si>
    <t>KENKO HIGHLIGHTER HL 100 PINK</t>
  </si>
  <si>
    <t>KENKO HIGHLIGHTER HL 100 YELLOW</t>
  </si>
  <si>
    <t>KENKO HEAVY DUTY STAPLER HD-12N/24</t>
  </si>
  <si>
    <t>KENKO STAMP PAD NO.0</t>
  </si>
  <si>
    <t>KENKO CORRECTION FLUID KE 01</t>
  </si>
  <si>
    <t>KENKO HIGHLIGHTER HL 100 GREEN</t>
  </si>
  <si>
    <t>KENKO HIGHLIGHTER HL 100 PURPLE</t>
  </si>
  <si>
    <t>KENKO 18 BI COLOR PENCIL CP 18 FBC CLASSIC</t>
  </si>
  <si>
    <t>23090968</t>
  </si>
  <si>
    <t>KENKO GEL PEN KE 100 BLACK</t>
  </si>
  <si>
    <t>KENKO GEL PEN K 1 BLACK</t>
  </si>
  <si>
    <t>KENKO ERASER ERW 20SQ WHITE</t>
  </si>
  <si>
    <t>KENKO PUNCH NO.30</t>
  </si>
  <si>
    <t>KENKO PUNCH NO.30 XL</t>
  </si>
  <si>
    <t>KENKO HEAVY DUTY STAPLER HD-12N/13</t>
  </si>
  <si>
    <t>KENKO PUSH PIN PN 30 COLOR</t>
  </si>
  <si>
    <t>KENKO GEL PEN K-1 RED</t>
  </si>
  <si>
    <t>KENKO CUTTER A300 9MM BLADE</t>
  </si>
  <si>
    <t>KENKO GEL PEN HI TECH H 0.28 MM BLACK</t>
  </si>
  <si>
    <t>KENKO LOOSE LEAF A5 LL 50 2070</t>
  </si>
  <si>
    <t>KENKO LOOSE LEAF A5 LL 100 2070</t>
  </si>
  <si>
    <t>KENKO LOOSE LEAF B5 LL 100 2670</t>
  </si>
  <si>
    <t>KENKO JUMBO CLIP NO.5</t>
  </si>
  <si>
    <t>SA230915860</t>
  </si>
  <si>
    <t>CRAYON PUTAR TWCR 12 S JK</t>
  </si>
  <si>
    <t>CRAYON PUTAR TWCR 12 MINI JK</t>
  </si>
  <si>
    <t>SA230915846</t>
  </si>
  <si>
    <t>BINDER CLIP 260 JK</t>
  </si>
  <si>
    <t>GRS</t>
  </si>
  <si>
    <t>5 GRS</t>
  </si>
  <si>
    <t>BALLPEN BP 349 12 VOKUS TRANS BLACK JK BONUS</t>
  </si>
  <si>
    <t>12 LSN</t>
  </si>
  <si>
    <t>144 LSN</t>
  </si>
  <si>
    <t>72 PCS</t>
  </si>
  <si>
    <t>SA230915845</t>
  </si>
  <si>
    <t>GLUE STICK GS-25 JK</t>
  </si>
  <si>
    <t>PENCIL P 88 2B JK</t>
  </si>
  <si>
    <t>30 GRS</t>
  </si>
  <si>
    <t>BINDER A5 TSCL M401 COLLEGE JK U</t>
  </si>
  <si>
    <t>BINDER A5 TSC L M 474 COLLEGE JK U</t>
  </si>
  <si>
    <t>BINDER A5 TSDS M440 DISCOVERY JK U</t>
  </si>
  <si>
    <t>TAPE CUTTER TD-103 JK</t>
  </si>
  <si>
    <t>24 PCS</t>
  </si>
  <si>
    <t>GLUE STICK GS-09 8 GRAM JK</t>
  </si>
  <si>
    <t>36 LSN</t>
  </si>
  <si>
    <t>64 LSN</t>
  </si>
  <si>
    <t>BINDER A5 TSAC M477 ACADEMY JK U</t>
  </si>
  <si>
    <t>BINDER A5 TSC L M491 COLLEGE JK U</t>
  </si>
  <si>
    <t>BINDER A5-TSIM-M478 (IMAGINTN) JK-U</t>
  </si>
  <si>
    <t>SA230915844</t>
  </si>
  <si>
    <t>SCISSORS SC 828 JK</t>
  </si>
  <si>
    <t>SCISSORS SC 838 JK</t>
  </si>
  <si>
    <t>SCISSORS SC-848 JK</t>
  </si>
  <si>
    <t>OIL PASTEL OP 55 S PP CASE SEA WORLD JK</t>
  </si>
  <si>
    <t>LABEL LB 2 RL 1 BARIS JK</t>
  </si>
  <si>
    <t>ROL</t>
  </si>
  <si>
    <t>CORRECTION TAPE CT 522 JK</t>
  </si>
  <si>
    <t>HIGHLIGHTER HL 1 YELLOW JK</t>
  </si>
  <si>
    <t>HIGHLIGHTER HL 4 PINK JK</t>
  </si>
  <si>
    <t>HIGHLIGHTER HL 5 ORANGE JK</t>
  </si>
  <si>
    <t>BRUSH BR 5 JK</t>
  </si>
  <si>
    <t>OIL PASTEL OP 48 S PP CASE SEA WORLD JK</t>
  </si>
  <si>
    <t>HIGHLIGHTER HL 3 BLUE JK</t>
  </si>
  <si>
    <t>SA230915843</t>
  </si>
  <si>
    <t>PENCIL CASE PC 0719 PSTL 35 BLUE JK</t>
  </si>
  <si>
    <t>PENCIL CASE PC 0719 PSTL 35 GREEN JK</t>
  </si>
  <si>
    <t>PENCIL CASE PC 0719 PSTL 35 PINK JK</t>
  </si>
  <si>
    <t>PENCIL CASE PC 0719 PSTL 35 PURPLE JK</t>
  </si>
  <si>
    <t>SHARPENER B 82 (BEAR) JK</t>
  </si>
  <si>
    <t>60 BOX (24 PCS)</t>
  </si>
  <si>
    <t>LABEL LB P2LN (2 BARIS) JK</t>
  </si>
  <si>
    <t>STAPLER HD 10 JK</t>
  </si>
  <si>
    <t>CUTTER BLADE L 150 AM L JK</t>
  </si>
  <si>
    <t>BINDER CLIP 280 JK</t>
  </si>
  <si>
    <t>3 GRS</t>
  </si>
  <si>
    <t>SA230915894</t>
  </si>
  <si>
    <t>COLOR PENCIL CP 103 JK</t>
  </si>
  <si>
    <t>COLOR PENCIL CP 104  JK</t>
  </si>
  <si>
    <t>PUNCH NO,85 JK</t>
  </si>
  <si>
    <t>BRUSH BR 1 JK</t>
  </si>
  <si>
    <t>PUNCH 40 XL JK</t>
  </si>
  <si>
    <t>STAMP PAD NO. 0 JK</t>
  </si>
  <si>
    <t>STAMP PAD NO.1 JK</t>
  </si>
  <si>
    <t>GEL PEN GP 266 ITECH 2 BLACK JK</t>
  </si>
  <si>
    <t>BINDER A5 TSCL M474 COLLEGE JK U</t>
  </si>
  <si>
    <t>LABEL LB 2RL 1 BARIS JK</t>
  </si>
  <si>
    <t>SA230915895</t>
  </si>
  <si>
    <t>BINDER A5 TSUN M473 UNIVERSITY JK U</t>
  </si>
  <si>
    <t>BINDER A5 TSFC M480 FACULTY JK U</t>
  </si>
  <si>
    <t>BINDER A5 TSIM M478 IMAGINTN JK U</t>
  </si>
  <si>
    <t>BINDER A5 TSED M476 EDUCATION JK U</t>
  </si>
  <si>
    <t>BINDER A5 TSCL M491 COLLEGE JK U</t>
  </si>
  <si>
    <t>BINDER A5 TSSR M498 SPIRIT JK U</t>
  </si>
  <si>
    <t>BINDER A5 TSTP 513 TEMPORARY JK U</t>
  </si>
  <si>
    <t>NATURAL CAHAYA LESTARI</t>
  </si>
  <si>
    <t>NCL-R2309000010</t>
  </si>
  <si>
    <t>BALON MACARON 1022 20 X 5 LKM 2200</t>
  </si>
  <si>
    <t>LPG</t>
  </si>
  <si>
    <t>60 LPG</t>
  </si>
  <si>
    <t>L109035</t>
  </si>
  <si>
    <t>0709/2023</t>
  </si>
  <si>
    <t>ISI GW NO 10</t>
  </si>
  <si>
    <t>PAK</t>
  </si>
  <si>
    <t>100 PAK</t>
  </si>
  <si>
    <t>0913</t>
  </si>
  <si>
    <t>DOC RET OPTIMA</t>
  </si>
  <si>
    <t>PPW</t>
  </si>
  <si>
    <t>0067/HW/IX/23</t>
  </si>
  <si>
    <t>BT 30 CM</t>
  </si>
  <si>
    <t>100 LSN</t>
  </si>
  <si>
    <t xml:space="preserve">SEGITIGA BT NO 6 </t>
  </si>
  <si>
    <t>16 LSN</t>
  </si>
  <si>
    <t>SEGITIGA BT NO 10</t>
  </si>
  <si>
    <t>DB STATIONERY</t>
  </si>
  <si>
    <t>JUI158/23</t>
  </si>
  <si>
    <t>GEL 1.0 TG 340 BI BIRU</t>
  </si>
  <si>
    <t>96 LSN</t>
  </si>
  <si>
    <t>ETJ</t>
  </si>
  <si>
    <t>158.23</t>
  </si>
  <si>
    <t>TINTA MOTEX 1 LINE 20 MM</t>
  </si>
  <si>
    <t>2000 PCS</t>
  </si>
  <si>
    <t>Q68.23</t>
  </si>
  <si>
    <t>ENTER 30CM 675</t>
  </si>
  <si>
    <t>200 LSN</t>
  </si>
  <si>
    <t>KOJIKO ABSENSI D/ MERAH</t>
  </si>
  <si>
    <t>GUNINDO</t>
  </si>
  <si>
    <t>2309056</t>
  </si>
  <si>
    <t>WB ERASER 803</t>
  </si>
  <si>
    <t>30 LSN</t>
  </si>
  <si>
    <t xml:space="preserve">CUTTER A 18 TRANS </t>
  </si>
  <si>
    <t>60 LSN</t>
  </si>
  <si>
    <t>PUTR SURYA MANDIRI</t>
  </si>
  <si>
    <t>PSM-R2309000027</t>
  </si>
  <si>
    <t>BALON SMILE WARNA 20 X 5 LKS 3200 SW</t>
  </si>
  <si>
    <t>48 LPG</t>
  </si>
  <si>
    <t>BALON SMILE KUNING 20 X 5 LKS 3200 SK</t>
  </si>
  <si>
    <t>BALON METALIK HB 1228 20 X 5 LMS 2800 HB</t>
  </si>
  <si>
    <t>BALON FS HB WARNA 20 X 5 LKF 3200 HBW</t>
  </si>
  <si>
    <t>40 LPG</t>
  </si>
  <si>
    <t>BALON FS HB 1232 20 X 5 LKF 3200 HB</t>
  </si>
  <si>
    <t>BALON MACARON 1228 20 X 5 LKM 2800</t>
  </si>
  <si>
    <t>50 LPG</t>
  </si>
  <si>
    <t>SBS</t>
  </si>
  <si>
    <t>VJ0084B1</t>
  </si>
  <si>
    <t>PERUNCING DY-393B/1H/HAMSTER</t>
  </si>
  <si>
    <t>DSP</t>
  </si>
  <si>
    <t>PERUNCING DY-395B/1H/RABBIT</t>
  </si>
  <si>
    <t>DSO</t>
  </si>
  <si>
    <t>180 DSP (12 PCS)</t>
  </si>
  <si>
    <t>HN092023137</t>
  </si>
  <si>
    <t>MALAM SHINTOENG B 6-12 W</t>
  </si>
  <si>
    <t>GLORY</t>
  </si>
  <si>
    <t>FP23090004</t>
  </si>
  <si>
    <t>BK MWRN DOT TO DOT IF</t>
  </si>
  <si>
    <t>800 PCS</t>
  </si>
  <si>
    <t>BK MWRN JUMBO ABJD ANGKA</t>
  </si>
  <si>
    <t>600 PCS</t>
  </si>
  <si>
    <t>BK MWRN 4 SERIE JUMBO IF</t>
  </si>
  <si>
    <t>BK MWRN JUMBO POND IF</t>
  </si>
  <si>
    <t>FP23090005</t>
  </si>
  <si>
    <t>ORIGAMI SUKUNG BOX 12 X 12</t>
  </si>
  <si>
    <t>1200 PCS</t>
  </si>
  <si>
    <t xml:space="preserve">ORIGAMI SUKUNG BOX 14 X 14 </t>
  </si>
  <si>
    <t>900 PCS</t>
  </si>
  <si>
    <t>HONGSIAN</t>
  </si>
  <si>
    <t>6175</t>
  </si>
  <si>
    <t>DOC HD 53</t>
  </si>
  <si>
    <t>8 LSN</t>
  </si>
  <si>
    <t>DOC HD 62</t>
  </si>
  <si>
    <t>23091177</t>
  </si>
  <si>
    <t>KENKO LIQUID GLUE LG-35 (35ML)</t>
  </si>
  <si>
    <t>KENKO LIQUID GLUE LG-50 (50ML)</t>
  </si>
  <si>
    <t>KENKO BUKU TAMU BT-3224-01 KEMBANG</t>
  </si>
  <si>
    <t>KENKO TRIGONAL CLIP NO. 1</t>
  </si>
  <si>
    <t>23091114</t>
  </si>
  <si>
    <t>KENKO ERASER ERW 40 SQ WHITE</t>
  </si>
  <si>
    <t>23091140</t>
  </si>
  <si>
    <t>KENKO PRICE LABEL 6001-2R 1 LINE @ 10 ROL</t>
  </si>
  <si>
    <t>KENKO STAPLER HD-10D</t>
  </si>
  <si>
    <t>KENKO PENCIL CASE PC0719 TK</t>
  </si>
  <si>
    <t>KENKO HAND TALLY COUNTER HT-302 10PCS / BOX</t>
  </si>
  <si>
    <t>KENKO PUNCH NO.40 XL</t>
  </si>
  <si>
    <t>KENKO HEAVY DUTY STAPLER HD-12 N/13</t>
  </si>
  <si>
    <t>KENKO LIQUID GLUE LG 35 35 ML</t>
  </si>
  <si>
    <t>KENKO LIQUID GLUE LG-50 50ML</t>
  </si>
  <si>
    <t>SINV99-230900000198</t>
  </si>
  <si>
    <t>SDI STAPLER 1123</t>
  </si>
  <si>
    <t>20 LSN</t>
  </si>
  <si>
    <t>JUI253/23</t>
  </si>
  <si>
    <t>MEK PENSIL 2.0 TM01800</t>
  </si>
  <si>
    <t>MEK PENSIL 2.0 TIZO TM01800-A</t>
  </si>
  <si>
    <t>MEK PENSIL 2.0 TIZO TM30-G</t>
  </si>
  <si>
    <t>MEK PENSIL 24 PCS G09309</t>
  </si>
  <si>
    <t>MEK PENSIL 24 PCS G09307</t>
  </si>
  <si>
    <t>72 LSN</t>
  </si>
  <si>
    <t>23091397</t>
  </si>
  <si>
    <t>KENKO LAMINATING FILM LF 100-2234 FC @ 100 PCS</t>
  </si>
  <si>
    <t>SA230916213</t>
  </si>
  <si>
    <t>STAMP PAD NO.0 JK</t>
  </si>
  <si>
    <t>KING JELLER JK 100 BLACK JK</t>
  </si>
  <si>
    <t>BRUSH BR-1 JK</t>
  </si>
  <si>
    <t>SA230916235</t>
  </si>
  <si>
    <t>ERASER 526 B40 P JK</t>
  </si>
  <si>
    <t>GEL PEN GP 330 BLACK JK</t>
  </si>
  <si>
    <t>BALLPEN BP 250 BRIZ BLACK JK</t>
  </si>
  <si>
    <t>OIL PASTEL OP 12 S PP CASE SEA WORLD JK</t>
  </si>
  <si>
    <t>SCISSORS SC-828 JK</t>
  </si>
  <si>
    <t>TAPE CUTTER TD-2H JK</t>
  </si>
  <si>
    <t>CORRECTION FLUID CF-S209A JK</t>
  </si>
  <si>
    <t>LABEL LB-3 2 BARIS YELLOW FLUOR JK</t>
  </si>
  <si>
    <t>CORRECTION FLUID CF-S205PT JK</t>
  </si>
  <si>
    <t>GEL PEN GP-346 MY TEAM (BLACK) JK</t>
  </si>
  <si>
    <t>SA230916212</t>
  </si>
  <si>
    <t>LABEL LB P2LN 2 BARIS JK</t>
  </si>
  <si>
    <t>OIL PASTEL OP 36 S PP CASE SEA WORLD JK</t>
  </si>
  <si>
    <t>OIL PASTEL OP 72 S PP CASE SEA WORLD JK</t>
  </si>
  <si>
    <t>LABEL LB 3 2 BARIS YELLOW FLUOR JK</t>
  </si>
  <si>
    <t>ERASER 526 B20 JK</t>
  </si>
  <si>
    <t>ERASER ER-B20BL JK</t>
  </si>
  <si>
    <t>GLUE GL R35 JK</t>
  </si>
  <si>
    <t>LABEL LB2RL 1 BARIS JK</t>
  </si>
  <si>
    <t>SA230916290</t>
  </si>
  <si>
    <t>HM/256/09-23H</t>
  </si>
  <si>
    <t>72 SET</t>
  </si>
  <si>
    <t>ACRYLIC COLOUR TF-AC-005 P (12 X 6 ML) PASTEL</t>
  </si>
  <si>
    <t>ACRYLIC COLOUR TF-AC-004 N (12 X 6 ML) NEON</t>
  </si>
  <si>
    <t>ACRYLIC COLOUR TF-AC-006 M (12 X 6 ML) METALIC</t>
  </si>
  <si>
    <t>BALLPEN PROMOSI HM 2220 U/ BONUS</t>
  </si>
  <si>
    <t>BRUSH MARKER PEN WB TF 1050 (12WR)</t>
  </si>
  <si>
    <t>STICK NOTE TF-0246/400</t>
  </si>
  <si>
    <t>108 PCS</t>
  </si>
  <si>
    <t>STICK NOTE TF-654-5C MIX</t>
  </si>
  <si>
    <t>STICK NOTE TF-654-SC-M/100</t>
  </si>
  <si>
    <t>BONUS</t>
  </si>
  <si>
    <t>DUTA BUANA</t>
  </si>
  <si>
    <t>BINTANG SAUDARA</t>
  </si>
  <si>
    <t>SO2023090082236</t>
  </si>
  <si>
    <t>KERTAS CRAPE POT KREASI KOALA MIX</t>
  </si>
  <si>
    <t>270 PAK</t>
  </si>
  <si>
    <t>SO2023090082168</t>
  </si>
  <si>
    <t>ACRYLIC NT 7 X 10CM</t>
  </si>
  <si>
    <t>ACRYLIC SISIPAN KERTAS A4 T (30 X 21 CM)</t>
  </si>
  <si>
    <t>40 PCS</t>
  </si>
  <si>
    <t>SO2023090082179</t>
  </si>
  <si>
    <t>ACRYLIC NT 7 X 10 CM</t>
  </si>
  <si>
    <t>JL-16553</t>
  </si>
  <si>
    <t>PENGGARIS SET ZX-6116 (PVC)</t>
  </si>
  <si>
    <t>PENGGARIS SET PS-9810 (PVC)</t>
  </si>
  <si>
    <t>PENGGARIS SET ZO-239 (PVC)</t>
  </si>
  <si>
    <t>PENGGARIS SET HZ-5013 (PVC)</t>
  </si>
  <si>
    <t>PENGGARIS SET HZ-5012 (PVC)</t>
  </si>
  <si>
    <t>HIGHLIGHTER HL-521 (12) VANCO</t>
  </si>
  <si>
    <t>192 LSN</t>
  </si>
  <si>
    <t>640 SET</t>
  </si>
  <si>
    <t>GEL PEN EG-V (MIKA) (EG-225)</t>
  </si>
  <si>
    <t>SA230916347</t>
  </si>
  <si>
    <t>STAPLER HD-10 JK</t>
  </si>
  <si>
    <t>LAMINATING FILM LF 100-2234 F4 JK</t>
  </si>
  <si>
    <t>CUTTER BLADE L-150 M (MH) JK</t>
  </si>
  <si>
    <t>BINDER CLIP 155 JK</t>
  </si>
  <si>
    <t>BALLPEN BP 349-12 VOKUS TRANS BLACK JK</t>
  </si>
  <si>
    <t>BINDER B5 TSIM M133 IMAGE JK U</t>
  </si>
  <si>
    <t>BINDER B5-TSCL-M125 COLLEGE JK U</t>
  </si>
  <si>
    <t>CUTTER A-300 SGJK</t>
  </si>
  <si>
    <t>SA230916381</t>
  </si>
  <si>
    <t>PAPER CLIP JUMBO NO.5 JK</t>
  </si>
  <si>
    <t>ERASER 526B40 P JK</t>
  </si>
  <si>
    <t>PUSH PIN PP 30 JK</t>
  </si>
  <si>
    <t>COLOR PENCIL CP 24 PB JK</t>
  </si>
  <si>
    <t>COLOR PENCIL CP 12 PB JK</t>
  </si>
  <si>
    <t>MECH PENCIL MP 19 JK</t>
  </si>
  <si>
    <t>12 BOX (12 PCS)</t>
  </si>
  <si>
    <t>23091481</t>
  </si>
  <si>
    <t>KENKO PENCIL 2B-6373 METALLIC</t>
  </si>
  <si>
    <t>KENKO PENCIL 2B-3181 HITAM CAP MERAH</t>
  </si>
  <si>
    <t>KENKO PENCIL 2B-6191 HIJAU CAP HITAM</t>
  </si>
  <si>
    <t>KENKO BUKU TAMU BT 3224 BTK (BATIK)</t>
  </si>
  <si>
    <t>KENKO CUTTER L-500 (18MM BLADE)</t>
  </si>
  <si>
    <t>KENKO PENCIL 2B-6181 BIRU CAP HITAM</t>
  </si>
  <si>
    <t>SA230916502</t>
  </si>
  <si>
    <t>BALLPEN BP-349-12 VOKUS TRANS (BLACK) JK</t>
  </si>
  <si>
    <t>STAPLER HD-50 JK</t>
  </si>
  <si>
    <t>CORRECTION FLUID JK-01 JK</t>
  </si>
  <si>
    <t>SA230916446</t>
  </si>
  <si>
    <t>CORRECTION TAPE CT-522 JK</t>
  </si>
  <si>
    <t>SA230916500</t>
  </si>
  <si>
    <t>ERASER 526-B20 JK</t>
  </si>
  <si>
    <t>SCISSORS SC-838 JK</t>
  </si>
  <si>
    <t>CUTTER L 500 JK</t>
  </si>
  <si>
    <t>OIL PASTEL OP 24 S PP CASE SEA WORLD JK</t>
  </si>
  <si>
    <t xml:space="preserve">30 GRS </t>
  </si>
  <si>
    <t>PENCIL LEAD PL-11 (2.0) JK</t>
  </si>
  <si>
    <t>SA230916501</t>
  </si>
  <si>
    <t>BALLPEN BP 338 VOCUS BLACK JK</t>
  </si>
  <si>
    <t>COLOR PENCIL CP S 24 JK</t>
  </si>
  <si>
    <t>CORRECTION TAPE CT 507 JK</t>
  </si>
  <si>
    <t>GLUE STICK GS 25 JK</t>
  </si>
  <si>
    <t>ERASER 526 B40 BL JK</t>
  </si>
  <si>
    <t>ERASER ER 30 W JK</t>
  </si>
  <si>
    <t>ERASER ER B20BL JK</t>
  </si>
  <si>
    <t>MSI</t>
  </si>
  <si>
    <t>23/IX/149</t>
  </si>
  <si>
    <t>GEL PEN VTR-238 (JUSTICE LEAGUE)</t>
  </si>
  <si>
    <t>GEL PEN VTR-238 (POP GIRLS)</t>
  </si>
  <si>
    <t>GEL PEN VTR-239 (AUSTRONAUT)</t>
  </si>
  <si>
    <t>GEL PEN VTR-231 (RESCUE BOTS)</t>
  </si>
  <si>
    <t>GEL PEN VTR-235 (MY MELODY)</t>
  </si>
  <si>
    <t>GEL PEN VTR-236 (POWER HEROES)</t>
  </si>
  <si>
    <t>GEL PEN VTR-225 (LITTLE PRINCESS)</t>
  </si>
  <si>
    <t>GEL PEN VTR-216 (DORAEMON)</t>
  </si>
  <si>
    <t>GEL PEN VTR-217 (HELLO KITTY)</t>
  </si>
  <si>
    <t>GEL PEN VTR-222 (SUPERHERO ADVENTURE)</t>
  </si>
  <si>
    <t>SURYA PRATAMA</t>
  </si>
  <si>
    <t>F23/000510</t>
  </si>
  <si>
    <t>TAS KARUNG 40 * 45 * 20</t>
  </si>
  <si>
    <t>HN092023183</t>
  </si>
  <si>
    <t>LILIN ANGKA SHINTOENG</t>
  </si>
  <si>
    <t>NO.1</t>
  </si>
  <si>
    <t>NO.6/ 7</t>
  </si>
  <si>
    <t>COMBI STATIOERY</t>
  </si>
  <si>
    <t>0920</t>
  </si>
  <si>
    <t>DOC RIT AUTENTIC DK 512</t>
  </si>
  <si>
    <t>DOC RIT OPTIMA</t>
  </si>
  <si>
    <t>F23/P000270</t>
  </si>
  <si>
    <t>ISOLASI GAMBAR FANCY(1.5 * 2M)</t>
  </si>
  <si>
    <t>200 PCS</t>
  </si>
  <si>
    <t>MAGIC BOARD TK-901 (RUMAH KECIL)</t>
  </si>
  <si>
    <t>144 PCS</t>
  </si>
  <si>
    <t>0188/HW/IX/23</t>
  </si>
  <si>
    <t>BT 20 CM</t>
  </si>
  <si>
    <t>0177/HW/IX/23</t>
  </si>
  <si>
    <t>0140/HW/IX/23</t>
  </si>
  <si>
    <t>SEGITIGA BT NO.12</t>
  </si>
  <si>
    <t>JL-16554</t>
  </si>
  <si>
    <t>160 PCS</t>
  </si>
  <si>
    <t>BUKU SPIRAL 016-19 (80L) (A5) PVC</t>
  </si>
  <si>
    <t>BUKU SPIRAL 016-21 (80L) (A5) PVC</t>
  </si>
  <si>
    <t>GEL PEN IPEN VC-8100 VANCO</t>
  </si>
  <si>
    <t>PEN 4W VC-6201 VANCO</t>
  </si>
  <si>
    <t>GEL PEN KLIK GP-96129 (9W/ PVC)</t>
  </si>
  <si>
    <t>256 SET</t>
  </si>
  <si>
    <t>96 PCS</t>
  </si>
  <si>
    <t>BK KANCING 32K1008-21 (A5)</t>
  </si>
  <si>
    <t>BUKU SPIRAL 016-20 (80L) (A5)</t>
  </si>
  <si>
    <t>BK KANCING 32K1008-22 (A5)</t>
  </si>
  <si>
    <t>SO2023090082317</t>
  </si>
  <si>
    <t>BINDER NOTE A5 ABSTRAK BN-1726</t>
  </si>
  <si>
    <t>JUI272/23</t>
  </si>
  <si>
    <t>MEK  TIZO 2.0 TM030-C</t>
  </si>
  <si>
    <t>TFS</t>
  </si>
  <si>
    <t>PK-230900119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</si>
  <si>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</si>
  <si>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</si>
  <si>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</si>
  <si>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</si>
  <si>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SA230916629</t>
  </si>
  <si>
    <t>COLOR PENCIL CP-12PB JK</t>
  </si>
  <si>
    <t>SA230916590</t>
  </si>
  <si>
    <t>BALLPEN BP-349-12 VOKUS TRANS BLACK JK</t>
  </si>
  <si>
    <t>ERASER ER B 20 BL JK</t>
  </si>
  <si>
    <t>23091564</t>
  </si>
  <si>
    <t>KENKO GEL PEN HI-TECH-H 0.28MM BLACK</t>
  </si>
  <si>
    <t>NCL</t>
  </si>
  <si>
    <t>KENKO CLOTH TAPE 48MM RED CORE SQ BLACK</t>
  </si>
  <si>
    <t>KENKO LOOSE LEAF A5-LL 50 2070</t>
  </si>
  <si>
    <t>BINDER A5 TSED M503 EDUCATION JK U</t>
  </si>
  <si>
    <t>BINDER B5 TSED M128 EDUCATION JK U</t>
  </si>
  <si>
    <t>BINDER B5 TSCL M125 COLLEGE JK U</t>
  </si>
  <si>
    <t>SDI P MARKER P500-VP BIRU</t>
  </si>
  <si>
    <t>23/09//2023</t>
  </si>
  <si>
    <t>23091884</t>
  </si>
  <si>
    <t>KENKO BINDER CLIP NO. 280 6 PCS/ BOX</t>
  </si>
  <si>
    <t>KENKO CORRECTION TAPE CT-906 12 M X 5MM</t>
  </si>
  <si>
    <t>KENKO CUTTER A 300 9MM BLADE</t>
  </si>
  <si>
    <t>23091769</t>
  </si>
  <si>
    <t>KENKO PENCIL 2B 6191 HIJAU CAP HITAM</t>
  </si>
  <si>
    <t>SA230916668</t>
  </si>
  <si>
    <t>PENCIL P 88 2BJK</t>
  </si>
  <si>
    <t>PENCIL CASE PC-0719 PL 32 BLUE JK</t>
  </si>
  <si>
    <t>PENCIL CASE PC-0719 PL 32 GREEN JK</t>
  </si>
  <si>
    <t>PENCIL CASE PC 0719 PL 32 RED JK</t>
  </si>
  <si>
    <t>PENCIL CASE PC 0719 PL 32 YELLOW JK</t>
  </si>
  <si>
    <t>PENCIL CASE PC 0719 AC 36 A/ F ANIMAL CALENDER JK</t>
  </si>
  <si>
    <t>PENCIL CASE PC 0719 TV 33 A / F TRAVEL JK</t>
  </si>
  <si>
    <t>SN23092177</t>
  </si>
  <si>
    <t>CALCULATOR JOYKO CC 37</t>
  </si>
  <si>
    <t>CALCULATOR JOYKO CC 38</t>
  </si>
  <si>
    <t>CALCULATOR JOYKO CC-800 CH</t>
  </si>
  <si>
    <t>CALCULATOR JOYKO CC 810 CH</t>
  </si>
  <si>
    <t>CALCULATOR JOYKO CC-8A</t>
  </si>
  <si>
    <t xml:space="preserve">CALCULATOR JOYKO CC-15 A </t>
  </si>
  <si>
    <t>CALCULATOR JOYKO CC 41</t>
  </si>
  <si>
    <t>CALCULATOR JOYKO CC-8CO BLUE</t>
  </si>
  <si>
    <t>CALCULATOR JOYKO CC-8CO GREEN</t>
  </si>
  <si>
    <t>CALCULATOR JOYKO CC-8CO ORANGE</t>
  </si>
  <si>
    <t>SA230916775</t>
  </si>
  <si>
    <t>LABEL LB P2 LN 2 BARIS JK</t>
  </si>
  <si>
    <t>SA230916817</t>
  </si>
  <si>
    <t>WATER COLOR WAC 6ML 12 SCREW TYPE JK</t>
  </si>
  <si>
    <t>F231000673</t>
  </si>
  <si>
    <t>BUKU MEWARNAI JUMBO FANCYY ANGKA &amp; HURUF</t>
  </si>
  <si>
    <t>GADING MURNI</t>
  </si>
  <si>
    <t>V.23017148</t>
  </si>
  <si>
    <t>V TEC EXPANDING FILE VT-EF 4511/ B5</t>
  </si>
  <si>
    <t>0929</t>
  </si>
  <si>
    <t xml:space="preserve">DOC RIT PRESTIGE </t>
  </si>
  <si>
    <t>DOC RIT INFINITY</t>
  </si>
  <si>
    <t>0924</t>
  </si>
  <si>
    <t>DOC RIT ABSOLUTE DK 519</t>
  </si>
  <si>
    <t>VJ0431B</t>
  </si>
  <si>
    <t>BINDER NOTE GASTA PP A5 HP 209T</t>
  </si>
  <si>
    <t>PSM</t>
  </si>
  <si>
    <t>PSM-R2309000060</t>
  </si>
  <si>
    <t>BALON FS 42 20 X 5 LKP 3200 HB4</t>
  </si>
  <si>
    <t>BALON JUMBO 12 X 3 LJ 1898</t>
  </si>
  <si>
    <t>LPH</t>
  </si>
  <si>
    <t>DUTA BAHAGIA</t>
  </si>
  <si>
    <t>DHM/12/09-23C</t>
  </si>
  <si>
    <t>BINDER NOTE FPHY 001-B5-60</t>
  </si>
  <si>
    <t>BINDER NOTE FPHY 001-A5-60</t>
  </si>
  <si>
    <t>HOMGSIAN</t>
  </si>
  <si>
    <t>6177</t>
  </si>
  <si>
    <t>DOC HD 51</t>
  </si>
  <si>
    <t>DOC HD 55</t>
  </si>
  <si>
    <t>JUI343/23</t>
  </si>
  <si>
    <t>80 LSN</t>
  </si>
  <si>
    <t>PENGGARIS 30CM DBP-072</t>
  </si>
  <si>
    <t>GEL INK TIANJIAO TZ-501</t>
  </si>
  <si>
    <t>MEK PENSIL 2.0 TM1800</t>
  </si>
  <si>
    <t>MEK PENSIL 2.0 TIZO TM 1800-A</t>
  </si>
  <si>
    <t>MEK PENSIL 2.0 TIZO TM 030-G</t>
  </si>
  <si>
    <t>MEK PENSIL 24 PCS G09397</t>
  </si>
  <si>
    <t>PELNA</t>
  </si>
  <si>
    <t>PELNA LAPTOP TABLE</t>
  </si>
  <si>
    <t>2309126</t>
  </si>
  <si>
    <t>GUNINDO FM COKLAT</t>
  </si>
  <si>
    <t>GUNINDO FL COKLAT</t>
  </si>
  <si>
    <t>JUI382/23</t>
  </si>
  <si>
    <t>MEK PENSIL 2.0 TIZO TM 030A-1</t>
  </si>
  <si>
    <t>MEK TIZO 2.0 TM 030-C</t>
  </si>
  <si>
    <t>MEK PENSIL 2.0 BATIK TM 030-D</t>
  </si>
  <si>
    <t>MEK PENSIL 2.0 TIZO TM 030-H</t>
  </si>
  <si>
    <t>MEK PENSIL 2.0 TIZO TM 030-F</t>
  </si>
  <si>
    <t>MEKANIK PENSIL TIZO TM 01500</t>
  </si>
  <si>
    <t>MEK PENSIL 2.0 TIZO TM 02930</t>
  </si>
  <si>
    <t>MEK PENSIL TIZO G-9000A</t>
  </si>
  <si>
    <t>MEK PENSIL TIZO G-9001A</t>
  </si>
  <si>
    <t>MEK PENSIL TIZO G-9003A</t>
  </si>
  <si>
    <t>23090583</t>
  </si>
  <si>
    <t>23092078</t>
  </si>
  <si>
    <t>kenko pencil lead pl 05 2b 0.5mm hi polymer</t>
  </si>
  <si>
    <t>23091995</t>
  </si>
  <si>
    <t>KENKO STAPLER HD-10D NEWCOLOR</t>
  </si>
  <si>
    <t>KENKO CORRECTION FLUID KE 107 M</t>
  </si>
  <si>
    <t>KENKO CUTTER A 300 9 MM BLADE</t>
  </si>
  <si>
    <t>KENKO GEL PEN K-1 BLACK</t>
  </si>
  <si>
    <t>23092008</t>
  </si>
  <si>
    <t>SA230916837</t>
  </si>
  <si>
    <t>PENCIL LEAD PL 05 2B JK</t>
  </si>
  <si>
    <t>ERA JAYA</t>
  </si>
  <si>
    <t>AC 005839/ V/ 22</t>
  </si>
  <si>
    <t xml:space="preserve">CLIP BOARD KAYU PHOENIX </t>
  </si>
  <si>
    <t>KOTAK CLIP KUNING</t>
  </si>
  <si>
    <t>0290/HW/IX/23</t>
  </si>
  <si>
    <t>SEGITIGA BT NO.10</t>
  </si>
  <si>
    <t>2309164</t>
  </si>
  <si>
    <t>OSS GUNINDO</t>
  </si>
  <si>
    <t>HN092023251</t>
  </si>
  <si>
    <t>NO.1/ 5 @ 2LSN</t>
  </si>
  <si>
    <t>HM/266/09-23H</t>
  </si>
  <si>
    <t>BALLPEN GEL TF-3115 0.3MM HIGHTECH KNOCK</t>
  </si>
  <si>
    <t>S</t>
  </si>
  <si>
    <t>079601</t>
  </si>
  <si>
    <t>SULING YAMAHA</t>
  </si>
  <si>
    <t>50 PCS</t>
  </si>
  <si>
    <t>SA230916941</t>
  </si>
  <si>
    <t>HIGHLIGHTER HL 2 GREEN JK</t>
  </si>
  <si>
    <t>23092171</t>
  </si>
  <si>
    <t>KENKO BINDER CLIP NO.200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</si>
</sst>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VAR"/>
      <sheetName val="PAJAK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  <sheetName val="NCL"/>
      <sheetName val="DICT_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4" headerRowDxfId="290" dataDxfId="289" totalsRowDxfId="288">
  <autoFilter ref="A2:AY944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14:R39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Row],[ID]],[6]!Table1[ID],0)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44"/>
  <sheetViews>
    <sheetView tabSelected="1" topLeftCell="A472" zoomScale="70" zoomScaleNormal="70" zoomScaleSheetLayoutView="55" workbookViewId="0">
      <selection activeCell="L472" sqref="L472"/>
    </sheetView>
  </sheetViews>
  <sheetFormatPr defaultRowHeight="20.100000000000001" customHeight="1" outlineLevelCol="1" x14ac:dyDescent="0.25"/>
  <cols>
    <col min="1" max="1" width="2.5703125" style="37" customWidth="1"/>
    <col min="2" max="2" width="18.85546875" style="37" customWidth="1"/>
    <col min="3" max="3" width="7.140625" style="37" customWidth="1" outlineLevel="1"/>
    <col min="4" max="4" width="2.570312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5.425781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20.285156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9" width="2.570312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134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135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122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KEN_3108_036-2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45169</v>
      </c>
      <c r="F3" s="37" t="s">
        <v>22</v>
      </c>
      <c r="G3" s="37" t="s">
        <v>23</v>
      </c>
      <c r="H3" s="47" t="s">
        <v>113</v>
      </c>
      <c r="I3" s="37"/>
      <c r="J3" s="39">
        <v>45170</v>
      </c>
      <c r="K3" s="37"/>
      <c r="L3" s="37" t="s">
        <v>549</v>
      </c>
      <c r="M3" s="40">
        <v>10</v>
      </c>
      <c r="O3" s="37"/>
      <c r="P3" s="41"/>
      <c r="Q3" s="42">
        <v>844800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8448000</v>
      </c>
      <c r="Y3" s="50">
        <f>IF(NOTA[[#This Row],[JUMLAH]]="","",NOTA[[#This Row],[JUMLAH]]*NOTA[[#This Row],[DISC 1]])</f>
        <v>1436160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1436160</v>
      </c>
      <c r="AC3" s="50">
        <f>IF(NOTA[[#This Row],[JUMLAH]]="","",NOTA[[#This Row],[JUMLAH]]-NOTA[[#This Row],[DISC]])</f>
        <v>7011840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45169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2</v>
      </c>
      <c r="AM3" s="38">
        <f>IF(NOTA[[#This Row],[TGL.NOTA]]="",IF(NOTA[[#This Row],[SUPPLIER_H]]="","",AM2),MONTH(NOTA[[#This Row],[TGL.NOTA]]))</f>
        <v>9</v>
      </c>
      <c r="AN3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MORO2309003645170kenkolooseleafa5ll502070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1478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192 PCS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103</v>
      </c>
      <c r="M4" s="40">
        <v>2</v>
      </c>
      <c r="O4" s="37"/>
      <c r="P4" s="41"/>
      <c r="Q4" s="42">
        <v>2952000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5904000</v>
      </c>
      <c r="Y4" s="50">
        <f>IF(NOTA[[#This Row],[JUMLAH]]="","",NOTA[[#This Row],[JUMLAH]]*NOTA[[#This Row],[DISC 1]])</f>
        <v>1003680.0000000001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1003680.0000000001</v>
      </c>
      <c r="AC4" s="50">
        <f>IF(NOTA[[#This Row],[JUMLAH]]="","",NOTA[[#This Row],[JUMLAH]]-NOTA[[#This Row],[DISC]])</f>
        <v>4900320</v>
      </c>
      <c r="AD4" s="50"/>
      <c r="AE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2439840</v>
      </c>
      <c r="AF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11912160</v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45169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9</v>
      </c>
      <c r="AN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1387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20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 t="str">
        <f ca="1">IF(NOTA[[#This Row],[NAMA BARANG]]="","",INDEX(NOTA[ID],MATCH(,INDIRECT(ADDRESS(ROW(NOTA[ID]),COLUMN(NOTA[ID]))&amp;":"&amp;ADDRESS(ROW(),COLUMN(NOTA[ID]))),-1)))</f>
        <v/>
      </c>
      <c r="E5" s="46"/>
      <c r="F5" s="37"/>
      <c r="G5" s="37"/>
      <c r="H5" s="47"/>
      <c r="I5" s="37"/>
      <c r="J5" s="39"/>
      <c r="K5" s="37"/>
      <c r="L5" s="37"/>
      <c r="M5" s="40"/>
      <c r="O5" s="37"/>
      <c r="P5" s="41"/>
      <c r="Q5" s="42"/>
      <c r="R5" s="48"/>
      <c r="S5" s="49"/>
      <c r="T5" s="44"/>
      <c r="U5" s="44"/>
      <c r="V5" s="50"/>
      <c r="W5" s="45"/>
      <c r="X5" s="50" t="str">
        <f>IF(NOTA[[#This Row],[HARGA/ CTN]]="",NOTA[[#This Row],[JUMLAH_H]],NOTA[[#This Row],[HARGA/ CTN]]*IF(NOTA[[#This Row],[C]]="",0,NOTA[[#This Row],[C]]))</f>
        <v/>
      </c>
      <c r="Y5" s="50" t="str">
        <f>IF(NOTA[[#This Row],[JUMLAH]]="","",NOTA[[#This Row],[JUMLAH]]*NOTA[[#This Row],[DISC 1]])</f>
        <v/>
      </c>
      <c r="Z5" s="50" t="str">
        <f>IF(NOTA[[#This Row],[JUMLAH]]="","",(NOTA[[#This Row],[JUMLAH]]-NOTA[[#This Row],[DISC 1-]])*NOTA[[#This Row],[DISC 2]])</f>
        <v/>
      </c>
      <c r="AA5" s="50" t="str">
        <f>IF(NOTA[[#This Row],[JUMLAH]]="","",(NOTA[[#This Row],[JUMLAH]]-NOTA[[#This Row],[DISC 1-]]-NOTA[[#This Row],[DISC 2-]])*NOTA[[#This Row],[DISC 3]])</f>
        <v/>
      </c>
      <c r="AB5" s="50" t="str">
        <f>IF(NOTA[[#This Row],[JUMLAH]]="","",NOTA[[#This Row],[DISC 1-]]+NOTA[[#This Row],[DISC 2-]]+NOTA[[#This Row],[DISC 3-]])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" s="50" t="str">
        <f>IF(OR(NOTA[[#This Row],[QTY]]="",NOTA[[#This Row],[HARGA SATUAN]]="",),"",NOTA[[#This Row],[QTY]]*NOTA[[#This Row],[HARGA SATUAN]])</f>
        <v/>
      </c>
      <c r="AI5" s="39" t="str">
        <f ca="1">IF(NOTA[ID_H]="","",INDEX(NOTA[TANGGAL],MATCH(,INDIRECT(ADDRESS(ROW(NOTA[TANGGAL]),COLUMN(NOTA[TANGGAL]))&amp;":"&amp;ADDRESS(ROW(),COLUMN(NOTA[TANGGAL]))),-1)))</f>
        <v/>
      </c>
      <c r="AJ5" s="41" t="str">
        <f ca="1">IF(NOTA[[#This Row],[NAMA BARANG]]="","",INDEX(NOTA[SUPPLIER],MATCH(,INDIRECT(ADDRESS(ROW(NOTA[ID]),COLUMN(NOTA[ID]))&amp;":"&amp;ADDRESS(ROW(),COLUMN(NOTA[ID]))),-1)))</f>
        <v/>
      </c>
      <c r="AK5" s="41" t="str">
        <f ca="1">IF(NOTA[[#This Row],[ID_H]]="","",IF(NOTA[[#This Row],[FAKTUR]]="",INDIRECT(ADDRESS(ROW()-1,COLUMN())),NOTA[[#This Row],[FAKTUR]]))</f>
        <v/>
      </c>
      <c r="AL5" s="38" t="str">
        <f ca="1">IF(NOTA[[#This Row],[ID]]="","",COUNTIF(NOTA[ID_H],NOTA[[#This Row],[ID_H]]))</f>
        <v/>
      </c>
      <c r="AM5" s="38" t="str">
        <f ca="1">IF(NOTA[[#This Row],[TGL.NOTA]]="",IF(NOTA[[#This Row],[SUPPLIER_H]]="","",AM4),MONTH(NOTA[[#This Row],[TGL.NOTA]]))</f>
        <v/>
      </c>
      <c r="AN5" s="38" t="str">
        <f>LOWER(SUBSTITUTE(SUBSTITUTE(SUBSTITUTE(SUBSTITUTE(SUBSTITUTE(SUBSTITUTE(SUBSTITUTE(SUBSTITUTE(SUBSTITUTE(NOTA[NAMA BARANG]," ",),".",""),"-",""),"(",""),")",""),",",""),"/",""),"""",""),"+",""))</f>
        <v/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str">
        <f>IF(NOTA[[#This Row],[CONCAT1]]="","",MATCH(NOTA[[#This Row],[CONCAT1]],[3]!db[NB NOTA_C],0))</f>
        <v/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/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" s="38" t="str">
        <f ca="1">IF(NOTA[[#This Row],[ID_H]]="","",MATCH(NOTA[[#This Row],[NB NOTA_C_QTY]],[4]!db[NB NOTA_C_QTY+F],0))</f>
        <v/>
      </c>
      <c r="AX5" s="53" t="str">
        <f ca="1">IF(NOTA[[#This Row],[NB NOTA_C_QTY]]="","",ROW()-2)</f>
        <v/>
      </c>
    </row>
    <row r="6" spans="1:51" s="38" customFormat="1" ht="20.100000000000001" customHeight="1" x14ac:dyDescent="0.25">
      <c r="A6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KEN_0509_252-6</v>
      </c>
      <c r="C6" s="38" t="e">
        <f ca="1">IF(NOTA[[#This Row],[ID_P]]="","",MATCH(NOTA[[#This Row],[ID_P]],[1]!B_MSK[N_ID],0))</f>
        <v>#REF!</v>
      </c>
      <c r="D6" s="38">
        <f ca="1">IF(NOTA[[#This Row],[NAMA BARANG]]="","",INDEX(NOTA[ID],MATCH(,INDIRECT(ADDRESS(ROW(NOTA[ID]),COLUMN(NOTA[ID]))&amp;":"&amp;ADDRESS(ROW(),COLUMN(NOTA[ID]))),-1)))</f>
        <v>2</v>
      </c>
      <c r="E6" s="46">
        <v>45174</v>
      </c>
      <c r="F6" s="37" t="s">
        <v>22</v>
      </c>
      <c r="G6" s="37" t="s">
        <v>23</v>
      </c>
      <c r="H6" s="47" t="s">
        <v>114</v>
      </c>
      <c r="I6" s="37"/>
      <c r="J6" s="39">
        <v>45173</v>
      </c>
      <c r="K6" s="37"/>
      <c r="L6" s="37" t="s">
        <v>104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45174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>
        <f ca="1">IF(NOTA[[#This Row],[ID]]="","",COUNTIF(NOTA[ID_H],NOTA[[#This Row],[ID_H]]))</f>
        <v>6</v>
      </c>
      <c r="AM6" s="38">
        <f>IF(NOTA[[#This Row],[TGL.NOTA]]="",IF(NOTA[[#This Row],[SUPPLIER_H]]="","",AM5),MONTH(NOTA[[#This Row],[TGL.NOTA]]))</f>
        <v>9</v>
      </c>
      <c r="AN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MORO2309025245173kenkogelpenhitechh028mmblue</v>
      </c>
      <c r="AR6" s="38" t="e">
        <f>IF(NOTA[[#This Row],[CONCAT4]]="","",_xlfn.IFNA(MATCH(NOTA[[#This Row],[CONCAT4]],[2]!RAW[CONCAT_H],0),FALSE))</f>
        <v>#REF!</v>
      </c>
      <c r="AS6" s="38">
        <f>IF(NOTA[[#This Row],[CONCAT1]]="","",MATCH(NOTA[[#This Row],[CONCAT1]],[3]!db[NB NOTA_C],0))</f>
        <v>1409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144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115</v>
      </c>
      <c r="M7" s="40">
        <v>6</v>
      </c>
      <c r="O7" s="37"/>
      <c r="P7" s="41"/>
      <c r="Q7" s="42">
        <v>462000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2772000</v>
      </c>
      <c r="Y7" s="50">
        <f>IF(NOTA[[#This Row],[JUMLAH]]="","",NOTA[[#This Row],[JUMLAH]]*NOTA[[#This Row],[DISC 1]])</f>
        <v>471240.00000000006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471240.00000000006</v>
      </c>
      <c r="AC7" s="50">
        <f>IF(NOTA[[#This Row],[JUMLAH]]="","",NOTA[[#This Row],[JUMLAH]]-NOTA[[#This Row],[DISC]])</f>
        <v>2300760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45174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9</v>
      </c>
      <c r="AN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1577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24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2</v>
      </c>
      <c r="E8" s="46"/>
      <c r="F8" s="37"/>
      <c r="G8" s="37"/>
      <c r="H8" s="47"/>
      <c r="I8" s="37"/>
      <c r="J8" s="39"/>
      <c r="K8" s="37"/>
      <c r="L8" s="37" t="s">
        <v>105</v>
      </c>
      <c r="M8" s="40">
        <v>5</v>
      </c>
      <c r="O8" s="37"/>
      <c r="P8" s="41"/>
      <c r="Q8" s="42">
        <v>1860000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9300000</v>
      </c>
      <c r="Y8" s="50">
        <f>IF(NOTA[[#This Row],[JUMLAH]]="","",NOTA[[#This Row],[JUMLAH]]*NOTA[[#This Row],[DISC 1]])</f>
        <v>1581000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1581000</v>
      </c>
      <c r="AC8" s="50">
        <f>IF(NOTA[[#This Row],[JUMLAH]]="","",NOTA[[#This Row],[JUMLAH]]-NOTA[[#This Row],[DISC]])</f>
        <v>7719000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45174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9</v>
      </c>
      <c r="AN8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1561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20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107</v>
      </c>
      <c r="M9" s="40">
        <v>1</v>
      </c>
      <c r="O9" s="37"/>
      <c r="P9" s="41"/>
      <c r="Q9" s="42">
        <v>900000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900000</v>
      </c>
      <c r="Y9" s="50">
        <f>IF(NOTA[[#This Row],[JUMLAH]]="","",NOTA[[#This Row],[JUMLAH]]*NOTA[[#This Row],[DISC 1]])</f>
        <v>153000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153000</v>
      </c>
      <c r="AC9" s="50">
        <f>IF(NOTA[[#This Row],[JUMLAH]]="","",NOTA[[#This Row],[JUMLAH]]-NOTA[[#This Row],[DISC]])</f>
        <v>747000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45174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9</v>
      </c>
      <c r="AN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1289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5 GRS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116</v>
      </c>
      <c r="M10" s="40">
        <v>1</v>
      </c>
      <c r="O10" s="37"/>
      <c r="P10" s="41"/>
      <c r="Q10" s="42">
        <v>1548000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1548000</v>
      </c>
      <c r="Y10" s="50">
        <f>IF(NOTA[[#This Row],[JUMLAH]]="","",NOTA[[#This Row],[JUMLAH]]*NOTA[[#This Row],[DISC 1]])</f>
        <v>263160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263160</v>
      </c>
      <c r="AC10" s="50">
        <f>IF(NOTA[[#This Row],[JUMLAH]]="","",NOTA[[#This Row],[JUMLAH]]-NOTA[[#This Row],[DISC]])</f>
        <v>1284840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45174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9</v>
      </c>
      <c r="AN1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1291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72 BOX (6 PCS)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106</v>
      </c>
      <c r="M11" s="40">
        <v>1</v>
      </c>
      <c r="O11" s="37"/>
      <c r="P11" s="41"/>
      <c r="Q11" s="42">
        <v>2280000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2280000</v>
      </c>
      <c r="Y11" s="50">
        <f>IF(NOTA[[#This Row],[JUMLAH]]="","",NOTA[[#This Row],[JUMLAH]]*NOTA[[#This Row],[DISC 1]])</f>
        <v>387600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387600</v>
      </c>
      <c r="AC11" s="50">
        <f>IF(NOTA[[#This Row],[JUMLAH]]="","",NOTA[[#This Row],[JUMLAH]]-NOTA[[#This Row],[DISC]])</f>
        <v>1892400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3810720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18605280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45174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9</v>
      </c>
      <c r="AN1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1567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10 LSN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KEN_0209_082-4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3</v>
      </c>
      <c r="E13" s="46">
        <v>45171</v>
      </c>
      <c r="F13" s="37" t="s">
        <v>22</v>
      </c>
      <c r="G13" s="37" t="s">
        <v>23</v>
      </c>
      <c r="H13" s="47" t="s">
        <v>117</v>
      </c>
      <c r="I13" s="37"/>
      <c r="J13" s="39">
        <v>45170</v>
      </c>
      <c r="K13" s="37"/>
      <c r="L13" s="37" t="s">
        <v>111</v>
      </c>
      <c r="M13" s="40">
        <v>1</v>
      </c>
      <c r="O13" s="37"/>
      <c r="P13" s="41"/>
      <c r="Q13" s="42">
        <v>2980800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2980800</v>
      </c>
      <c r="Y13" s="50">
        <f>IF(NOTA[[#This Row],[JUMLAH]]="","",NOTA[[#This Row],[JUMLAH]]*NOTA[[#This Row],[DISC 1]])</f>
        <v>506736.00000000006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506736.00000000006</v>
      </c>
      <c r="AC13" s="50">
        <f>IF(NOTA[[#This Row],[JUMLAH]]="","",NOTA[[#This Row],[JUMLAH]]-NOTA[[#This Row],[DISC]])</f>
        <v>2474064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45171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9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MORO2309008245170kenko12colorpencilcp12fclassic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1268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24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F14" s="37"/>
      <c r="G14" s="37"/>
      <c r="H14" s="47"/>
      <c r="I14" s="37"/>
      <c r="J14" s="39"/>
      <c r="K14" s="37"/>
      <c r="L14" s="37" t="s">
        <v>104</v>
      </c>
      <c r="M14" s="40">
        <v>2</v>
      </c>
      <c r="O14" s="37"/>
      <c r="P14" s="41"/>
      <c r="Q14" s="42">
        <v>5616000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11232000</v>
      </c>
      <c r="Y14" s="50">
        <f>IF(NOTA[[#This Row],[JUMLAH]]="","",NOTA[[#This Row],[JUMLAH]]*NOTA[[#This Row],[DISC 1]])</f>
        <v>1909440.0000000002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1909440.0000000002</v>
      </c>
      <c r="AC14" s="50">
        <f>IF(NOTA[[#This Row],[JUMLAH]]="","",NOTA[[#This Row],[JUMLAH]]-NOTA[[#This Row],[DISC]])</f>
        <v>9322560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45171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9</v>
      </c>
      <c r="AN1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1409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144 LSN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2</v>
      </c>
      <c r="O15" s="37"/>
      <c r="P15" s="41"/>
      <c r="Q15" s="42">
        <v>3758400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7516800</v>
      </c>
      <c r="Y15" s="50">
        <f>IF(NOTA[[#This Row],[JUMLAH]]="","",NOTA[[#This Row],[JUMLAH]]*NOTA[[#This Row],[DISC 1]])</f>
        <v>1277856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1277856</v>
      </c>
      <c r="AC15" s="50">
        <f>IF(NOTA[[#This Row],[JUMLAH]]="","",NOTA[[#This Row],[JUMLAH]]-NOTA[[#This Row],[DISC]])</f>
        <v>6238944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45171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9</v>
      </c>
      <c r="AN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1402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144 LSN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118</v>
      </c>
      <c r="M16" s="40">
        <v>1</v>
      </c>
      <c r="O16" s="37"/>
      <c r="P16" s="41"/>
      <c r="Q16" s="42">
        <v>3758400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3758400</v>
      </c>
      <c r="Y16" s="50">
        <f>IF(NOTA[[#This Row],[JUMLAH]]="","",NOTA[[#This Row],[JUMLAH]]*NOTA[[#This Row],[DISC 1]])</f>
        <v>638928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638928</v>
      </c>
      <c r="AC16" s="50">
        <f>IF(NOTA[[#This Row],[JUMLAH]]="","",NOTA[[#This Row],[JUMLAH]]-NOTA[[#This Row],[DISC]])</f>
        <v>3119472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4332960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21155040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45171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9</v>
      </c>
      <c r="AN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1445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144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1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1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KEN_0209_138-5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4</v>
      </c>
      <c r="E18" s="46">
        <v>45171</v>
      </c>
      <c r="F18" s="37" t="s">
        <v>22</v>
      </c>
      <c r="G18" s="37" t="s">
        <v>23</v>
      </c>
      <c r="H18" s="47" t="s">
        <v>119</v>
      </c>
      <c r="I18" s="37"/>
      <c r="J18" s="39">
        <v>45170</v>
      </c>
      <c r="K18" s="37"/>
      <c r="L18" s="37" t="s">
        <v>109</v>
      </c>
      <c r="M18" s="40">
        <v>2</v>
      </c>
      <c r="O18" s="37"/>
      <c r="P18" s="41"/>
      <c r="Q18" s="42">
        <v>3888000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7776000</v>
      </c>
      <c r="Y18" s="50">
        <f>IF(NOTA[[#This Row],[JUMLAH]]="","",NOTA[[#This Row],[JUMLAH]]*NOTA[[#This Row],[DISC 1]])</f>
        <v>1321920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1321920</v>
      </c>
      <c r="AC18" s="50">
        <f>IF(NOTA[[#This Row],[JUMLAH]]="","",NOTA[[#This Row],[JUMLAH]]-NOTA[[#This Row],[DISC]])</f>
        <v>6454080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45171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5</v>
      </c>
      <c r="AM18" s="38">
        <f>IF(NOTA[[#This Row],[TGL.NOTA]]="",IF(NOTA[[#This Row],[SUPPLIER_H]]="","",AM17),MONTH(NOTA[[#This Row],[TGL.NOTA]]))</f>
        <v>9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MORO2309013845170kenkocutterbladel15018mm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1384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60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1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4</v>
      </c>
      <c r="E19" s="46"/>
      <c r="F19" s="37"/>
      <c r="G19" s="37"/>
      <c r="H19" s="47"/>
      <c r="I19" s="37"/>
      <c r="J19" s="39"/>
      <c r="K19" s="37"/>
      <c r="L19" s="37" t="s">
        <v>108</v>
      </c>
      <c r="M19" s="40">
        <v>1</v>
      </c>
      <c r="O19" s="37"/>
      <c r="P19" s="41"/>
      <c r="Q19" s="42">
        <v>844800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844800</v>
      </c>
      <c r="Y19" s="50">
        <f>IF(NOTA[[#This Row],[JUMLAH]]="","",NOTA[[#This Row],[JUMLAH]]*NOTA[[#This Row],[DISC 1]])</f>
        <v>143616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143616</v>
      </c>
      <c r="AC19" s="50">
        <f>IF(NOTA[[#This Row],[JUMLAH]]="","",NOTA[[#This Row],[JUMLAH]]-NOTA[[#This Row],[DISC]])</f>
        <v>701184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45171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9</v>
      </c>
      <c r="AN19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1478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192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1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/>
      <c r="G20" s="37"/>
      <c r="H20" s="47"/>
      <c r="I20" s="37"/>
      <c r="J20" s="39"/>
      <c r="K20" s="37"/>
      <c r="L20" s="37" t="s">
        <v>120</v>
      </c>
      <c r="M20" s="40">
        <v>1</v>
      </c>
      <c r="O20" s="37"/>
      <c r="P20" s="41"/>
      <c r="Q20" s="42">
        <v>3628800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3628800</v>
      </c>
      <c r="Y20" s="50">
        <f>IF(NOTA[[#This Row],[JUMLAH]]="","",NOTA[[#This Row],[JUMLAH]]*NOTA[[#This Row],[DISC 1]])</f>
        <v>616896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616896</v>
      </c>
      <c r="AC20" s="50">
        <f>IF(NOTA[[#This Row],[JUMLAH]]="","",NOTA[[#This Row],[JUMLAH]]-NOTA[[#This Row],[DISC]])</f>
        <v>3011904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45171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9</v>
      </c>
      <c r="AN20" s="38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1403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144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kenkogelpenfungelblack144lsnartomoro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1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F21" s="37"/>
      <c r="G21" s="37"/>
      <c r="H21" s="47"/>
      <c r="I21" s="37"/>
      <c r="J21" s="39"/>
      <c r="K21" s="37"/>
      <c r="L21" s="37" t="s">
        <v>121</v>
      </c>
      <c r="M21" s="40">
        <v>1</v>
      </c>
      <c r="O21" s="37"/>
      <c r="P21" s="41"/>
      <c r="Q21" s="42">
        <v>444000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444000</v>
      </c>
      <c r="Y21" s="50">
        <f>IF(NOTA[[#This Row],[JUMLAH]]="","",NOTA[[#This Row],[JUMLAH]]*NOTA[[#This Row],[DISC 1]])</f>
        <v>75480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75480</v>
      </c>
      <c r="AC21" s="50">
        <f>IF(NOTA[[#This Row],[JUMLAH]]="","",NOTA[[#This Row],[JUMLAH]]-NOTA[[#This Row],[DISC]])</f>
        <v>368520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45171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9</v>
      </c>
      <c r="AN21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1575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24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1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2" s="38" t="e">
        <f>IF([5]!NOTA[[#This Row],[ID_P]]="","",MATCH([5]!NOTA[[#This Row],[ID_P]],[1]!B_MSK[N_ID],0))</f>
        <v>#REF!</v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115</v>
      </c>
      <c r="M22" s="40">
        <v>10</v>
      </c>
      <c r="O22" s="37"/>
      <c r="P22" s="41"/>
      <c r="Q22" s="42">
        <v>462000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4620000</v>
      </c>
      <c r="Y22" s="50">
        <f>IF(NOTA[[#This Row],[JUMLAH]]="","",NOTA[[#This Row],[JUMLAH]]*NOTA[[#This Row],[DISC 1]])</f>
        <v>785400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785400</v>
      </c>
      <c r="AC22" s="50">
        <f>IF(NOTA[[#This Row],[JUMLAH]]="","",NOTA[[#This Row],[JUMLAH]]-NOTA[[#This Row],[DISC]])</f>
        <v>3834600</v>
      </c>
      <c r="AD22" s="50"/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2943312</v>
      </c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14370288</v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45171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9</v>
      </c>
      <c r="AN2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e">
        <f>IF([5]!NOTA[[#This Row],[CONCAT4]]="","",_xlfn.IFNA(MATCH([5]!NOTA[[#This Row],[CONCAT4]],[2]!RAW[CONCAT_H],0),FALSE))</f>
        <v>#REF!</v>
      </c>
      <c r="AT22" s="38" t="e">
        <f>IF([5]!NOTA[[#This Row],[CONCAT1]]="","",MATCH([5]!NOTA[[#This Row],[CONCAT1]],[3]!db[NB NOTA_C],0))</f>
        <v>#REF!</v>
      </c>
      <c r="AU22" s="38" t="e">
        <f>IF([5]!NOTA[[#This Row],[QTY/ CTN]]="","",TRUE)</f>
        <v>#REF!</v>
      </c>
      <c r="AV22" s="38" t="e">
        <f>IF([5]!NOTA[[#This Row],[ID_H]]="","",IF([5]!NOTA[[#This Row],[Column3]]=TRUE,[5]!NOTA[[#This Row],[QTY/ CTN]],INDEX([3]!db[QTY/ CTN],[5]!NOTA[[#This Row],[//DB]])))</f>
        <v>#REF!</v>
      </c>
      <c r="AW22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X22" s="38" t="e">
        <f>IF([5]!NOTA[[#This Row],[ID_H]]="","",MATCH([5]!NOTA[[#This Row],[NB NOTA_C_QTY]],[4]!db[NB NOTA_C_QTY+F],0))</f>
        <v>#REF!</v>
      </c>
      <c r="AY22" s="38" t="e">
        <f>IF([5]!NOTA[[#This Row],[NB NOTA_C_QTY]]="","",ROW()-2)</f>
        <v>#REF!</v>
      </c>
    </row>
    <row r="23" spans="1:51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" s="50" t="str">
        <f>IF(OR(NOTA[[#This Row],[QTY]]="",NOTA[[#This Row],[HARGA SATUAN]]="",),"",NOTA[[#This Row],[QTY]]*NOTA[[#This Row],[HARGA SATUAN]])</f>
        <v/>
      </c>
      <c r="AI23" s="39" t="str">
        <f ca="1">IF(NOTA[ID_H]="","",INDEX(NOTA[TANGGAL],MATCH(,INDIRECT(ADDRESS(ROW(NOTA[TANGGAL]),COLUMN(NOTA[TANGGAL]))&amp;":"&amp;ADDRESS(ROW(),COLUMN(NOTA[TANGGAL]))),-1)))</f>
        <v/>
      </c>
      <c r="AJ23" s="39" t="str">
        <f ca="1">IF(NOTA[[#This Row],[NAMA BARANG]]="","",INDEX(NOTA[SUPPLIER],MATCH(,INDIRECT(ADDRESS(ROW(NOTA[ID]),COLUMN(NOTA[ID]))&amp;":"&amp;ADDRESS(ROW(),COLUMN(NOTA[ID]))),-1)))</f>
        <v/>
      </c>
      <c r="AK23" s="41" t="str">
        <f ca="1">IF(NOTA[[#This Row],[ID_H]]="","",IF(NOTA[[#This Row],[FAKTUR]]="",INDIRECT(ADDRESS(ROW()-1,COLUMN())),NOTA[[#This Row],[FAKTUR]]))</f>
        <v/>
      </c>
      <c r="AL23" s="41" t="str">
        <f ca="1">IF(NOTA[[#This Row],[ID]]="","",COUNTIF(NOTA[ID_H],NOTA[[#This Row],[ID_H]]))</f>
        <v/>
      </c>
      <c r="AM23" s="38" t="str">
        <f ca="1">IF(NOTA[[#This Row],[TGL.NOTA]]="",IF(NOTA[[#This Row],[SUPPLIER_H]]="","",AM22),MONTH(NOTA[[#This Row],[TGL.NOTA]]))</f>
        <v/>
      </c>
      <c r="AN23" s="38" t="str">
        <f>LOWER(SUBSTITUTE(SUBSTITUTE(SUBSTITUTE(SUBSTITUTE(SUBSTITUTE(SUBSTITUTE(SUBSTITUTE(SUBSTITUTE(SUBSTITUTE(NOTA[NAMA BARANG]," ",),".",""),"-",""),"(",""),")",""),",",""),"/",""),"""",""),"+",""))</f>
        <v/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str">
        <f>IF(NOTA[[#This Row],[CONCAT1]]="","",MATCH(NOTA[[#This Row],[CONCAT1]],[3]!db[NB NOTA_C],0))</f>
        <v/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/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" s="38" t="str">
        <f ca="1">IF(NOTA[[#This Row],[ID_H]]="","",MATCH(NOTA[[#This Row],[NB NOTA_C_QTY]],[4]!db[NB NOTA_C_QTY+F],0))</f>
        <v/>
      </c>
      <c r="AX23" s="38" t="str">
        <f ca="1">IF(NOTA[[#This Row],[NB NOTA_C_QTY]]="","",ROW()-2)</f>
        <v/>
      </c>
    </row>
    <row r="24" spans="1:51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HAN_0909_113-2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45178</v>
      </c>
      <c r="F24" s="37" t="s">
        <v>123</v>
      </c>
      <c r="G24" s="37" t="s">
        <v>124</v>
      </c>
      <c r="H24" s="47" t="s">
        <v>125</v>
      </c>
      <c r="I24" s="37"/>
      <c r="J24" s="39">
        <v>45178</v>
      </c>
      <c r="K24" s="37"/>
      <c r="L24" s="37" t="s">
        <v>126</v>
      </c>
      <c r="M24" s="40"/>
      <c r="N24" s="38">
        <v>60</v>
      </c>
      <c r="O24" s="37" t="s">
        <v>127</v>
      </c>
      <c r="P24" s="41">
        <v>1600</v>
      </c>
      <c r="Q24" s="42"/>
      <c r="R24" s="48"/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96000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96000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24" s="50">
        <f>IF(OR(NOTA[[#This Row],[QTY]]="",NOTA[[#This Row],[HARGA SATUAN]]="",),"",NOTA[[#This Row],[QTY]]*NOTA[[#This Row],[HARGA SATUAN]])</f>
        <v>96000</v>
      </c>
      <c r="AI24" s="39">
        <f ca="1">IF(NOTA[ID_H]="","",INDEX(NOTA[TANGGAL],MATCH(,INDIRECT(ADDRESS(ROW(NOTA[TANGGAL]),COLUMN(NOTA[TANGGAL]))&amp;":"&amp;ADDRESS(ROW(),COLUMN(NOTA[TANGGAL]))),-1)))</f>
        <v>45178</v>
      </c>
      <c r="AJ24" s="41" t="str">
        <f ca="1">IF(NOTA[[#This Row],[NAMA BARANG]]="","",INDEX(NOTA[SUPPLIER],MATCH(,INDIRECT(ADDRESS(ROW(NOTA[ID]),COLUMN(NOTA[ID]))&amp;":"&amp;ADDRESS(ROW(),COLUMN(NOTA[ID]))),-1)))</f>
        <v>HANSA</v>
      </c>
      <c r="AK24" s="41" t="str">
        <f ca="1">IF(NOTA[[#This Row],[ID_H]]="","",IF(NOTA[[#This Row],[FAKTUR]]="",INDIRECT(ADDRESS(ROW()-1,COLUMN())),NOTA[[#This Row],[FAKTUR]]))</f>
        <v>UNTANA</v>
      </c>
      <c r="AL24" s="38">
        <f ca="1">IF(NOTA[[#This Row],[ID]]="","",COUNTIF(NOTA[ID_H],NOTA[[#This Row],[ID_H]]))</f>
        <v>2</v>
      </c>
      <c r="AM24" s="38">
        <f>IF(NOTA[[#This Row],[TGL.NOTA]]="",IF(NOTA[[#This Row],[SUPPLIER_H]]="","",AM23),MONTH(NOTA[[#This Row],[TGL.NOTA]]))</f>
        <v>9</v>
      </c>
      <c r="AN2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HANSAUNTANAHN09202311345178malamshintoengk612w</v>
      </c>
      <c r="AR24" s="38" t="e">
        <f>IF(NOTA[[#This Row],[CONCAT4]]="","",_xlfn.IFNA(MATCH(NOTA[[#This Row],[CONCAT4]],[2]!RAW[CONCAT_H],0),FALSE))</f>
        <v>#REF!</v>
      </c>
      <c r="AS24" s="38">
        <f>IF(NOTA[[#This Row],[CONCAT1]]="","",MATCH(NOTA[[#This Row],[CONCAT1]],[3]!db[NB NOTA_C],0))</f>
        <v>1724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480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1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5</v>
      </c>
      <c r="E25" s="46"/>
      <c r="F25" s="37"/>
      <c r="G25" s="37"/>
      <c r="H25" s="47"/>
      <c r="I25" s="37"/>
      <c r="J25" s="39"/>
      <c r="K25" s="37"/>
      <c r="L25" s="37" t="s">
        <v>128</v>
      </c>
      <c r="M25" s="40"/>
      <c r="N25" s="38">
        <v>60</v>
      </c>
      <c r="O25" s="37" t="s">
        <v>127</v>
      </c>
      <c r="P25" s="41">
        <v>4550</v>
      </c>
      <c r="Q25" s="42"/>
      <c r="R25" s="48"/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273000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273000</v>
      </c>
      <c r="AD25" s="50"/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369000</v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25" s="50">
        <f>IF(OR(NOTA[[#This Row],[QTY]]="",NOTA[[#This Row],[HARGA SATUAN]]="",),"",NOTA[[#This Row],[QTY]]*NOTA[[#This Row],[HARGA SATUAN]])</f>
        <v>273000</v>
      </c>
      <c r="AI25" s="39">
        <f ca="1">IF(NOTA[ID_H]="","",INDEX(NOTA[TANGGAL],MATCH(,INDIRECT(ADDRESS(ROW(NOTA[TANGGAL]),COLUMN(NOTA[TANGGAL]))&amp;":"&amp;ADDRESS(ROW(),COLUMN(NOTA[TANGGAL]))),-1)))</f>
        <v>45178</v>
      </c>
      <c r="AJ25" s="41" t="str">
        <f ca="1">IF(NOTA[[#This Row],[NAMA BARANG]]="","",INDEX(NOTA[SUPPLIER],MATCH(,INDIRECT(ADDRESS(ROW(NOTA[ID]),COLUMN(NOTA[ID]))&amp;":"&amp;ADDRESS(ROW(),COLUMN(NOTA[ID]))),-1)))</f>
        <v>HANSA</v>
      </c>
      <c r="AK25" s="41" t="str">
        <f ca="1">IF(NOTA[[#This Row],[ID_H]]="","",IF(NOTA[[#This Row],[FAKTUR]]="",INDIRECT(ADDRESS(ROW()-1,COLUMN())),NOTA[[#This Row],[FAKTUR]]))</f>
        <v>UNTANA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9</v>
      </c>
      <c r="AN2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malamshintoengtg612w273000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1728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210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1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" s="50" t="str">
        <f>IF(OR(NOTA[[#This Row],[QTY]]="",NOTA[[#This Row],[HARGA SATUAN]]="",),"",NOTA[[#This Row],[QTY]]*NOTA[[#This Row],[HARGA SATUAN]])</f>
        <v/>
      </c>
      <c r="AI26" s="39" t="str">
        <f ca="1">IF(NOTA[ID_H]="","",INDEX(NOTA[TANGGAL],MATCH(,INDIRECT(ADDRESS(ROW(NOTA[TANGGAL]),COLUMN(NOTA[TANGGAL]))&amp;":"&amp;ADDRESS(ROW(),COLUMN(NOTA[TANGGAL]))),-1)))</f>
        <v/>
      </c>
      <c r="AJ26" s="41" t="str">
        <f ca="1">IF(NOTA[[#This Row],[NAMA BARANG]]="","",INDEX(NOTA[SUPPLIER],MATCH(,INDIRECT(ADDRESS(ROW(NOTA[ID]),COLUMN(NOTA[ID]))&amp;":"&amp;ADDRESS(ROW(),COLUMN(NOTA[ID]))),-1)))</f>
        <v/>
      </c>
      <c r="AK26" s="41" t="str">
        <f ca="1">IF(NOTA[[#This Row],[ID_H]]="","",IF(NOTA[[#This Row],[FAKTUR]]="",INDIRECT(ADDRESS(ROW()-1,COLUMN())),NOTA[[#This Row],[FAKTUR]]))</f>
        <v/>
      </c>
      <c r="AL26" s="38" t="str">
        <f ca="1">IF(NOTA[[#This Row],[ID]]="","",COUNTIF(NOTA[ID_H],NOTA[[#This Row],[ID_H]]))</f>
        <v/>
      </c>
      <c r="AM26" s="38" t="str">
        <f ca="1">IF(NOTA[[#This Row],[TGL.NOTA]]="",IF(NOTA[[#This Row],[SUPPLIER_H]]="","",AM25),MONTH(NOTA[[#This Row],[TGL.NOTA]]))</f>
        <v/>
      </c>
      <c r="AN26" s="38" t="str">
        <f>LOWER(SUBSTITUTE(SUBSTITUTE(SUBSTITUTE(SUBSTITUTE(SUBSTITUTE(SUBSTITUTE(SUBSTITUTE(SUBSTITUTE(SUBSTITUTE(NOTA[NAMA BARANG]," ",),".",""),"-",""),"(",""),")",""),",",""),"/",""),"""",""),"+",""))</f>
        <v/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 t="str">
        <f>IF(NOTA[[#This Row],[CONCAT1]]="","",MATCH(NOTA[[#This Row],[CONCAT1]],[3]!db[NB NOTA_C],0))</f>
        <v/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/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" s="38" t="str">
        <f ca="1">IF(NOTA[[#This Row],[ID_H]]="","",MATCH(NOTA[[#This Row],[NB NOTA_C_QTY]],[4]!db[NB NOTA_C_QTY+F],0))</f>
        <v/>
      </c>
      <c r="AX26" s="53" t="str">
        <f ca="1">IF(NOTA[[#This Row],[NB NOTA_C_QTY]]="","",ROW()-2)</f>
        <v/>
      </c>
    </row>
    <row r="27" spans="1:51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SEJ_1109_058-1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6</v>
      </c>
      <c r="E27" s="46">
        <v>45180</v>
      </c>
      <c r="F27" s="37" t="s">
        <v>129</v>
      </c>
      <c r="G27" s="37" t="s">
        <v>124</v>
      </c>
      <c r="H27" s="47" t="s">
        <v>130</v>
      </c>
      <c r="I27" s="37"/>
      <c r="J27" s="39">
        <v>45176</v>
      </c>
      <c r="K27" s="37"/>
      <c r="L27" s="37" t="s">
        <v>131</v>
      </c>
      <c r="M27" s="40">
        <v>13</v>
      </c>
      <c r="N27" s="38">
        <v>1872</v>
      </c>
      <c r="O27" s="37" t="s">
        <v>133</v>
      </c>
      <c r="P27" s="41">
        <v>34200</v>
      </c>
      <c r="Q27" s="42"/>
      <c r="R27" s="48" t="s">
        <v>140</v>
      </c>
      <c r="S27" s="49">
        <v>0.125</v>
      </c>
      <c r="T27" s="44">
        <v>0.05</v>
      </c>
      <c r="U27" s="44">
        <v>0.03</v>
      </c>
      <c r="V27" s="50"/>
      <c r="W27" s="45" t="s">
        <v>132</v>
      </c>
      <c r="X27" s="50">
        <f>IF(NOTA[[#This Row],[HARGA/ CTN]]="",NOTA[[#This Row],[JUMLAH_H]],NOTA[[#This Row],[HARGA/ CTN]]*IF(NOTA[[#This Row],[C]]="",0,NOTA[[#This Row],[C]]))</f>
        <v>64022400</v>
      </c>
      <c r="Y27" s="50">
        <f>IF(NOTA[[#This Row],[JUMLAH]]="","",NOTA[[#This Row],[JUMLAH]]*NOTA[[#This Row],[DISC 1]])</f>
        <v>8002800</v>
      </c>
      <c r="Z27" s="50">
        <f>IF(NOTA[[#This Row],[JUMLAH]]="","",(NOTA[[#This Row],[JUMLAH]]-NOTA[[#This Row],[DISC 1-]])*NOTA[[#This Row],[DISC 2]])</f>
        <v>2800980</v>
      </c>
      <c r="AA27" s="50">
        <f>IF(NOTA[[#This Row],[JUMLAH]]="","",(NOTA[[#This Row],[JUMLAH]]-NOTA[[#This Row],[DISC 1-]]-NOTA[[#This Row],[DISC 2-]])*NOTA[[#This Row],[DISC 3]])</f>
        <v>1596558.5999999999</v>
      </c>
      <c r="AB27" s="50">
        <f>IF(NOTA[[#This Row],[JUMLAH]]="","",NOTA[[#This Row],[DISC 1-]]+NOTA[[#This Row],[DISC 2-]]+NOTA[[#This Row],[DISC 3-]])</f>
        <v>12400338.6</v>
      </c>
      <c r="AC27" s="50">
        <f>IF(NOTA[[#This Row],[JUMLAH]]="","",NOTA[[#This Row],[JUMLAH]]-NOTA[[#This Row],[DISC]])</f>
        <v>51622061.399999999</v>
      </c>
      <c r="AD27" s="50"/>
      <c r="AE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12400338.6</v>
      </c>
      <c r="AF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51622061.399999999</v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H27" s="50">
        <f>IF(OR(NOTA[[#This Row],[QTY]]="",NOTA[[#This Row],[HARGA SATUAN]]="",),"",NOTA[[#This Row],[QTY]]*NOTA[[#This Row],[HARGA SATUAN]])</f>
        <v>64022400</v>
      </c>
      <c r="AI27" s="39">
        <f ca="1">IF(NOTA[ID_H]="","",INDEX(NOTA[TANGGAL],MATCH(,INDIRECT(ADDRESS(ROW(NOTA[TANGGAL]),COLUMN(NOTA[TANGGAL]))&amp;":"&amp;ADDRESS(ROW(),COLUMN(NOTA[TANGGAL]))),-1)))</f>
        <v>45180</v>
      </c>
      <c r="AJ27" s="41" t="str">
        <f ca="1">IF(NOTA[[#This Row],[NAMA BARANG]]="","",INDEX(NOTA[SUPPLIER],MATCH(,INDIRECT(ADDRESS(ROW(NOTA[ID]),COLUMN(NOTA[ID]))&amp;":"&amp;ADDRESS(ROW(),COLUMN(NOTA[ID]))),-1)))</f>
        <v>SEJATI STATIONERY</v>
      </c>
      <c r="AK27" s="41" t="str">
        <f ca="1">IF(NOTA[[#This Row],[ID_H]]="","",IF(NOTA[[#This Row],[FAKTUR]]="",INDIRECT(ADDRESS(ROW()-1,COLUMN())),NOTA[[#This Row],[FAKTUR]]))</f>
        <v>UNTANA</v>
      </c>
      <c r="AL27" s="38">
        <f ca="1">IF(NOTA[[#This Row],[ID]]="","",COUNTIF(NOTA[ID_H],NOTA[[#This Row],[ID_H]]))</f>
        <v>1</v>
      </c>
      <c r="AM27" s="38">
        <f>IF(NOTA[[#This Row],[TGL.NOTA]]="",IF(NOTA[[#This Row],[SUPPLIER_H]]="","",AM26),MONTH(NOTA[[#This Row],[TGL.NOTA]]))</f>
        <v>9</v>
      </c>
      <c r="AN27" s="38" t="str">
        <f>LOWER(SUBSTITUTE(SUBSTITUTE(SUBSTITUTE(SUBSTITUTE(SUBSTITUTE(SUBSTITUTE(SUBSTITUTE(SUBSTITUTE(SUBSTITUTE(NOTA[NAMA BARANG]," ",),".",""),"-",""),"(",""),")",""),",",""),"/",""),"""",""),"+",""))</f>
        <v>papercase110n1205ccx12stsimbalion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>SEJATI STATIONERYUNTANA2023/09/005845176papercase110n1205ccx12stsimbalion</v>
      </c>
      <c r="AR27" s="38" t="e">
        <f>IF(NOTA[[#This Row],[CONCAT4]]="","",_xlfn.IFNA(MATCH(NOTA[[#This Row],[CONCAT4]],[2]!RAW[CONCAT_H],0),FALSE))</f>
        <v>#REF!</v>
      </c>
      <c r="AS27" s="38" t="e">
        <f>IF(NOTA[[#This Row],[CONCAT1]]="","",MATCH(NOTA[[#This Row],[CONCAT1]],[3]!db[NB NOTA_C],0))</f>
        <v>#N/A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144 SET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papercase110n1205ccx12stsimbalion144setuntana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1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F28" s="37"/>
      <c r="G28" s="37"/>
      <c r="H28" s="47"/>
      <c r="I28" s="37"/>
      <c r="J28" s="39"/>
      <c r="K28" s="37"/>
      <c r="L28" s="37"/>
      <c r="M28" s="40"/>
      <c r="O28" s="37"/>
      <c r="P28" s="41"/>
      <c r="Q28" s="42"/>
      <c r="R28" s="48"/>
      <c r="S28" s="49"/>
      <c r="T28" s="44"/>
      <c r="U28" s="44"/>
      <c r="V28" s="50"/>
      <c r="W28" s="45"/>
      <c r="X28" s="50" t="str">
        <f>IF(NOTA[[#This Row],[HARGA/ CTN]]="",NOTA[[#This Row],[JUMLAH_H]],NOTA[[#This Row],[HARGA/ CTN]]*IF(NOTA[[#This Row],[C]]="",0,NOTA[[#This Row],[C]]))</f>
        <v/>
      </c>
      <c r="Y28" s="50" t="str">
        <f>IF(NOTA[[#This Row],[JUMLAH]]="","",NOTA[[#This Row],[JUMLAH]]*NOTA[[#This Row],[DISC 1]])</f>
        <v/>
      </c>
      <c r="Z28" s="50" t="str">
        <f>IF(NOTA[[#This Row],[JUMLAH]]="","",(NOTA[[#This Row],[JUMLAH]]-NOTA[[#This Row],[DISC 1-]])*NOTA[[#This Row],[DISC 2]])</f>
        <v/>
      </c>
      <c r="AA28" s="50" t="str">
        <f>IF(NOTA[[#This Row],[JUMLAH]]="","",(NOTA[[#This Row],[JUMLAH]]-NOTA[[#This Row],[DISC 1-]]-NOTA[[#This Row],[DISC 2-]])*NOTA[[#This Row],[DISC 3]])</f>
        <v/>
      </c>
      <c r="AB28" s="50" t="str">
        <f>IF(NOTA[[#This Row],[JUMLAH]]="","",NOTA[[#This Row],[DISC 1-]]+NOTA[[#This Row],[DISC 2-]]+NOTA[[#This Row],[DISC 3-]])</f>
        <v/>
      </c>
      <c r="AC28" s="50" t="str">
        <f>IF(NOTA[[#This Row],[JUMLAH]]="","",NOTA[[#This Row],[JUMLAH]]-NOTA[[#This Row],[DISC]])</f>
        <v/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" s="50" t="str">
        <f>IF(OR(NOTA[[#This Row],[QTY]]="",NOTA[[#This Row],[HARGA SATUAN]]="",),"",NOTA[[#This Row],[QTY]]*NOTA[[#This Row],[HARGA SATUAN]])</f>
        <v/>
      </c>
      <c r="AI28" s="39" t="str">
        <f ca="1">IF(NOTA[ID_H]="","",INDEX(NOTA[TANGGAL],MATCH(,INDIRECT(ADDRESS(ROW(NOTA[TANGGAL]),COLUMN(NOTA[TANGGAL]))&amp;":"&amp;ADDRESS(ROW(),COLUMN(NOTA[TANGGAL]))),-1)))</f>
        <v/>
      </c>
      <c r="AJ28" s="41" t="str">
        <f ca="1">IF(NOTA[[#This Row],[NAMA BARANG]]="","",INDEX(NOTA[SUPPLIER],MATCH(,INDIRECT(ADDRESS(ROW(NOTA[ID]),COLUMN(NOTA[ID]))&amp;":"&amp;ADDRESS(ROW(),COLUMN(NOTA[ID]))),-1)))</f>
        <v/>
      </c>
      <c r="AK28" s="41" t="str">
        <f ca="1">IF(NOTA[[#This Row],[ID_H]]="","",IF(NOTA[[#This Row],[FAKTUR]]="",INDIRECT(ADDRESS(ROW()-1,COLUMN())),NOTA[[#This Row],[FAKTUR]]))</f>
        <v/>
      </c>
      <c r="AL28" s="38" t="str">
        <f ca="1">IF(NOTA[[#This Row],[ID]]="","",COUNTIF(NOTA[ID_H],NOTA[[#This Row],[ID_H]]))</f>
        <v/>
      </c>
      <c r="AM28" s="38" t="str">
        <f ca="1">IF(NOTA[[#This Row],[TGL.NOTA]]="",IF(NOTA[[#This Row],[SUPPLIER_H]]="","",AM27),MONTH(NOTA[[#This Row],[TGL.NOTA]]))</f>
        <v/>
      </c>
      <c r="AN28" s="38" t="str">
        <f>LOWER(SUBSTITUTE(SUBSTITUTE(SUBSTITUTE(SUBSTITUTE(SUBSTITUTE(SUBSTITUTE(SUBSTITUTE(SUBSTITUTE(SUBSTITUTE(NOTA[NAMA BARANG]," ",),".",""),"-",""),"(",""),")",""),",",""),"/",""),"""",""),"+",""))</f>
        <v/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 t="str">
        <f>IF(NOTA[[#This Row],[CONCAT1]]="","",MATCH(NOTA[[#This Row],[CONCAT1]],[3]!db[NB NOTA_C],0))</f>
        <v/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/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" s="38" t="str">
        <f ca="1">IF(NOTA[[#This Row],[ID_H]]="","",MATCH(NOTA[[#This Row],[NB NOTA_C_QTY]],[4]!db[NB NOTA_C_QTY+F],0))</f>
        <v/>
      </c>
      <c r="AX28" s="53" t="str">
        <f ca="1">IF(NOTA[[#This Row],[NB NOTA_C_QTY]]="","",ROW()-2)</f>
        <v/>
      </c>
    </row>
    <row r="29" spans="1:51" s="38" customFormat="1" ht="20.100000000000001" customHeight="1" x14ac:dyDescent="0.25">
      <c r="A2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COM_1109_011-1</v>
      </c>
      <c r="C29" s="38" t="e">
        <f ca="1">IF(NOTA[[#This Row],[ID_P]]="","",MATCH(NOTA[[#This Row],[ID_P]],[1]!B_MSK[N_ID],0))</f>
        <v>#REF!</v>
      </c>
      <c r="D29" s="38">
        <f ca="1">IF(NOTA[[#This Row],[NAMA BARANG]]="","",INDEX(NOTA[ID],MATCH(,INDIRECT(ADDRESS(ROW(NOTA[ID]),COLUMN(NOTA[ID]))&amp;":"&amp;ADDRESS(ROW(),COLUMN(NOTA[ID]))),-1)))</f>
        <v>7</v>
      </c>
      <c r="E29" s="46">
        <v>45180</v>
      </c>
      <c r="F29" s="37" t="s">
        <v>136</v>
      </c>
      <c r="G29" s="37" t="s">
        <v>124</v>
      </c>
      <c r="H29" s="47" t="s">
        <v>137</v>
      </c>
      <c r="I29" s="37"/>
      <c r="J29" s="39">
        <v>45180</v>
      </c>
      <c r="K29" s="37"/>
      <c r="L29" s="37" t="s">
        <v>138</v>
      </c>
      <c r="M29" s="40"/>
      <c r="N29" s="38">
        <v>32</v>
      </c>
      <c r="O29" s="37" t="s">
        <v>139</v>
      </c>
      <c r="P29" s="41">
        <v>90000</v>
      </c>
      <c r="Q29" s="42"/>
      <c r="R29" s="48" t="s">
        <v>141</v>
      </c>
      <c r="S29" s="49">
        <v>0.02</v>
      </c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2880000</v>
      </c>
      <c r="Y29" s="50">
        <f>IF(NOTA[[#This Row],[JUMLAH]]="","",NOTA[[#This Row],[JUMLAH]]*NOTA[[#This Row],[DISC 1]])</f>
        <v>57600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57600</v>
      </c>
      <c r="AC29" s="50">
        <f>IF(NOTA[[#This Row],[JUMLAH]]="","",NOTA[[#This Row],[JUMLAH]]-NOTA[[#This Row],[DISC]])</f>
        <v>2822400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57600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2822400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9" s="50">
        <f>IF(OR(NOTA[[#This Row],[QTY]]="",NOTA[[#This Row],[HARGA SATUAN]]="",),"",NOTA[[#This Row],[QTY]]*NOTA[[#This Row],[HARGA SATUAN]])</f>
        <v>2880000</v>
      </c>
      <c r="AI29" s="39">
        <f ca="1">IF(NOTA[ID_H]="","",INDEX(NOTA[TANGGAL],MATCH(,INDIRECT(ADDRESS(ROW(NOTA[TANGGAL]),COLUMN(NOTA[TANGGAL]))&amp;":"&amp;ADDRESS(ROW(),COLUMN(NOTA[TANGGAL]))),-1)))</f>
        <v>45180</v>
      </c>
      <c r="AJ29" s="41" t="str">
        <f ca="1">IF(NOTA[[#This Row],[NAMA BARANG]]="","",INDEX(NOTA[SUPPLIER],MATCH(,INDIRECT(ADDRESS(ROW(NOTA[ID]),COLUMN(NOTA[ID]))&amp;":"&amp;ADDRESS(ROW(),COLUMN(NOTA[ID]))),-1)))</f>
        <v>COMBI</v>
      </c>
      <c r="AK29" s="41" t="str">
        <f ca="1">IF(NOTA[[#This Row],[ID_H]]="","",IF(NOTA[[#This Row],[FAKTUR]]="",INDIRECT(ADDRESS(ROW()-1,COLUMN())),NOTA[[#This Row],[FAKTUR]]))</f>
        <v>UNTANA</v>
      </c>
      <c r="AL29" s="38">
        <f ca="1">IF(NOTA[[#This Row],[ID]]="","",COUNTIF(NOTA[ID_H],NOTA[[#This Row],[ID_H]]))</f>
        <v>1</v>
      </c>
      <c r="AM29" s="38">
        <f>IF(NOTA[[#This Row],[TGL.NOTA]]="",IF(NOTA[[#This Row],[SUPPLIER_H]]="","",AM28),MONTH(NOTA[[#This Row],[TGL.NOTA]]))</f>
        <v>9</v>
      </c>
      <c r="AN29" s="38" t="str">
        <f>LOWER(SUBSTITUTE(SUBSTITUTE(SUBSTITUTE(SUBSTITUTE(SUBSTITUTE(SUBSTITUTE(SUBSTITUTE(SUBSTITUTE(SUBSTITUTE(NOTA[NAMA BARANG]," ",),".",""),"-",""),"(",""),")",""),",",""),"/",""),"""",""),"+",""))</f>
        <v>pcb128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pcb12828800000.02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pcb128900000.02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COMBIUNTANA001145180pcb128</v>
      </c>
      <c r="AR29" s="38" t="e">
        <f>IF(NOTA[[#This Row],[CONCAT4]]="","",_xlfn.IFNA(MATCH(NOTA[[#This Row],[CONCAT4]],[2]!RAW[CONCAT_H],0),FALSE))</f>
        <v>#REF!</v>
      </c>
      <c r="AS29" s="38" t="e">
        <f>IF(NOTA[[#This Row],[CONCAT1]]="","",MATCH(NOTA[[#This Row],[CONCAT1]],[3]!db[NB NOTA_C],0))</f>
        <v>#N/A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32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pcb12832lsnuntana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1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1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KEN_1109_701-10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8</v>
      </c>
      <c r="E31" s="46">
        <v>45180</v>
      </c>
      <c r="F31" s="37" t="s">
        <v>22</v>
      </c>
      <c r="G31" s="37" t="s">
        <v>23</v>
      </c>
      <c r="H31" s="47" t="s">
        <v>142</v>
      </c>
      <c r="I31" s="37"/>
      <c r="J31" s="39">
        <v>45177</v>
      </c>
      <c r="K31" s="37"/>
      <c r="L31" s="37" t="s">
        <v>143</v>
      </c>
      <c r="M31" s="40">
        <v>3</v>
      </c>
      <c r="O31" s="37"/>
      <c r="P31" s="41"/>
      <c r="Q31" s="42">
        <v>3024000</v>
      </c>
      <c r="R31" s="48"/>
      <c r="S31" s="49">
        <v>0.17</v>
      </c>
      <c r="T31" s="44">
        <v>0.05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9072000</v>
      </c>
      <c r="Y31" s="50">
        <f>IF(NOTA[[#This Row],[JUMLAH]]="","",NOTA[[#This Row],[JUMLAH]]*NOTA[[#This Row],[DISC 1]])</f>
        <v>1542240</v>
      </c>
      <c r="Z31" s="50">
        <f>IF(NOTA[[#This Row],[JUMLAH]]="","",(NOTA[[#This Row],[JUMLAH]]-NOTA[[#This Row],[DISC 1-]])*NOTA[[#This Row],[DISC 2]])</f>
        <v>376488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1918728</v>
      </c>
      <c r="AC31" s="50">
        <f>IF(NOTA[[#This Row],[JUMLAH]]="","",NOTA[[#This Row],[JUMLAH]]-NOTA[[#This Row],[DISC]])</f>
        <v>7153272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1" s="50" t="str">
        <f>IF(OR(NOTA[[#This Row],[QTY]]="",NOTA[[#This Row],[HARGA SATUAN]]="",),"",NOTA[[#This Row],[QTY]]*NOTA[[#This Row],[HARGA SATUAN]])</f>
        <v/>
      </c>
      <c r="AI31" s="39">
        <f ca="1">IF(NOTA[ID_H]="","",INDEX(NOTA[TANGGAL],MATCH(,INDIRECT(ADDRESS(ROW(NOTA[TANGGAL]),COLUMN(NOTA[TANGGAL]))&amp;":"&amp;ADDRESS(ROW(),COLUMN(NOTA[TANGGAL]))),-1)))</f>
        <v>45180</v>
      </c>
      <c r="AJ31" s="41" t="str">
        <f ca="1">IF(NOTA[[#This Row],[NAMA BARANG]]="","",INDEX(NOTA[SUPPLIER],MATCH(,INDIRECT(ADDRESS(ROW(NOTA[ID]),COLUMN(NOTA[ID]))&amp;":"&amp;ADDRESS(ROW(),COLUMN(NOTA[ID]))),-1)))</f>
        <v>KENKO SINAR INDONESIA</v>
      </c>
      <c r="AK31" s="41" t="str">
        <f ca="1">IF(NOTA[[#This Row],[ID_H]]="","",IF(NOTA[[#This Row],[FAKTUR]]="",INDIRECT(ADDRESS(ROW()-1,COLUMN())),NOTA[[#This Row],[FAKTUR]]))</f>
        <v>ARTO MORO</v>
      </c>
      <c r="AL31" s="38">
        <f ca="1">IF(NOTA[[#This Row],[ID]]="","",COUNTIF(NOTA[ID_H],NOTA[[#This Row],[ID_H]]))</f>
        <v>10</v>
      </c>
      <c r="AM31" s="38">
        <f>IF(NOTA[[#This Row],[TGL.NOTA]]="",IF(NOTA[[#This Row],[SUPPLIER_H]]="","",T35),MONTH(NOTA[[#This Row],[TGL.NOTA]]))</f>
        <v>9</v>
      </c>
      <c r="AN31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kenkocorrectiontapect90312mx5mm30240000.170.05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kenkocorrectiontapect90312mx5mm30240000.170.05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MORO2309070145177kenkocorrectiontapect90312mx5mm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1377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48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kenkocorrectiontapect90312mx5mm48lsnartomoro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1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146</v>
      </c>
      <c r="M32" s="40">
        <v>2</v>
      </c>
      <c r="O32" s="37"/>
      <c r="P32" s="41"/>
      <c r="Q32" s="42">
        <v>1410000</v>
      </c>
      <c r="R32" s="48"/>
      <c r="S32" s="49">
        <v>0.17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2820000</v>
      </c>
      <c r="Y32" s="50">
        <f>IF(NOTA[[#This Row],[JUMLAH]]="","",NOTA[[#This Row],[JUMLAH]]*NOTA[[#This Row],[DISC 1]])</f>
        <v>479400.00000000006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479400.00000000006</v>
      </c>
      <c r="AC32" s="50">
        <f>IF(NOTA[[#This Row],[JUMLAH]]="","",NOTA[[#This Row],[JUMLAH]]-NOTA[[#This Row],[DISC]])</f>
        <v>2340600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32" s="50" t="str">
        <f>IF(OR(NOTA[[#This Row],[QTY]]="",NOTA[[#This Row],[HARGA SATUAN]]="",),"",NOTA[[#This Row],[QTY]]*NOTA[[#This Row],[HARGA SATUAN]])</f>
        <v/>
      </c>
      <c r="AI32" s="39">
        <f ca="1">IF(NOTA[ID_H]="","",INDEX(NOTA[TANGGAL],MATCH(,INDIRECT(ADDRESS(ROW(NOTA[TANGGAL]),COLUMN(NOTA[TANGGAL]))&amp;":"&amp;ADDRESS(ROW(),COLUMN(NOTA[TANGGAL]))),-1)))</f>
        <v>45180</v>
      </c>
      <c r="AJ32" s="41" t="str">
        <f ca="1">IF(NOTA[[#This Row],[NAMA BARANG]]="","",INDEX(NOTA[SUPPLIER],MATCH(,INDIRECT(ADDRESS(ROW(NOTA[ID]),COLUMN(NOTA[ID]))&amp;":"&amp;ADDRESS(ROW(),COLUMN(NOTA[ID]))),-1)))</f>
        <v>KENKO SINAR INDONESIA</v>
      </c>
      <c r="AK32" s="41" t="str">
        <f ca="1">IF(NOTA[[#This Row],[ID_H]]="","",IF(NOTA[[#This Row],[FAKTUR]]="",INDIRECT(ADDRESS(ROW()-1,COLUMN())),NOTA[[#This Row],[FAKTUR]]))</f>
        <v>ARTO MORO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9</v>
      </c>
      <c r="AN3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1537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25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144</v>
      </c>
      <c r="M33" s="40">
        <v>1</v>
      </c>
      <c r="O33" s="37"/>
      <c r="P33" s="41"/>
      <c r="Q33" s="42">
        <v>1995000</v>
      </c>
      <c r="R33" s="48"/>
      <c r="S33" s="49">
        <v>0.17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1995000</v>
      </c>
      <c r="Y33" s="50">
        <f>IF(NOTA[[#This Row],[JUMLAH]]="","",NOTA[[#This Row],[JUMLAH]]*NOTA[[#This Row],[DISC 1]])</f>
        <v>339150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339150</v>
      </c>
      <c r="AC33" s="50">
        <f>IF(NOTA[[#This Row],[JUMLAH]]="","",NOTA[[#This Row],[JUMLAH]]-NOTA[[#This Row],[DISC]])</f>
        <v>1655850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3" s="50" t="str">
        <f>IF(OR(NOTA[[#This Row],[QTY]]="",NOTA[[#This Row],[HARGA SATUAN]]="",),"",NOTA[[#This Row],[QTY]]*NOTA[[#This Row],[HARGA SATUAN]])</f>
        <v/>
      </c>
      <c r="AI33" s="39">
        <f ca="1">IF(NOTA[ID_H]="","",INDEX(NOTA[TANGGAL],MATCH(,INDIRECT(ADDRESS(ROW(NOTA[TANGGAL]),COLUMN(NOTA[TANGGAL]))&amp;":"&amp;ADDRESS(ROW(),COLUMN(NOTA[TANGGAL]))),-1)))</f>
        <v>45180</v>
      </c>
      <c r="AJ33" s="41" t="str">
        <f ca="1">IF(NOTA[[#This Row],[NAMA BARANG]]="","",INDEX(NOTA[SUPPLIER],MATCH(,INDIRECT(ADDRESS(ROW(NOTA[ID]),COLUMN(NOTA[ID]))&amp;":"&amp;ADDRESS(ROW(),COLUMN(NOTA[ID]))),-1)))</f>
        <v>KENKO SINAR INDONESIA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9</v>
      </c>
      <c r="AN3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1538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25 LSN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8</v>
      </c>
      <c r="E34" s="46"/>
      <c r="F34" s="37"/>
      <c r="G34" s="37"/>
      <c r="H34" s="47"/>
      <c r="I34" s="37"/>
      <c r="J34" s="39"/>
      <c r="K34" s="37"/>
      <c r="L34" s="37" t="s">
        <v>145</v>
      </c>
      <c r="M34" s="40">
        <v>7</v>
      </c>
      <c r="O34" s="37"/>
      <c r="P34" s="41"/>
      <c r="Q34" s="42">
        <v>462000</v>
      </c>
      <c r="R34" s="48"/>
      <c r="S34" s="49">
        <v>0.17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3234000</v>
      </c>
      <c r="Y34" s="50">
        <f>IF(NOTA[[#This Row],[JUMLAH]]="","",NOTA[[#This Row],[JUMLAH]]*NOTA[[#This Row],[DISC 1]])</f>
        <v>549780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549780</v>
      </c>
      <c r="AC34" s="50">
        <f>IF(NOTA[[#This Row],[JUMLAH]]="","",NOTA[[#This Row],[JUMLAH]]-NOTA[[#This Row],[DISC]])</f>
        <v>2684220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45180</v>
      </c>
      <c r="AJ34" s="41" t="str">
        <f ca="1">IF(NOTA[[#This Row],[NAMA BARANG]]="","",INDEX(NOTA[SUPPLIER],MATCH(,INDIRECT(ADDRESS(ROW(NOTA[ID]),COLUMN(NOTA[ID]))&amp;":"&amp;ADDRESS(ROW(),COLUMN(NOTA[ID]))),-1)))</f>
        <v>KENKO SINAR INDONESIA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9</v>
      </c>
      <c r="AN3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1577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24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8</v>
      </c>
      <c r="E35" s="46"/>
      <c r="F35" s="37"/>
      <c r="G35" s="37"/>
      <c r="H35" s="47"/>
      <c r="I35" s="37"/>
      <c r="J35" s="39"/>
      <c r="K35" s="37"/>
      <c r="L35" s="37" t="s">
        <v>147</v>
      </c>
      <c r="M35" s="40">
        <v>3</v>
      </c>
      <c r="O35" s="37"/>
      <c r="P35" s="41"/>
      <c r="Q35" s="42">
        <v>2376000</v>
      </c>
      <c r="R35" s="48"/>
      <c r="S35" s="49">
        <v>0.17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7128000</v>
      </c>
      <c r="Y35" s="50">
        <f>IF(NOTA[[#This Row],[JUMLAH]]="","",NOTA[[#This Row],[JUMLAH]]*NOTA[[#This Row],[DISC 1]])</f>
        <v>1211760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1211760</v>
      </c>
      <c r="AC35" s="50">
        <f>IF(NOTA[[#This Row],[JUMLAH]]="","",NOTA[[#This Row],[JUMLAH]]-NOTA[[#This Row],[DISC]])</f>
        <v>5916240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45180</v>
      </c>
      <c r="AJ35" s="41" t="str">
        <f ca="1">IF(NOTA[[#This Row],[NAMA BARANG]]="","",INDEX(NOTA[SUPPLIER],MATCH(,INDIRECT(ADDRESS(ROW(NOTA[ID]),COLUMN(NOTA[ID]))&amp;":"&amp;ADDRESS(ROW(),COLUMN(NOTA[ID]))),-1)))</f>
        <v>KENKO SINAR INDONESIA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9</v>
      </c>
      <c r="AN3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1449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36 BOX (30 PCS)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8</v>
      </c>
      <c r="E36" s="46"/>
      <c r="F36" s="37"/>
      <c r="G36" s="37"/>
      <c r="H36" s="47"/>
      <c r="I36" s="37"/>
      <c r="J36" s="39"/>
      <c r="K36" s="37"/>
      <c r="L36" s="37" t="s">
        <v>148</v>
      </c>
      <c r="M36" s="40">
        <v>2</v>
      </c>
      <c r="O36" s="37"/>
      <c r="P36" s="41"/>
      <c r="Q36" s="42">
        <v>2592000</v>
      </c>
      <c r="R36" s="48"/>
      <c r="S36" s="49">
        <v>0.17</v>
      </c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5184000</v>
      </c>
      <c r="Y36" s="50">
        <f>IF(NOTA[[#This Row],[JUMLAH]]="","",NOTA[[#This Row],[JUMLAH]]*NOTA[[#This Row],[DISC 1]])</f>
        <v>881280.00000000012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881280.00000000012</v>
      </c>
      <c r="AC36" s="50">
        <f>IF(NOTA[[#This Row],[JUMLAH]]="","",NOTA[[#This Row],[JUMLAH]]-NOTA[[#This Row],[DISC]])</f>
        <v>4302720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45180</v>
      </c>
      <c r="AJ36" s="41" t="str">
        <f ca="1">IF(NOTA[[#This Row],[NAMA BARANG]]="","",INDEX(NOTA[SUPPLIER],MATCH(,INDIRECT(ADDRESS(ROW(NOTA[ID]),COLUMN(NOTA[ID]))&amp;":"&amp;ADDRESS(ROW(),COLUMN(NOTA[ID]))),-1)))</f>
        <v>KENKO SINAR INDONESIA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9</v>
      </c>
      <c r="AN3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1447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36 BOX (20 PCS)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8</v>
      </c>
      <c r="E37" s="46"/>
      <c r="F37" s="37"/>
      <c r="G37" s="37"/>
      <c r="H37" s="47"/>
      <c r="I37" s="37"/>
      <c r="J37" s="39"/>
      <c r="K37" s="37"/>
      <c r="L37" s="37" t="s">
        <v>149</v>
      </c>
      <c r="M37" s="40">
        <v>1</v>
      </c>
      <c r="O37" s="37"/>
      <c r="P37" s="41"/>
      <c r="Q37" s="42">
        <v>2160000</v>
      </c>
      <c r="R37" s="48"/>
      <c r="S37" s="49">
        <v>0.17</v>
      </c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2160000</v>
      </c>
      <c r="Y37" s="50">
        <f>IF(NOTA[[#This Row],[JUMLAH]]="","",NOTA[[#This Row],[JUMLAH]]*NOTA[[#This Row],[DISC 1]])</f>
        <v>367200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367200</v>
      </c>
      <c r="AC37" s="50">
        <f>IF(NOTA[[#This Row],[JUMLAH]]="","",NOTA[[#This Row],[JUMLAH]]-NOTA[[#This Row],[DISC]])</f>
        <v>1792800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7" s="50" t="str">
        <f>IF(OR(NOTA[[#This Row],[QTY]]="",NOTA[[#This Row],[HARGA SATUAN]]="",),"",NOTA[[#This Row],[QTY]]*NOTA[[#This Row],[HARGA SATUAN]])</f>
        <v/>
      </c>
      <c r="AI37" s="39">
        <f ca="1">IF(NOTA[ID_H]="","",INDEX(NOTA[TANGGAL],MATCH(,INDIRECT(ADDRESS(ROW(NOTA[TANGGAL]),COLUMN(NOTA[TANGGAL]))&amp;":"&amp;ADDRESS(ROW(),COLUMN(NOTA[TANGGAL]))),-1)))</f>
        <v>45180</v>
      </c>
      <c r="AJ37" s="41" t="str">
        <f ca="1">IF(NOTA[[#This Row],[NAMA BARANG]]="","",INDEX(NOTA[SUPPLIER],MATCH(,INDIRECT(ADDRESS(ROW(NOTA[ID]),COLUMN(NOTA[ID]))&amp;":"&amp;ADDRESS(ROW(),COLUMN(NOTA[ID]))),-1)))</f>
        <v>KENKO SINAR INDONESIA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9</v>
      </c>
      <c r="AN3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1448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LSN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8</v>
      </c>
      <c r="E38" s="46"/>
      <c r="F38" s="37"/>
      <c r="G38" s="37"/>
      <c r="H38" s="47"/>
      <c r="I38" s="37"/>
      <c r="J38" s="39"/>
      <c r="K38" s="37"/>
      <c r="L38" s="37" t="s">
        <v>151</v>
      </c>
      <c r="M38" s="40">
        <v>10</v>
      </c>
      <c r="O38" s="37"/>
      <c r="P38" s="41"/>
      <c r="Q38" s="42">
        <v>1954800</v>
      </c>
      <c r="R38" s="48"/>
      <c r="S38" s="49">
        <v>0.17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19548000</v>
      </c>
      <c r="Y38" s="50">
        <f>IF(NOTA[[#This Row],[JUMLAH]]="","",NOTA[[#This Row],[JUMLAH]]*NOTA[[#This Row],[DISC 1]])</f>
        <v>3323160.0000000005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3323160.0000000005</v>
      </c>
      <c r="AC38" s="50">
        <f>IF(NOTA[[#This Row],[JUMLAH]]="","",NOTA[[#This Row],[JUMLAH]]-NOTA[[#This Row],[DISC]])</f>
        <v>16224840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" s="50" t="str">
        <f>IF(OR(NOTA[[#This Row],[QTY]]="",NOTA[[#This Row],[HARGA SATUAN]]="",),"",NOTA[[#This Row],[QTY]]*NOTA[[#This Row],[HARGA SATUAN]])</f>
        <v/>
      </c>
      <c r="AI38" s="39">
        <f ca="1">IF(NOTA[ID_H]="","",INDEX(NOTA[TANGGAL],MATCH(,INDIRECT(ADDRESS(ROW(NOTA[TANGGAL]),COLUMN(NOTA[TANGGAL]))&amp;":"&amp;ADDRESS(ROW(),COLUMN(NOTA[TANGGAL]))),-1)))</f>
        <v>45180</v>
      </c>
      <c r="AJ38" s="41" t="str">
        <f ca="1">IF(NOTA[[#This Row],[NAMA BARANG]]="","",INDEX(NOTA[SUPPLIER],MATCH(,INDIRECT(ADDRESS(ROW(NOTA[ID]),COLUMN(NOTA[ID]))&amp;":"&amp;ADDRESS(ROW(),COLUMN(NOTA[ID]))),-1)))</f>
        <v>KENKO SINAR INDONESIA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9</v>
      </c>
      <c r="AN3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1345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36 LSN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F39" s="37"/>
      <c r="G39" s="37"/>
      <c r="H39" s="47"/>
      <c r="I39" s="37"/>
      <c r="J39" s="39"/>
      <c r="K39" s="37"/>
      <c r="L39" s="37" t="s">
        <v>150</v>
      </c>
      <c r="M39" s="40">
        <v>1</v>
      </c>
      <c r="O39" s="37"/>
      <c r="P39" s="41"/>
      <c r="Q39" s="42">
        <v>3801600</v>
      </c>
      <c r="R39" s="48"/>
      <c r="S39" s="49">
        <v>0.17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3801600</v>
      </c>
      <c r="Y39" s="50">
        <f>IF(NOTA[[#This Row],[JUMLAH]]="","",NOTA[[#This Row],[JUMLAH]]*NOTA[[#This Row],[DISC 1]])</f>
        <v>646272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646272</v>
      </c>
      <c r="AC39" s="50">
        <f>IF(NOTA[[#This Row],[JUMLAH]]="","",NOTA[[#This Row],[JUMLAH]]-NOTA[[#This Row],[DISC]])</f>
        <v>3155328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9" s="50" t="str">
        <f>IF(OR(NOTA[[#This Row],[QTY]]="",NOTA[[#This Row],[HARGA SATUAN]]="",),"",NOTA[[#This Row],[QTY]]*NOTA[[#This Row],[HARGA SATUAN]])</f>
        <v/>
      </c>
      <c r="AI39" s="39">
        <f ca="1">IF(NOTA[ID_H]="","",INDEX(NOTA[TANGGAL],MATCH(,INDIRECT(ADDRESS(ROW(NOTA[TANGGAL]),COLUMN(NOTA[TANGGAL]))&amp;":"&amp;ADDRESS(ROW(),COLUMN(NOTA[TANGGAL]))),-1)))</f>
        <v>45180</v>
      </c>
      <c r="AJ39" s="41" t="str">
        <f ca="1">IF(NOTA[[#This Row],[NAMA BARANG]]="","",INDEX(NOTA[SUPPLIER],MATCH(,INDIRECT(ADDRESS(ROW(NOTA[ID]),COLUMN(NOTA[ID]))&amp;":"&amp;ADDRESS(ROW(),COLUMN(NOTA[ID]))),-1)))</f>
        <v>KENKO SINAR INDONESIA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9</v>
      </c>
      <c r="AN39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1335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24 BOX (24 SET)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8</v>
      </c>
      <c r="E40" s="46"/>
      <c r="F40" s="37"/>
      <c r="G40" s="37"/>
      <c r="H40" s="47"/>
      <c r="I40" s="37"/>
      <c r="J40" s="39"/>
      <c r="K40" s="37"/>
      <c r="L40" s="37" t="s">
        <v>111</v>
      </c>
      <c r="M40" s="40">
        <v>5</v>
      </c>
      <c r="O40" s="37"/>
      <c r="P40" s="41"/>
      <c r="Q40" s="42">
        <v>2980800</v>
      </c>
      <c r="R40" s="48"/>
      <c r="S40" s="49">
        <v>0.17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14904000</v>
      </c>
      <c r="Y40" s="50">
        <f>IF(NOTA[[#This Row],[JUMLAH]]="","",NOTA[[#This Row],[JUMLAH]]*NOTA[[#This Row],[DISC 1]])</f>
        <v>2533680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2533680</v>
      </c>
      <c r="AC40" s="50">
        <f>IF(NOTA[[#This Row],[JUMLAH]]="","",NOTA[[#This Row],[JUMLAH]]-NOTA[[#This Row],[DISC]])</f>
        <v>12370320</v>
      </c>
      <c r="AD40" s="50"/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12250410</v>
      </c>
      <c r="AF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57596190</v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40" s="50" t="str">
        <f>IF(OR(NOTA[[#This Row],[QTY]]="",NOTA[[#This Row],[HARGA SATUAN]]="",),"",NOTA[[#This Row],[QTY]]*NOTA[[#This Row],[HARGA SATUAN]])</f>
        <v/>
      </c>
      <c r="AI40" s="39">
        <f ca="1">IF(NOTA[ID_H]="","",INDEX(NOTA[TANGGAL],MATCH(,INDIRECT(ADDRESS(ROW(NOTA[TANGGAL]),COLUMN(NOTA[TANGGAL]))&amp;":"&amp;ADDRESS(ROW(),COLUMN(NOTA[TANGGAL]))),-1)))</f>
        <v>45180</v>
      </c>
      <c r="AJ40" s="41" t="str">
        <f ca="1">IF(NOTA[[#This Row],[NAMA BARANG]]="","",INDEX(NOTA[SUPPLIER],MATCH(,INDIRECT(ADDRESS(ROW(NOTA[ID]),COLUMN(NOTA[ID]))&amp;":"&amp;ADDRESS(ROW(),COLUMN(NOTA[ID]))),-1)))</f>
        <v>KENKO SINAR INDONESIA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9</v>
      </c>
      <c r="AN40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1268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24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" s="50" t="str">
        <f>IF(OR(NOTA[[#This Row],[QTY]]="",NOTA[[#This Row],[HARGA SATUAN]]="",),"",NOTA[[#This Row],[QTY]]*NOTA[[#This Row],[HARGA SATUAN]])</f>
        <v/>
      </c>
      <c r="AI41" s="39" t="str">
        <f ca="1">IF(NOTA[ID_H]="","",INDEX(NOTA[TANGGAL],MATCH(,INDIRECT(ADDRESS(ROW(NOTA[TANGGAL]),COLUMN(NOTA[TANGGAL]))&amp;":"&amp;ADDRESS(ROW(),COLUMN(NOTA[TANGGAL]))),-1)))</f>
        <v/>
      </c>
      <c r="AJ41" s="41" t="str">
        <f ca="1">IF(NOTA[[#This Row],[NAMA BARANG]]="","",INDEX(NOTA[SUPPLIER],MATCH(,INDIRECT(ADDRESS(ROW(NOTA[ID]),COLUMN(NOTA[ID]))&amp;":"&amp;ADDRESS(ROW(),COLUMN(NOTA[ID]))),-1)))</f>
        <v/>
      </c>
      <c r="AK41" s="41" t="str">
        <f ca="1">IF(NOTA[[#This Row],[ID_H]]="","",IF(NOTA[[#This Row],[FAKTUR]]="",INDIRECT(ADDRESS(ROW()-1,COLUMN())),NOTA[[#This Row],[FAKTUR]]))</f>
        <v/>
      </c>
      <c r="AL41" s="38" t="str">
        <f ca="1">IF(NOTA[[#This Row],[ID]]="","",COUNTIF(NOTA[ID_H],NOTA[[#This Row],[ID_H]]))</f>
        <v/>
      </c>
      <c r="AM41" s="38" t="str">
        <f ca="1">IF(NOTA[[#This Row],[TGL.NOTA]]="",IF(NOTA[[#This Row],[SUPPLIER_H]]="","",AM40),MONTH(NOTA[[#This Row],[TGL.NOTA]]))</f>
        <v/>
      </c>
      <c r="AN41" s="38" t="str">
        <f>LOWER(SUBSTITUTE(SUBSTITUTE(SUBSTITUTE(SUBSTITUTE(SUBSTITUTE(SUBSTITUTE(SUBSTITUTE(SUBSTITUTE(SUBSTITUTE(NOTA[NAMA BARANG]," ",),".",""),"-",""),"(",""),")",""),",",""),"/",""),"""",""),"+",""))</f>
        <v/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 t="str">
        <f>IF(NOTA[[#This Row],[CONCAT1]]="","",MATCH(NOTA[[#This Row],[CONCAT1]],[3]!db[NB NOTA_C],0))</f>
        <v/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/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" s="38" t="str">
        <f ca="1">IF(NOTA[[#This Row],[ID_H]]="","",MATCH(NOTA[[#This Row],[NB NOTA_C_QTY]],[4]!db[NB NOTA_C_QTY+F],0))</f>
        <v/>
      </c>
      <c r="AX41" s="53" t="str">
        <f ca="1">IF(NOTA[[#This Row],[NB NOTA_C_QTY]]="","",ROW()-2)</f>
        <v/>
      </c>
    </row>
    <row r="42" spans="1:50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KEN_1109_747-2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9</v>
      </c>
      <c r="E42" s="46"/>
      <c r="F42" s="37" t="s">
        <v>22</v>
      </c>
      <c r="G42" s="37" t="s">
        <v>23</v>
      </c>
      <c r="H42" s="47" t="s">
        <v>152</v>
      </c>
      <c r="I42" s="37"/>
      <c r="J42" s="39">
        <v>45177</v>
      </c>
      <c r="K42" s="37"/>
      <c r="L42" s="37" t="s">
        <v>154</v>
      </c>
      <c r="M42" s="40">
        <v>2</v>
      </c>
      <c r="O42" s="37"/>
      <c r="P42" s="41"/>
      <c r="Q42" s="42">
        <v>1500000</v>
      </c>
      <c r="R42" s="48"/>
      <c r="S42" s="49">
        <v>0.17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3000000</v>
      </c>
      <c r="Y42" s="50">
        <f>IF(NOTA[[#This Row],[JUMLAH]]="","",NOTA[[#This Row],[JUMLAH]]*NOTA[[#This Row],[DISC 1]])</f>
        <v>510000.00000000006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510000.00000000006</v>
      </c>
      <c r="AC42" s="50">
        <f>IF(NOTA[[#This Row],[JUMLAH]]="","",NOTA[[#This Row],[JUMLAH]]-NOTA[[#This Row],[DISC]])</f>
        <v>2490000</v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42" s="50" t="str">
        <f>IF(OR(NOTA[[#This Row],[QTY]]="",NOTA[[#This Row],[HARGA SATUAN]]="",),"",NOTA[[#This Row],[QTY]]*NOTA[[#This Row],[HARGA SATUAN]])</f>
        <v/>
      </c>
      <c r="AI42" s="39">
        <f ca="1">IF(NOTA[ID_H]="","",INDEX(NOTA[TANGGAL],MATCH(,INDIRECT(ADDRESS(ROW(NOTA[TANGGAL]),COLUMN(NOTA[TANGGAL]))&amp;":"&amp;ADDRESS(ROW(),COLUMN(NOTA[TANGGAL]))),-1)))</f>
        <v>45180</v>
      </c>
      <c r="AJ42" s="41" t="str">
        <f ca="1">IF(NOTA[[#This Row],[NAMA BARANG]]="","",INDEX(NOTA[SUPPLIER],MATCH(,INDIRECT(ADDRESS(ROW(NOTA[ID]),COLUMN(NOTA[ID]))&amp;":"&amp;ADDRESS(ROW(),COLUMN(NOTA[ID]))),-1)))</f>
        <v>KENKO SINAR INDONESIA</v>
      </c>
      <c r="AK42" s="41" t="str">
        <f ca="1">IF(NOTA[[#This Row],[ID_H]]="","",IF(NOTA[[#This Row],[FAKTUR]]="",INDIRECT(ADDRESS(ROW()-1,COLUMN())),NOTA[[#This Row],[FAKTUR]]))</f>
        <v>ARTO MORO</v>
      </c>
      <c r="AL42" s="38">
        <f ca="1">IF(NOTA[[#This Row],[ID]]="","",COUNTIF(NOTA[ID_H],NOTA[[#This Row],[ID_H]]))</f>
        <v>2</v>
      </c>
      <c r="AM42" s="38">
        <f>IF(NOTA[[#This Row],[TGL.NOTA]]="",IF(NOTA[[#This Row],[SUPPLIER_H]]="","",AM41),MONTH(NOTA[[#This Row],[TGL.NOTA]]))</f>
        <v>9</v>
      </c>
      <c r="AN42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MORO2309074745177kenkoerasererb20sqblack</v>
      </c>
      <c r="AR42" s="38" t="e">
        <f>IF(NOTA[[#This Row],[CONCAT4]]="","",_xlfn.IFNA(MATCH(NOTA[[#This Row],[CONCAT4]],[2]!RAW[CONCAT_H],0),FALSE))</f>
        <v>#REF!</v>
      </c>
      <c r="AS42" s="38">
        <f>IF(NOTA[[#This Row],[CONCAT1]]="","",MATCH(NOTA[[#This Row],[CONCAT1]],[3]!db[NB NOTA_C],0))</f>
        <v>1398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50 BOX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9</v>
      </c>
      <c r="E43" s="46"/>
      <c r="F43" s="37"/>
      <c r="G43" s="37"/>
      <c r="H43" s="47"/>
      <c r="I43" s="37"/>
      <c r="J43" s="39"/>
      <c r="K43" s="37"/>
      <c r="L43" s="37" t="s">
        <v>153</v>
      </c>
      <c r="M43" s="40">
        <v>2</v>
      </c>
      <c r="O43" s="37"/>
      <c r="P43" s="41"/>
      <c r="Q43" s="42">
        <v>1375000</v>
      </c>
      <c r="R43" s="48"/>
      <c r="S43" s="49">
        <v>0.17</v>
      </c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2750000</v>
      </c>
      <c r="Y43" s="50">
        <f>IF(NOTA[[#This Row],[JUMLAH]]="","",NOTA[[#This Row],[JUMLAH]]*NOTA[[#This Row],[DISC 1]])</f>
        <v>467500.00000000006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467500.00000000006</v>
      </c>
      <c r="AC43" s="50">
        <f>IF(NOTA[[#This Row],[JUMLAH]]="","",NOTA[[#This Row],[JUMLAH]]-NOTA[[#This Row],[DISC]])</f>
        <v>2282500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977500.00000000012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4772500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43" s="50" t="str">
        <f>IF(OR(NOTA[[#This Row],[QTY]]="",NOTA[[#This Row],[HARGA SATUAN]]="",),"",NOTA[[#This Row],[QTY]]*NOTA[[#This Row],[HARGA SATUAN]])</f>
        <v/>
      </c>
      <c r="AI43" s="39">
        <f ca="1">IF(NOTA[ID_H]="","",INDEX(NOTA[TANGGAL],MATCH(,INDIRECT(ADDRESS(ROW(NOTA[TANGGAL]),COLUMN(NOTA[TANGGAL]))&amp;":"&amp;ADDRESS(ROW(),COLUMN(NOTA[TANGGAL]))),-1)))</f>
        <v>45180</v>
      </c>
      <c r="AJ43" s="41" t="str">
        <f ca="1">IF(NOTA[[#This Row],[NAMA BARANG]]="","",INDEX(NOTA[SUPPLIER],MATCH(,INDIRECT(ADDRESS(ROW(NOTA[ID]),COLUMN(NOTA[ID]))&amp;":"&amp;ADDRESS(ROW(),COLUMN(NOTA[ID]))),-1)))</f>
        <v>KENKO SINAR INDONESIA</v>
      </c>
      <c r="AK43" s="41" t="str">
        <f ca="1">IF(NOTA[[#This Row],[ID_H]]="","",IF(NOTA[[#This Row],[FAKTUR]]="",INDIRECT(ADDRESS(ROW()-1,COLUMN())),NOTA[[#This Row],[FAKTUR]]))</f>
        <v>ARTO MORO</v>
      </c>
      <c r="AL43" s="38" t="str">
        <f ca="1">IF(NOTA[[#This Row],[ID]]="","",COUNTIF(NOTA[ID_H],NOTA[[#This Row],[ID_H]]))</f>
        <v/>
      </c>
      <c r="AM43" s="38">
        <f ca="1">IF(NOTA[[#This Row],[TGL.NOTA]]="",IF(NOTA[[#This Row],[SUPPLIER_H]]="","",AM42),MONTH(NOTA[[#This Row],[TGL.NOTA]]))</f>
        <v>9</v>
      </c>
      <c r="AN43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>
        <f>IF(NOTA[[#This Row],[CONCAT1]]="","",MATCH(NOTA[[#This Row],[CONCAT1]],[3]!db[NB NOTA_C],0))</f>
        <v>1399</v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>50 BOX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KEN_1209_817-10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10</v>
      </c>
      <c r="E45" s="46">
        <v>45181</v>
      </c>
      <c r="F45" s="37" t="s">
        <v>22</v>
      </c>
      <c r="G45" s="37" t="s">
        <v>23</v>
      </c>
      <c r="H45" s="47" t="s">
        <v>155</v>
      </c>
      <c r="I45" s="37"/>
      <c r="J45" s="39">
        <v>45178</v>
      </c>
      <c r="K45" s="37"/>
      <c r="L45" s="37" t="s">
        <v>548</v>
      </c>
      <c r="M45" s="40">
        <v>1</v>
      </c>
      <c r="O45" s="37"/>
      <c r="P45" s="41"/>
      <c r="Q45" s="42">
        <v>852000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852000</v>
      </c>
      <c r="Y45" s="50">
        <f>IF(NOTA[[#This Row],[JUMLAH]]="","",NOTA[[#This Row],[JUMLAH]]*NOTA[[#This Row],[DISC 1]])</f>
        <v>144840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144840</v>
      </c>
      <c r="AC45" s="50">
        <f>IF(NOTA[[#This Row],[JUMLAH]]="","",NOTA[[#This Row],[JUMLAH]]-NOTA[[#This Row],[DISC]])</f>
        <v>707160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45181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10</v>
      </c>
      <c r="AM45" s="38">
        <f>IF(NOTA[[#This Row],[TGL.NOTA]]="",IF(NOTA[[#This Row],[SUPPLIER_H]]="","",AM44),MONTH(NOTA[[#This Row],[TGL.NOTA]]))</f>
        <v>9</v>
      </c>
      <c r="AN45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MORO2309081745178kenkoclothtape48mmredcoresqblack</v>
      </c>
      <c r="AR45" s="38" t="e">
        <f>IF(NOTA[[#This Row],[CONCAT4]]="","",_xlfn.IFNA(MATCH(NOTA[[#This Row],[CONCAT4]],[2]!RAW[CONCAT_H],0),FALSE))</f>
        <v>#REF!</v>
      </c>
      <c r="AS45" s="38">
        <f>IF(NOTA[[#This Row],[CONCAT1]]="","",MATCH(NOTA[[#This Row],[CONCAT1]],[3]!db[NB NOTA_C],0))</f>
        <v>1327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80 ROL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kenkoclothtape48mmredcoresqblack80rolartomoro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10</v>
      </c>
      <c r="E46" s="46"/>
      <c r="F46" s="37"/>
      <c r="G46" s="37"/>
      <c r="H46" s="47"/>
      <c r="I46" s="37"/>
      <c r="J46" s="39"/>
      <c r="K46" s="37"/>
      <c r="L46" s="37" t="s">
        <v>156</v>
      </c>
      <c r="M46" s="40">
        <v>4</v>
      </c>
      <c r="O46" s="37"/>
      <c r="P46" s="41"/>
      <c r="Q46" s="42">
        <v>1695600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6782400</v>
      </c>
      <c r="Y46" s="50">
        <f>IF(NOTA[[#This Row],[JUMLAH]]="","",NOTA[[#This Row],[JUMLAH]]*NOTA[[#This Row],[DISC 1]])</f>
        <v>1153008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1153008</v>
      </c>
      <c r="AC46" s="50">
        <f>IF(NOTA[[#This Row],[JUMLAH]]="","",NOTA[[#This Row],[JUMLAH]]-NOTA[[#This Row],[DISC]])</f>
        <v>5629392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45181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9</v>
      </c>
      <c r="AN4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1347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36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10</v>
      </c>
      <c r="E47" s="46"/>
      <c r="F47" s="37"/>
      <c r="G47" s="37"/>
      <c r="H47" s="47"/>
      <c r="I47" s="37"/>
      <c r="J47" s="39"/>
      <c r="K47" s="37"/>
      <c r="L47" s="37" t="s">
        <v>150</v>
      </c>
      <c r="M47" s="40">
        <v>1</v>
      </c>
      <c r="O47" s="37"/>
      <c r="P47" s="41"/>
      <c r="Q47" s="42">
        <v>3801600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3801600</v>
      </c>
      <c r="Y47" s="50">
        <f>IF(NOTA[[#This Row],[JUMLAH]]="","",NOTA[[#This Row],[JUMLAH]]*NOTA[[#This Row],[DISC 1]])</f>
        <v>646272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646272</v>
      </c>
      <c r="AC47" s="50">
        <f>IF(NOTA[[#This Row],[JUMLAH]]="","",NOTA[[#This Row],[JUMLAH]]-NOTA[[#This Row],[DISC]])</f>
        <v>3155328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45181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9</v>
      </c>
      <c r="AN47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1335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24 BOX (24 SET)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10</v>
      </c>
      <c r="E48" s="46"/>
      <c r="F48" s="37"/>
      <c r="G48" s="37"/>
      <c r="H48" s="47"/>
      <c r="I48" s="37"/>
      <c r="J48" s="39"/>
      <c r="K48" s="37"/>
      <c r="L48" s="37" t="s">
        <v>157</v>
      </c>
      <c r="M48" s="40">
        <v>4</v>
      </c>
      <c r="O48" s="37"/>
      <c r="P48" s="41"/>
      <c r="Q48" s="42">
        <v>2088000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8352000</v>
      </c>
      <c r="Y48" s="50">
        <f>IF(NOTA[[#This Row],[JUMLAH]]="","",NOTA[[#This Row],[JUMLAH]]*NOTA[[#This Row],[DISC 1]])</f>
        <v>1419840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1419840</v>
      </c>
      <c r="AC48" s="50">
        <f>IF(NOTA[[#This Row],[JUMLAH]]="","",NOTA[[#This Row],[JUMLAH]]-NOTA[[#This Row],[DISC]])</f>
        <v>6932160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45181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9</v>
      </c>
      <c r="AN4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2575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12 LSN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10</v>
      </c>
      <c r="E49" s="46"/>
      <c r="F49" s="37"/>
      <c r="G49" s="37"/>
      <c r="H49" s="47"/>
      <c r="I49" s="37"/>
      <c r="J49" s="39"/>
      <c r="K49" s="37"/>
      <c r="L49" s="37" t="s">
        <v>158</v>
      </c>
      <c r="M49" s="40">
        <v>2</v>
      </c>
      <c r="O49" s="37"/>
      <c r="P49" s="41"/>
      <c r="Q49" s="42">
        <v>1944000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3888000</v>
      </c>
      <c r="Y49" s="50">
        <f>IF(NOTA[[#This Row],[JUMLAH]]="","",NOTA[[#This Row],[JUMLAH]]*NOTA[[#This Row],[DISC 1]])</f>
        <v>660960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660960</v>
      </c>
      <c r="AC49" s="50">
        <f>IF(NOTA[[#This Row],[JUMLAH]]="","",NOTA[[#This Row],[JUMLAH]]-NOTA[[#This Row],[DISC]])</f>
        <v>3227040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45181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9</v>
      </c>
      <c r="AN4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2577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6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10</v>
      </c>
      <c r="E50" s="46"/>
      <c r="F50" s="37"/>
      <c r="G50" s="37"/>
      <c r="H50" s="47"/>
      <c r="I50" s="37"/>
      <c r="J50" s="39"/>
      <c r="K50" s="37"/>
      <c r="L50" s="37" t="s">
        <v>159</v>
      </c>
      <c r="M50" s="40">
        <v>2</v>
      </c>
      <c r="O50" s="37"/>
      <c r="P50" s="41"/>
      <c r="Q50" s="42">
        <v>1632000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3264000</v>
      </c>
      <c r="Y50" s="50">
        <f>IF(NOTA[[#This Row],[JUMLAH]]="","",NOTA[[#This Row],[JUMLAH]]*NOTA[[#This Row],[DISC 1]])</f>
        <v>554880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554880</v>
      </c>
      <c r="AC50" s="50">
        <f>IF(NOTA[[#This Row],[JUMLAH]]="","",NOTA[[#This Row],[JUMLAH]]-NOTA[[#This Row],[DISC]])</f>
        <v>2709120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45181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9</v>
      </c>
      <c r="AN5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2578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8 BOX (6 SET)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10</v>
      </c>
      <c r="E51" s="46"/>
      <c r="F51" s="37"/>
      <c r="G51" s="37"/>
      <c r="H51" s="47"/>
      <c r="I51" s="37"/>
      <c r="J51" s="39"/>
      <c r="K51" s="37"/>
      <c r="L51" s="37" t="s">
        <v>160</v>
      </c>
      <c r="M51" s="40">
        <v>2</v>
      </c>
      <c r="O51" s="37"/>
      <c r="P51" s="41"/>
      <c r="Q51" s="42">
        <v>1710000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3420000</v>
      </c>
      <c r="Y51" s="50">
        <f>IF(NOTA[[#This Row],[JUMLAH]]="","",NOTA[[#This Row],[JUMLAH]]*NOTA[[#This Row],[DISC 1]])</f>
        <v>581400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581400</v>
      </c>
      <c r="AC51" s="50">
        <f>IF(NOTA[[#This Row],[JUMLAH]]="","",NOTA[[#This Row],[JUMLAH]]-NOTA[[#This Row],[DISC]])</f>
        <v>2838600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45181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9</v>
      </c>
      <c r="AN5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2580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6 BOX (6 SET)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10</v>
      </c>
      <c r="E52" s="46"/>
      <c r="F52" s="37"/>
      <c r="G52" s="37"/>
      <c r="H52" s="47"/>
      <c r="I52" s="37"/>
      <c r="J52" s="39"/>
      <c r="K52" s="37"/>
      <c r="L52" s="37" t="s">
        <v>161</v>
      </c>
      <c r="M52" s="40">
        <v>1</v>
      </c>
      <c r="O52" s="37"/>
      <c r="P52" s="41"/>
      <c r="Q52" s="42">
        <v>1656000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1656000</v>
      </c>
      <c r="Y52" s="50">
        <f>IF(NOTA[[#This Row],[JUMLAH]]="","",NOTA[[#This Row],[JUMLAH]]*NOTA[[#This Row],[DISC 1]])</f>
        <v>281520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281520</v>
      </c>
      <c r="AC52" s="50">
        <f>IF(NOTA[[#This Row],[JUMLAH]]="","",NOTA[[#This Row],[JUMLAH]]-NOTA[[#This Row],[DISC]])</f>
        <v>1374480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45181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9</v>
      </c>
      <c r="AN5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2581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4 BOX (6 SET)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10</v>
      </c>
      <c r="E53" s="46"/>
      <c r="F53" s="37"/>
      <c r="G53" s="37"/>
      <c r="H53" s="47"/>
      <c r="I53" s="37"/>
      <c r="J53" s="39"/>
      <c r="K53" s="37"/>
      <c r="L53" s="37" t="s">
        <v>162</v>
      </c>
      <c r="M53" s="40">
        <v>1</v>
      </c>
      <c r="O53" s="37"/>
      <c r="P53" s="41"/>
      <c r="Q53" s="42">
        <v>1824000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1824000</v>
      </c>
      <c r="Y53" s="50">
        <f>IF(NOTA[[#This Row],[JUMLAH]]="","",NOTA[[#This Row],[JUMLAH]]*NOTA[[#This Row],[DISC 1]])</f>
        <v>310080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310080</v>
      </c>
      <c r="AC53" s="50">
        <f>IF(NOTA[[#This Row],[JUMLAH]]="","",NOTA[[#This Row],[JUMLAH]]-NOTA[[#This Row],[DISC]])</f>
        <v>1513920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53" s="50" t="str">
        <f>IF(OR(NOTA[[#This Row],[QTY]]="",NOTA[[#This Row],[HARGA SATUAN]]="",),"",NOTA[[#This Row],[QTY]]*NOTA[[#This Row],[HARGA SATUAN]])</f>
        <v/>
      </c>
      <c r="AI53" s="39">
        <f ca="1">IF(NOTA[ID_H]="","",INDEX(NOTA[TANGGAL],MATCH(,INDIRECT(ADDRESS(ROW(NOTA[TANGGAL]),COLUMN(NOTA[TANGGAL]))&amp;":"&amp;ADDRESS(ROW(),COLUMN(NOTA[TANGGAL]))),-1)))</f>
        <v>45181</v>
      </c>
      <c r="AJ53" s="41" t="str">
        <f ca="1">IF(NOTA[[#This Row],[NAMA BARANG]]="","",INDEX(NOTA[SUPPLIER],MATCH(,INDIRECT(ADDRESS(ROW(NOTA[ID]),COLUMN(NOTA[ID]))&amp;":"&amp;ADDRESS(ROW(),COLUMN(NOTA[ID]))),-1)))</f>
        <v>KENKO SINAR INDONESIA</v>
      </c>
      <c r="AK53" s="41" t="str">
        <f ca="1">IF(NOTA[[#This Row],[ID_H]]="","",IF(NOTA[[#This Row],[FAKTUR]]="",INDIRECT(ADDRESS(ROW()-1,COLUMN())),NOTA[[#This Row],[FAKTUR]]))</f>
        <v>ARTO MORO</v>
      </c>
      <c r="AL53" s="38" t="str">
        <f ca="1">IF(NOTA[[#This Row],[ID]]="","",COUNTIF(NOTA[ID_H],NOTA[[#This Row],[ID_H]]))</f>
        <v/>
      </c>
      <c r="AM53" s="38">
        <f ca="1">IF(NOTA[[#This Row],[TGL.NOTA]]="",IF(NOTA[[#This Row],[SUPPLIER_H]]="","",AM52),MONTH(NOTA[[#This Row],[TGL.NOTA]]))</f>
        <v>9</v>
      </c>
      <c r="AN5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>
        <f>IF(NOTA[[#This Row],[CONCAT1]]="","",MATCH(NOTA[[#This Row],[CONCAT1]],[3]!db[NB NOTA_C],0))</f>
        <v>2582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 BOX (6 SET)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10</v>
      </c>
      <c r="E54" s="46"/>
      <c r="F54" s="37"/>
      <c r="G54" s="37"/>
      <c r="H54" s="47"/>
      <c r="I54" s="37"/>
      <c r="J54" s="39"/>
      <c r="K54" s="37"/>
      <c r="L54" s="37" t="s">
        <v>163</v>
      </c>
      <c r="M54" s="40">
        <v>3</v>
      </c>
      <c r="O54" s="37"/>
      <c r="P54" s="41"/>
      <c r="Q54" s="42">
        <v>3110400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9331200</v>
      </c>
      <c r="Y54" s="50">
        <f>IF(NOTA[[#This Row],[JUMLAH]]="","",NOTA[[#This Row],[JUMLAH]]*NOTA[[#This Row],[DISC 1]])</f>
        <v>1586304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1586304</v>
      </c>
      <c r="AC54" s="50">
        <f>IF(NOTA[[#This Row],[JUMLAH]]="","",NOTA[[#This Row],[JUMLAH]]-NOTA[[#This Row],[DISC]])</f>
        <v>7744896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7339104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35832096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45181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9</v>
      </c>
      <c r="AN5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1431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144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F55" s="37"/>
      <c r="G55" s="37"/>
      <c r="H55" s="47"/>
      <c r="I55" s="37"/>
      <c r="J55" s="39"/>
      <c r="K55" s="37"/>
      <c r="L55" s="37"/>
      <c r="M55" s="40"/>
      <c r="O55" s="37"/>
      <c r="P55" s="41"/>
      <c r="Q55" s="42"/>
      <c r="R55" s="48"/>
      <c r="S55" s="49"/>
      <c r="T55" s="44"/>
      <c r="U55" s="44"/>
      <c r="V55" s="50"/>
      <c r="W55" s="45"/>
      <c r="X55" s="50" t="str">
        <f>IF(NOTA[[#This Row],[HARGA/ CTN]]="",NOTA[[#This Row],[JUMLAH_H]],NOTA[[#This Row],[HARGA/ CTN]]*IF(NOTA[[#This Row],[C]]="",0,NOTA[[#This Row],[C]]))</f>
        <v/>
      </c>
      <c r="Y55" s="50" t="str">
        <f>IF(NOTA[[#This Row],[JUMLAH]]="","",NOTA[[#This Row],[JUMLAH]]*NOTA[[#This Row],[DISC 1]])</f>
        <v/>
      </c>
      <c r="Z55" s="50" t="str">
        <f>IF(NOTA[[#This Row],[JUMLAH]]="","",(NOTA[[#This Row],[JUMLAH]]-NOTA[[#This Row],[DISC 1-]])*NOTA[[#This Row],[DISC 2]])</f>
        <v/>
      </c>
      <c r="AA55" s="50" t="str">
        <f>IF(NOTA[[#This Row],[JUMLAH]]="","",(NOTA[[#This Row],[JUMLAH]]-NOTA[[#This Row],[DISC 1-]]-NOTA[[#This Row],[DISC 2-]])*NOTA[[#This Row],[DISC 3]])</f>
        <v/>
      </c>
      <c r="AB55" s="50" t="str">
        <f>IF(NOTA[[#This Row],[JUMLAH]]="","",NOTA[[#This Row],[DISC 1-]]+NOTA[[#This Row],[DISC 2-]]+NOTA[[#This Row],[DISC 3-]])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41" t="str">
        <f ca="1">IF(NOTA[[#This Row],[NAMA BARANG]]="","",INDEX(NOTA[SUPPLIER],MATCH(,INDIRECT(ADDRESS(ROW(NOTA[ID]),COLUMN(NOTA[ID]))&amp;":"&amp;ADDRESS(ROW(),COLUMN(NOTA[ID]))),-1)))</f>
        <v/>
      </c>
      <c r="AK55" s="41" t="str">
        <f ca="1">IF(NOTA[[#This Row],[ID_H]]="","",IF(NOTA[[#This Row],[FAKTUR]]="",INDIRECT(ADDRESS(ROW()-1,COLUMN())),NOTA[[#This Row],[FAKTUR]]))</f>
        <v/>
      </c>
      <c r="AL55" s="38" t="str">
        <f ca="1">IF(NOTA[[#This Row],[ID]]="","",COUNTIF(NOTA[ID_H],NOTA[[#This Row],[ID_H]]))</f>
        <v/>
      </c>
      <c r="AM55" s="38" t="str">
        <f ca="1">IF(NOTA[[#This Row],[TGL.NOTA]]="",IF(NOTA[[#This Row],[SUPPLIER_H]]="","",AM54),MONTH(NOTA[[#This Row],[TGL.NOTA]]))</f>
        <v/>
      </c>
      <c r="AN55" s="38" t="str">
        <f>LOWER(SUBSTITUTE(SUBSTITUTE(SUBSTITUTE(SUBSTITUTE(SUBSTITUTE(SUBSTITUTE(SUBSTITUTE(SUBSTITUTE(SUBSTITUTE(NOTA[NAMA BARANG]," ",),".",""),"-",""),"(",""),")",""),",",""),"/",""),"""",""),"+",""))</f>
        <v/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 t="str">
        <f>IF(NOTA[[#This Row],[CONCAT1]]="","",MATCH(NOTA[[#This Row],[CONCAT1]],[3]!db[NB NOTA_C],0))</f>
        <v/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/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" s="38" t="str">
        <f ca="1">IF(NOTA[[#This Row],[ID_H]]="","",MATCH(NOTA[[#This Row],[NB NOTA_C_QTY]],[4]!db[NB NOTA_C_QTY+F],0))</f>
        <v/>
      </c>
      <c r="AX55" s="53" t="str">
        <f ca="1">IF(NOTA[[#This Row],[NB NOTA_C_QTY]]="","",ROW()-2)</f>
        <v/>
      </c>
    </row>
    <row r="56" spans="1:50" s="38" customFormat="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KEN_0909_463-8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11</v>
      </c>
      <c r="E56" s="46">
        <v>45178</v>
      </c>
      <c r="F56" s="37" t="s">
        <v>22</v>
      </c>
      <c r="G56" s="37" t="s">
        <v>23</v>
      </c>
      <c r="H56" s="47" t="s">
        <v>164</v>
      </c>
      <c r="I56" s="37"/>
      <c r="J56" s="39">
        <v>45175</v>
      </c>
      <c r="K56" s="37"/>
      <c r="L56" s="37" t="s">
        <v>165</v>
      </c>
      <c r="M56" s="40">
        <v>5</v>
      </c>
      <c r="O56" s="37"/>
      <c r="P56" s="41"/>
      <c r="Q56" s="42">
        <v>462000</v>
      </c>
      <c r="R56" s="48"/>
      <c r="S56" s="49">
        <v>0.17</v>
      </c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2310000</v>
      </c>
      <c r="Y56" s="50">
        <f>IF(NOTA[[#This Row],[JUMLAH]]="","",NOTA[[#This Row],[JUMLAH]]*NOTA[[#This Row],[DISC 1]])</f>
        <v>392700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392700</v>
      </c>
      <c r="AC56" s="50">
        <f>IF(NOTA[[#This Row],[JUMLAH]]="","",NOTA[[#This Row],[JUMLAH]]-NOTA[[#This Row],[DISC]])</f>
        <v>1917300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56" s="50" t="str">
        <f>IF(OR(NOTA[[#This Row],[QTY]]="",NOTA[[#This Row],[HARGA SATUAN]]="",),"",NOTA[[#This Row],[QTY]]*NOTA[[#This Row],[HARGA SATUAN]])</f>
        <v/>
      </c>
      <c r="AI56" s="39">
        <f ca="1">IF(NOTA[ID_H]="","",INDEX(NOTA[TANGGAL],MATCH(,INDIRECT(ADDRESS(ROW(NOTA[TANGGAL]),COLUMN(NOTA[TANGGAL]))&amp;":"&amp;ADDRESS(ROW(),COLUMN(NOTA[TANGGAL]))),-1)))</f>
        <v>45178</v>
      </c>
      <c r="AJ56" s="41" t="str">
        <f ca="1">IF(NOTA[[#This Row],[NAMA BARANG]]="","",INDEX(NOTA[SUPPLIER],MATCH(,INDIRECT(ADDRESS(ROW(NOTA[ID]),COLUMN(NOTA[ID]))&amp;":"&amp;ADDRESS(ROW(),COLUMN(NOTA[ID]))),-1)))</f>
        <v>KENKO SINAR INDONESIA</v>
      </c>
      <c r="AK56" s="41" t="str">
        <f ca="1">IF(NOTA[[#This Row],[ID_H]]="","",IF(NOTA[[#This Row],[FAKTUR]]="",INDIRECT(ADDRESS(ROW()-1,COLUMN())),NOTA[[#This Row],[FAKTUR]]))</f>
        <v>ARTO MORO</v>
      </c>
      <c r="AL56" s="38">
        <f ca="1">IF(NOTA[[#This Row],[ID]]="","",COUNTIF(NOTA[ID_H],NOTA[[#This Row],[ID_H]]))</f>
        <v>8</v>
      </c>
      <c r="AM56" s="38">
        <f>IF(NOTA[[#This Row],[TGL.NOTA]]="",IF(NOTA[[#This Row],[SUPPLIER_H]]="","",AM55),MONTH(NOTA[[#This Row],[TGL.NOTA]]))</f>
        <v>9</v>
      </c>
      <c r="AN5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MORO2309046345175kenkotapedispensertd3231&amp;3core</v>
      </c>
      <c r="AR56" s="38" t="e">
        <f>IF(NOTA[[#This Row],[CONCAT4]]="","",_xlfn.IFNA(MATCH(NOTA[[#This Row],[CONCAT4]],[2]!RAW[CONCAT_H],0),FALSE))</f>
        <v>#REF!</v>
      </c>
      <c r="AS56" s="38">
        <f>IF(NOTA[[#This Row],[CONCAT1]]="","",MATCH(NOTA[[#This Row],[CONCAT1]],[3]!db[NB NOTA_C],0))</f>
        <v>1577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24 PCS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166</v>
      </c>
      <c r="M57" s="40">
        <v>1</v>
      </c>
      <c r="O57" s="37"/>
      <c r="P57" s="41"/>
      <c r="Q57" s="42">
        <v>2352000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2352000</v>
      </c>
      <c r="Y57" s="50">
        <f>IF(NOTA[[#This Row],[JUMLAH]]="","",NOTA[[#This Row],[JUMLAH]]*NOTA[[#This Row],[DISC 1]])</f>
        <v>399840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399840</v>
      </c>
      <c r="AC57" s="50">
        <f>IF(NOTA[[#This Row],[JUMLAH]]="","",NOTA[[#This Row],[JUMLAH]]-NOTA[[#This Row],[DISC]])</f>
        <v>1952160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45178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9</v>
      </c>
      <c r="AN5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1562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20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11</v>
      </c>
      <c r="E58" s="46"/>
      <c r="F58" s="37"/>
      <c r="G58" s="37"/>
      <c r="H58" s="47"/>
      <c r="I58" s="37"/>
      <c r="J58" s="39"/>
      <c r="K58" s="37"/>
      <c r="L58" s="37" t="s">
        <v>167</v>
      </c>
      <c r="M58" s="40">
        <v>1</v>
      </c>
      <c r="O58" s="37"/>
      <c r="P58" s="41"/>
      <c r="Q58" s="42">
        <v>1164000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1164000</v>
      </c>
      <c r="Y58" s="50">
        <f>IF(NOTA[[#This Row],[JUMLAH]]="","",NOTA[[#This Row],[JUMLAH]]*NOTA[[#This Row],[DISC 1]])</f>
        <v>197880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197880</v>
      </c>
      <c r="AC58" s="50">
        <f>IF(NOTA[[#This Row],[JUMLAH]]="","",NOTA[[#This Row],[JUMLAH]]-NOTA[[#This Row],[DISC]])</f>
        <v>966120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8" s="50" t="str">
        <f>IF(OR(NOTA[[#This Row],[QTY]]="",NOTA[[#This Row],[HARGA SATUAN]]="",),"",NOTA[[#This Row],[QTY]]*NOTA[[#This Row],[HARGA SATUAN]])</f>
        <v/>
      </c>
      <c r="AI58" s="39">
        <f ca="1">IF(NOTA[ID_H]="","",INDEX(NOTA[TANGGAL],MATCH(,INDIRECT(ADDRESS(ROW(NOTA[TANGGAL]),COLUMN(NOTA[TANGGAL]))&amp;":"&amp;ADDRESS(ROW(),COLUMN(NOTA[TANGGAL]))),-1)))</f>
        <v>45178</v>
      </c>
      <c r="AJ58" s="41" t="str">
        <f ca="1">IF(NOTA[[#This Row],[NAMA BARANG]]="","",INDEX(NOTA[SUPPLIER],MATCH(,INDIRECT(ADDRESS(ROW(NOTA[ID]),COLUMN(NOTA[ID]))&amp;":"&amp;ADDRESS(ROW(),COLUMN(NOTA[ID]))),-1)))</f>
        <v>KENKO SINAR INDONESIA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9</v>
      </c>
      <c r="AN58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1532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24 PCS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11</v>
      </c>
      <c r="E59" s="46"/>
      <c r="F59" s="37"/>
      <c r="G59" s="37"/>
      <c r="H59" s="47"/>
      <c r="I59" s="37"/>
      <c r="J59" s="39"/>
      <c r="K59" s="37"/>
      <c r="L59" s="37" t="s">
        <v>172</v>
      </c>
      <c r="M59" s="40">
        <v>1</v>
      </c>
      <c r="O59" s="37"/>
      <c r="P59" s="41"/>
      <c r="Q59" s="42">
        <v>1416000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1416000</v>
      </c>
      <c r="Y59" s="50">
        <f>IF(NOTA[[#This Row],[JUMLAH]]="","",NOTA[[#This Row],[JUMLAH]]*NOTA[[#This Row],[DISC 1]])</f>
        <v>240720.00000000003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240720.00000000003</v>
      </c>
      <c r="AC59" s="50">
        <f>IF(NOTA[[#This Row],[JUMLAH]]="","",NOTA[[#This Row],[JUMLAH]]-NOTA[[#This Row],[DISC]])</f>
        <v>1175280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45178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 t="str">
        <f ca="1">IF(NOTA[[#This Row],[ID]]="","",COUNTIF(NOTA[ID_H],NOTA[[#This Row],[ID_H]]))</f>
        <v/>
      </c>
      <c r="AM59" s="38">
        <f ca="1">IF(NOTA[[#This Row],[TGL.NOTA]]="",IF(NOTA[[#This Row],[SUPPLIER_H]]="","",AM58),MONTH(NOTA[[#This Row],[TGL.NOTA]]))</f>
        <v>9</v>
      </c>
      <c r="AN59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>
        <f>IF(NOTA[[#This Row],[CONCAT1]]="","",MATCH(NOTA[[#This Row],[CONCAT1]],[3]!db[NB NOTA_C],0))</f>
        <v>1533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PCS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168</v>
      </c>
      <c r="M60" s="40">
        <v>5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19440000</v>
      </c>
      <c r="Y60" s="50">
        <f>IF(NOTA[[#This Row],[JUMLAH]]="","",NOTA[[#This Row],[JUMLAH]]*NOTA[[#This Row],[DISC 1]])</f>
        <v>3304800.0000000005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3304800.0000000005</v>
      </c>
      <c r="AC60" s="50">
        <f>IF(NOTA[[#This Row],[JUMLAH]]="","",NOTA[[#This Row],[JUMLAH]]-NOTA[[#This Row],[DISC]])</f>
        <v>16135200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45178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Row],[SUPPLIER_H]]="","",AM58),MONTH(NOTA[[#This Row],[TGL.NOTA]]))</f>
        <v>9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1384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60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169</v>
      </c>
      <c r="M61" s="40">
        <v>1</v>
      </c>
      <c r="O61" s="37"/>
      <c r="P61" s="41"/>
      <c r="Q61" s="42">
        <v>3758400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3758400</v>
      </c>
      <c r="Y61" s="50">
        <f>IF(NOTA[[#This Row],[JUMLAH]]="","",NOTA[[#This Row],[JUMLAH]]*NOTA[[#This Row],[DISC 1]])</f>
        <v>638928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638928</v>
      </c>
      <c r="AC61" s="50">
        <f>IF(NOTA[[#This Row],[JUMLAH]]="","",NOTA[[#This Row],[JUMLAH]]-NOTA[[#This Row],[DISC]])</f>
        <v>3119472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45178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9</v>
      </c>
      <c r="AN61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1404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171</v>
      </c>
      <c r="M62" s="40">
        <v>2</v>
      </c>
      <c r="O62" s="37"/>
      <c r="P62" s="41"/>
      <c r="Q62" s="42">
        <v>2052000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4104000</v>
      </c>
      <c r="Y62" s="50">
        <f>IF(NOTA[[#This Row],[JUMLAH]]="","",NOTA[[#This Row],[JUMLAH]]*NOTA[[#This Row],[DISC 1]])</f>
        <v>697680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697680</v>
      </c>
      <c r="AC62" s="50">
        <f>IF(NOTA[[#This Row],[JUMLAH]]="","",NOTA[[#This Row],[JUMLAH]]-NOTA[[#This Row],[DISC]])</f>
        <v>3406320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45178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9</v>
      </c>
      <c r="AN62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1349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36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170</v>
      </c>
      <c r="M63" s="40">
        <v>3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16848000</v>
      </c>
      <c r="Y63" s="50">
        <f>IF(NOTA[[#This Row],[JUMLAH]]="","",NOTA[[#This Row],[JUMLAH]]*NOTA[[#This Row],[DISC 1]])</f>
        <v>2864160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2864160</v>
      </c>
      <c r="AC63" s="50">
        <f>IF(NOTA[[#This Row],[JUMLAH]]="","",NOTA[[#This Row],[JUMLAH]]-NOTA[[#This Row],[DISC]])</f>
        <v>13983840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8736708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42655692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45178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9</v>
      </c>
      <c r="AN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1408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144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12</v>
      </c>
      <c r="E65" s="46"/>
      <c r="F65" s="37" t="s">
        <v>22</v>
      </c>
      <c r="G65" s="37" t="s">
        <v>23</v>
      </c>
      <c r="H65" s="47" t="s">
        <v>173</v>
      </c>
      <c r="I65" s="37"/>
      <c r="J65" s="39">
        <v>45175</v>
      </c>
      <c r="K65" s="37"/>
      <c r="L65" s="37" t="s">
        <v>181</v>
      </c>
      <c r="M65" s="40">
        <v>2</v>
      </c>
      <c r="O65" s="37"/>
      <c r="P65" s="41"/>
      <c r="Q65" s="42">
        <v>3916800</v>
      </c>
      <c r="R65" s="48"/>
      <c r="S65" s="49">
        <v>0.17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7833600</v>
      </c>
      <c r="Y65" s="50">
        <f>IF(NOTA[[#This Row],[JUMLAH]]="","",NOTA[[#This Row],[JUMLAH]]*NOTA[[#This Row],[DISC 1]])</f>
        <v>1331712</v>
      </c>
      <c r="Z65" s="50">
        <f>IF(NOTA[[#This Row],[JUMLAH]]="","",(NOTA[[#This Row],[JUMLAH]]-NOTA[[#This Row],[DISC 1-]])*NOTA[[#This Row],[DISC 2]])</f>
        <v>325094.40000000002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1656806.3999999999</v>
      </c>
      <c r="AC65" s="50">
        <f>IF(NOTA[[#This Row],[JUMLAH]]="","",NOTA[[#This Row],[JUMLAH]]-NOTA[[#This Row],[DISC]])</f>
        <v>6176793.5999999996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45178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8</v>
      </c>
      <c r="AM65" s="38">
        <f>IF(NOTA[[#This Row],[TGL.NOTA]]="",IF(NOTA[[#This Row],[SUPPLIER_H]]="","",AM64),MONTH(NOTA[[#This Row],[TGL.NOTA]]))</f>
        <v>9</v>
      </c>
      <c r="AN65" s="38" t="str">
        <f>LOWER(SUBSTITUTE(SUBSTITUTE(SUBSTITUTE(SUBSTITUTE(SUBSTITUTE(SUBSTITUTE(SUBSTITUTE(SUBSTITUTE(SUBSTITUTE(NOTA[NAMA BARANG]," ",),".",""),"-",""),"(",""),")",""),",",""),"/",""),"""",""),"+",""))</f>
        <v>kenkocorrectiontapect30912mx5mm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kenkocorrectiontapect30912mx5mm39168000.170.05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kenkocorrectiontapect30912mx5mm39168000.170.05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MORO2309046845175kenkocorrectiontapect30912mx5mm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1359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48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kenkocorrectiontapect30912mx5mm48lsnartomoro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12</v>
      </c>
      <c r="E66" s="46"/>
      <c r="F66" s="37"/>
      <c r="G66" s="37"/>
      <c r="H66" s="47"/>
      <c r="I66" s="37"/>
      <c r="J66" s="39"/>
      <c r="K66" s="37"/>
      <c r="L66" s="37" t="s">
        <v>174</v>
      </c>
      <c r="M66" s="40">
        <v>2</v>
      </c>
      <c r="O66" s="37"/>
      <c r="P66" s="41"/>
      <c r="Q66" s="42">
        <v>2592000</v>
      </c>
      <c r="R66" s="48"/>
      <c r="S66" s="49">
        <v>0.17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5184000</v>
      </c>
      <c r="Y66" s="50">
        <f>IF(NOTA[[#This Row],[JUMLAH]]="","",NOTA[[#This Row],[JUMLAH]]*NOTA[[#This Row],[DISC 1]])</f>
        <v>881280.00000000012</v>
      </c>
      <c r="Z66" s="50">
        <f>IF(NOTA[[#This Row],[JUMLAH]]="","",(NOTA[[#This Row],[JUMLAH]]-NOTA[[#This Row],[DISC 1-]])*NOTA[[#This Row],[DISC 2]])</f>
        <v>215136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1096416</v>
      </c>
      <c r="AC66" s="50">
        <f>IF(NOTA[[#This Row],[JUMLAH]]="","",NOTA[[#This Row],[JUMLAH]]-NOTA[[#This Row],[DISC]])</f>
        <v>4087584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45178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9</v>
      </c>
      <c r="AN66" s="38" t="str">
        <f>LOWER(SUBSTITUTE(SUBSTITUTE(SUBSTITUTE(SUBSTITUTE(SUBSTITUTE(SUBSTITUTE(SUBSTITUTE(SUBSTITUTE(SUBSTITUTE(NOTA[NAMA BARANG]," ",),".",""),"-",""),"(",""),")",""),",",""),"/",""),"""",""),"+",""))</f>
        <v>kenkocorrectiontapect8098mx5mm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kenkocorrectiontapect8098mx5mm25920000.170.05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kenkocorrectiontapect8098mx5mm25920000.170.05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1368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48 LSN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kenkocorrectiontapect8098mx5mm48lsnartomoro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/>
      <c r="G67" s="37"/>
      <c r="H67" s="47"/>
      <c r="I67" s="37"/>
      <c r="J67" s="39"/>
      <c r="K67" s="37"/>
      <c r="L67" s="37" t="s">
        <v>175</v>
      </c>
      <c r="M67" s="40">
        <v>5</v>
      </c>
      <c r="O67" s="37"/>
      <c r="P67" s="41"/>
      <c r="Q67" s="42">
        <v>2880000</v>
      </c>
      <c r="R67" s="48"/>
      <c r="S67" s="49">
        <v>0.17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14400000</v>
      </c>
      <c r="Y67" s="50">
        <f>IF(NOTA[[#This Row],[JUMLAH]]="","",NOTA[[#This Row],[JUMLAH]]*NOTA[[#This Row],[DISC 1]])</f>
        <v>2448000</v>
      </c>
      <c r="Z67" s="50">
        <f>IF(NOTA[[#This Row],[JUMLAH]]="","",(NOTA[[#This Row],[JUMLAH]]-NOTA[[#This Row],[DISC 1-]])*NOTA[[#This Row],[DISC 2]])</f>
        <v>597600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3045600</v>
      </c>
      <c r="AC67" s="50">
        <f>IF(NOTA[[#This Row],[JUMLAH]]="","",NOTA[[#This Row],[JUMLAH]]-NOTA[[#This Row],[DISC]])</f>
        <v>11354400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45178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9</v>
      </c>
      <c r="AN6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1373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48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176</v>
      </c>
      <c r="M68" s="40">
        <v>5</v>
      </c>
      <c r="O68" s="37"/>
      <c r="P68" s="41"/>
      <c r="Q68" s="42">
        <v>2880000</v>
      </c>
      <c r="R68" s="48"/>
      <c r="S68" s="49">
        <v>0.17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14400000</v>
      </c>
      <c r="Y68" s="50">
        <f>IF(NOTA[[#This Row],[JUMLAH]]="","",NOTA[[#This Row],[JUMLAH]]*NOTA[[#This Row],[DISC 1]])</f>
        <v>2448000</v>
      </c>
      <c r="Z68" s="50">
        <f>IF(NOTA[[#This Row],[JUMLAH]]="","",(NOTA[[#This Row],[JUMLAH]]-NOTA[[#This Row],[DISC 1-]])*NOTA[[#This Row],[DISC 2]])</f>
        <v>597600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3045600</v>
      </c>
      <c r="AC68" s="50">
        <f>IF(NOTA[[#This Row],[JUMLAH]]="","",NOTA[[#This Row],[JUMLAH]]-NOTA[[#This Row],[DISC]])</f>
        <v>11354400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45178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9</v>
      </c>
      <c r="AN68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1375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48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177</v>
      </c>
      <c r="M69" s="40">
        <v>1</v>
      </c>
      <c r="O69" s="37"/>
      <c r="P69" s="41"/>
      <c r="Q69" s="42">
        <v>2880000</v>
      </c>
      <c r="R69" s="48"/>
      <c r="S69" s="49">
        <v>0.17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2880000</v>
      </c>
      <c r="Y69" s="50">
        <f>IF(NOTA[[#This Row],[JUMLAH]]="","",NOTA[[#This Row],[JUMLAH]]*NOTA[[#This Row],[DISC 1]])</f>
        <v>489600.00000000006</v>
      </c>
      <c r="Z69" s="50">
        <f>IF(NOTA[[#This Row],[JUMLAH]]="","",(NOTA[[#This Row],[JUMLAH]]-NOTA[[#This Row],[DISC 1-]])*NOTA[[#This Row],[DISC 2]])</f>
        <v>119520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609120</v>
      </c>
      <c r="AC69" s="50">
        <f>IF(NOTA[[#This Row],[JUMLAH]]="","",NOTA[[#This Row],[JUMLAH]]-NOTA[[#This Row],[DISC]])</f>
        <v>2270880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45178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9</v>
      </c>
      <c r="AN69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kenkocorrectiontapect902p12mx5mm28800000.170.05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kenkocorrectiontapect902p12mx5mm28800000.170.05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1374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48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178</v>
      </c>
      <c r="M70" s="40">
        <v>1</v>
      </c>
      <c r="O70" s="37"/>
      <c r="P70" s="41"/>
      <c r="Q70" s="42">
        <v>1410000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1410000</v>
      </c>
      <c r="Y70" s="50">
        <f>IF(NOTA[[#This Row],[JUMLAH]]="","",NOTA[[#This Row],[JUMLAH]]*NOTA[[#This Row],[DISC 1]])</f>
        <v>239700.00000000003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239700.00000000003</v>
      </c>
      <c r="AC70" s="50">
        <f>IF(NOTA[[#This Row],[JUMLAH]]="","",NOTA[[#This Row],[JUMLAH]]-NOTA[[#This Row],[DISC]])</f>
        <v>1170300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45178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9</v>
      </c>
      <c r="AN70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1537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25 LSN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179</v>
      </c>
      <c r="M71" s="40">
        <v>1</v>
      </c>
      <c r="O71" s="37"/>
      <c r="P71" s="41"/>
      <c r="Q71" s="42">
        <v>1995000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1995000</v>
      </c>
      <c r="Y71" s="50">
        <f>IF(NOTA[[#This Row],[JUMLAH]]="","",NOTA[[#This Row],[JUMLAH]]*NOTA[[#This Row],[DISC 1]])</f>
        <v>339150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339150</v>
      </c>
      <c r="AC71" s="50">
        <f>IF(NOTA[[#This Row],[JUMLAH]]="","",NOTA[[#This Row],[JUMLAH]]-NOTA[[#This Row],[DISC]])</f>
        <v>1655850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45178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9</v>
      </c>
      <c r="AN71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1538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25 LSN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12</v>
      </c>
      <c r="E72" s="46"/>
      <c r="F72" s="37"/>
      <c r="G72" s="37"/>
      <c r="H72" s="47"/>
      <c r="I72" s="37"/>
      <c r="J72" s="39"/>
      <c r="K72" s="37"/>
      <c r="L72" s="37" t="s">
        <v>180</v>
      </c>
      <c r="M72" s="40">
        <v>2</v>
      </c>
      <c r="O72" s="37"/>
      <c r="P72" s="41"/>
      <c r="Q72" s="42">
        <v>1188000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2376000</v>
      </c>
      <c r="Y72" s="50">
        <f>IF(NOTA[[#This Row],[JUMLAH]]="","",NOTA[[#This Row],[JUMLAH]]*NOTA[[#This Row],[DISC 1]])</f>
        <v>403920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403920</v>
      </c>
      <c r="AC72" s="50">
        <f>IF(NOTA[[#This Row],[JUMLAH]]="","",NOTA[[#This Row],[JUMLAH]]-NOTA[[#This Row],[DISC]])</f>
        <v>1972080</v>
      </c>
      <c r="AD72" s="50"/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10436312.4</v>
      </c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40042287.600000001</v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45178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9</v>
      </c>
      <c r="AN72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>
        <f>IF(NOTA[[#This Row],[CONCAT1]]="","",MATCH(NOTA[[#This Row],[CONCAT1]],[3]!db[NB NOTA_C],0))</f>
        <v>1540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10 LSN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" s="50" t="str">
        <f>IF(OR(NOTA[[#This Row],[QTY]]="",NOTA[[#This Row],[HARGA SATUAN]]="",),"",NOTA[[#This Row],[QTY]]*NOTA[[#This Row],[HARGA SATUAN]])</f>
        <v/>
      </c>
      <c r="AI73" s="39" t="str">
        <f ca="1">IF(NOTA[ID_H]="","",INDEX(NOTA[TANGGAL],MATCH(,INDIRECT(ADDRESS(ROW(NOTA[TANGGAL]),COLUMN(NOTA[TANGGAL]))&amp;":"&amp;ADDRESS(ROW(),COLUMN(NOTA[TANGGAL]))),-1)))</f>
        <v/>
      </c>
      <c r="AJ73" s="41" t="str">
        <f ca="1">IF(NOTA[[#This Row],[NAMA BARANG]]="","",INDEX(NOTA[SUPPLIER],MATCH(,INDIRECT(ADDRESS(ROW(NOTA[ID]),COLUMN(NOTA[ID]))&amp;":"&amp;ADDRESS(ROW(),COLUMN(NOTA[ID]))),-1)))</f>
        <v/>
      </c>
      <c r="AK73" s="41" t="str">
        <f ca="1">IF(NOTA[[#This Row],[ID_H]]="","",IF(NOTA[[#This Row],[FAKTUR]]="",INDIRECT(ADDRESS(ROW()-1,COLUMN())),NOTA[[#This Row],[FAKTUR]]))</f>
        <v/>
      </c>
      <c r="AL73" s="38" t="str">
        <f ca="1">IF(NOTA[[#This Row],[ID]]="","",COUNTIF(NOTA[ID_H],NOTA[[#This Row],[ID_H]]))</f>
        <v/>
      </c>
      <c r="AM73" s="38" t="str">
        <f ca="1">IF(NOTA[[#This Row],[TGL.NOTA]]="",IF(NOTA[[#This Row],[SUPPLIER_H]]="","",AM72),MONTH(NOTA[[#This Row],[TGL.NOTA]]))</f>
        <v/>
      </c>
      <c r="AN73" s="38" t="str">
        <f>LOWER(SUBSTITUTE(SUBSTITUTE(SUBSTITUTE(SUBSTITUTE(SUBSTITUTE(SUBSTITUTE(SUBSTITUTE(SUBSTITUTE(SUBSTITUTE(NOTA[NAMA BARANG]," ",),".",""),"-",""),"(",""),")",""),",",""),"/",""),"""",""),"+",""))</f>
        <v/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 t="str">
        <f>IF(NOTA[[#This Row],[CONCAT1]]="","",MATCH(NOTA[[#This Row],[CONCAT1]],[3]!db[NB NOTA_C],0))</f>
        <v/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/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" s="38" t="str">
        <f ca="1">IF(NOTA[[#This Row],[ID_H]]="","",MATCH(NOTA[[#This Row],[NB NOTA_C_QTY]],[4]!db[NB NOTA_C_QTY+F],0))</f>
        <v/>
      </c>
      <c r="AX73" s="53" t="str">
        <f ca="1">IF(NOTA[[#This Row],[NB NOTA_C_QTY]]="","",ROW()-2)</f>
        <v/>
      </c>
    </row>
    <row r="74" spans="1:50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KEN_1209_971-9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13</v>
      </c>
      <c r="E74" s="46">
        <v>45181</v>
      </c>
      <c r="F74" s="37" t="s">
        <v>22</v>
      </c>
      <c r="G74" s="37" t="s">
        <v>23</v>
      </c>
      <c r="H74" s="47" t="s">
        <v>182</v>
      </c>
      <c r="I74" s="37"/>
      <c r="J74" s="39">
        <v>45180</v>
      </c>
      <c r="K74" s="37"/>
      <c r="L74" s="37" t="s">
        <v>183</v>
      </c>
      <c r="M74" s="40">
        <v>1</v>
      </c>
      <c r="O74" s="37"/>
      <c r="P74" s="41"/>
      <c r="Q74" s="42">
        <v>1987200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1987200</v>
      </c>
      <c r="Y74" s="50">
        <f>IF(NOTA[[#This Row],[JUMLAH]]="","",NOTA[[#This Row],[JUMLAH]]*NOTA[[#This Row],[DISC 1]])</f>
        <v>337824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337824</v>
      </c>
      <c r="AC74" s="50">
        <f>IF(NOTA[[#This Row],[JUMLAH]]="","",NOTA[[#This Row],[JUMLAH]]-NOTA[[#This Row],[DISC]])</f>
        <v>1649376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45181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>
        <f ca="1">IF(NOTA[[#This Row],[ID]]="","",COUNTIF(NOTA[ID_H],NOTA[[#This Row],[ID_H]]))</f>
        <v>9</v>
      </c>
      <c r="AM74" s="38">
        <f>IF(NOTA[[#This Row],[TGL.NOTA]]="",IF(NOTA[[#This Row],[SUPPLIER_H]]="","",AM73),MONTH(NOTA[[#This Row],[TGL.NOTA]]))</f>
        <v>9</v>
      </c>
      <c r="AN7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MORO2309097145180kenkocolorclip3100</v>
      </c>
      <c r="AR74" s="38" t="e">
        <f>IF(NOTA[[#This Row],[CONCAT4]]="","",_xlfn.IFNA(MATCH(NOTA[[#This Row],[CONCAT4]],[2]!RAW[CONCAT_H],0),FALSE))</f>
        <v>#REF!</v>
      </c>
      <c r="AS74" s="38">
        <f>IF(NOTA[[#This Row],[CONCAT1]]="","",MATCH(NOTA[[#This Row],[CONCAT1]],[3]!db[NB NOTA_C],0))</f>
        <v>1333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48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190</v>
      </c>
      <c r="M75" s="40"/>
      <c r="N75" s="38">
        <v>12</v>
      </c>
      <c r="O75" s="37" t="s">
        <v>184</v>
      </c>
      <c r="P75" s="41">
        <v>30500</v>
      </c>
      <c r="Q75" s="42"/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366000</v>
      </c>
      <c r="Y75" s="50">
        <f>IF(NOTA[[#This Row],[JUMLAH]]="","",NOTA[[#This Row],[JUMLAH]]*NOTA[[#This Row],[DISC 1]])</f>
        <v>62220.000000000007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62220.000000000007</v>
      </c>
      <c r="AC75" s="50">
        <f>IF(NOTA[[#This Row],[JUMLAH]]="","",NOTA[[#This Row],[JUMLAH]]-NOTA[[#This Row],[DISC]])</f>
        <v>303780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5" s="50">
        <f>IF(OR(NOTA[[#This Row],[QTY]]="",NOTA[[#This Row],[HARGA SATUAN]]="",),"",NOTA[[#This Row],[QTY]]*NOTA[[#This Row],[HARGA SATUAN]])</f>
        <v>366000</v>
      </c>
      <c r="AI75" s="39">
        <f ca="1">IF(NOTA[ID_H]="","",INDEX(NOTA[TANGGAL],MATCH(,INDIRECT(ADDRESS(ROW(NOTA[TANGGAL]),COLUMN(NOTA[TANGGAL]))&amp;":"&amp;ADDRESS(ROW(),COLUMN(NOTA[TANGGAL]))),-1)))</f>
        <v>45181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9</v>
      </c>
      <c r="AN75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1461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48 BOX (10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185</v>
      </c>
      <c r="M76" s="40"/>
      <c r="N76" s="38">
        <v>12</v>
      </c>
      <c r="O76" s="37" t="s">
        <v>184</v>
      </c>
      <c r="P76" s="41">
        <v>30500</v>
      </c>
      <c r="Q76" s="42"/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366000</v>
      </c>
      <c r="Y76" s="50">
        <f>IF(NOTA[[#This Row],[JUMLAH]]="","",NOTA[[#This Row],[JUMLAH]]*NOTA[[#This Row],[DISC 1]])</f>
        <v>62220.000000000007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62220.000000000007</v>
      </c>
      <c r="AC76" s="50">
        <f>IF(NOTA[[#This Row],[JUMLAH]]="","",NOTA[[#This Row],[JUMLAH]]-NOTA[[#This Row],[DISC]])</f>
        <v>303780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6" s="50">
        <f>IF(OR(NOTA[[#This Row],[QTY]]="",NOTA[[#This Row],[HARGA SATUAN]]="",),"",NOTA[[#This Row],[QTY]]*NOTA[[#This Row],[HARGA SATUAN]])</f>
        <v>366000</v>
      </c>
      <c r="AI76" s="39">
        <f ca="1">IF(NOTA[ID_H]="","",INDEX(NOTA[TANGGAL],MATCH(,INDIRECT(ADDRESS(ROW(NOTA[TANGGAL]),COLUMN(NOTA[TANGGAL]))&amp;":"&amp;ADDRESS(ROW(),COLUMN(NOTA[TANGGAL]))),-1)))</f>
        <v>45181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9</v>
      </c>
      <c r="AN76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1463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48 BOX (10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186</v>
      </c>
      <c r="M77" s="40"/>
      <c r="N77" s="38">
        <v>12</v>
      </c>
      <c r="O77" s="37" t="s">
        <v>184</v>
      </c>
      <c r="P77" s="41">
        <v>30500</v>
      </c>
      <c r="Q77" s="42"/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366000</v>
      </c>
      <c r="Y77" s="50">
        <f>IF(NOTA[[#This Row],[JUMLAH]]="","",NOTA[[#This Row],[JUMLAH]]*NOTA[[#This Row],[DISC 1]])</f>
        <v>62220.000000000007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62220.000000000007</v>
      </c>
      <c r="AC77" s="50">
        <f>IF(NOTA[[#This Row],[JUMLAH]]="","",NOTA[[#This Row],[JUMLAH]]-NOTA[[#This Row],[DISC]])</f>
        <v>303780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7" s="50">
        <f>IF(OR(NOTA[[#This Row],[QTY]]="",NOTA[[#This Row],[HARGA SATUAN]]="",),"",NOTA[[#This Row],[QTY]]*NOTA[[#This Row],[HARGA SATUAN]])</f>
        <v>366000</v>
      </c>
      <c r="AI77" s="39">
        <f ca="1">IF(NOTA[ID_H]="","",INDEX(NOTA[TANGGAL],MATCH(,INDIRECT(ADDRESS(ROW(NOTA[TANGGAL]),COLUMN(NOTA[TANGGAL]))&amp;":"&amp;ADDRESS(ROW(),COLUMN(NOTA[TANGGAL]))),-1)))</f>
        <v>45181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9</v>
      </c>
      <c r="AN77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1465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48 BOX (10 PCS)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13</v>
      </c>
      <c r="E78" s="46"/>
      <c r="F78" s="37"/>
      <c r="G78" s="37"/>
      <c r="H78" s="47"/>
      <c r="I78" s="37"/>
      <c r="J78" s="39"/>
      <c r="K78" s="37"/>
      <c r="L78" s="37" t="s">
        <v>191</v>
      </c>
      <c r="M78" s="40"/>
      <c r="N78" s="38">
        <v>12</v>
      </c>
      <c r="O78" s="37" t="s">
        <v>184</v>
      </c>
      <c r="P78" s="41">
        <v>30500</v>
      </c>
      <c r="Q78" s="42"/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366000</v>
      </c>
      <c r="Y78" s="50">
        <f>IF(NOTA[[#This Row],[JUMLAH]]="","",NOTA[[#This Row],[JUMLAH]]*NOTA[[#This Row],[DISC 1]])</f>
        <v>62220.000000000007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62220.000000000007</v>
      </c>
      <c r="AC78" s="50">
        <f>IF(NOTA[[#This Row],[JUMLAH]]="","",NOTA[[#This Row],[JUMLAH]]-NOTA[[#This Row],[DISC]])</f>
        <v>303780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8" s="50">
        <f>IF(OR(NOTA[[#This Row],[QTY]]="",NOTA[[#This Row],[HARGA SATUAN]]="",),"",NOTA[[#This Row],[QTY]]*NOTA[[#This Row],[HARGA SATUAN]])</f>
        <v>366000</v>
      </c>
      <c r="AI78" s="39">
        <f ca="1">IF(NOTA[ID_H]="","",INDEX(NOTA[TANGGAL],MATCH(,INDIRECT(ADDRESS(ROW(NOTA[TANGGAL]),COLUMN(NOTA[TANGGAL]))&amp;":"&amp;ADDRESS(ROW(),COLUMN(NOTA[TANGGAL]))),-1)))</f>
        <v>45181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9</v>
      </c>
      <c r="AN78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1464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48 BOX (10 PCS)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13</v>
      </c>
      <c r="E79" s="46"/>
      <c r="F79" s="37"/>
      <c r="G79" s="37"/>
      <c r="H79" s="47"/>
      <c r="I79" s="37"/>
      <c r="J79" s="39"/>
      <c r="K79" s="37"/>
      <c r="L79" s="37" t="s">
        <v>187</v>
      </c>
      <c r="M79" s="40">
        <v>1</v>
      </c>
      <c r="O79" s="37"/>
      <c r="P79" s="41"/>
      <c r="Q79" s="42">
        <v>930000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930000</v>
      </c>
      <c r="Y79" s="50">
        <f>IF(NOTA[[#This Row],[JUMLAH]]="","",NOTA[[#This Row],[JUMLAH]]*NOTA[[#This Row],[DISC 1]])</f>
        <v>158100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158100</v>
      </c>
      <c r="AC79" s="50">
        <f>IF(NOTA[[#This Row],[JUMLAH]]="","",NOTA[[#This Row],[JUMLAH]]-NOTA[[#This Row],[DISC]])</f>
        <v>771900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45181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1459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6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13</v>
      </c>
      <c r="E80" s="46"/>
      <c r="F80" s="37"/>
      <c r="G80" s="37"/>
      <c r="H80" s="47"/>
      <c r="I80" s="37"/>
      <c r="J80" s="39"/>
      <c r="K80" s="37"/>
      <c r="L80" s="37" t="s">
        <v>188</v>
      </c>
      <c r="M80" s="40">
        <v>1</v>
      </c>
      <c r="O80" s="37"/>
      <c r="P80" s="41"/>
      <c r="Q80" s="42">
        <v>1069200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1069200</v>
      </c>
      <c r="Y80" s="50">
        <f>IF(NOTA[[#This Row],[JUMLAH]]="","",NOTA[[#This Row],[JUMLAH]]*NOTA[[#This Row],[DISC 1]])</f>
        <v>181764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181764</v>
      </c>
      <c r="AC80" s="50">
        <f>IF(NOTA[[#This Row],[JUMLAH]]="","",NOTA[[#This Row],[JUMLAH]]-NOTA[[#This Row],[DISC]])</f>
        <v>887436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45181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1556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18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13</v>
      </c>
      <c r="E81" s="46"/>
      <c r="F81" s="37"/>
      <c r="G81" s="37"/>
      <c r="H81" s="47"/>
      <c r="I81" s="37"/>
      <c r="J81" s="39"/>
      <c r="K81" s="37"/>
      <c r="L81" s="37" t="s">
        <v>192</v>
      </c>
      <c r="M81" s="40">
        <v>1</v>
      </c>
      <c r="O81" s="37"/>
      <c r="P81" s="41"/>
      <c r="Q81" s="42">
        <v>3648000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3648000</v>
      </c>
      <c r="Y81" s="50">
        <f>IF(NOTA[[#This Row],[JUMLAH]]="","",NOTA[[#This Row],[JUMLAH]]*NOTA[[#This Row],[DISC 1]])</f>
        <v>620160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620160</v>
      </c>
      <c r="AC81" s="50">
        <f>IF(NOTA[[#This Row],[JUMLAH]]="","",NOTA[[#This Row],[JUMLAH]]-NOTA[[#This Row],[DISC]])</f>
        <v>3027840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45181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9</v>
      </c>
      <c r="AN81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1273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16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13</v>
      </c>
      <c r="E82" s="46"/>
      <c r="F82" s="37"/>
      <c r="G82" s="37"/>
      <c r="H82" s="47"/>
      <c r="I82" s="37"/>
      <c r="J82" s="39"/>
      <c r="K82" s="37"/>
      <c r="L82" s="37" t="s">
        <v>189</v>
      </c>
      <c r="M82" s="40">
        <v>2</v>
      </c>
      <c r="O82" s="37"/>
      <c r="P82" s="41"/>
      <c r="Q82" s="42">
        <v>1954800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3909600</v>
      </c>
      <c r="Y82" s="50">
        <f>IF(NOTA[[#This Row],[JUMLAH]]="","",NOTA[[#This Row],[JUMLAH]]*NOTA[[#This Row],[DISC 1]])</f>
        <v>664632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664632</v>
      </c>
      <c r="AC82" s="50">
        <f>IF(NOTA[[#This Row],[JUMLAH]]="","",NOTA[[#This Row],[JUMLAH]]-NOTA[[#This Row],[DISC]])</f>
        <v>3244968</v>
      </c>
      <c r="AD82" s="50"/>
      <c r="AE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2211360</v>
      </c>
      <c r="AF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10796640</v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45181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9</v>
      </c>
      <c r="AN8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1345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36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 t="str">
        <f ca="1">IF(NOTA[[#This Row],[NAMA BARANG]]="","",INDEX(NOTA[ID],MATCH(,INDIRECT(ADDRESS(ROW(NOTA[ID]),COLUMN(NOTA[ID]))&amp;":"&amp;ADDRESS(ROW(),COLUMN(NOTA[ID]))),-1)))</f>
        <v/>
      </c>
      <c r="E83" s="46"/>
      <c r="F83" s="37"/>
      <c r="G83" s="37"/>
      <c r="H83" s="47"/>
      <c r="I83" s="37"/>
      <c r="J83" s="39"/>
      <c r="K83" s="37"/>
      <c r="L83" s="37"/>
      <c r="M83" s="40"/>
      <c r="O83" s="37"/>
      <c r="P83" s="41"/>
      <c r="Q83" s="42"/>
      <c r="R83" s="48"/>
      <c r="S83" s="49"/>
      <c r="T83" s="44"/>
      <c r="U83" s="44"/>
      <c r="V83" s="50"/>
      <c r="W83" s="45"/>
      <c r="X83" s="50" t="str">
        <f>IF(NOTA[[#This Row],[HARGA/ CTN]]="",NOTA[[#This Row],[JUMLAH_H]],NOTA[[#This Row],[HARGA/ CTN]]*IF(NOTA[[#This Row],[C]]="",0,NOTA[[#This Row],[C]]))</f>
        <v/>
      </c>
      <c r="Y83" s="50" t="str">
        <f>IF(NOTA[[#This Row],[JUMLAH]]="","",NOTA[[#This Row],[JUMLAH]]*NOTA[[#This Row],[DISC 1]])</f>
        <v/>
      </c>
      <c r="Z83" s="50" t="str">
        <f>IF(NOTA[[#This Row],[JUMLAH]]="","",(NOTA[[#This Row],[JUMLAH]]-NOTA[[#This Row],[DISC 1-]])*NOTA[[#This Row],[DISC 2]])</f>
        <v/>
      </c>
      <c r="AA83" s="50" t="str">
        <f>IF(NOTA[[#This Row],[JUMLAH]]="","",(NOTA[[#This Row],[JUMLAH]]-NOTA[[#This Row],[DISC 1-]]-NOTA[[#This Row],[DISC 2-]])*NOTA[[#This Row],[DISC 3]])</f>
        <v/>
      </c>
      <c r="AB83" s="50" t="str">
        <f>IF(NOTA[[#This Row],[JUMLAH]]="","",NOTA[[#This Row],[DISC 1-]]+NOTA[[#This Row],[DISC 2-]]+NOTA[[#This Row],[DISC 3-]])</f>
        <v/>
      </c>
      <c r="AC83" s="50" t="str">
        <f>IF(NOTA[[#This Row],[JUMLAH]]="","",NOTA[[#This Row],[JUMLAH]]-NOTA[[#This Row],[DISC]])</f>
        <v/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" s="50" t="str">
        <f>IF(OR(NOTA[[#This Row],[QTY]]="",NOTA[[#This Row],[HARGA SATUAN]]="",),"",NOTA[[#This Row],[QTY]]*NOTA[[#This Row],[HARGA SATUAN]])</f>
        <v/>
      </c>
      <c r="AI83" s="39" t="str">
        <f ca="1">IF(NOTA[ID_H]="","",INDEX(NOTA[TANGGAL],MATCH(,INDIRECT(ADDRESS(ROW(NOTA[TANGGAL]),COLUMN(NOTA[TANGGAL]))&amp;":"&amp;ADDRESS(ROW(),COLUMN(NOTA[TANGGAL]))),-1)))</f>
        <v/>
      </c>
      <c r="AJ83" s="41" t="str">
        <f ca="1">IF(NOTA[[#This Row],[NAMA BARANG]]="","",INDEX(NOTA[SUPPLIER],MATCH(,INDIRECT(ADDRESS(ROW(NOTA[ID]),COLUMN(NOTA[ID]))&amp;":"&amp;ADDRESS(ROW(),COLUMN(NOTA[ID]))),-1)))</f>
        <v/>
      </c>
      <c r="AK83" s="41" t="str">
        <f ca="1">IF(NOTA[[#This Row],[ID_H]]="","",IF(NOTA[[#This Row],[FAKTUR]]="",INDIRECT(ADDRESS(ROW()-1,COLUMN())),NOTA[[#This Row],[FAKTUR]]))</f>
        <v/>
      </c>
      <c r="AL83" s="38" t="str">
        <f ca="1">IF(NOTA[[#This Row],[ID]]="","",COUNTIF(NOTA[ID_H],NOTA[[#This Row],[ID_H]]))</f>
        <v/>
      </c>
      <c r="AM83" s="38" t="str">
        <f ca="1">IF(NOTA[[#This Row],[TGL.NOTA]]="",IF(NOTA[[#This Row],[SUPPLIER_H]]="","",AM82),MONTH(NOTA[[#This Row],[TGL.NOTA]]))</f>
        <v/>
      </c>
      <c r="AN83" s="38" t="str">
        <f>LOWER(SUBSTITUTE(SUBSTITUTE(SUBSTITUTE(SUBSTITUTE(SUBSTITUTE(SUBSTITUTE(SUBSTITUTE(SUBSTITUTE(SUBSTITUTE(NOTA[NAMA BARANG]," ",),".",""),"-",""),"(",""),")",""),",",""),"/",""),"""",""),"+",""))</f>
        <v/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 t="str">
        <f>IF(NOTA[[#This Row],[CONCAT1]]="","",MATCH(NOTA[[#This Row],[CONCAT1]],[3]!db[NB NOTA_C],0))</f>
        <v/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/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" s="38" t="str">
        <f ca="1">IF(NOTA[[#This Row],[ID_H]]="","",MATCH(NOTA[[#This Row],[NB NOTA_C_QTY]],[4]!db[NB NOTA_C_QTY+F],0))</f>
        <v/>
      </c>
      <c r="AX83" s="53" t="str">
        <f ca="1">IF(NOTA[[#This Row],[NB NOTA_C_QTY]]="","",ROW()-2)</f>
        <v/>
      </c>
    </row>
    <row r="84" spans="1:50" s="38" customFormat="1" ht="20.100000000000001" customHeight="1" x14ac:dyDescent="0.25">
      <c r="A84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KEN_1209_968-10</v>
      </c>
      <c r="C84" s="38" t="e">
        <f ca="1">IF(NOTA[[#This Row],[ID_P]]="","",MATCH(NOTA[[#This Row],[ID_P]],[1]!B_MSK[N_ID],0))</f>
        <v>#REF!</v>
      </c>
      <c r="D84" s="38">
        <f ca="1">IF(NOTA[[#This Row],[NAMA BARANG]]="","",INDEX(NOTA[ID],MATCH(,INDIRECT(ADDRESS(ROW(NOTA[ID]),COLUMN(NOTA[ID]))&amp;":"&amp;ADDRESS(ROW(),COLUMN(NOTA[ID]))),-1)))</f>
        <v>14</v>
      </c>
      <c r="E84" s="46"/>
      <c r="F84" s="37" t="s">
        <v>22</v>
      </c>
      <c r="G84" s="37" t="s">
        <v>23</v>
      </c>
      <c r="H84" s="47" t="s">
        <v>193</v>
      </c>
      <c r="I84" s="37"/>
      <c r="J84" s="39">
        <v>45180</v>
      </c>
      <c r="K84" s="39"/>
      <c r="L84" s="37" t="s">
        <v>103</v>
      </c>
      <c r="M84" s="40">
        <v>2</v>
      </c>
      <c r="O84" s="37"/>
      <c r="P84" s="41"/>
      <c r="Q84" s="42">
        <v>2952000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5904000</v>
      </c>
      <c r="Y84" s="50">
        <f>IF(NOTA[[#This Row],[JUMLAH]]="","",NOTA[[#This Row],[JUMLAH]]*NOTA[[#This Row],[DISC 1]])</f>
        <v>1003680.0000000001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1003680.0000000001</v>
      </c>
      <c r="AC84" s="50">
        <f>IF(NOTA[[#This Row],[JUMLAH]]="","",NOTA[[#This Row],[JUMLAH]]-NOTA[[#This Row],[DISC]])</f>
        <v>4900320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45181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>
        <f ca="1">IF(NOTA[[#This Row],[ID]]="","",COUNTIF(NOTA[ID_H],NOTA[[#This Row],[ID_H]]))</f>
        <v>10</v>
      </c>
      <c r="AM84" s="38">
        <f>IF(NOTA[[#This Row],[TGL.NOTA]]="",IF(NOTA[[#This Row],[SUPPLIER_H]]="","",AM83),MONTH(NOTA[[#This Row],[TGL.NOTA]]))</f>
        <v>9</v>
      </c>
      <c r="AN8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MORO2309096845180kenkocutterl50018mmblade</v>
      </c>
      <c r="AR84" s="38" t="e">
        <f>IF(NOTA[[#This Row],[CONCAT4]]="","",_xlfn.IFNA(MATCH(NOTA[[#This Row],[CONCAT4]],[2]!RAW[CONCAT_H],0),FALSE))</f>
        <v>#REF!</v>
      </c>
      <c r="AS84" s="38">
        <f>IF(NOTA[[#This Row],[CONCAT1]]="","",MATCH(NOTA[[#This Row],[CONCAT1]],[3]!db[NB NOTA_C],0))</f>
        <v>1387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20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14</v>
      </c>
      <c r="E85" s="46"/>
      <c r="F85" s="37"/>
      <c r="G85" s="37"/>
      <c r="H85" s="47"/>
      <c r="I85" s="37"/>
      <c r="J85" s="39"/>
      <c r="K85" s="37"/>
      <c r="L85" s="37" t="s">
        <v>194</v>
      </c>
      <c r="M85" s="40">
        <v>3</v>
      </c>
      <c r="O85" s="37"/>
      <c r="P85" s="41"/>
      <c r="Q85" s="42">
        <v>2764800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8294400</v>
      </c>
      <c r="Y85" s="50">
        <f>IF(NOTA[[#This Row],[JUMLAH]]="","",NOTA[[#This Row],[JUMLAH]]*NOTA[[#This Row],[DISC 1]])</f>
        <v>1410048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1410048</v>
      </c>
      <c r="AC85" s="50">
        <f>IF(NOTA[[#This Row],[JUMLAH]]="","",NOTA[[#This Row],[JUMLAH]]-NOTA[[#This Row],[DISC]])</f>
        <v>6884352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45181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9</v>
      </c>
      <c r="AN85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1427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144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14</v>
      </c>
      <c r="E86" s="46"/>
      <c r="F86" s="37"/>
      <c r="G86" s="37"/>
      <c r="H86" s="47"/>
      <c r="I86" s="37"/>
      <c r="J86" s="39"/>
      <c r="K86" s="37"/>
      <c r="L86" s="37" t="s">
        <v>195</v>
      </c>
      <c r="M86" s="40">
        <v>3</v>
      </c>
      <c r="O86" s="37"/>
      <c r="P86" s="41"/>
      <c r="Q86" s="42">
        <v>5702400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17107200</v>
      </c>
      <c r="Y86" s="50">
        <f>IF(NOTA[[#This Row],[JUMLAH]]="","",NOTA[[#This Row],[JUMLAH]]*NOTA[[#This Row],[DISC 1]])</f>
        <v>2908224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2908224</v>
      </c>
      <c r="AC86" s="50">
        <f>IF(NOTA[[#This Row],[JUMLAH]]="","",NOTA[[#This Row],[JUMLAH]]-NOTA[[#This Row],[DISC]])</f>
        <v>14198976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45181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9</v>
      </c>
      <c r="AN8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1421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144 LSN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14</v>
      </c>
      <c r="E87" s="46"/>
      <c r="F87" s="37"/>
      <c r="G87" s="37"/>
      <c r="H87" s="47"/>
      <c r="I87" s="37"/>
      <c r="J87" s="39"/>
      <c r="K87" s="37"/>
      <c r="L87" s="37" t="s">
        <v>201</v>
      </c>
      <c r="M87" s="40">
        <v>1</v>
      </c>
      <c r="O87" s="37"/>
      <c r="P87" s="41"/>
      <c r="Q87" s="42">
        <v>5702400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5702400</v>
      </c>
      <c r="Y87" s="50">
        <f>IF(NOTA[[#This Row],[JUMLAH]]="","",NOTA[[#This Row],[JUMLAH]]*NOTA[[#This Row],[DISC 1]])</f>
        <v>969408.00000000012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969408.00000000012</v>
      </c>
      <c r="AC87" s="50">
        <f>IF(NOTA[[#This Row],[JUMLAH]]="","",NOTA[[#This Row],[JUMLAH]]-NOTA[[#This Row],[DISC]])</f>
        <v>4732992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45181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9</v>
      </c>
      <c r="AN87" s="38" t="str">
        <f>LOWER(SUBSTITUTE(SUBSTITUTE(SUBSTITUTE(SUBSTITUTE(SUBSTITUTE(SUBSTITUTE(SUBSTITUTE(SUBSTITUTE(SUBSTITUTE(NOTA[NAMA BARANG]," ",),".",""),"-",""),"(",""),")",""),",",""),"/",""),"""",""),"+",""))</f>
        <v>kenkogelpenk1red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kenkogelpenk1red57024000.17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kenkogelpenk1red57024000.17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1425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144 LSN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kenkogelpenk1red144lsnartomoro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14</v>
      </c>
      <c r="E88" s="46"/>
      <c r="F88" s="37"/>
      <c r="G88" s="37"/>
      <c r="H88" s="47"/>
      <c r="I88" s="37"/>
      <c r="J88" s="39"/>
      <c r="K88" s="37"/>
      <c r="L88" s="37" t="s">
        <v>196</v>
      </c>
      <c r="M88" s="40">
        <v>1</v>
      </c>
      <c r="O88" s="37"/>
      <c r="P88" s="41"/>
      <c r="Q88" s="42">
        <v>1500000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1500000</v>
      </c>
      <c r="Y88" s="50">
        <f>IF(NOTA[[#This Row],[JUMLAH]]="","",NOTA[[#This Row],[JUMLAH]]*NOTA[[#This Row],[DISC 1]])</f>
        <v>255000.00000000003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255000.00000000003</v>
      </c>
      <c r="AC88" s="50">
        <f>IF(NOTA[[#This Row],[JUMLAH]]="","",NOTA[[#This Row],[JUMLAH]]-NOTA[[#This Row],[DISC]])</f>
        <v>1245000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45181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9</v>
      </c>
      <c r="AN8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1585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50 BOX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14</v>
      </c>
      <c r="E89" s="46"/>
      <c r="F89" s="37"/>
      <c r="G89" s="37"/>
      <c r="H89" s="47"/>
      <c r="I89" s="37"/>
      <c r="J89" s="39"/>
      <c r="K89" s="37"/>
      <c r="L89" s="37" t="s">
        <v>197</v>
      </c>
      <c r="M89" s="40">
        <v>1</v>
      </c>
      <c r="O89" s="37"/>
      <c r="P89" s="41"/>
      <c r="Q89" s="42">
        <v>1560000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1560000</v>
      </c>
      <c r="Y89" s="50">
        <f>IF(NOTA[[#This Row],[JUMLAH]]="","",NOTA[[#This Row],[JUMLAH]]*NOTA[[#This Row],[DISC 1]])</f>
        <v>265200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265200</v>
      </c>
      <c r="AC89" s="50">
        <f>IF(NOTA[[#This Row],[JUMLAH]]="","",NOTA[[#This Row],[JUMLAH]]-NOTA[[#This Row],[DISC]])</f>
        <v>1294800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45181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9</v>
      </c>
      <c r="AN8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1528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10 LSN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14</v>
      </c>
      <c r="E90" s="46"/>
      <c r="F90" s="37"/>
      <c r="G90" s="37"/>
      <c r="H90" s="47"/>
      <c r="I90" s="37"/>
      <c r="J90" s="39"/>
      <c r="K90" s="37"/>
      <c r="L90" s="37" t="s">
        <v>198</v>
      </c>
      <c r="M90" s="40">
        <v>1</v>
      </c>
      <c r="O90" s="37"/>
      <c r="P90" s="41"/>
      <c r="Q90" s="42">
        <v>1440000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1440000</v>
      </c>
      <c r="Y90" s="50">
        <f>IF(NOTA[[#This Row],[JUMLAH]]="","",NOTA[[#This Row],[JUMLAH]]*NOTA[[#This Row],[DISC 1]])</f>
        <v>244800.00000000003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244800.00000000003</v>
      </c>
      <c r="AC90" s="50">
        <f>IF(NOTA[[#This Row],[JUMLAH]]="","",NOTA[[#This Row],[JUMLAH]]-NOTA[[#This Row],[DISC]])</f>
        <v>1195200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45181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 t="str">
        <f ca="1">IF(NOTA[[#This Row],[ID]]="","",COUNTIF(NOTA[ID_H],NOTA[[#This Row],[ID_H]]))</f>
        <v/>
      </c>
      <c r="AM90" s="38">
        <f ca="1">IF(NOTA[[#This Row],[TGL.NOTA]]="",IF(NOTA[[#This Row],[SUPPLIER_H]]="","",AM89),MONTH(NOTA[[#This Row],[TGL.NOTA]]))</f>
        <v>9</v>
      </c>
      <c r="AN9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>
        <f>IF(NOTA[[#This Row],[CONCAT1]]="","",MATCH(NOTA[[#This Row],[CONCAT1]],[3]!db[NB NOTA_C],0))</f>
        <v>1529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4 BOX (24 PCS)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14</v>
      </c>
      <c r="E91" s="46"/>
      <c r="F91" s="37"/>
      <c r="G91" s="37"/>
      <c r="H91" s="47"/>
      <c r="I91" s="37"/>
      <c r="J91" s="39"/>
      <c r="K91" s="37"/>
      <c r="L91" s="37" t="s">
        <v>199</v>
      </c>
      <c r="M91" s="40">
        <v>2</v>
      </c>
      <c r="O91" s="37"/>
      <c r="P91" s="41"/>
      <c r="Q91" s="42">
        <v>504000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1008000</v>
      </c>
      <c r="Y91" s="50">
        <f>IF(NOTA[[#This Row],[JUMLAH]]="","",NOTA[[#This Row],[JUMLAH]]*NOTA[[#This Row],[DISC 1]])</f>
        <v>171360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171360</v>
      </c>
      <c r="AC91" s="50">
        <f>IF(NOTA[[#This Row],[JUMLAH]]="","",NOTA[[#This Row],[JUMLAH]]-NOTA[[#This Row],[DISC]])</f>
        <v>836640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45181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9</v>
      </c>
      <c r="AN91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1458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6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14</v>
      </c>
      <c r="E92" s="46"/>
      <c r="F92" s="37"/>
      <c r="G92" s="37"/>
      <c r="H92" s="47"/>
      <c r="I92" s="37"/>
      <c r="J92" s="39"/>
      <c r="K92" s="37"/>
      <c r="L92" s="37" t="s">
        <v>106</v>
      </c>
      <c r="M92" s="40">
        <v>2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4560000</v>
      </c>
      <c r="Y92" s="50">
        <f>IF(NOTA[[#This Row],[JUMLAH]]="","",NOTA[[#This Row],[JUMLAH]]*NOTA[[#This Row],[DISC 1]])</f>
        <v>775200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775200</v>
      </c>
      <c r="AC92" s="50">
        <f>IF(NOTA[[#This Row],[JUMLAH]]="","",NOTA[[#This Row],[JUMLAH]]-NOTA[[#This Row],[DISC]])</f>
        <v>3784800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45181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9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1567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14</v>
      </c>
      <c r="E93" s="46"/>
      <c r="F93" s="37"/>
      <c r="G93" s="37"/>
      <c r="H93" s="47"/>
      <c r="I93" s="37"/>
      <c r="J93" s="39"/>
      <c r="K93" s="37"/>
      <c r="L93" s="37" t="s">
        <v>200</v>
      </c>
      <c r="M93" s="40">
        <v>1</v>
      </c>
      <c r="O93" s="37"/>
      <c r="P93" s="41"/>
      <c r="Q93" s="42">
        <v>1584000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1584000</v>
      </c>
      <c r="Y93" s="50">
        <f>IF(NOTA[[#This Row],[JUMLAH]]="","",NOTA[[#This Row],[JUMLAH]]*NOTA[[#This Row],[DISC 1]])</f>
        <v>269280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269280</v>
      </c>
      <c r="AC93" s="50">
        <f>IF(NOTA[[#This Row],[JUMLAH]]="","",NOTA[[#This Row],[JUMLAH]]-NOTA[[#This Row],[DISC]])</f>
        <v>1314720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8272200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40387800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45181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9</v>
      </c>
      <c r="AN93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1535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48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F94" s="37"/>
      <c r="G94" s="37"/>
      <c r="H94" s="47"/>
      <c r="I94" s="37"/>
      <c r="J94" s="39"/>
      <c r="K94" s="37"/>
      <c r="L94" s="37"/>
      <c r="M94" s="40"/>
      <c r="O94" s="37"/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41" t="str">
        <f ca="1">IF(NOTA[[#This Row],[NAMA BARANG]]="","",INDEX(NOTA[SUPPLIER],MATCH(,INDIRECT(ADDRESS(ROW(NOTA[ID]),COLUMN(NOTA[ID]))&amp;":"&amp;ADDRESS(ROW(),COLUMN(NOTA[ID]))),-1)))</f>
        <v/>
      </c>
      <c r="AK94" s="41" t="str">
        <f ca="1">IF(NOTA[[#This Row],[ID_H]]="","",IF(NOTA[[#This Row],[FAKTUR]]="",INDIRECT(ADDRESS(ROW()-1,COLUMN())),NOTA[[#This Row],[FAKTUR]]))</f>
        <v/>
      </c>
      <c r="AL94" s="38" t="str">
        <f ca="1">IF(NOTA[[#This Row],[ID]]="","",COUNTIF(NOTA[ID_H],NOTA[[#This Row],[ID_H]]))</f>
        <v/>
      </c>
      <c r="AM94" s="38" t="str">
        <f ca="1">IF(NOTA[[#This Row],[TGL.NOTA]]="",IF(NOTA[[#This Row],[SUPPLIER_H]]="","",AM93),MONTH(NOTA[[#This Row],[TGL.NOTA]]))</f>
        <v/>
      </c>
      <c r="AN94" s="38" t="str">
        <f>LOWER(SUBSTITUTE(SUBSTITUTE(SUBSTITUTE(SUBSTITUTE(SUBSTITUTE(SUBSTITUTE(SUBSTITUTE(SUBSTITUTE(SUBSTITUTE(NOTA[NAMA BARANG]," ",),".",""),"-",""),"(",""),")",""),",",""),"/",""),"""",""),"+",""))</f>
        <v/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 t="str">
        <f>IF(NOTA[[#This Row],[CONCAT1]]="","",MATCH(NOTA[[#This Row],[CONCAT1]],[3]!db[NB NOTA_C],0))</f>
        <v/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/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" s="38" t="str">
        <f ca="1">IF(NOTA[[#This Row],[ID_H]]="","",MATCH(NOTA[[#This Row],[NB NOTA_C_QTY]],[4]!db[NB NOTA_C_QTY+F],0))</f>
        <v/>
      </c>
      <c r="AX94" s="53" t="str">
        <f ca="1">IF(NOTA[[#This Row],[NB NOTA_C_QTY]]="","",ROW()-2)</f>
        <v/>
      </c>
    </row>
    <row r="95" spans="1:50" s="38" customFormat="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KEN_0909_583-10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15</v>
      </c>
      <c r="E95" s="46">
        <v>45178</v>
      </c>
      <c r="F95" s="37" t="s">
        <v>22</v>
      </c>
      <c r="G95" s="37" t="s">
        <v>23</v>
      </c>
      <c r="H95" s="47" t="s">
        <v>633</v>
      </c>
      <c r="I95" s="37"/>
      <c r="J95" s="39">
        <v>45176</v>
      </c>
      <c r="K95" s="37"/>
      <c r="L95" s="37" t="s">
        <v>202</v>
      </c>
      <c r="M95" s="40">
        <v>1</v>
      </c>
      <c r="O95" s="37"/>
      <c r="P95" s="41"/>
      <c r="Q95" s="42">
        <v>1710000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1710000</v>
      </c>
      <c r="Y95" s="50">
        <f>IF(NOTA[[#This Row],[JUMLAH]]="","",NOTA[[#This Row],[JUMLAH]]*NOTA[[#This Row],[DISC 1]])</f>
        <v>290700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290700</v>
      </c>
      <c r="AC95" s="50">
        <f>IF(NOTA[[#This Row],[JUMLAH]]="","",NOTA[[#This Row],[JUMLAH]]-NOTA[[#This Row],[DISC]])</f>
        <v>1419300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45178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>
        <f ca="1">IF(NOTA[[#This Row],[ID]]="","",COUNTIF(NOTA[ID_H],NOTA[[#This Row],[ID_H]]))</f>
        <v>10</v>
      </c>
      <c r="AM95" s="38">
        <f>IF(NOTA[[#This Row],[TGL.NOTA]]="",IF(NOTA[[#This Row],[SUPPLIER_H]]="","",AM94),MONTH(NOTA[[#This Row],[TGL.NOTA]]))</f>
        <v>9</v>
      </c>
      <c r="AN9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MORO2309058345176kenkocuttera3009mmblade</v>
      </c>
      <c r="AR95" s="38" t="e">
        <f>IF(NOTA[[#This Row],[CONCAT4]]="","",_xlfn.IFNA(MATCH(NOTA[[#This Row],[CONCAT4]],[2]!RAW[CONCAT_H],0),FALSE))</f>
        <v>#REF!</v>
      </c>
      <c r="AS95" s="38">
        <f>IF(NOTA[[#This Row],[CONCAT1]]="","",MATCH(NOTA[[#This Row],[CONCAT1]],[3]!db[NB NOTA_C],0))</f>
        <v>1382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30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15</v>
      </c>
      <c r="E96" s="46"/>
      <c r="F96" s="37"/>
      <c r="G96" s="37"/>
      <c r="H96" s="47"/>
      <c r="I96" s="37"/>
      <c r="J96" s="39"/>
      <c r="K96" s="37"/>
      <c r="L96" s="37" t="s">
        <v>203</v>
      </c>
      <c r="M96" s="40">
        <v>2</v>
      </c>
      <c r="O96" s="37"/>
      <c r="P96" s="41"/>
      <c r="Q96" s="42">
        <v>5616000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11232000</v>
      </c>
      <c r="Y96" s="50">
        <f>IF(NOTA[[#This Row],[JUMLAH]]="","",NOTA[[#This Row],[JUMLAH]]*NOTA[[#This Row],[DISC 1]])</f>
        <v>1909440.0000000002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1909440.0000000002</v>
      </c>
      <c r="AC96" s="50">
        <f>IF(NOTA[[#This Row],[JUMLAH]]="","",NOTA[[#This Row],[JUMLAH]]-NOTA[[#This Row],[DISC]])</f>
        <v>9322560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45178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9</v>
      </c>
      <c r="AN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1408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144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15</v>
      </c>
      <c r="E97" s="46"/>
      <c r="F97" s="37"/>
      <c r="G97" s="37"/>
      <c r="H97" s="47"/>
      <c r="I97" s="37"/>
      <c r="J97" s="39"/>
      <c r="K97" s="37"/>
      <c r="L97" s="37" t="s">
        <v>200</v>
      </c>
      <c r="M97" s="40">
        <v>2</v>
      </c>
      <c r="O97" s="37"/>
      <c r="P97" s="41"/>
      <c r="Q97" s="42">
        <v>1584000</v>
      </c>
      <c r="R97" s="48"/>
      <c r="S97" s="49">
        <v>0.17</v>
      </c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3168000</v>
      </c>
      <c r="Y97" s="50">
        <f>IF(NOTA[[#This Row],[JUMLAH]]="","",NOTA[[#This Row],[JUMLAH]]*NOTA[[#This Row],[DISC 1]])</f>
        <v>538560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538560</v>
      </c>
      <c r="AC97" s="50">
        <f>IF(NOTA[[#This Row],[JUMLAH]]="","",NOTA[[#This Row],[JUMLAH]]-NOTA[[#This Row],[DISC]])</f>
        <v>2629440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97" s="50" t="str">
        <f>IF(OR(NOTA[[#This Row],[QTY]]="",NOTA[[#This Row],[HARGA SATUAN]]="",),"",NOTA[[#This Row],[QTY]]*NOTA[[#This Row],[HARGA SATUAN]])</f>
        <v/>
      </c>
      <c r="AI97" s="39">
        <f ca="1">IF(NOTA[ID_H]="","",INDEX(NOTA[TANGGAL],MATCH(,INDIRECT(ADDRESS(ROW(NOTA[TANGGAL]),COLUMN(NOTA[TANGGAL]))&amp;":"&amp;ADDRESS(ROW(),COLUMN(NOTA[TANGGAL]))),-1)))</f>
        <v>45178</v>
      </c>
      <c r="AJ97" s="41" t="str">
        <f ca="1">IF(NOTA[[#This Row],[NAMA BARANG]]="","",INDEX(NOTA[SUPPLIER],MATCH(,INDIRECT(ADDRESS(ROW(NOTA[ID]),COLUMN(NOTA[ID]))&amp;":"&amp;ADDRESS(ROW(),COLUMN(NOTA[ID]))),-1)))</f>
        <v>KENKO SINAR INDONESIA</v>
      </c>
      <c r="AK97" s="41" t="str">
        <f ca="1">IF(NOTA[[#This Row],[ID_H]]="","",IF(NOTA[[#This Row],[FAKTUR]]="",INDIRECT(ADDRESS(ROW()-1,COLUMN())),NOTA[[#This Row],[FAKTUR]]))</f>
        <v>ARTO MORO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9</v>
      </c>
      <c r="AN9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>
        <f>IF(NOTA[[#This Row],[CONCAT1]]="","",MATCH(NOTA[[#This Row],[CONCAT1]],[3]!db[NB NOTA_C],0))</f>
        <v>1535</v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>48 LSN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15</v>
      </c>
      <c r="E98" s="46"/>
      <c r="F98" s="37"/>
      <c r="G98" s="37"/>
      <c r="H98" s="47"/>
      <c r="I98" s="37"/>
      <c r="J98" s="39"/>
      <c r="K98" s="37"/>
      <c r="L98" s="37" t="s">
        <v>183</v>
      </c>
      <c r="M98" s="40">
        <v>2</v>
      </c>
      <c r="O98" s="37"/>
      <c r="P98" s="41"/>
      <c r="Q98" s="42">
        <v>1987200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3974400</v>
      </c>
      <c r="Y98" s="50">
        <f>IF(NOTA[[#This Row],[JUMLAH]]="","",NOTA[[#This Row],[JUMLAH]]*NOTA[[#This Row],[DISC 1]])</f>
        <v>675648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675648</v>
      </c>
      <c r="AC98" s="50">
        <f>IF(NOTA[[#This Row],[JUMLAH]]="","",NOTA[[#This Row],[JUMLAH]]-NOTA[[#This Row],[DISC]])</f>
        <v>3298752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45178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 t="str">
        <f ca="1">IF(NOTA[[#This Row],[ID]]="","",COUNTIF(NOTA[ID_H],NOTA[[#This Row],[ID_H]]))</f>
        <v/>
      </c>
      <c r="AM98" s="38">
        <f ca="1">IF(NOTA[[#This Row],[TGL.NOTA]]="",IF(NOTA[[#This Row],[SUPPLIER_H]]="","",AM97),MONTH(NOTA[[#This Row],[TGL.NOTA]]))</f>
        <v>9</v>
      </c>
      <c r="AN98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>
        <f>IF(NOTA[[#This Row],[CONCAT1]]="","",MATCH(NOTA[[#This Row],[CONCAT1]],[3]!db[NB NOTA_C],0))</f>
        <v>1333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48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15</v>
      </c>
      <c r="E99" s="46"/>
      <c r="F99" s="37"/>
      <c r="G99" s="37"/>
      <c r="H99" s="47"/>
      <c r="I99" s="37"/>
      <c r="J99" s="39"/>
      <c r="K99" s="37"/>
      <c r="L99" s="37" t="s">
        <v>207</v>
      </c>
      <c r="M99" s="40">
        <v>2</v>
      </c>
      <c r="O99" s="37"/>
      <c r="P99" s="41"/>
      <c r="Q99" s="42">
        <v>860000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1720000</v>
      </c>
      <c r="Y99" s="50">
        <f>IF(NOTA[[#This Row],[JUMLAH]]="","",NOTA[[#This Row],[JUMLAH]]*NOTA[[#This Row],[DISC 1]])</f>
        <v>292400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292400</v>
      </c>
      <c r="AC99" s="50">
        <f>IF(NOTA[[#This Row],[JUMLAH]]="","",NOTA[[#This Row],[JUMLAH]]-NOTA[[#This Row],[DISC]])</f>
        <v>1427600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45178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9</v>
      </c>
      <c r="AN9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1473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200 BOX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15</v>
      </c>
      <c r="E100" s="46"/>
      <c r="F100" s="37"/>
      <c r="G100" s="37"/>
      <c r="H100" s="47"/>
      <c r="I100" s="37"/>
      <c r="J100" s="39"/>
      <c r="K100" s="37"/>
      <c r="L100" s="37" t="s">
        <v>204</v>
      </c>
      <c r="M100" s="40">
        <v>1</v>
      </c>
      <c r="O100" s="37"/>
      <c r="P100" s="41"/>
      <c r="Q100" s="42">
        <v>844800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844800</v>
      </c>
      <c r="Y100" s="50">
        <f>IF(NOTA[[#This Row],[JUMLAH]]="","",NOTA[[#This Row],[JUMLAH]]*NOTA[[#This Row],[DISC 1]])</f>
        <v>143616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143616</v>
      </c>
      <c r="AC100" s="50">
        <f>IF(NOTA[[#This Row],[JUMLAH]]="","",NOTA[[#This Row],[JUMLAH]]-NOTA[[#This Row],[DISC]])</f>
        <v>701184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45178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Row],[SUPPLIER_H]]="","",AM98),MONTH(NOTA[[#This Row],[TGL.NOTA]]))</f>
        <v>9</v>
      </c>
      <c r="AN1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1478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192 PCS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15</v>
      </c>
      <c r="E101" s="46"/>
      <c r="F101" s="37"/>
      <c r="G101" s="37"/>
      <c r="H101" s="47"/>
      <c r="I101" s="37"/>
      <c r="J101" s="39"/>
      <c r="K101" s="37"/>
      <c r="L101" s="37" t="s">
        <v>205</v>
      </c>
      <c r="M101" s="40">
        <v>1</v>
      </c>
      <c r="O101" s="37"/>
      <c r="P101" s="41"/>
      <c r="Q101" s="42">
        <v>801600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801600</v>
      </c>
      <c r="Y101" s="50">
        <f>IF(NOTA[[#This Row],[JUMLAH]]="","",NOTA[[#This Row],[JUMLAH]]*NOTA[[#This Row],[DISC 1]])</f>
        <v>136272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136272</v>
      </c>
      <c r="AC101" s="50">
        <f>IF(NOTA[[#This Row],[JUMLAH]]="","",NOTA[[#This Row],[JUMLAH]]-NOTA[[#This Row],[DISC]])</f>
        <v>665328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45178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9</v>
      </c>
      <c r="AN1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1477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96 PCS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15</v>
      </c>
      <c r="E102" s="46"/>
      <c r="F102" s="37"/>
      <c r="G102" s="37"/>
      <c r="H102" s="47"/>
      <c r="I102" s="37"/>
      <c r="J102" s="39"/>
      <c r="K102" s="37"/>
      <c r="L102" s="37" t="s">
        <v>206</v>
      </c>
      <c r="M102" s="40">
        <v>1</v>
      </c>
      <c r="O102" s="37"/>
      <c r="P102" s="41"/>
      <c r="Q102" s="42">
        <v>1040000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1040000</v>
      </c>
      <c r="Y102" s="50">
        <f>IF(NOTA[[#This Row],[JUMLAH]]="","",NOTA[[#This Row],[JUMLAH]]*NOTA[[#This Row],[DISC 1]])</f>
        <v>176800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176800</v>
      </c>
      <c r="AC102" s="50">
        <f>IF(NOTA[[#This Row],[JUMLAH]]="","",NOTA[[#This Row],[JUMLAH]]-NOTA[[#This Row],[DISC]])</f>
        <v>863200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45178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9</v>
      </c>
      <c r="AN102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1479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80 PCS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15</v>
      </c>
      <c r="E103" s="46"/>
      <c r="F103" s="37"/>
      <c r="G103" s="37"/>
      <c r="H103" s="47"/>
      <c r="I103" s="37"/>
      <c r="J103" s="39"/>
      <c r="K103" s="37"/>
      <c r="L103" s="37" t="s">
        <v>115</v>
      </c>
      <c r="M103" s="40">
        <v>3</v>
      </c>
      <c r="O103" s="37"/>
      <c r="P103" s="41"/>
      <c r="Q103" s="42">
        <v>462000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1386000</v>
      </c>
      <c r="Y103" s="50">
        <f>IF(NOTA[[#This Row],[JUMLAH]]="","",NOTA[[#This Row],[JUMLAH]]*NOTA[[#This Row],[DISC 1]])</f>
        <v>235620.00000000003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235620.00000000003</v>
      </c>
      <c r="AC103" s="50">
        <f>IF(NOTA[[#This Row],[JUMLAH]]="","",NOTA[[#This Row],[JUMLAH]]-NOTA[[#This Row],[DISC]])</f>
        <v>1150380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45178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9</v>
      </c>
      <c r="AN10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1577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24 PCS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15</v>
      </c>
      <c r="E104" s="46"/>
      <c r="F104" s="37"/>
      <c r="G104" s="37"/>
      <c r="H104" s="47"/>
      <c r="I104" s="37"/>
      <c r="J104" s="39"/>
      <c r="K104" s="37"/>
      <c r="L104" s="37" t="s">
        <v>168</v>
      </c>
      <c r="M104" s="40">
        <v>2</v>
      </c>
      <c r="O104" s="37"/>
      <c r="P104" s="41"/>
      <c r="Q104" s="42">
        <v>3888000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7776000</v>
      </c>
      <c r="Y104" s="50">
        <f>IF(NOTA[[#This Row],[JUMLAH]]="","",NOTA[[#This Row],[JUMLAH]]*NOTA[[#This Row],[DISC 1]])</f>
        <v>1321920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1321920</v>
      </c>
      <c r="AC104" s="50">
        <f>IF(NOTA[[#This Row],[JUMLAH]]="","",NOTA[[#This Row],[JUMLAH]]-NOTA[[#This Row],[DISC]])</f>
        <v>6454080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5720976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27931824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45178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9</v>
      </c>
      <c r="AN10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1384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ATA_0909_860-2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16</v>
      </c>
      <c r="E106" s="46">
        <v>45178</v>
      </c>
      <c r="F106" s="37" t="s">
        <v>24</v>
      </c>
      <c r="G106" s="37" t="s">
        <v>23</v>
      </c>
      <c r="H106" s="47" t="s">
        <v>208</v>
      </c>
      <c r="I106" s="37"/>
      <c r="J106" s="39">
        <v>45175</v>
      </c>
      <c r="K106" s="37"/>
      <c r="L106" s="37" t="s">
        <v>209</v>
      </c>
      <c r="M106" s="40">
        <v>2</v>
      </c>
      <c r="N106" s="38">
        <v>288</v>
      </c>
      <c r="O106" s="37" t="s">
        <v>133</v>
      </c>
      <c r="P106" s="41">
        <v>23900</v>
      </c>
      <c r="Q106" s="42"/>
      <c r="R106" s="48" t="s">
        <v>216</v>
      </c>
      <c r="S106" s="49">
        <v>0.125</v>
      </c>
      <c r="T106" s="44">
        <v>0.05</v>
      </c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6883200</v>
      </c>
      <c r="Y106" s="50">
        <f>IF(NOTA[[#This Row],[JUMLAH]]="","",NOTA[[#This Row],[JUMLAH]]*NOTA[[#This Row],[DISC 1]])</f>
        <v>860400</v>
      </c>
      <c r="Z106" s="50">
        <f>IF(NOTA[[#This Row],[JUMLAH]]="","",(NOTA[[#This Row],[JUMLAH]]-NOTA[[#This Row],[DISC 1-]])*NOTA[[#This Row],[DISC 2]])</f>
        <v>301140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1161540</v>
      </c>
      <c r="AC106" s="50">
        <f>IF(NOTA[[#This Row],[JUMLAH]]="","",NOTA[[#This Row],[JUMLAH]]-NOTA[[#This Row],[DISC]])</f>
        <v>5721660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06" s="50">
        <f>IF(OR(NOTA[[#This Row],[QTY]]="",NOTA[[#This Row],[HARGA SATUAN]]="",),"",NOTA[[#This Row],[QTY]]*NOTA[[#This Row],[HARGA SATUAN]])</f>
        <v>6883200</v>
      </c>
      <c r="AI106" s="39">
        <f ca="1">IF(NOTA[ID_H]="","",INDEX(NOTA[TANGGAL],MATCH(,INDIRECT(ADDRESS(ROW(NOTA[TANGGAL]),COLUMN(NOTA[TANGGAL]))&amp;":"&amp;ADDRESS(ROW(),COLUMN(NOTA[TANGGAL]))),-1)))</f>
        <v>45178</v>
      </c>
      <c r="AJ106" s="41" t="str">
        <f ca="1">IF(NOTA[[#This Row],[NAMA BARANG]]="","",INDEX(NOTA[SUPPLIER],MATCH(,INDIRECT(ADDRESS(ROW(NOTA[ID]),COLUMN(NOTA[ID]))&amp;":"&amp;ADDRESS(ROW(),COLUMN(NOTA[ID]))),-1)))</f>
        <v>ATALI MAKMUR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2</v>
      </c>
      <c r="AM106" s="38">
        <f>IF(NOTA[[#This Row],[TGL.NOTA]]="",IF(NOTA[[#This Row],[SUPPLIER_H]]="","",AM105),MONTH(NOTA[[#This Row],[TGL.NOTA]]))</f>
        <v>9</v>
      </c>
      <c r="AN10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MOROSA23091586045175crayonputartwcr12sjk</v>
      </c>
      <c r="AR106" s="38" t="e">
        <f>IF(NOTA[[#This Row],[CONCAT4]]="","",_xlfn.IFNA(MATCH(NOTA[[#This Row],[CONCAT4]],[2]!RAW[CONCAT_H],0),FALSE))</f>
        <v>#REF!</v>
      </c>
      <c r="AS106" s="38">
        <f>IF(NOTA[[#This Row],[CONCAT1]]="","",MATCH(NOTA[[#This Row],[CONCAT1]],[3]!db[NB NOTA_C],0))</f>
        <v>671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12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16</v>
      </c>
      <c r="E107" s="46"/>
      <c r="F107" s="37"/>
      <c r="G107" s="37"/>
      <c r="H107" s="47"/>
      <c r="I107" s="37"/>
      <c r="J107" s="39"/>
      <c r="K107" s="37"/>
      <c r="L107" s="37" t="s">
        <v>210</v>
      </c>
      <c r="M107" s="40">
        <v>2</v>
      </c>
      <c r="N107" s="38">
        <v>288</v>
      </c>
      <c r="O107" s="37" t="s">
        <v>133</v>
      </c>
      <c r="P107" s="41">
        <v>18600</v>
      </c>
      <c r="Q107" s="42"/>
      <c r="R107" s="48" t="s">
        <v>216</v>
      </c>
      <c r="S107" s="49">
        <v>0.125</v>
      </c>
      <c r="T107" s="44">
        <v>0.05</v>
      </c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5356800</v>
      </c>
      <c r="Y107" s="50">
        <f>IF(NOTA[[#This Row],[JUMLAH]]="","",NOTA[[#This Row],[JUMLAH]]*NOTA[[#This Row],[DISC 1]])</f>
        <v>669600</v>
      </c>
      <c r="Z107" s="50">
        <f>IF(NOTA[[#This Row],[JUMLAH]]="","",(NOTA[[#This Row],[JUMLAH]]-NOTA[[#This Row],[DISC 1-]])*NOTA[[#This Row],[DISC 2]])</f>
        <v>234360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903960</v>
      </c>
      <c r="AC107" s="50">
        <f>IF(NOTA[[#This Row],[JUMLAH]]="","",NOTA[[#This Row],[JUMLAH]]-NOTA[[#This Row],[DISC]])</f>
        <v>4452840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2065500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10174500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07" s="50">
        <f>IF(OR(NOTA[[#This Row],[QTY]]="",NOTA[[#This Row],[HARGA SATUAN]]="",),"",NOTA[[#This Row],[QTY]]*NOTA[[#This Row],[HARGA SATUAN]])</f>
        <v>5356800</v>
      </c>
      <c r="AI107" s="39">
        <f ca="1">IF(NOTA[ID_H]="","",INDEX(NOTA[TANGGAL],MATCH(,INDIRECT(ADDRESS(ROW(NOTA[TANGGAL]),COLUMN(NOTA[TANGGAL]))&amp;":"&amp;ADDRESS(ROW(),COLUMN(NOTA[TANGGAL]))),-1)))</f>
        <v>45178</v>
      </c>
      <c r="AJ107" s="41" t="str">
        <f ca="1">IF(NOTA[[#This Row],[NAMA BARANG]]="","",INDEX(NOTA[SUPPLIER],MATCH(,INDIRECT(ADDRESS(ROW(NOTA[ID]),COLUMN(NOTA[ID]))&amp;":"&amp;ADDRESS(ROW(),COLUMN(NOTA[ID]))),-1)))</f>
        <v>ATALI MAKMUR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9</v>
      </c>
      <c r="AN10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670</v>
      </c>
      <c r="AT107" s="38" t="b">
        <f>IF(NOTA[[#This Row],[QTY/ CTN]]="","",TRUE)</f>
        <v>1</v>
      </c>
      <c r="AU107" s="38" t="str">
        <f ca="1">IF(NOTA[[#This Row],[ID_H]]="","",IF(NOTA[[#This Row],[Column3]]=TRUE,NOTA[[#This Row],[QTY/ CTN]],INDEX([3]!db[QTY/ CTN],NOTA[[#This Row],[//DB]])))</f>
        <v>12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ATA_0909_846-4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17</v>
      </c>
      <c r="E109" s="46">
        <v>45178</v>
      </c>
      <c r="F109" s="37" t="s">
        <v>24</v>
      </c>
      <c r="G109" s="37" t="s">
        <v>23</v>
      </c>
      <c r="H109" s="47" t="s">
        <v>211</v>
      </c>
      <c r="I109" s="37"/>
      <c r="J109" s="39">
        <v>45174</v>
      </c>
      <c r="K109" s="37"/>
      <c r="L109" s="37" t="s">
        <v>212</v>
      </c>
      <c r="M109" s="40">
        <v>2</v>
      </c>
      <c r="N109" s="38">
        <v>10</v>
      </c>
      <c r="O109" s="37" t="s">
        <v>213</v>
      </c>
      <c r="P109" s="41">
        <v>177000</v>
      </c>
      <c r="Q109" s="42"/>
      <c r="R109" s="48" t="s">
        <v>214</v>
      </c>
      <c r="S109" s="49">
        <v>0.125</v>
      </c>
      <c r="T109" s="44">
        <v>0.05</v>
      </c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1770000</v>
      </c>
      <c r="Y109" s="50">
        <f>IF(NOTA[[#This Row],[JUMLAH]]="","",NOTA[[#This Row],[JUMLAH]]*NOTA[[#This Row],[DISC 1]])</f>
        <v>221250</v>
      </c>
      <c r="Z109" s="50">
        <f>IF(NOTA[[#This Row],[JUMLAH]]="","",(NOTA[[#This Row],[JUMLAH]]-NOTA[[#This Row],[DISC 1-]])*NOTA[[#This Row],[DISC 2]])</f>
        <v>77437.5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298687.5</v>
      </c>
      <c r="AC109" s="50">
        <f>IF(NOTA[[#This Row],[JUMLAH]]="","",NOTA[[#This Row],[JUMLAH]]-NOTA[[#This Row],[DISC]])</f>
        <v>1471312.5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09" s="50">
        <f>IF(OR(NOTA[[#This Row],[QTY]]="",NOTA[[#This Row],[HARGA SATUAN]]="",),"",NOTA[[#This Row],[QTY]]*NOTA[[#This Row],[HARGA SATUAN]])</f>
        <v>1770000</v>
      </c>
      <c r="AI109" s="39">
        <f ca="1">IF(NOTA[ID_H]="","",INDEX(NOTA[TANGGAL],MATCH(,INDIRECT(ADDRESS(ROW(NOTA[TANGGAL]),COLUMN(NOTA[TANGGAL]))&amp;":"&amp;ADDRESS(ROW(),COLUMN(NOTA[TANGGAL]))),-1)))</f>
        <v>45178</v>
      </c>
      <c r="AJ109" s="41" t="str">
        <f ca="1">IF(NOTA[[#This Row],[NAMA BARANG]]="","",INDEX(NOTA[SUPPLIER],MATCH(,INDIRECT(ADDRESS(ROW(NOTA[ID]),COLUMN(NOTA[ID]))&amp;":"&amp;ADDRESS(ROW(),COLUMN(NOTA[ID]))),-1)))</f>
        <v>ATALI MAKMUR</v>
      </c>
      <c r="AK109" s="41" t="str">
        <f ca="1">IF(NOTA[[#This Row],[ID_H]]="","",IF(NOTA[[#This Row],[FAKTUR]]="",INDIRECT(ADDRESS(ROW()-1,COLUMN())),NOTA[[#This Row],[FAKTUR]]))</f>
        <v>ARTO MORO</v>
      </c>
      <c r="AL109" s="38">
        <f ca="1">IF(NOTA[[#This Row],[ID]]="","",COUNTIF(NOTA[ID_H],NOTA[[#This Row],[ID_H]]))</f>
        <v>4</v>
      </c>
      <c r="AM109" s="38">
        <f>IF(NOTA[[#This Row],[TGL.NOTA]]="",IF(NOTA[[#This Row],[SUPPLIER_H]]="","",AM108),MONTH(NOTA[[#This Row],[TGL.NOTA]]))</f>
        <v>9</v>
      </c>
      <c r="AN109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MOROSA23091584645174binderclip260jk</v>
      </c>
      <c r="AR109" s="38" t="e">
        <f>IF(NOTA[[#This Row],[CONCAT4]]="","",_xlfn.IFNA(MATCH(NOTA[[#This Row],[CONCAT4]],[2]!RAW[CONCAT_H],0),FALSE))</f>
        <v>#REF!</v>
      </c>
      <c r="AS109" s="38">
        <f>IF(NOTA[[#This Row],[CONCAT1]]="","",MATCH(NOTA[[#This Row],[CONCAT1]],[3]!db[NB NOTA_C],0))</f>
        <v>255</v>
      </c>
      <c r="AT109" s="38" t="b">
        <f>IF(NOTA[[#This Row],[QTY/ CTN]]="","",TRUE)</f>
        <v>1</v>
      </c>
      <c r="AU109" s="38" t="str">
        <f ca="1">IF(NOTA[[#This Row],[ID_H]]="","",IF(NOTA[[#This Row],[Column3]]=TRUE,NOTA[[#This Row],[QTY/ CTN]],INDEX([3]!db[QTY/ CTN],NOTA[[#This Row],[//DB]])))</f>
        <v>5 GRS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17</v>
      </c>
      <c r="E110" s="46"/>
      <c r="F110" s="37"/>
      <c r="G110" s="37"/>
      <c r="H110" s="47"/>
      <c r="I110" s="37"/>
      <c r="J110" s="39"/>
      <c r="K110" s="37"/>
      <c r="L110" s="37" t="s">
        <v>215</v>
      </c>
      <c r="M110" s="40"/>
      <c r="N110" s="38">
        <v>12</v>
      </c>
      <c r="O110" s="37" t="s">
        <v>139</v>
      </c>
      <c r="P110" s="41">
        <v>13200</v>
      </c>
      <c r="Q110" s="42"/>
      <c r="R110" s="48" t="s">
        <v>217</v>
      </c>
      <c r="S110" s="49">
        <v>0.1</v>
      </c>
      <c r="T110" s="44">
        <v>0.05</v>
      </c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158400</v>
      </c>
      <c r="Y110" s="50">
        <f>IF(NOTA[[#This Row],[JUMLAH]]="","",NOTA[[#This Row],[JUMLAH]]*NOTA[[#This Row],[DISC 1]])</f>
        <v>15840</v>
      </c>
      <c r="Z110" s="50">
        <f>IF(NOTA[[#This Row],[JUMLAH]]="","",(NOTA[[#This Row],[JUMLAH]]-NOTA[[#This Row],[DISC 1-]])*NOTA[[#This Row],[DISC 2]])</f>
        <v>7128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22968</v>
      </c>
      <c r="AC110" s="50">
        <f>IF(NOTA[[#This Row],[JUMLAH]]="","",NOTA[[#This Row],[JUMLAH]]-NOTA[[#This Row],[DISC]])</f>
        <v>135432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10" s="50">
        <f>IF(OR(NOTA[[#This Row],[QTY]]="",NOTA[[#This Row],[HARGA SATUAN]]="",),"",NOTA[[#This Row],[QTY]]*NOTA[[#This Row],[HARGA SATUAN]])</f>
        <v>158400</v>
      </c>
      <c r="AI110" s="39">
        <f ca="1">IF(NOTA[ID_H]="","",INDEX(NOTA[TANGGAL],MATCH(,INDIRECT(ADDRESS(ROW(NOTA[TANGGAL]),COLUMN(NOTA[TANGGAL]))&amp;":"&amp;ADDRESS(ROW(),COLUMN(NOTA[TANGGAL]))),-1)))</f>
        <v>45178</v>
      </c>
      <c r="AJ110" s="41" t="str">
        <f ca="1">IF(NOTA[[#This Row],[NAMA BARANG]]="","",INDEX(NOTA[SUPPLIER],MATCH(,INDIRECT(ADDRESS(ROW(NOTA[ID]),COLUMN(NOTA[ID]))&amp;":"&amp;ADDRESS(ROW(),COLUMN(NOTA[ID]))),-1)))</f>
        <v>ATALI MAKMUR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9</v>
      </c>
      <c r="AN11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101</v>
      </c>
      <c r="AT110" s="38" t="b">
        <f>IF(NOTA[[#This Row],[QTY/ CTN]]="","",TRUE)</f>
        <v>1</v>
      </c>
      <c r="AU110" s="38" t="str">
        <f ca="1">IF(NOTA[[#This Row],[ID_H]]="","",IF(NOTA[[#This Row],[Column3]]=TRUE,NOTA[[#This Row],[QTY/ CTN]],INDEX([3]!db[QTY/ CTN],NOTA[[#This Row],[//DB]])))</f>
        <v>144 LSN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17</v>
      </c>
      <c r="E111" s="46"/>
      <c r="F111" s="37"/>
      <c r="G111" s="37"/>
      <c r="H111" s="47"/>
      <c r="I111" s="37"/>
      <c r="J111" s="39"/>
      <c r="K111" s="37"/>
      <c r="L111" s="37" t="s">
        <v>551</v>
      </c>
      <c r="M111" s="40">
        <v>1</v>
      </c>
      <c r="N111" s="38">
        <v>72</v>
      </c>
      <c r="O111" s="37" t="s">
        <v>127</v>
      </c>
      <c r="P111" s="41">
        <v>20700</v>
      </c>
      <c r="Q111" s="42"/>
      <c r="R111" s="48" t="s">
        <v>218</v>
      </c>
      <c r="S111" s="49">
        <v>0.125</v>
      </c>
      <c r="T111" s="44">
        <v>0.05</v>
      </c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1490400</v>
      </c>
      <c r="Y111" s="50">
        <f>IF(NOTA[[#This Row],[JUMLAH]]="","",NOTA[[#This Row],[JUMLAH]]*NOTA[[#This Row],[DISC 1]])</f>
        <v>186300</v>
      </c>
      <c r="Z111" s="50">
        <f>IF(NOTA[[#This Row],[JUMLAH]]="","",(NOTA[[#This Row],[JUMLAH]]-NOTA[[#This Row],[DISC 1-]])*NOTA[[#This Row],[DISC 2]])</f>
        <v>65205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251505</v>
      </c>
      <c r="AC111" s="50">
        <f>IF(NOTA[[#This Row],[JUMLAH]]="","",NOTA[[#This Row],[JUMLAH]]-NOTA[[#This Row],[DISC]])</f>
        <v>1238895</v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11" s="50">
        <f>IF(OR(NOTA[[#This Row],[QTY]]="",NOTA[[#This Row],[HARGA SATUAN]]="",),"",NOTA[[#This Row],[QTY]]*NOTA[[#This Row],[HARGA SATUAN]])</f>
        <v>1490400</v>
      </c>
      <c r="AI111" s="39">
        <f ca="1">IF(NOTA[ID_H]="","",INDEX(NOTA[TANGGAL],MATCH(,INDIRECT(ADDRESS(ROW(NOTA[TANGGAL]),COLUMN(NOTA[TANGGAL]))&amp;":"&amp;ADDRESS(ROW(),COLUMN(NOTA[TANGGAL]))),-1)))</f>
        <v>45178</v>
      </c>
      <c r="AJ111" s="41" t="str">
        <f ca="1">IF(NOTA[[#This Row],[NAMA BARANG]]="","",INDEX(NOTA[SUPPLIER],MATCH(,INDIRECT(ADDRESS(ROW(NOTA[ID]),COLUMN(NOTA[ID]))&amp;":"&amp;ADDRESS(ROW(),COLUMN(NOTA[ID]))),-1)))</f>
        <v>ATALI MAKMUR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9</v>
      </c>
      <c r="AN111" s="38" t="str">
        <f>LOWER(SUBSTITUTE(SUBSTITUTE(SUBSTITUTE(SUBSTITUTE(SUBSTITUTE(SUBSTITUTE(SUBSTITUTE(SUBSTITUTE(SUBSTITUTE(NOTA[NAMA BARANG]," ",),".",""),"-",""),"(",""),")",""),",",""),"/",""),"""",""),"+",""))</f>
        <v>binderb5tsedm128educationjku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binderb5tsedm128educationjku14904000.1250.05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binderb5tsedm128educationjku14904000.1250.05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>
        <f>IF(NOTA[[#This Row],[CONCAT1]]="","",MATCH(NOTA[[#This Row],[CONCAT1]],[3]!db[NB NOTA_C],0))</f>
        <v>236</v>
      </c>
      <c r="AT111" s="38" t="b">
        <f>IF(NOTA[[#This Row],[QTY/ CTN]]="","",TRUE)</f>
        <v>1</v>
      </c>
      <c r="AU111" s="38" t="str">
        <f ca="1">IF(NOTA[[#This Row],[ID_H]]="","",IF(NOTA[[#This Row],[Column3]]=TRUE,NOTA[[#This Row],[QTY/ CTN]],INDEX([3]!db[QTY/ CTN],NOTA[[#This Row],[//DB]])))</f>
        <v>72 PCS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binderb5tsedm128educationjku72pcsartomoro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17</v>
      </c>
      <c r="E112" s="46"/>
      <c r="F112" s="37"/>
      <c r="G112" s="37"/>
      <c r="H112" s="47"/>
      <c r="I112" s="37"/>
      <c r="J112" s="39"/>
      <c r="K112" s="37"/>
      <c r="L112" s="37" t="s">
        <v>552</v>
      </c>
      <c r="M112" s="40">
        <v>1</v>
      </c>
      <c r="N112" s="38">
        <v>72</v>
      </c>
      <c r="O112" s="37" t="s">
        <v>127</v>
      </c>
      <c r="P112" s="41">
        <v>20700</v>
      </c>
      <c r="Q112" s="42"/>
      <c r="R112" s="48" t="s">
        <v>218</v>
      </c>
      <c r="S112" s="49">
        <v>0.125</v>
      </c>
      <c r="T112" s="44">
        <v>0.05</v>
      </c>
      <c r="U112" s="44"/>
      <c r="V112" s="50">
        <v>135432</v>
      </c>
      <c r="W112" s="45"/>
      <c r="X112" s="50">
        <f>IF(NOTA[[#This Row],[HARGA/ CTN]]="",NOTA[[#This Row],[JUMLAH_H]],NOTA[[#This Row],[HARGA/ CTN]]*IF(NOTA[[#This Row],[C]]="",0,NOTA[[#This Row],[C]]))</f>
        <v>1490400</v>
      </c>
      <c r="Y112" s="50">
        <f>IF(NOTA[[#This Row],[JUMLAH]]="","",NOTA[[#This Row],[JUMLAH]]*NOTA[[#This Row],[DISC 1]])</f>
        <v>186300</v>
      </c>
      <c r="Z112" s="50">
        <f>IF(NOTA[[#This Row],[JUMLAH]]="","",(NOTA[[#This Row],[JUMLAH]]-NOTA[[#This Row],[DISC 1-]])*NOTA[[#This Row],[DISC 2]])</f>
        <v>65205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251505</v>
      </c>
      <c r="AC112" s="50">
        <f>IF(NOTA[[#This Row],[JUMLAH]]="","",NOTA[[#This Row],[JUMLAH]]-NOTA[[#This Row],[DISC]])</f>
        <v>1238895</v>
      </c>
      <c r="AD112" s="50"/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960097.5</v>
      </c>
      <c r="AF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3949102.5</v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12" s="50">
        <f>IF(OR(NOTA[[#This Row],[QTY]]="",NOTA[[#This Row],[HARGA SATUAN]]="",),"",NOTA[[#This Row],[QTY]]*NOTA[[#This Row],[HARGA SATUAN]])</f>
        <v>1490400</v>
      </c>
      <c r="AI112" s="39">
        <f ca="1">IF(NOTA[ID_H]="","",INDEX(NOTA[TANGGAL],MATCH(,INDIRECT(ADDRESS(ROW(NOTA[TANGGAL]),COLUMN(NOTA[TANGGAL]))&amp;":"&amp;ADDRESS(ROW(),COLUMN(NOTA[TANGGAL]))),-1)))</f>
        <v>45178</v>
      </c>
      <c r="AJ112" s="41" t="str">
        <f ca="1">IF(NOTA[[#This Row],[NAMA BARANG]]="","",INDEX(NOTA[SUPPLIER],MATCH(,INDIRECT(ADDRESS(ROW(NOTA[ID]),COLUMN(NOTA[ID]))&amp;":"&amp;ADDRESS(ROW(),COLUMN(NOTA[ID]))),-1)))</f>
        <v>ATALI MAKMUR</v>
      </c>
      <c r="AK112" s="41" t="str">
        <f ca="1">IF(NOTA[[#This Row],[ID_H]]="","",IF(NOTA[[#This Row],[FAKTUR]]="",INDIRECT(ADDRESS(ROW()-1,COLUMN())),NOTA[[#This Row],[FAKTUR]]))</f>
        <v>ARTO MORO</v>
      </c>
      <c r="AL112" s="38" t="str">
        <f ca="1">IF(NOTA[[#This Row],[ID]]="","",COUNTIF(NOTA[ID_H],NOTA[[#This Row],[ID_H]]))</f>
        <v/>
      </c>
      <c r="AM112" s="38">
        <f ca="1">IF(NOTA[[#This Row],[TGL.NOTA]]="",IF(NOTA[[#This Row],[SUPPLIER_H]]="","",AM111),MONTH(NOTA[[#This Row],[TGL.NOTA]]))</f>
        <v>9</v>
      </c>
      <c r="AN112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binderb5tsclm125collegejku14904000.1250.05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binderb5tsclm125collegejku14904000.1250.05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>
        <f>IF(NOTA[[#This Row],[CONCAT1]]="","",MATCH(NOTA[[#This Row],[CONCAT1]],[3]!db[NB NOTA_C],0))</f>
        <v>233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72 PCS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ATA_0909_845-11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18</v>
      </c>
      <c r="E114" s="46"/>
      <c r="F114" s="37" t="s">
        <v>24</v>
      </c>
      <c r="G114" s="37" t="s">
        <v>23</v>
      </c>
      <c r="H114" s="47" t="s">
        <v>219</v>
      </c>
      <c r="I114" s="37"/>
      <c r="J114" s="39">
        <v>45174</v>
      </c>
      <c r="K114" s="37"/>
      <c r="L114" s="37" t="s">
        <v>220</v>
      </c>
      <c r="M114" s="40">
        <v>2</v>
      </c>
      <c r="N114" s="38">
        <v>864</v>
      </c>
      <c r="O114" s="37" t="s">
        <v>127</v>
      </c>
      <c r="P114" s="41">
        <v>4400</v>
      </c>
      <c r="Q114" s="42"/>
      <c r="R114" s="48" t="s">
        <v>229</v>
      </c>
      <c r="S114" s="49">
        <v>0.125</v>
      </c>
      <c r="T114" s="44">
        <v>0.05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3801600</v>
      </c>
      <c r="Y114" s="50">
        <f>IF(NOTA[[#This Row],[JUMLAH]]="","",NOTA[[#This Row],[JUMLAH]]*NOTA[[#This Row],[DISC 1]])</f>
        <v>475200</v>
      </c>
      <c r="Z114" s="50">
        <f>IF(NOTA[[#This Row],[JUMLAH]]="","",(NOTA[[#This Row],[JUMLAH]]-NOTA[[#This Row],[DISC 1-]])*NOTA[[#This Row],[DISC 2]])</f>
        <v>166320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641520</v>
      </c>
      <c r="AC114" s="50">
        <f>IF(NOTA[[#This Row],[JUMLAH]]="","",NOTA[[#This Row],[JUMLAH]]-NOTA[[#This Row],[DISC]])</f>
        <v>3160080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14" s="50">
        <f>IF(OR(NOTA[[#This Row],[QTY]]="",NOTA[[#This Row],[HARGA SATUAN]]="",),"",NOTA[[#This Row],[QTY]]*NOTA[[#This Row],[HARGA SATUAN]])</f>
        <v>3801600</v>
      </c>
      <c r="AI114" s="39">
        <f ca="1">IF(NOTA[ID_H]="","",INDEX(NOTA[TANGGAL],MATCH(,INDIRECT(ADDRESS(ROW(NOTA[TANGGAL]),COLUMN(NOTA[TANGGAL]))&amp;":"&amp;ADDRESS(ROW(),COLUMN(NOTA[TANGGAL]))),-1)))</f>
        <v>45178</v>
      </c>
      <c r="AJ114" s="41" t="str">
        <f ca="1">IF(NOTA[[#This Row],[NAMA BARANG]]="","",INDEX(NOTA[SUPPLIER],MATCH(,INDIRECT(ADDRESS(ROW(NOTA[ID]),COLUMN(NOTA[ID]))&amp;":"&amp;ADDRESS(ROW(),COLUMN(NOTA[ID]))),-1)))</f>
        <v>ATALI MAKMUR</v>
      </c>
      <c r="AK114" s="41" t="str">
        <f ca="1">IF(NOTA[[#This Row],[ID_H]]="","",IF(NOTA[[#This Row],[FAKTUR]]="",INDIRECT(ADDRESS(ROW()-1,COLUMN())),NOTA[[#This Row],[FAKTUR]]))</f>
        <v>ARTO MORO</v>
      </c>
      <c r="AL114" s="38">
        <f ca="1">IF(NOTA[[#This Row],[ID]]="","",COUNTIF(NOTA[ID_H],NOTA[[#This Row],[ID_H]]))</f>
        <v>11</v>
      </c>
      <c r="AM114" s="38">
        <f>IF(NOTA[[#This Row],[TGL.NOTA]]="",IF(NOTA[[#This Row],[SUPPLIER_H]]="","",AM113),MONTH(NOTA[[#This Row],[TGL.NOTA]]))</f>
        <v>9</v>
      </c>
      <c r="AN11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MOROSA23091584545174gluestickgs25jk</v>
      </c>
      <c r="AR114" s="38" t="e">
        <f>IF(NOTA[[#This Row],[CONCAT4]]="","",_xlfn.IFNA(MATCH(NOTA[[#This Row],[CONCAT4]],[2]!RAW[CONCAT_H],0),FALSE))</f>
        <v>#REF!</v>
      </c>
      <c r="AS114" s="38">
        <f>IF(NOTA[[#This Row],[CONCAT1]]="","",MATCH(NOTA[[#This Row],[CONCAT1]],[3]!db[NB NOTA_C],0))</f>
        <v>1146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36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18</v>
      </c>
      <c r="E115" s="46"/>
      <c r="F115" s="37"/>
      <c r="G115" s="37"/>
      <c r="H115" s="47"/>
      <c r="I115" s="37"/>
      <c r="J115" s="39"/>
      <c r="K115" s="37"/>
      <c r="L115" s="37" t="s">
        <v>221</v>
      </c>
      <c r="M115" s="40">
        <v>1</v>
      </c>
      <c r="N115" s="38">
        <v>30</v>
      </c>
      <c r="O115" s="37" t="s">
        <v>213</v>
      </c>
      <c r="P115" s="41">
        <v>104400</v>
      </c>
      <c r="Q115" s="42"/>
      <c r="R115" s="48" t="s">
        <v>222</v>
      </c>
      <c r="S115" s="49">
        <v>0.125</v>
      </c>
      <c r="T115" s="44">
        <v>0.05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3132000</v>
      </c>
      <c r="Y115" s="50">
        <f>IF(NOTA[[#This Row],[JUMLAH]]="","",NOTA[[#This Row],[JUMLAH]]*NOTA[[#This Row],[DISC 1]])</f>
        <v>391500</v>
      </c>
      <c r="Z115" s="50">
        <f>IF(NOTA[[#This Row],[JUMLAH]]="","",(NOTA[[#This Row],[JUMLAH]]-NOTA[[#This Row],[DISC 1-]])*NOTA[[#This Row],[DISC 2]])</f>
        <v>137025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528525</v>
      </c>
      <c r="AC115" s="50">
        <f>IF(NOTA[[#This Row],[JUMLAH]]="","",NOTA[[#This Row],[JUMLAH]]-NOTA[[#This Row],[DISC]])</f>
        <v>2603475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15" s="50">
        <f>IF(OR(NOTA[[#This Row],[QTY]]="",NOTA[[#This Row],[HARGA SATUAN]]="",),"",NOTA[[#This Row],[QTY]]*NOTA[[#This Row],[HARGA SATUAN]])</f>
        <v>3132000</v>
      </c>
      <c r="AI115" s="39">
        <f ca="1">IF(NOTA[ID_H]="","",INDEX(NOTA[TANGGAL],MATCH(,INDIRECT(ADDRESS(ROW(NOTA[TANGGAL]),COLUMN(NOTA[TANGGAL]))&amp;":"&amp;ADDRESS(ROW(),COLUMN(NOTA[TANGGAL]))),-1)))</f>
        <v>45178</v>
      </c>
      <c r="AJ115" s="41" t="str">
        <f ca="1">IF(NOTA[[#This Row],[NAMA BARANG]]="","",INDEX(NOTA[SUPPLIER],MATCH(,INDIRECT(ADDRESS(ROW(NOTA[ID]),COLUMN(NOTA[ID]))&amp;":"&amp;ADDRESS(ROW(),COLUMN(NOTA[ID]))),-1)))</f>
        <v>ATALI MAKMUR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9</v>
      </c>
      <c r="AN115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2175</v>
      </c>
      <c r="AT115" s="38" t="b">
        <f>IF(NOTA[[#This Row],[QTY/ CTN]]="","",TRUE)</f>
        <v>1</v>
      </c>
      <c r="AU115" s="38" t="str">
        <f ca="1">IF(NOTA[[#This Row],[ID_H]]="","",IF(NOTA[[#This Row],[Column3]]=TRUE,NOTA[[#This Row],[QTY/ CTN]],INDEX([3]!db[QTY/ CTN],NOTA[[#This Row],[//DB]])))</f>
        <v>30 GRS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18</v>
      </c>
      <c r="E116" s="46"/>
      <c r="F116" s="37"/>
      <c r="G116" s="37"/>
      <c r="H116" s="47"/>
      <c r="I116" s="37"/>
      <c r="J116" s="39"/>
      <c r="K116" s="37"/>
      <c r="L116" s="37" t="s">
        <v>223</v>
      </c>
      <c r="M116" s="40">
        <v>1</v>
      </c>
      <c r="N116" s="38">
        <v>72</v>
      </c>
      <c r="O116" s="37" t="s">
        <v>127</v>
      </c>
      <c r="P116" s="41">
        <v>15800</v>
      </c>
      <c r="Q116" s="42"/>
      <c r="R116" s="48" t="s">
        <v>218</v>
      </c>
      <c r="S116" s="49">
        <v>0.125</v>
      </c>
      <c r="T116" s="44">
        <v>0.05</v>
      </c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1137600</v>
      </c>
      <c r="Y116" s="50">
        <f>IF(NOTA[[#This Row],[JUMLAH]]="","",NOTA[[#This Row],[JUMLAH]]*NOTA[[#This Row],[DISC 1]])</f>
        <v>142200</v>
      </c>
      <c r="Z116" s="50">
        <f>IF(NOTA[[#This Row],[JUMLAH]]="","",(NOTA[[#This Row],[JUMLAH]]-NOTA[[#This Row],[DISC 1-]])*NOTA[[#This Row],[DISC 2]])</f>
        <v>49770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191970</v>
      </c>
      <c r="AC116" s="50">
        <f>IF(NOTA[[#This Row],[JUMLAH]]="","",NOTA[[#This Row],[JUMLAH]]-NOTA[[#This Row],[DISC]])</f>
        <v>945630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6" s="50">
        <f>IF(OR(NOTA[[#This Row],[QTY]]="",NOTA[[#This Row],[HARGA SATUAN]]="",),"",NOTA[[#This Row],[QTY]]*NOTA[[#This Row],[HARGA SATUAN]])</f>
        <v>1137600</v>
      </c>
      <c r="AI116" s="39">
        <f ca="1">IF(NOTA[ID_H]="","",INDEX(NOTA[TANGGAL],MATCH(,INDIRECT(ADDRESS(ROW(NOTA[TANGGAL]),COLUMN(NOTA[TANGGAL]))&amp;":"&amp;ADDRESS(ROW(),COLUMN(NOTA[TANGGAL]))),-1)))</f>
        <v>45178</v>
      </c>
      <c r="AJ116" s="41" t="str">
        <f ca="1">IF(NOTA[[#This Row],[NAMA BARANG]]="","",INDEX(NOTA[SUPPLIER],MATCH(,INDIRECT(ADDRESS(ROW(NOTA[ID]),COLUMN(NOTA[ID]))&amp;":"&amp;ADDRESS(ROW(),COLUMN(NOTA[ID]))),-1)))</f>
        <v>ATALI MAKMUR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9</v>
      </c>
      <c r="AN116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185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72 PCS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18</v>
      </c>
      <c r="E117" s="46"/>
      <c r="F117" s="37"/>
      <c r="G117" s="37"/>
      <c r="H117" s="47"/>
      <c r="I117" s="37"/>
      <c r="J117" s="39"/>
      <c r="K117" s="37"/>
      <c r="L117" s="37" t="s">
        <v>225</v>
      </c>
      <c r="M117" s="40">
        <v>1</v>
      </c>
      <c r="N117" s="38">
        <v>72</v>
      </c>
      <c r="O117" s="37" t="s">
        <v>127</v>
      </c>
      <c r="P117" s="41">
        <v>15800</v>
      </c>
      <c r="Q117" s="42"/>
      <c r="R117" s="48" t="s">
        <v>218</v>
      </c>
      <c r="S117" s="49">
        <v>0.125</v>
      </c>
      <c r="T117" s="44">
        <v>0.05</v>
      </c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1137600</v>
      </c>
      <c r="Y117" s="50">
        <f>IF(NOTA[[#This Row],[JUMLAH]]="","",NOTA[[#This Row],[JUMLAH]]*NOTA[[#This Row],[DISC 1]])</f>
        <v>142200</v>
      </c>
      <c r="Z117" s="50">
        <f>IF(NOTA[[#This Row],[JUMLAH]]="","",(NOTA[[#This Row],[JUMLAH]]-NOTA[[#This Row],[DISC 1-]])*NOTA[[#This Row],[DISC 2]])</f>
        <v>49770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191970</v>
      </c>
      <c r="AC117" s="50">
        <f>IF(NOTA[[#This Row],[JUMLAH]]="","",NOTA[[#This Row],[JUMLAH]]-NOTA[[#This Row],[DISC]])</f>
        <v>945630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7" s="50">
        <f>IF(OR(NOTA[[#This Row],[QTY]]="",NOTA[[#This Row],[HARGA SATUAN]]="",),"",NOTA[[#This Row],[QTY]]*NOTA[[#This Row],[HARGA SATUAN]])</f>
        <v>1137600</v>
      </c>
      <c r="AI117" s="39">
        <f ca="1">IF(NOTA[ID_H]="","",INDEX(NOTA[TANGGAL],MATCH(,INDIRECT(ADDRESS(ROW(NOTA[TANGGAL]),COLUMN(NOTA[TANGGAL]))&amp;":"&amp;ADDRESS(ROW(),COLUMN(NOTA[TANGGAL]))),-1)))</f>
        <v>45178</v>
      </c>
      <c r="AJ117" s="41" t="str">
        <f ca="1">IF(NOTA[[#This Row],[NAMA BARANG]]="","",INDEX(NOTA[SUPPLIER],MATCH(,INDIRECT(ADDRESS(ROW(NOTA[ID]),COLUMN(NOTA[ID]))&amp;":"&amp;ADDRESS(ROW(),COLUMN(NOTA[ID]))),-1)))</f>
        <v>ATALI MAKMUR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9</v>
      </c>
      <c r="AN117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190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72 PCS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18</v>
      </c>
      <c r="E118" s="46"/>
      <c r="F118" s="37"/>
      <c r="G118" s="37"/>
      <c r="H118" s="47"/>
      <c r="I118" s="37"/>
      <c r="J118" s="39"/>
      <c r="K118" s="37"/>
      <c r="L118" s="37" t="s">
        <v>224</v>
      </c>
      <c r="M118" s="40">
        <v>1</v>
      </c>
      <c r="N118" s="38">
        <v>72</v>
      </c>
      <c r="O118" s="37" t="s">
        <v>127</v>
      </c>
      <c r="P118" s="41">
        <v>15800</v>
      </c>
      <c r="Q118" s="42"/>
      <c r="R118" s="48" t="s">
        <v>218</v>
      </c>
      <c r="S118" s="49">
        <v>0.125</v>
      </c>
      <c r="T118" s="44">
        <v>0.05</v>
      </c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1137600</v>
      </c>
      <c r="Y118" s="50">
        <f>IF(NOTA[[#This Row],[JUMLAH]]="","",NOTA[[#This Row],[JUMLAH]]*NOTA[[#This Row],[DISC 1]])</f>
        <v>142200</v>
      </c>
      <c r="Z118" s="50">
        <f>IF(NOTA[[#This Row],[JUMLAH]]="","",(NOTA[[#This Row],[JUMLAH]]-NOTA[[#This Row],[DISC 1-]])*NOTA[[#This Row],[DISC 2]])</f>
        <v>49770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191970</v>
      </c>
      <c r="AC118" s="50">
        <f>IF(NOTA[[#This Row],[JUMLAH]]="","",NOTA[[#This Row],[JUMLAH]]-NOTA[[#This Row],[DISC]])</f>
        <v>945630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8" s="50">
        <f>IF(OR(NOTA[[#This Row],[QTY]]="",NOTA[[#This Row],[HARGA SATUAN]]="",),"",NOTA[[#This Row],[QTY]]*NOTA[[#This Row],[HARGA SATUAN]])</f>
        <v>1137600</v>
      </c>
      <c r="AI118" s="39">
        <f ca="1">IF(NOTA[ID_H]="","",INDEX(NOTA[TANGGAL],MATCH(,INDIRECT(ADDRESS(ROW(NOTA[TANGGAL]),COLUMN(NOTA[TANGGAL]))&amp;":"&amp;ADDRESS(ROW(),COLUMN(NOTA[TANGGAL]))),-1)))</f>
        <v>45178</v>
      </c>
      <c r="AJ118" s="41" t="str">
        <f ca="1">IF(NOTA[[#This Row],[NAMA BARANG]]="","",INDEX(NOTA[SUPPLIER],MATCH(,INDIRECT(ADDRESS(ROW(NOTA[ID]),COLUMN(NOTA[ID]))&amp;":"&amp;ADDRESS(ROW(),COLUMN(NOTA[ID]))),-1)))</f>
        <v>ATALI MAKMUR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9</v>
      </c>
      <c r="AN118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186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72 PCS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18</v>
      </c>
      <c r="E119" s="46"/>
      <c r="F119" s="37"/>
      <c r="G119" s="37"/>
      <c r="H119" s="47"/>
      <c r="I119" s="37"/>
      <c r="J119" s="39"/>
      <c r="K119" s="37"/>
      <c r="L119" s="37" t="s">
        <v>231</v>
      </c>
      <c r="M119" s="40">
        <v>1</v>
      </c>
      <c r="N119" s="38">
        <v>72</v>
      </c>
      <c r="O119" s="37" t="s">
        <v>127</v>
      </c>
      <c r="P119" s="41">
        <v>15800</v>
      </c>
      <c r="Q119" s="42"/>
      <c r="R119" s="48" t="s">
        <v>218</v>
      </c>
      <c r="S119" s="49">
        <v>0.125</v>
      </c>
      <c r="T119" s="44">
        <v>0.05</v>
      </c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1137600</v>
      </c>
      <c r="Y119" s="50">
        <f>IF(NOTA[[#This Row],[JUMLAH]]="","",NOTA[[#This Row],[JUMLAH]]*NOTA[[#This Row],[DISC 1]])</f>
        <v>142200</v>
      </c>
      <c r="Z119" s="50">
        <f>IF(NOTA[[#This Row],[JUMLAH]]="","",(NOTA[[#This Row],[JUMLAH]]-NOTA[[#This Row],[DISC 1-]])*NOTA[[#This Row],[DISC 2]])</f>
        <v>49770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191970</v>
      </c>
      <c r="AC119" s="50">
        <f>IF(NOTA[[#This Row],[JUMLAH]]="","",NOTA[[#This Row],[JUMLAH]]-NOTA[[#This Row],[DISC]])</f>
        <v>945630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9" s="50">
        <f>IF(OR(NOTA[[#This Row],[QTY]]="",NOTA[[#This Row],[HARGA SATUAN]]="",),"",NOTA[[#This Row],[QTY]]*NOTA[[#This Row],[HARGA SATUAN]])</f>
        <v>1137600</v>
      </c>
      <c r="AI119" s="39">
        <f ca="1">IF(NOTA[ID_H]="","",INDEX(NOTA[TANGGAL],MATCH(,INDIRECT(ADDRESS(ROW(NOTA[TANGGAL]),COLUMN(NOTA[TANGGAL]))&amp;":"&amp;ADDRESS(ROW(),COLUMN(NOTA[TANGGAL]))),-1)))</f>
        <v>45178</v>
      </c>
      <c r="AJ119" s="41" t="str">
        <f ca="1">IF(NOTA[[#This Row],[NAMA BARANG]]="","",INDEX(NOTA[SUPPLIER],MATCH(,INDIRECT(ADDRESS(ROW(NOTA[ID]),COLUMN(NOTA[ID]))&amp;":"&amp;ADDRESS(ROW(),COLUMN(NOTA[ID]))),-1)))</f>
        <v>ATALI MAKMUR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9</v>
      </c>
      <c r="AN11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180</v>
      </c>
      <c r="AT119" s="38" t="b">
        <f>IF(NOTA[[#This Row],[QTY/ CTN]]="","",TRUE)</f>
        <v>1</v>
      </c>
      <c r="AU119" s="38" t="str">
        <f ca="1">IF(NOTA[[#This Row],[ID_H]]="","",IF(NOTA[[#This Row],[Column3]]=TRUE,NOTA[[#This Row],[QTY/ CTN]],INDEX([3]!db[QTY/ CTN],NOTA[[#This Row],[//DB]])))</f>
        <v>72 PCS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18</v>
      </c>
      <c r="E120" s="46"/>
      <c r="F120" s="37"/>
      <c r="G120" s="37"/>
      <c r="H120" s="47"/>
      <c r="I120" s="37"/>
      <c r="J120" s="39"/>
      <c r="K120" s="37"/>
      <c r="L120" s="37" t="s">
        <v>233</v>
      </c>
      <c r="M120" s="40">
        <v>1</v>
      </c>
      <c r="N120" s="38">
        <v>72</v>
      </c>
      <c r="O120" s="37" t="s">
        <v>127</v>
      </c>
      <c r="P120" s="41">
        <v>15800</v>
      </c>
      <c r="Q120" s="42"/>
      <c r="R120" s="48" t="s">
        <v>218</v>
      </c>
      <c r="S120" s="49">
        <v>0.125</v>
      </c>
      <c r="T120" s="44">
        <v>0.05</v>
      </c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1137600</v>
      </c>
      <c r="Y120" s="50">
        <f>IF(NOTA[[#This Row],[JUMLAH]]="","",NOTA[[#This Row],[JUMLAH]]*NOTA[[#This Row],[DISC 1]])</f>
        <v>142200</v>
      </c>
      <c r="Z120" s="50">
        <f>IF(NOTA[[#This Row],[JUMLAH]]="","",(NOTA[[#This Row],[JUMLAH]]-NOTA[[#This Row],[DISC 1-]])*NOTA[[#This Row],[DISC 2]])</f>
        <v>49770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191970</v>
      </c>
      <c r="AC120" s="50">
        <f>IF(NOTA[[#This Row],[JUMLAH]]="","",NOTA[[#This Row],[JUMLAH]]-NOTA[[#This Row],[DISC]])</f>
        <v>945630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0" s="50">
        <f>IF(OR(NOTA[[#This Row],[QTY]]="",NOTA[[#This Row],[HARGA SATUAN]]="",),"",NOTA[[#This Row],[QTY]]*NOTA[[#This Row],[HARGA SATUAN]])</f>
        <v>1137600</v>
      </c>
      <c r="AI120" s="39">
        <f ca="1">IF(NOTA[ID_H]="","",INDEX(NOTA[TANGGAL],MATCH(,INDIRECT(ADDRESS(ROW(NOTA[TANGGAL]),COLUMN(NOTA[TANGGAL]))&amp;":"&amp;ADDRESS(ROW(),COLUMN(NOTA[TANGGAL]))),-1)))</f>
        <v>45178</v>
      </c>
      <c r="AJ120" s="41" t="str">
        <f ca="1">IF(NOTA[[#This Row],[NAMA BARANG]]="","",INDEX(NOTA[SUPPLIER],MATCH(,INDIRECT(ADDRESS(ROW(NOTA[ID]),COLUMN(NOTA[ID]))&amp;":"&amp;ADDRESS(ROW(),COLUMN(NOTA[ID]))),-1)))</f>
        <v>ATALI MAKMUR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9</v>
      </c>
      <c r="AN120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200</v>
      </c>
      <c r="AT120" s="38" t="b">
        <f>IF(NOTA[[#This Row],[QTY/ CTN]]="","",TRUE)</f>
        <v>1</v>
      </c>
      <c r="AU120" s="38" t="str">
        <f ca="1">IF(NOTA[[#This Row],[ID_H]]="","",IF(NOTA[[#This Row],[Column3]]=TRUE,NOTA[[#This Row],[QTY/ CTN]],INDEX([3]!db[QTY/ CTN],NOTA[[#This Row],[//DB]])))</f>
        <v>72 PCS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18</v>
      </c>
      <c r="E121" s="46"/>
      <c r="F121" s="37"/>
      <c r="G121" s="37"/>
      <c r="H121" s="47"/>
      <c r="I121" s="37"/>
      <c r="J121" s="39"/>
      <c r="K121" s="37"/>
      <c r="L121" s="37" t="s">
        <v>232</v>
      </c>
      <c r="M121" s="40">
        <v>1</v>
      </c>
      <c r="N121" s="38">
        <v>72</v>
      </c>
      <c r="O121" s="37" t="s">
        <v>127</v>
      </c>
      <c r="P121" s="41">
        <v>15800</v>
      </c>
      <c r="Q121" s="42"/>
      <c r="R121" s="48" t="s">
        <v>218</v>
      </c>
      <c r="S121" s="49">
        <v>0.125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1137600</v>
      </c>
      <c r="Y121" s="50">
        <f>IF(NOTA[[#This Row],[JUMLAH]]="","",NOTA[[#This Row],[JUMLAH]]*NOTA[[#This Row],[DISC 1]])</f>
        <v>142200</v>
      </c>
      <c r="Z121" s="50">
        <f>IF(NOTA[[#This Row],[JUMLAH]]="","",(NOTA[[#This Row],[JUMLAH]]-NOTA[[#This Row],[DISC 1-]])*NOTA[[#This Row],[DISC 2]])</f>
        <v>49770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191970</v>
      </c>
      <c r="AC121" s="50">
        <f>IF(NOTA[[#This Row],[JUMLAH]]="","",NOTA[[#This Row],[JUMLAH]]-NOTA[[#This Row],[DISC]])</f>
        <v>945630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1" s="50">
        <f>IF(OR(NOTA[[#This Row],[QTY]]="",NOTA[[#This Row],[HARGA SATUAN]]="",),"",NOTA[[#This Row],[QTY]]*NOTA[[#This Row],[HARGA SATUAN]])</f>
        <v>1137600</v>
      </c>
      <c r="AI121" s="39">
        <f ca="1">IF(NOTA[ID_H]="","",INDEX(NOTA[TANGGAL],MATCH(,INDIRECT(ADDRESS(ROW(NOTA[TANGGAL]),COLUMN(NOTA[TANGGAL]))&amp;":"&amp;ADDRESS(ROW(),COLUMN(NOTA[TANGGAL]))),-1)))</f>
        <v>45178</v>
      </c>
      <c r="AJ121" s="41" t="str">
        <f ca="1">IF(NOTA[[#This Row],[NAMA BARANG]]="","",INDEX(NOTA[SUPPLIER],MATCH(,INDIRECT(ADDRESS(ROW(NOTA[ID]),COLUMN(NOTA[ID]))&amp;":"&amp;ADDRESS(ROW(),COLUMN(NOTA[ID]))),-1)))</f>
        <v>ATALI MAKMUR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9</v>
      </c>
      <c r="AN121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187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72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18</v>
      </c>
      <c r="E122" s="46"/>
      <c r="F122" s="37"/>
      <c r="G122" s="37"/>
      <c r="H122" s="47"/>
      <c r="I122" s="37"/>
      <c r="J122" s="39"/>
      <c r="K122" s="37"/>
      <c r="L122" s="37" t="s">
        <v>550</v>
      </c>
      <c r="M122" s="40">
        <v>1</v>
      </c>
      <c r="N122" s="38">
        <v>72</v>
      </c>
      <c r="O122" s="37" t="s">
        <v>127</v>
      </c>
      <c r="P122" s="41">
        <v>15800</v>
      </c>
      <c r="Q122" s="42"/>
      <c r="R122" s="48" t="s">
        <v>218</v>
      </c>
      <c r="S122" s="49">
        <v>0.125</v>
      </c>
      <c r="T122" s="44">
        <v>0.05</v>
      </c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1137600</v>
      </c>
      <c r="Y122" s="50">
        <f>IF(NOTA[[#This Row],[JUMLAH]]="","",NOTA[[#This Row],[JUMLAH]]*NOTA[[#This Row],[DISC 1]])</f>
        <v>142200</v>
      </c>
      <c r="Z122" s="50">
        <f>IF(NOTA[[#This Row],[JUMLAH]]="","",(NOTA[[#This Row],[JUMLAH]]-NOTA[[#This Row],[DISC 1-]])*NOTA[[#This Row],[DISC 2]])</f>
        <v>49770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191970</v>
      </c>
      <c r="AC122" s="50">
        <f>IF(NOTA[[#This Row],[JUMLAH]]="","",NOTA[[#This Row],[JUMLAH]]-NOTA[[#This Row],[DISC]])</f>
        <v>945630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2" s="50">
        <f>IF(OR(NOTA[[#This Row],[QTY]]="",NOTA[[#This Row],[HARGA SATUAN]]="",),"",NOTA[[#This Row],[QTY]]*NOTA[[#This Row],[HARGA SATUAN]])</f>
        <v>1137600</v>
      </c>
      <c r="AI122" s="39">
        <f ca="1">IF(NOTA[ID_H]="","",INDEX(NOTA[TANGGAL],MATCH(,INDIRECT(ADDRESS(ROW(NOTA[TANGGAL]),COLUMN(NOTA[TANGGAL]))&amp;":"&amp;ADDRESS(ROW(),COLUMN(NOTA[TANGGAL]))),-1)))</f>
        <v>45178</v>
      </c>
      <c r="AJ122" s="41" t="str">
        <f ca="1">IF(NOTA[[#This Row],[NAMA BARANG]]="","",INDEX(NOTA[SUPPLIER],MATCH(,INDIRECT(ADDRESS(ROW(NOTA[ID]),COLUMN(NOTA[ID]))&amp;":"&amp;ADDRESS(ROW(),COLUMN(NOTA[ID]))),-1)))</f>
        <v>ATALI MAKMUR</v>
      </c>
      <c r="AK122" s="41" t="str">
        <f ca="1">IF(NOTA[[#This Row],[ID_H]]="","",IF(NOTA[[#This Row],[FAKTUR]]="",INDIRECT(ADDRESS(ROW()-1,COLUMN())),NOTA[[#This Row],[FAKTUR]]))</f>
        <v>ARTO MORO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9</v>
      </c>
      <c r="AN122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193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72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bindera5tsedm503educationjku72pcsartomoro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18</v>
      </c>
      <c r="E123" s="46"/>
      <c r="F123" s="37"/>
      <c r="G123" s="37"/>
      <c r="H123" s="47"/>
      <c r="I123" s="37"/>
      <c r="J123" s="39"/>
      <c r="K123" s="37"/>
      <c r="L123" s="37" t="s">
        <v>226</v>
      </c>
      <c r="M123" s="40">
        <v>2</v>
      </c>
      <c r="N123" s="38">
        <v>48</v>
      </c>
      <c r="O123" s="37" t="s">
        <v>127</v>
      </c>
      <c r="P123" s="41">
        <v>19000</v>
      </c>
      <c r="Q123" s="42"/>
      <c r="R123" s="48" t="s">
        <v>227</v>
      </c>
      <c r="S123" s="49">
        <v>0.125</v>
      </c>
      <c r="T123" s="44">
        <v>0.05</v>
      </c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912000</v>
      </c>
      <c r="Y123" s="50">
        <f>IF(NOTA[[#This Row],[JUMLAH]]="","",NOTA[[#This Row],[JUMLAH]]*NOTA[[#This Row],[DISC 1]])</f>
        <v>114000</v>
      </c>
      <c r="Z123" s="50">
        <f>IF(NOTA[[#This Row],[JUMLAH]]="","",(NOTA[[#This Row],[JUMLAH]]-NOTA[[#This Row],[DISC 1-]])*NOTA[[#This Row],[DISC 2]])</f>
        <v>39900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153900</v>
      </c>
      <c r="AC123" s="50">
        <f>IF(NOTA[[#This Row],[JUMLAH]]="","",NOTA[[#This Row],[JUMLAH]]-NOTA[[#This Row],[DISC]])</f>
        <v>758100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123" s="50">
        <f>IF(OR(NOTA[[#This Row],[QTY]]="",NOTA[[#This Row],[HARGA SATUAN]]="",),"",NOTA[[#This Row],[QTY]]*NOTA[[#This Row],[HARGA SATUAN]])</f>
        <v>912000</v>
      </c>
      <c r="AI123" s="39">
        <f ca="1">IF(NOTA[ID_H]="","",INDEX(NOTA[TANGGAL],MATCH(,INDIRECT(ADDRESS(ROW(NOTA[TANGGAL]),COLUMN(NOTA[TANGGAL]))&amp;":"&amp;ADDRESS(ROW(),COLUMN(NOTA[TANGGAL]))),-1)))</f>
        <v>45178</v>
      </c>
      <c r="AJ123" s="41" t="str">
        <f ca="1">IF(NOTA[[#This Row],[NAMA BARANG]]="","",INDEX(NOTA[SUPPLIER],MATCH(,INDIRECT(ADDRESS(ROW(NOTA[ID]),COLUMN(NOTA[ID]))&amp;":"&amp;ADDRESS(ROW(),COLUMN(NOTA[ID]))),-1)))</f>
        <v>ATALI MAKMUR</v>
      </c>
      <c r="AK123" s="41" t="str">
        <f ca="1">IF(NOTA[[#This Row],[ID_H]]="","",IF(NOTA[[#This Row],[FAKTUR]]="",INDIRECT(ADDRESS(ROW()-1,COLUMN())),NOTA[[#This Row],[FAKTUR]]))</f>
        <v>ARTO MORO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Row],[SUPPLIER_H]]="","",AM121),MONTH(NOTA[[#This Row],[TGL.NOTA]]))</f>
        <v>9</v>
      </c>
      <c r="AN1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2530</v>
      </c>
      <c r="AT123" s="38" t="b">
        <f>IF(NOTA[[#This Row],[QTY/ CTN]]="","",TRUE)</f>
        <v>1</v>
      </c>
      <c r="AU123" s="38" t="str">
        <f ca="1">IF(NOTA[[#This Row],[ID_H]]="","",IF(NOTA[[#This Row],[Column3]]=TRUE,NOTA[[#This Row],[QTY/ CTN]],INDEX([3]!db[QTY/ CTN],NOTA[[#This Row],[//DB]])))</f>
        <v>24 PCS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18</v>
      </c>
      <c r="E124" s="46"/>
      <c r="F124" s="37"/>
      <c r="G124" s="37"/>
      <c r="H124" s="47"/>
      <c r="I124" s="37"/>
      <c r="J124" s="39"/>
      <c r="K124" s="37"/>
      <c r="L124" s="37" t="s">
        <v>228</v>
      </c>
      <c r="M124" s="40">
        <v>1</v>
      </c>
      <c r="N124" s="38">
        <v>768</v>
      </c>
      <c r="O124" s="37" t="s">
        <v>127</v>
      </c>
      <c r="P124" s="41">
        <v>2100</v>
      </c>
      <c r="Q124" s="42"/>
      <c r="R124" s="48" t="s">
        <v>230</v>
      </c>
      <c r="S124" s="49">
        <v>0.125</v>
      </c>
      <c r="T124" s="44">
        <v>0.05</v>
      </c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1612800</v>
      </c>
      <c r="Y124" s="50">
        <f>IF(NOTA[[#This Row],[JUMLAH]]="","",NOTA[[#This Row],[JUMLAH]]*NOTA[[#This Row],[DISC 1]])</f>
        <v>201600</v>
      </c>
      <c r="Z124" s="50">
        <f>IF(NOTA[[#This Row],[JUMLAH]]="","",(NOTA[[#This Row],[JUMLAH]]-NOTA[[#This Row],[DISC 1-]])*NOTA[[#This Row],[DISC 2]])</f>
        <v>70560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272160</v>
      </c>
      <c r="AC124" s="50">
        <f>IF(NOTA[[#This Row],[JUMLAH]]="","",NOTA[[#This Row],[JUMLAH]]-NOTA[[#This Row],[DISC]])</f>
        <v>1340640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2939895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14481705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24" s="50">
        <f>IF(OR(NOTA[[#This Row],[QTY]]="",NOTA[[#This Row],[HARGA SATUAN]]="",),"",NOTA[[#This Row],[QTY]]*NOTA[[#This Row],[HARGA SATUAN]])</f>
        <v>1612800</v>
      </c>
      <c r="AI124" s="39">
        <f ca="1">IF(NOTA[ID_H]="","",INDEX(NOTA[TANGGAL],MATCH(,INDIRECT(ADDRESS(ROW(NOTA[TANGGAL]),COLUMN(NOTA[TANGGAL]))&amp;":"&amp;ADDRESS(ROW(),COLUMN(NOTA[TANGGAL]))),-1)))</f>
        <v>45178</v>
      </c>
      <c r="AJ124" s="41" t="str">
        <f ca="1">IF(NOTA[[#This Row],[NAMA BARANG]]="","",INDEX(NOTA[SUPPLIER],MATCH(,INDIRECT(ADDRESS(ROW(NOTA[ID]),COLUMN(NOTA[ID]))&amp;":"&amp;ADDRESS(ROW(),COLUMN(NOTA[ID]))),-1)))</f>
        <v>ATALI MAKMUR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9</v>
      </c>
      <c r="AN12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>
        <f>IF(NOTA[[#This Row],[CONCAT1]]="","",MATCH(NOTA[[#This Row],[CONCAT1]],[3]!db[NB NOTA_C],0))</f>
        <v>1139</v>
      </c>
      <c r="AT124" s="38" t="b">
        <f>IF(NOTA[[#This Row],[QTY/ CTN]]="","",TRUE)</f>
        <v>1</v>
      </c>
      <c r="AU124" s="38" t="str">
        <f ca="1">IF(NOTA[[#This Row],[ID_H]]="","",IF(NOTA[[#This Row],[Column3]]=TRUE,NOTA[[#This Row],[QTY/ CTN]],INDEX([3]!db[QTY/ CTN],NOTA[[#This Row],[//DB]])))</f>
        <v>64 LSN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ATA_0909_844-12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19</v>
      </c>
      <c r="E126" s="46"/>
      <c r="F126" s="37" t="s">
        <v>24</v>
      </c>
      <c r="G126" s="37" t="s">
        <v>23</v>
      </c>
      <c r="H126" s="47" t="s">
        <v>234</v>
      </c>
      <c r="I126" s="37"/>
      <c r="J126" s="39">
        <v>45174</v>
      </c>
      <c r="K126" s="37"/>
      <c r="L126" s="37" t="s">
        <v>235</v>
      </c>
      <c r="M126" s="40">
        <v>2</v>
      </c>
      <c r="N126" s="38">
        <v>288</v>
      </c>
      <c r="O126" s="37" t="s">
        <v>127</v>
      </c>
      <c r="P126" s="41">
        <v>4350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1252800</v>
      </c>
      <c r="Y126" s="50">
        <f>IF(NOTA[[#This Row],[JUMLAH]]="","",NOTA[[#This Row],[JUMLAH]]*NOTA[[#This Row],[DISC 1]])</f>
        <v>156600</v>
      </c>
      <c r="Z126" s="50">
        <f>IF(NOTA[[#This Row],[JUMLAH]]="","",(NOTA[[#This Row],[JUMLAH]]-NOTA[[#This Row],[DISC 1-]])*NOTA[[#This Row],[DISC 2]])</f>
        <v>54810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211410</v>
      </c>
      <c r="AC126" s="50">
        <f>IF(NOTA[[#This Row],[JUMLAH]]="","",NOTA[[#This Row],[JUMLAH]]-NOTA[[#This Row],[DISC]])</f>
        <v>1041390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26" s="50">
        <f>IF(OR(NOTA[[#This Row],[QTY]]="",NOTA[[#This Row],[HARGA SATUAN]]="",),"",NOTA[[#This Row],[QTY]]*NOTA[[#This Row],[HARGA SATUAN]])</f>
        <v>1252800</v>
      </c>
      <c r="AI126" s="39">
        <f ca="1">IF(NOTA[ID_H]="","",INDEX(NOTA[TANGGAL],MATCH(,INDIRECT(ADDRESS(ROW(NOTA[TANGGAL]),COLUMN(NOTA[TANGGAL]))&amp;":"&amp;ADDRESS(ROW(),COLUMN(NOTA[TANGGAL]))),-1)))</f>
        <v>45178</v>
      </c>
      <c r="AJ126" s="41" t="str">
        <f ca="1">IF(NOTA[[#This Row],[NAMA BARANG]]="","",INDEX(NOTA[SUPPLIER],MATCH(,INDIRECT(ADDRESS(ROW(NOTA[ID]),COLUMN(NOTA[ID]))&amp;":"&amp;ADDRESS(ROW(),COLUMN(NOTA[ID]))),-1)))</f>
        <v>ATALI MAKMUR</v>
      </c>
      <c r="AK126" s="41" t="str">
        <f ca="1">IF(NOTA[[#This Row],[ID_H]]="","",IF(NOTA[[#This Row],[FAKTUR]]="",INDIRECT(ADDRESS(ROW()-1,COLUMN())),NOTA[[#This Row],[FAKTUR]]))</f>
        <v>ARTO MORO</v>
      </c>
      <c r="AL126" s="38">
        <f ca="1">IF(NOTA[[#This Row],[ID]]="","",COUNTIF(NOTA[ID_H],NOTA[[#This Row],[ID_H]]))</f>
        <v>12</v>
      </c>
      <c r="AM126" s="38">
        <f>IF(NOTA[[#This Row],[TGL.NOTA]]="",IF(NOTA[[#This Row],[SUPPLIER_H]]="","",AM125),MONTH(NOTA[[#This Row],[TGL.NOTA]]))</f>
        <v>9</v>
      </c>
      <c r="AN12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MOROSA23091584445174scissorssc828jk</v>
      </c>
      <c r="AR126" s="38" t="e">
        <f>IF(NOTA[[#This Row],[CONCAT4]]="","",_xlfn.IFNA(MATCH(NOTA[[#This Row],[CONCAT4]],[2]!RAW[CONCAT_H],0),FALSE))</f>
        <v>#REF!</v>
      </c>
      <c r="AS126" s="38">
        <f>IF(NOTA[[#This Row],[CONCAT1]]="","",MATCH(NOTA[[#This Row],[CONCAT1]],[3]!db[NB NOTA_C],0))</f>
        <v>2396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12 LSN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19</v>
      </c>
      <c r="E127" s="46"/>
      <c r="F127" s="37"/>
      <c r="G127" s="37"/>
      <c r="H127" s="47"/>
      <c r="I127" s="37"/>
      <c r="J127" s="39"/>
      <c r="K127" s="37"/>
      <c r="L127" s="37" t="s">
        <v>236</v>
      </c>
      <c r="M127" s="40">
        <v>2</v>
      </c>
      <c r="N127" s="38">
        <v>288</v>
      </c>
      <c r="O127" s="37" t="s">
        <v>127</v>
      </c>
      <c r="P127" s="41">
        <v>6500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1872000</v>
      </c>
      <c r="Y127" s="50">
        <f>IF(NOTA[[#This Row],[JUMLAH]]="","",NOTA[[#This Row],[JUMLAH]]*NOTA[[#This Row],[DISC 1]])</f>
        <v>234000</v>
      </c>
      <c r="Z127" s="50">
        <f>IF(NOTA[[#This Row],[JUMLAH]]="","",(NOTA[[#This Row],[JUMLAH]]-NOTA[[#This Row],[DISC 1-]])*NOTA[[#This Row],[DISC 2]])</f>
        <v>81900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315900</v>
      </c>
      <c r="AC127" s="50">
        <f>IF(NOTA[[#This Row],[JUMLAH]]="","",NOTA[[#This Row],[JUMLAH]]-NOTA[[#This Row],[DISC]])</f>
        <v>1556100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27" s="50">
        <f>IF(OR(NOTA[[#This Row],[QTY]]="",NOTA[[#This Row],[HARGA SATUAN]]="",),"",NOTA[[#This Row],[QTY]]*NOTA[[#This Row],[HARGA SATUAN]])</f>
        <v>1872000</v>
      </c>
      <c r="AI127" s="39">
        <f ca="1">IF(NOTA[ID_H]="","",INDEX(NOTA[TANGGAL],MATCH(,INDIRECT(ADDRESS(ROW(NOTA[TANGGAL]),COLUMN(NOTA[TANGGAL]))&amp;":"&amp;ADDRESS(ROW(),COLUMN(NOTA[TANGGAL]))),-1)))</f>
        <v>45178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9</v>
      </c>
      <c r="AN127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2397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19</v>
      </c>
      <c r="E128" s="46"/>
      <c r="F128" s="37"/>
      <c r="G128" s="37"/>
      <c r="H128" s="47"/>
      <c r="I128" s="37"/>
      <c r="J128" s="39"/>
      <c r="K128" s="37"/>
      <c r="L128" s="37" t="s">
        <v>237</v>
      </c>
      <c r="M128" s="40">
        <v>2</v>
      </c>
      <c r="N128" s="38">
        <v>288</v>
      </c>
      <c r="O128" s="37" t="s">
        <v>127</v>
      </c>
      <c r="P128" s="41">
        <v>9750</v>
      </c>
      <c r="Q128" s="42"/>
      <c r="R128" s="48"/>
      <c r="S128" s="49">
        <v>0.125</v>
      </c>
      <c r="T128" s="44">
        <v>0.05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2808000</v>
      </c>
      <c r="Y128" s="50">
        <f>IF(NOTA[[#This Row],[JUMLAH]]="","",NOTA[[#This Row],[JUMLAH]]*NOTA[[#This Row],[DISC 1]])</f>
        <v>351000</v>
      </c>
      <c r="Z128" s="50">
        <f>IF(NOTA[[#This Row],[JUMLAH]]="","",(NOTA[[#This Row],[JUMLAH]]-NOTA[[#This Row],[DISC 1-]])*NOTA[[#This Row],[DISC 2]])</f>
        <v>122850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473850</v>
      </c>
      <c r="AC128" s="50">
        <f>IF(NOTA[[#This Row],[JUMLAH]]="","",NOTA[[#This Row],[JUMLAH]]-NOTA[[#This Row],[DISC]])</f>
        <v>2334150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28" s="50">
        <f>IF(OR(NOTA[[#This Row],[QTY]]="",NOTA[[#This Row],[HARGA SATUAN]]="",),"",NOTA[[#This Row],[QTY]]*NOTA[[#This Row],[HARGA SATUAN]])</f>
        <v>2808000</v>
      </c>
      <c r="AI128" s="39">
        <f ca="1">IF(NOTA[ID_H]="","",INDEX(NOTA[TANGGAL],MATCH(,INDIRECT(ADDRESS(ROW(NOTA[TANGGAL]),COLUMN(NOTA[TANGGAL]))&amp;":"&amp;ADDRESS(ROW(),COLUMN(NOTA[TANGGAL]))),-1)))</f>
        <v>45178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9</v>
      </c>
      <c r="AN128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2399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12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19</v>
      </c>
      <c r="E129" s="46"/>
      <c r="F129" s="37"/>
      <c r="G129" s="37"/>
      <c r="H129" s="47"/>
      <c r="I129" s="37"/>
      <c r="J129" s="39"/>
      <c r="K129" s="37"/>
      <c r="L129" s="37" t="s">
        <v>238</v>
      </c>
      <c r="M129" s="40">
        <v>1</v>
      </c>
      <c r="N129" s="38">
        <v>24</v>
      </c>
      <c r="O129" s="37" t="s">
        <v>133</v>
      </c>
      <c r="P129" s="41">
        <v>66900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1605600</v>
      </c>
      <c r="Y129" s="50">
        <f>IF(NOTA[[#This Row],[JUMLAH]]="","",NOTA[[#This Row],[JUMLAH]]*NOTA[[#This Row],[DISC 1]])</f>
        <v>200700</v>
      </c>
      <c r="Z129" s="50">
        <f>IF(NOTA[[#This Row],[JUMLAH]]="","",(NOTA[[#This Row],[JUMLAH]]-NOTA[[#This Row],[DISC 1-]])*NOTA[[#This Row],[DISC 2]])</f>
        <v>70245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270945</v>
      </c>
      <c r="AC129" s="50">
        <f>IF(NOTA[[#This Row],[JUMLAH]]="","",NOTA[[#This Row],[JUMLAH]]-NOTA[[#This Row],[DISC]])</f>
        <v>1334655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29" s="50">
        <f>IF(OR(NOTA[[#This Row],[QTY]]="",NOTA[[#This Row],[HARGA SATUAN]]="",),"",NOTA[[#This Row],[QTY]]*NOTA[[#This Row],[HARGA SATUAN]])</f>
        <v>1605600</v>
      </c>
      <c r="AI129" s="39">
        <f ca="1">IF(NOTA[ID_H]="","",INDEX(NOTA[TANGGAL],MATCH(,INDIRECT(ADDRESS(ROW(NOTA[TANGGAL]),COLUMN(NOTA[TANGGAL]))&amp;":"&amp;ADDRESS(ROW(),COLUMN(NOTA[TANGGAL]))),-1)))</f>
        <v>45178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9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1902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4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19</v>
      </c>
      <c r="E130" s="46"/>
      <c r="F130" s="37"/>
      <c r="G130" s="37"/>
      <c r="H130" s="47"/>
      <c r="I130" s="37"/>
      <c r="J130" s="39"/>
      <c r="K130" s="37"/>
      <c r="L130" s="37" t="s">
        <v>239</v>
      </c>
      <c r="M130" s="40">
        <v>2</v>
      </c>
      <c r="N130" s="38">
        <v>2000</v>
      </c>
      <c r="O130" s="37" t="s">
        <v>240</v>
      </c>
      <c r="P130" s="41">
        <v>2050</v>
      </c>
      <c r="Q130" s="42"/>
      <c r="R130" s="48"/>
      <c r="S130" s="49">
        <v>0.125</v>
      </c>
      <c r="T130" s="44">
        <v>0.05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4100000</v>
      </c>
      <c r="Y130" s="50">
        <f>IF(NOTA[[#This Row],[JUMLAH]]="","",NOTA[[#This Row],[JUMLAH]]*NOTA[[#This Row],[DISC 1]])</f>
        <v>512500</v>
      </c>
      <c r="Z130" s="50">
        <f>IF(NOTA[[#This Row],[JUMLAH]]="","",(NOTA[[#This Row],[JUMLAH]]-NOTA[[#This Row],[DISC 1-]])*NOTA[[#This Row],[DISC 2]])</f>
        <v>179375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691875</v>
      </c>
      <c r="AC130" s="50">
        <f>IF(NOTA[[#This Row],[JUMLAH]]="","",NOTA[[#This Row],[JUMLAH]]-NOTA[[#This Row],[DISC]])</f>
        <v>3408125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30" s="50">
        <f>IF(OR(NOTA[[#This Row],[QTY]]="",NOTA[[#This Row],[HARGA SATUAN]]="",),"",NOTA[[#This Row],[QTY]]*NOTA[[#This Row],[HARGA SATUAN]])</f>
        <v>4100000</v>
      </c>
      <c r="AI130" s="39">
        <f ca="1">IF(NOTA[ID_H]="","",INDEX(NOTA[TANGGAL],MATCH(,INDIRECT(ADDRESS(ROW(NOTA[TANGGAL]),COLUMN(NOTA[TANGGAL]))&amp;":"&amp;ADDRESS(ROW(),COLUMN(NOTA[TANGGAL]))),-1)))</f>
        <v>45178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9</v>
      </c>
      <c r="AN1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1626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100 PAK (10 ROL)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19</v>
      </c>
      <c r="E131" s="46"/>
      <c r="F131" s="37"/>
      <c r="G131" s="37"/>
      <c r="H131" s="47"/>
      <c r="I131" s="37"/>
      <c r="J131" s="39"/>
      <c r="K131" s="37"/>
      <c r="L131" s="37" t="s">
        <v>241</v>
      </c>
      <c r="M131" s="40">
        <v>6</v>
      </c>
      <c r="N131" s="38">
        <v>4320</v>
      </c>
      <c r="O131" s="37" t="s">
        <v>127</v>
      </c>
      <c r="P131" s="41">
        <v>4800</v>
      </c>
      <c r="Q131" s="42"/>
      <c r="R131" s="48"/>
      <c r="S131" s="49">
        <v>0.125</v>
      </c>
      <c r="T131" s="44">
        <v>0.05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20736000</v>
      </c>
      <c r="Y131" s="50">
        <f>IF(NOTA[[#This Row],[JUMLAH]]="","",NOTA[[#This Row],[JUMLAH]]*NOTA[[#This Row],[DISC 1]])</f>
        <v>2592000</v>
      </c>
      <c r="Z131" s="50">
        <f>IF(NOTA[[#This Row],[JUMLAH]]="","",(NOTA[[#This Row],[JUMLAH]]-NOTA[[#This Row],[DISC 1-]])*NOTA[[#This Row],[DISC 2]])</f>
        <v>907200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3499200</v>
      </c>
      <c r="AC131" s="50">
        <f>IF(NOTA[[#This Row],[JUMLAH]]="","",NOTA[[#This Row],[JUMLAH]]-NOTA[[#This Row],[DISC]])</f>
        <v>17236800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31" s="50">
        <f>IF(OR(NOTA[[#This Row],[QTY]]="",NOTA[[#This Row],[HARGA SATUAN]]="",),"",NOTA[[#This Row],[QTY]]*NOTA[[#This Row],[HARGA SATUAN]])</f>
        <v>20736000</v>
      </c>
      <c r="AI131" s="39">
        <f ca="1">IF(NOTA[ID_H]="","",INDEX(NOTA[TANGGAL],MATCH(,INDIRECT(ADDRESS(ROW(NOTA[TANGGAL]),COLUMN(NOTA[TANGGAL]))&amp;":"&amp;ADDRESS(ROW(),COLUMN(NOTA[TANGGAL]))),-1)))</f>
        <v>45178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9</v>
      </c>
      <c r="AN13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633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60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19</v>
      </c>
      <c r="E132" s="46"/>
      <c r="F132" s="37"/>
      <c r="G132" s="37"/>
      <c r="H132" s="47"/>
      <c r="I132" s="37"/>
      <c r="J132" s="39"/>
      <c r="K132" s="37"/>
      <c r="L132" s="37" t="s">
        <v>242</v>
      </c>
      <c r="M132" s="40"/>
      <c r="N132" s="38">
        <v>180</v>
      </c>
      <c r="O132" s="37" t="s">
        <v>127</v>
      </c>
      <c r="P132" s="41">
        <v>3700</v>
      </c>
      <c r="Q132" s="42"/>
      <c r="R132" s="48"/>
      <c r="S132" s="49">
        <v>0.125</v>
      </c>
      <c r="T132" s="44">
        <v>0.05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666000</v>
      </c>
      <c r="Y132" s="50">
        <f>IF(NOTA[[#This Row],[JUMLAH]]="","",NOTA[[#This Row],[JUMLAH]]*NOTA[[#This Row],[DISC 1]])</f>
        <v>83250</v>
      </c>
      <c r="Z132" s="50">
        <f>IF(NOTA[[#This Row],[JUMLAH]]="","",(NOTA[[#This Row],[JUMLAH]]-NOTA[[#This Row],[DISC 1-]])*NOTA[[#This Row],[DISC 2]])</f>
        <v>29137.5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112387.5</v>
      </c>
      <c r="AC132" s="50">
        <f>IF(NOTA[[#This Row],[JUMLAH]]="","",NOTA[[#This Row],[JUMLAH]]-NOTA[[#This Row],[DISC]])</f>
        <v>553612.5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2" s="50">
        <f>IF(OR(NOTA[[#This Row],[QTY]]="",NOTA[[#This Row],[HARGA SATUAN]]="",),"",NOTA[[#This Row],[QTY]]*NOTA[[#This Row],[HARGA SATUAN]])</f>
        <v>666000</v>
      </c>
      <c r="AI132" s="39">
        <f ca="1">IF(NOTA[ID_H]="","",INDEX(NOTA[TANGGAL],MATCH(,INDIRECT(ADDRESS(ROW(NOTA[TANGGAL]),COLUMN(NOTA[TANGGAL]))&amp;":"&amp;ADDRESS(ROW(),COLUMN(NOTA[TANGGAL]))),-1)))</f>
        <v>45178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9</v>
      </c>
      <c r="AN13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1194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72 BOX (10 PCS)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19</v>
      </c>
      <c r="E133" s="46"/>
      <c r="F133" s="37"/>
      <c r="G133" s="37"/>
      <c r="H133" s="47"/>
      <c r="I133" s="37"/>
      <c r="J133" s="39"/>
      <c r="K133" s="37"/>
      <c r="L133" s="37" t="s">
        <v>247</v>
      </c>
      <c r="M133" s="40"/>
      <c r="N133" s="38">
        <v>180</v>
      </c>
      <c r="O133" s="37" t="s">
        <v>127</v>
      </c>
      <c r="P133" s="41">
        <v>3700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666000</v>
      </c>
      <c r="Y133" s="50">
        <f>IF(NOTA[[#This Row],[JUMLAH]]="","",NOTA[[#This Row],[JUMLAH]]*NOTA[[#This Row],[DISC 1]])</f>
        <v>83250</v>
      </c>
      <c r="Z133" s="50">
        <f>IF(NOTA[[#This Row],[JUMLAH]]="","",(NOTA[[#This Row],[JUMLAH]]-NOTA[[#This Row],[DISC 1-]])*NOTA[[#This Row],[DISC 2]])</f>
        <v>29137.5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112387.5</v>
      </c>
      <c r="AC133" s="50">
        <f>IF(NOTA[[#This Row],[JUMLAH]]="","",NOTA[[#This Row],[JUMLAH]]-NOTA[[#This Row],[DISC]])</f>
        <v>553612.5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3" s="50">
        <f>IF(OR(NOTA[[#This Row],[QTY]]="",NOTA[[#This Row],[HARGA SATUAN]]="",),"",NOTA[[#This Row],[QTY]]*NOTA[[#This Row],[HARGA SATUAN]])</f>
        <v>666000</v>
      </c>
      <c r="AI133" s="39">
        <f ca="1">IF(NOTA[ID_H]="","",INDEX(NOTA[TANGGAL],MATCH(,INDIRECT(ADDRESS(ROW(NOTA[TANGGAL]),COLUMN(NOTA[TANGGAL]))&amp;":"&amp;ADDRESS(ROW(),COLUMN(NOTA[TANGGAL]))),-1)))</f>
        <v>45178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9</v>
      </c>
      <c r="AN13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1197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72 BOX (10 PCS)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19</v>
      </c>
      <c r="E134" s="46"/>
      <c r="F134" s="37"/>
      <c r="G134" s="37"/>
      <c r="H134" s="47"/>
      <c r="I134" s="37"/>
      <c r="J134" s="39"/>
      <c r="K134" s="37"/>
      <c r="L134" s="37" t="s">
        <v>243</v>
      </c>
      <c r="M134" s="40"/>
      <c r="N134" s="38">
        <v>180</v>
      </c>
      <c r="O134" s="37" t="s">
        <v>127</v>
      </c>
      <c r="P134" s="41">
        <v>3700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666000</v>
      </c>
      <c r="Y134" s="50">
        <f>IF(NOTA[[#This Row],[JUMLAH]]="","",NOTA[[#This Row],[JUMLAH]]*NOTA[[#This Row],[DISC 1]])</f>
        <v>83250</v>
      </c>
      <c r="Z134" s="50">
        <f>IF(NOTA[[#This Row],[JUMLAH]]="","",(NOTA[[#This Row],[JUMLAH]]-NOTA[[#This Row],[DISC 1-]])*NOTA[[#This Row],[DISC 2]])</f>
        <v>29137.5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112387.5</v>
      </c>
      <c r="AC134" s="50">
        <f>IF(NOTA[[#This Row],[JUMLAH]]="","",NOTA[[#This Row],[JUMLAH]]-NOTA[[#This Row],[DISC]])</f>
        <v>553612.5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4" s="50">
        <f>IF(OR(NOTA[[#This Row],[QTY]]="",NOTA[[#This Row],[HARGA SATUAN]]="",),"",NOTA[[#This Row],[QTY]]*NOTA[[#This Row],[HARGA SATUAN]])</f>
        <v>666000</v>
      </c>
      <c r="AI134" s="39">
        <f ca="1">IF(NOTA[ID_H]="","",INDEX(NOTA[TANGGAL],MATCH(,INDIRECT(ADDRESS(ROW(NOTA[TANGGAL]),COLUMN(NOTA[TANGGAL]))&amp;":"&amp;ADDRESS(ROW(),COLUMN(NOTA[TANGGAL]))),-1)))</f>
        <v>45178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9</v>
      </c>
      <c r="AN13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1198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72 BOX (10 PCS)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19</v>
      </c>
      <c r="E135" s="46"/>
      <c r="F135" s="37"/>
      <c r="G135" s="37"/>
      <c r="H135" s="47"/>
      <c r="I135" s="37"/>
      <c r="J135" s="39"/>
      <c r="K135" s="37"/>
      <c r="L135" s="37" t="s">
        <v>244</v>
      </c>
      <c r="M135" s="40"/>
      <c r="N135" s="38">
        <v>180</v>
      </c>
      <c r="O135" s="37" t="s">
        <v>127</v>
      </c>
      <c r="P135" s="41">
        <v>3700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666000</v>
      </c>
      <c r="Y135" s="50">
        <f>IF(NOTA[[#This Row],[JUMLAH]]="","",NOTA[[#This Row],[JUMLAH]]*NOTA[[#This Row],[DISC 1]])</f>
        <v>83250</v>
      </c>
      <c r="Z135" s="50">
        <f>IF(NOTA[[#This Row],[JUMLAH]]="","",(NOTA[[#This Row],[JUMLAH]]-NOTA[[#This Row],[DISC 1-]])*NOTA[[#This Row],[DISC 2]])</f>
        <v>29137.5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112387.5</v>
      </c>
      <c r="AC135" s="50">
        <f>IF(NOTA[[#This Row],[JUMLAH]]="","",NOTA[[#This Row],[JUMLAH]]-NOTA[[#This Row],[DISC]])</f>
        <v>553612.5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5" s="50">
        <f>IF(OR(NOTA[[#This Row],[QTY]]="",NOTA[[#This Row],[HARGA SATUAN]]="",),"",NOTA[[#This Row],[QTY]]*NOTA[[#This Row],[HARGA SATUAN]])</f>
        <v>666000</v>
      </c>
      <c r="AI135" s="39">
        <f ca="1">IF(NOTA[ID_H]="","",INDEX(NOTA[TANGGAL],MATCH(,INDIRECT(ADDRESS(ROW(NOTA[TANGGAL]),COLUMN(NOTA[TANGGAL]))&amp;":"&amp;ADDRESS(ROW(),COLUMN(NOTA[TANGGAL]))),-1)))</f>
        <v>45178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9</v>
      </c>
      <c r="AN13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>
        <f>IF(NOTA[[#This Row],[CONCAT1]]="","",MATCH(NOTA[[#This Row],[CONCAT1]],[3]!db[NB NOTA_C],0))</f>
        <v>1199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72 BOX (10 PCS)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19</v>
      </c>
      <c r="E136" s="46"/>
      <c r="F136" s="37"/>
      <c r="G136" s="37"/>
      <c r="H136" s="47"/>
      <c r="I136" s="37"/>
      <c r="J136" s="39"/>
      <c r="K136" s="37"/>
      <c r="L136" s="37" t="s">
        <v>245</v>
      </c>
      <c r="M136" s="40">
        <v>1</v>
      </c>
      <c r="N136" s="38">
        <v>240</v>
      </c>
      <c r="O136" s="37" t="s">
        <v>133</v>
      </c>
      <c r="P136" s="41">
        <v>10600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2544000</v>
      </c>
      <c r="Y136" s="50">
        <f>IF(NOTA[[#This Row],[JUMLAH]]="","",NOTA[[#This Row],[JUMLAH]]*NOTA[[#This Row],[DISC 1]])</f>
        <v>318000</v>
      </c>
      <c r="Z136" s="50">
        <f>IF(NOTA[[#This Row],[JUMLAH]]="","",(NOTA[[#This Row],[JUMLAH]]-NOTA[[#This Row],[DISC 1-]])*NOTA[[#This Row],[DISC 2]])</f>
        <v>111300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429300</v>
      </c>
      <c r="AC136" s="50">
        <f>IF(NOTA[[#This Row],[JUMLAH]]="","",NOTA[[#This Row],[JUMLAH]]-NOTA[[#This Row],[DISC]])</f>
        <v>2114700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36" s="50">
        <f>IF(OR(NOTA[[#This Row],[QTY]]="",NOTA[[#This Row],[HARGA SATUAN]]="",),"",NOTA[[#This Row],[QTY]]*NOTA[[#This Row],[HARGA SATUAN]])</f>
        <v>2544000</v>
      </c>
      <c r="AI136" s="39">
        <f ca="1">IF(NOTA[ID_H]="","",INDEX(NOTA[TANGGAL],MATCH(,INDIRECT(ADDRESS(ROW(NOTA[TANGGAL]),COLUMN(NOTA[TANGGAL]))&amp;":"&amp;ADDRESS(ROW(),COLUMN(NOTA[TANGGAL]))),-1)))</f>
        <v>45178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9</v>
      </c>
      <c r="AN136" s="38" t="str">
        <f>LOWER(SUBSTITUTE(SUBSTITUTE(SUBSTITUTE(SUBSTITUTE(SUBSTITUTE(SUBSTITUTE(SUBSTITUTE(SUBSTITUTE(SUBSTITUTE(NOTA[NAMA BARANG]," ",),".",""),"-",""),"(",""),")",""),",",""),"/",""),"""",""),"+",""))</f>
        <v>brushbr5jk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398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10 BOX (24 SET)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19</v>
      </c>
      <c r="E137" s="46"/>
      <c r="F137" s="37"/>
      <c r="G137" s="37"/>
      <c r="H137" s="47"/>
      <c r="I137" s="37"/>
      <c r="J137" s="39"/>
      <c r="K137" s="37"/>
      <c r="L137" s="37" t="s">
        <v>246</v>
      </c>
      <c r="M137" s="40">
        <v>1</v>
      </c>
      <c r="N137" s="38">
        <v>24</v>
      </c>
      <c r="O137" s="37" t="s">
        <v>133</v>
      </c>
      <c r="P137" s="41">
        <v>58900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1413600</v>
      </c>
      <c r="Y137" s="50">
        <f>IF(NOTA[[#This Row],[JUMLAH]]="","",NOTA[[#This Row],[JUMLAH]]*NOTA[[#This Row],[DISC 1]])</f>
        <v>176700</v>
      </c>
      <c r="Z137" s="50">
        <f>IF(NOTA[[#This Row],[JUMLAH]]="","",(NOTA[[#This Row],[JUMLAH]]-NOTA[[#This Row],[DISC 1-]])*NOTA[[#This Row],[DISC 2]])</f>
        <v>61845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238545</v>
      </c>
      <c r="AC137" s="50">
        <f>IF(NOTA[[#This Row],[JUMLAH]]="","",NOTA[[#This Row],[JUMLAH]]-NOTA[[#This Row],[DISC]])</f>
        <v>1175055</v>
      </c>
      <c r="AD137" s="50"/>
      <c r="AE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6580575</v>
      </c>
      <c r="AF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32415425</v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7" s="50">
        <f>IF(OR(NOTA[[#This Row],[QTY]]="",NOTA[[#This Row],[HARGA SATUAN]]="",),"",NOTA[[#This Row],[QTY]]*NOTA[[#This Row],[HARGA SATUAN]])</f>
        <v>1413600</v>
      </c>
      <c r="AI137" s="39">
        <f ca="1">IF(NOTA[ID_H]="","",INDEX(NOTA[TANGGAL],MATCH(,INDIRECT(ADDRESS(ROW(NOTA[TANGGAL]),COLUMN(NOTA[TANGGAL]))&amp;":"&amp;ADDRESS(ROW(),COLUMN(NOTA[TANGGAL]))),-1)))</f>
        <v>45178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9</v>
      </c>
      <c r="AN13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1901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4 BOX (6 SET)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8" s="50" t="str">
        <f>IF(OR(NOTA[[#This Row],[QTY]]="",NOTA[[#This Row],[HARGA SATUAN]]="",),"",NOTA[[#This Row],[QTY]]*NOTA[[#This Row],[HARGA SATUAN]])</f>
        <v/>
      </c>
      <c r="AI138" s="39" t="str">
        <f ca="1">IF(NOTA[ID_H]="","",INDEX(NOTA[TANGGAL],MATCH(,INDIRECT(ADDRESS(ROW(NOTA[TANGGAL]),COLUMN(NOTA[TANGGAL]))&amp;":"&amp;ADDRESS(ROW(),COLUMN(NOTA[TANGGAL]))),-1)))</f>
        <v/>
      </c>
      <c r="AJ138" s="41" t="str">
        <f ca="1">IF(NOTA[[#This Row],[NAMA BARANG]]="","",INDEX(NOTA[SUPPLIER],MATCH(,INDIRECT(ADDRESS(ROW(NOTA[ID]),COLUMN(NOTA[ID]))&amp;":"&amp;ADDRESS(ROW(),COLUMN(NOTA[ID]))),-1)))</f>
        <v/>
      </c>
      <c r="AK138" s="41" t="str">
        <f ca="1">IF(NOTA[[#This Row],[ID_H]]="","",IF(NOTA[[#This Row],[FAKTUR]]="",INDIRECT(ADDRESS(ROW()-1,COLUMN())),NOTA[[#This Row],[FAKTUR]]))</f>
        <v/>
      </c>
      <c r="AL138" s="38" t="str">
        <f ca="1">IF(NOTA[[#This Row],[ID]]="","",COUNTIF(NOTA[ID_H],NOTA[[#This Row],[ID_H]]))</f>
        <v/>
      </c>
      <c r="AM138" s="38" t="str">
        <f ca="1">IF(NOTA[[#This Row],[TGL.NOTA]]="",IF(NOTA[[#This Row],[SUPPLIER_H]]="","",AM137),MONTH(NOTA[[#This Row],[TGL.NOTA]]))</f>
        <v/>
      </c>
      <c r="AN138" s="38" t="str">
        <f>LOWER(SUBSTITUTE(SUBSTITUTE(SUBSTITUTE(SUBSTITUTE(SUBSTITUTE(SUBSTITUTE(SUBSTITUTE(SUBSTITUTE(SUBSTITUTE(NOTA[NAMA BARANG]," ",),".",""),"-",""),"(",""),")",""),",",""),"/",""),"""",""),"+",""))</f>
        <v/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str">
        <f>IF(NOTA[[#This Row],[CONCAT1]]="","",MATCH(NOTA[[#This Row],[CONCAT1]],[3]!db[NB NOTA_C],0))</f>
        <v/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/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8" s="38" t="str">
        <f ca="1">IF(NOTA[[#This Row],[ID_H]]="","",MATCH(NOTA[[#This Row],[NB NOTA_C_QTY]],[4]!db[NB NOTA_C_QTY+F],0))</f>
        <v/>
      </c>
      <c r="AX138" s="53" t="str">
        <f ca="1">IF(NOTA[[#This Row],[NB NOTA_C_QTY]]="","",ROW()-2)</f>
        <v/>
      </c>
    </row>
    <row r="139" spans="1:50" s="38" customFormat="1" ht="20.100000000000001" customHeight="1" x14ac:dyDescent="0.25">
      <c r="A13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ATA_0909_843-11</v>
      </c>
      <c r="C139" s="38" t="e">
        <f ca="1">IF(NOTA[[#This Row],[ID_P]]="","",MATCH(NOTA[[#This Row],[ID_P]],[1]!B_MSK[N_ID],0))</f>
        <v>#REF!</v>
      </c>
      <c r="D139" s="38">
        <f ca="1">IF(NOTA[[#This Row],[NAMA BARANG]]="","",INDEX(NOTA[ID],MATCH(,INDIRECT(ADDRESS(ROW(NOTA[ID]),COLUMN(NOTA[ID]))&amp;":"&amp;ADDRESS(ROW(),COLUMN(NOTA[ID]))),-1)))</f>
        <v>20</v>
      </c>
      <c r="E139" s="46"/>
      <c r="F139" s="37" t="s">
        <v>24</v>
      </c>
      <c r="G139" s="37" t="s">
        <v>23</v>
      </c>
      <c r="H139" s="47" t="s">
        <v>248</v>
      </c>
      <c r="I139" s="37"/>
      <c r="J139" s="39">
        <v>45174</v>
      </c>
      <c r="K139" s="37"/>
      <c r="L139" s="37" t="s">
        <v>249</v>
      </c>
      <c r="M139" s="40"/>
      <c r="N139" s="38">
        <v>216</v>
      </c>
      <c r="O139" s="37" t="s">
        <v>127</v>
      </c>
      <c r="P139" s="41">
        <v>4800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1036800</v>
      </c>
      <c r="Y139" s="50">
        <f>IF(NOTA[[#This Row],[JUMLAH]]="","",NOTA[[#This Row],[JUMLAH]]*NOTA[[#This Row],[DISC 1]])</f>
        <v>129600</v>
      </c>
      <c r="Z139" s="50">
        <f>IF(NOTA[[#This Row],[JUMLAH]]="","",(NOTA[[#This Row],[JUMLAH]]-NOTA[[#This Row],[DISC 1-]])*NOTA[[#This Row],[DISC 2]])</f>
        <v>45360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174960</v>
      </c>
      <c r="AC139" s="50">
        <f>IF(NOTA[[#This Row],[JUMLAH]]="","",NOTA[[#This Row],[JUMLAH]]-NOTA[[#This Row],[DISC]])</f>
        <v>861840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39" s="50">
        <f>IF(OR(NOTA[[#This Row],[QTY]]="",NOTA[[#This Row],[HARGA SATUAN]]="",),"",NOTA[[#This Row],[QTY]]*NOTA[[#This Row],[HARGA SATUAN]])</f>
        <v>1036800</v>
      </c>
      <c r="AI139" s="39">
        <f ca="1">IF(NOTA[ID_H]="","",INDEX(NOTA[TANGGAL],MATCH(,INDIRECT(ADDRESS(ROW(NOTA[TANGGAL]),COLUMN(NOTA[TANGGAL]))&amp;":"&amp;ADDRESS(ROW(),COLUMN(NOTA[TANGGAL]))),-1)))</f>
        <v>45178</v>
      </c>
      <c r="AJ139" s="41" t="str">
        <f ca="1">IF(NOTA[[#This Row],[NAMA BARANG]]="","",INDEX(NOTA[SUPPLIER],MATCH(,INDIRECT(ADDRESS(ROW(NOTA[ID]),COLUMN(NOTA[ID]))&amp;":"&amp;ADDRESS(ROW(),COLUMN(NOTA[ID]))),-1)))</f>
        <v>ATALI MAKMUR</v>
      </c>
      <c r="AK139" s="41" t="str">
        <f ca="1">IF(NOTA[[#This Row],[ID_H]]="","",IF(NOTA[[#This Row],[FAKTUR]]="",INDIRECT(ADDRESS(ROW()-1,COLUMN())),NOTA[[#This Row],[FAKTUR]]))</f>
        <v>ARTO MORO</v>
      </c>
      <c r="AL139" s="38">
        <f ca="1">IF(NOTA[[#This Row],[ID]]="","",COUNTIF(NOTA[ID_H],NOTA[[#This Row],[ID_H]]))</f>
        <v>11</v>
      </c>
      <c r="AM139" s="38">
        <f>IF(NOTA[[#This Row],[TGL.NOTA]]="",IF(NOTA[[#This Row],[SUPPLIER_H]]="","",AM138),MONTH(NOTA[[#This Row],[TGL.NOTA]]))</f>
        <v>9</v>
      </c>
      <c r="AN139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pencilcasepc0719pstl35bluejk10368000.1250.05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MOROSA23091584345174pencilcasepc0719pstl35bluejk</v>
      </c>
      <c r="AR139" s="38" t="e">
        <f>IF(NOTA[[#This Row],[CONCAT4]]="","",_xlfn.IFNA(MATCH(NOTA[[#This Row],[CONCAT4]],[2]!RAW[CONCAT_H],0),FALSE))</f>
        <v>#REF!</v>
      </c>
      <c r="AS139" s="38">
        <f>IF(NOTA[[#This Row],[CONCAT1]]="","",MATCH(NOTA[[#This Row],[CONCAT1]],[3]!db[NB NOTA_C],0))</f>
        <v>2159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288 PCS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20</v>
      </c>
      <c r="E140" s="46"/>
      <c r="F140" s="37"/>
      <c r="G140" s="37"/>
      <c r="H140" s="47"/>
      <c r="I140" s="37"/>
      <c r="J140" s="39"/>
      <c r="K140" s="37"/>
      <c r="L140" s="37" t="s">
        <v>250</v>
      </c>
      <c r="M140" s="40"/>
      <c r="N140" s="38">
        <v>216</v>
      </c>
      <c r="O140" s="37" t="s">
        <v>127</v>
      </c>
      <c r="P140" s="41">
        <v>4800</v>
      </c>
      <c r="Q140" s="42"/>
      <c r="R140" s="48"/>
      <c r="S140" s="49">
        <v>0.125</v>
      </c>
      <c r="T140" s="44">
        <v>0.05</v>
      </c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1036800</v>
      </c>
      <c r="Y140" s="50">
        <f>IF(NOTA[[#This Row],[JUMLAH]]="","",NOTA[[#This Row],[JUMLAH]]*NOTA[[#This Row],[DISC 1]])</f>
        <v>129600</v>
      </c>
      <c r="Z140" s="50">
        <f>IF(NOTA[[#This Row],[JUMLAH]]="","",(NOTA[[#This Row],[JUMLAH]]-NOTA[[#This Row],[DISC 1-]])*NOTA[[#This Row],[DISC 2]])</f>
        <v>45360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174960</v>
      </c>
      <c r="AC140" s="50">
        <f>IF(NOTA[[#This Row],[JUMLAH]]="","",NOTA[[#This Row],[JUMLAH]]-NOTA[[#This Row],[DISC]])</f>
        <v>861840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0" s="50">
        <f>IF(OR(NOTA[[#This Row],[QTY]]="",NOTA[[#This Row],[HARGA SATUAN]]="",),"",NOTA[[#This Row],[QTY]]*NOTA[[#This Row],[HARGA SATUAN]])</f>
        <v>1036800</v>
      </c>
      <c r="AI140" s="39">
        <f ca="1">IF(NOTA[ID_H]="","",INDEX(NOTA[TANGGAL],MATCH(,INDIRECT(ADDRESS(ROW(NOTA[TANGGAL]),COLUMN(NOTA[TANGGAL]))&amp;":"&amp;ADDRESS(ROW(),COLUMN(NOTA[TANGGAL]))),-1)))</f>
        <v>45178</v>
      </c>
      <c r="AJ140" s="41" t="str">
        <f ca="1">IF(NOTA[[#This Row],[NAMA BARANG]]="","",INDEX(NOTA[SUPPLIER],MATCH(,INDIRECT(ADDRESS(ROW(NOTA[ID]),COLUMN(NOTA[ID]))&amp;":"&amp;ADDRESS(ROW(),COLUMN(NOTA[ID]))),-1)))</f>
        <v>ATALI MAKMUR</v>
      </c>
      <c r="AK140" s="41" t="str">
        <f ca="1">IF(NOTA[[#This Row],[ID_H]]="","",IF(NOTA[[#This Row],[FAKTUR]]="",INDIRECT(ADDRESS(ROW()-1,COLUMN())),NOTA[[#This Row],[FAKTUR]]))</f>
        <v>ARTO MORO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9</v>
      </c>
      <c r="AN140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pencilcasepc0719pstl35greenjk10368000.1250.05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2160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288 PCS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20</v>
      </c>
      <c r="E141" s="46"/>
      <c r="F141" s="37"/>
      <c r="G141" s="37"/>
      <c r="H141" s="47"/>
      <c r="I141" s="37"/>
      <c r="J141" s="39"/>
      <c r="K141" s="37"/>
      <c r="L141" s="37" t="s">
        <v>251</v>
      </c>
      <c r="M141" s="40"/>
      <c r="N141" s="38">
        <v>216</v>
      </c>
      <c r="O141" s="37" t="s">
        <v>127</v>
      </c>
      <c r="P141" s="41">
        <v>4800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1036800</v>
      </c>
      <c r="Y141" s="50">
        <f>IF(NOTA[[#This Row],[JUMLAH]]="","",NOTA[[#This Row],[JUMLAH]]*NOTA[[#This Row],[DISC 1]])</f>
        <v>129600</v>
      </c>
      <c r="Z141" s="50">
        <f>IF(NOTA[[#This Row],[JUMLAH]]="","",(NOTA[[#This Row],[JUMLAH]]-NOTA[[#This Row],[DISC 1-]])*NOTA[[#This Row],[DISC 2]])</f>
        <v>45360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174960</v>
      </c>
      <c r="AC141" s="50">
        <f>IF(NOTA[[#This Row],[JUMLAH]]="","",NOTA[[#This Row],[JUMLAH]]-NOTA[[#This Row],[DISC]])</f>
        <v>861840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1" s="50">
        <f>IF(OR(NOTA[[#This Row],[QTY]]="",NOTA[[#This Row],[HARGA SATUAN]]="",),"",NOTA[[#This Row],[QTY]]*NOTA[[#This Row],[HARGA SATUAN]])</f>
        <v>1036800</v>
      </c>
      <c r="AI141" s="39">
        <f ca="1">IF(NOTA[ID_H]="","",INDEX(NOTA[TANGGAL],MATCH(,INDIRECT(ADDRESS(ROW(NOTA[TANGGAL]),COLUMN(NOTA[TANGGAL]))&amp;":"&amp;ADDRESS(ROW(),COLUMN(NOTA[TANGGAL]))),-1)))</f>
        <v>45178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9</v>
      </c>
      <c r="AN141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pencilcasepc0719pstl35pinkjk10368000.1250.05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2161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288 PCS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20</v>
      </c>
      <c r="E142" s="46"/>
      <c r="F142" s="37"/>
      <c r="G142" s="37"/>
      <c r="H142" s="47"/>
      <c r="I142" s="37"/>
      <c r="J142" s="39"/>
      <c r="K142" s="37"/>
      <c r="L142" s="37" t="s">
        <v>252</v>
      </c>
      <c r="M142" s="40"/>
      <c r="N142" s="38">
        <v>216</v>
      </c>
      <c r="O142" s="37" t="s">
        <v>127</v>
      </c>
      <c r="P142" s="41">
        <v>4800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1036800</v>
      </c>
      <c r="Y142" s="50">
        <f>IF(NOTA[[#This Row],[JUMLAH]]="","",NOTA[[#This Row],[JUMLAH]]*NOTA[[#This Row],[DISC 1]])</f>
        <v>129600</v>
      </c>
      <c r="Z142" s="50">
        <f>IF(NOTA[[#This Row],[JUMLAH]]="","",(NOTA[[#This Row],[JUMLAH]]-NOTA[[#This Row],[DISC 1-]])*NOTA[[#This Row],[DISC 2]])</f>
        <v>45360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174960</v>
      </c>
      <c r="AC142" s="50">
        <f>IF(NOTA[[#This Row],[JUMLAH]]="","",NOTA[[#This Row],[JUMLAH]]-NOTA[[#This Row],[DISC]])</f>
        <v>861840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2" s="50">
        <f>IF(OR(NOTA[[#This Row],[QTY]]="",NOTA[[#This Row],[HARGA SATUAN]]="",),"",NOTA[[#This Row],[QTY]]*NOTA[[#This Row],[HARGA SATUAN]])</f>
        <v>1036800</v>
      </c>
      <c r="AI142" s="39">
        <f ca="1">IF(NOTA[ID_H]="","",INDEX(NOTA[TANGGAL],MATCH(,INDIRECT(ADDRESS(ROW(NOTA[TANGGAL]),COLUMN(NOTA[TANGGAL]))&amp;":"&amp;ADDRESS(ROW(),COLUMN(NOTA[TANGGAL]))),-1)))</f>
        <v>45178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9</v>
      </c>
      <c r="AN142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pencilcasepc0719pstl35purplejk10368000.1250.05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2162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288 PCS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20</v>
      </c>
      <c r="E143" s="46"/>
      <c r="F143" s="37"/>
      <c r="G143" s="37"/>
      <c r="H143" s="47"/>
      <c r="I143" s="37"/>
      <c r="J143" s="39"/>
      <c r="K143" s="37"/>
      <c r="L143" s="37" t="s">
        <v>253</v>
      </c>
      <c r="M143" s="40">
        <v>2</v>
      </c>
      <c r="N143" s="38">
        <v>60</v>
      </c>
      <c r="O143" s="37" t="s">
        <v>184</v>
      </c>
      <c r="P143" s="41">
        <v>31800</v>
      </c>
      <c r="Q143" s="42"/>
      <c r="R143" s="48" t="s">
        <v>254</v>
      </c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1908000</v>
      </c>
      <c r="Y143" s="50">
        <f>IF(NOTA[[#This Row],[JUMLAH]]="","",NOTA[[#This Row],[JUMLAH]]*NOTA[[#This Row],[DISC 1]])</f>
        <v>238500</v>
      </c>
      <c r="Z143" s="50">
        <f>IF(NOTA[[#This Row],[JUMLAH]]="","",(NOTA[[#This Row],[JUMLAH]]-NOTA[[#This Row],[DISC 1-]])*NOTA[[#This Row],[DISC 2]])</f>
        <v>83475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321975</v>
      </c>
      <c r="AC143" s="50">
        <f>IF(NOTA[[#This Row],[JUMLAH]]="","",NOTA[[#This Row],[JUMLAH]]-NOTA[[#This Row],[DISC]])</f>
        <v>1586025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954000</v>
      </c>
      <c r="AH143" s="50">
        <f>IF(OR(NOTA[[#This Row],[QTY]]="",NOTA[[#This Row],[HARGA SATUAN]]="",),"",NOTA[[#This Row],[QTY]]*NOTA[[#This Row],[HARGA SATUAN]])</f>
        <v>1908000</v>
      </c>
      <c r="AI143" s="39">
        <f ca="1">IF(NOTA[ID_H]="","",INDEX(NOTA[TANGGAL],MATCH(,INDIRECT(ADDRESS(ROW(NOTA[TANGGAL]),COLUMN(NOTA[TANGGAL]))&amp;":"&amp;ADDRESS(ROW(),COLUMN(NOTA[TANGGAL]))),-1)))</f>
        <v>45178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9</v>
      </c>
      <c r="AN143" s="38" t="str">
        <f>LOWER(SUBSTITUTE(SUBSTITUTE(SUBSTITUTE(SUBSTITUTE(SUBSTITUTE(SUBSTITUTE(SUBSTITUTE(SUBSTITUTE(SUBSTITUTE(NOTA[NAMA BARANG]," ",),".",""),"-",""),"(",""),")",""),",",""),"/",""),"""",""),"+",""))</f>
        <v>sharpenerb82bearjk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sharpenerb82bearjk9540000.1250.05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sharpenerb82bearjk9540000.1250.05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2443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CTN]],INDEX([3]!db[QTY/ CTN],NOTA[[#This Row],[//DB]])))</f>
        <v>60 BOX (24 PCS)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sharpenerb82bearjk60box24pcsartomoro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20</v>
      </c>
      <c r="E144" s="46"/>
      <c r="F144" s="37"/>
      <c r="G144" s="37"/>
      <c r="H144" s="47"/>
      <c r="I144" s="37"/>
      <c r="J144" s="39"/>
      <c r="K144" s="37"/>
      <c r="L144" s="37" t="s">
        <v>258</v>
      </c>
      <c r="M144" s="40">
        <v>2</v>
      </c>
      <c r="N144" s="38">
        <v>6</v>
      </c>
      <c r="O144" s="37" t="s">
        <v>213</v>
      </c>
      <c r="P144" s="41">
        <v>507600</v>
      </c>
      <c r="Q144" s="42"/>
      <c r="R144" s="48" t="s">
        <v>259</v>
      </c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3045600</v>
      </c>
      <c r="Y144" s="50">
        <f>IF(NOTA[[#This Row],[JUMLAH]]="","",NOTA[[#This Row],[JUMLAH]]*NOTA[[#This Row],[DISC 1]])</f>
        <v>380700</v>
      </c>
      <c r="Z144" s="50">
        <f>IF(NOTA[[#This Row],[JUMLAH]]="","",(NOTA[[#This Row],[JUMLAH]]-NOTA[[#This Row],[DISC 1-]])*NOTA[[#This Row],[DISC 2]])</f>
        <v>133245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513945</v>
      </c>
      <c r="AC144" s="50">
        <f>IF(NOTA[[#This Row],[JUMLAH]]="","",NOTA[[#This Row],[JUMLAH]]-NOTA[[#This Row],[DISC]])</f>
        <v>2531655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44" s="50">
        <f>IF(OR(NOTA[[#This Row],[QTY]]="",NOTA[[#This Row],[HARGA SATUAN]]="",),"",NOTA[[#This Row],[QTY]]*NOTA[[#This Row],[HARGA SATUAN]])</f>
        <v>3045600</v>
      </c>
      <c r="AI144" s="39">
        <f ca="1">IF(NOTA[ID_H]="","",INDEX(NOTA[TANGGAL],MATCH(,INDIRECT(ADDRESS(ROW(NOTA[TANGGAL]),COLUMN(NOTA[TANGGAL]))&amp;":"&amp;ADDRESS(ROW(),COLUMN(NOTA[TANGGAL]))),-1)))</f>
        <v>45178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9</v>
      </c>
      <c r="AN14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256</v>
      </c>
      <c r="AT144" s="38" t="b">
        <f>IF(NOTA[[#This Row],[QTY/ CTN]]="","",TRUE)</f>
        <v>1</v>
      </c>
      <c r="AU144" s="38" t="str">
        <f ca="1">IF(NOTA[[#This Row],[ID_H]]="","",IF(NOTA[[#This Row],[Column3]]=TRUE,NOTA[[#This Row],[QTY/ CTN]],INDEX([3]!db[QTY/ CTN],NOTA[[#This Row],[//DB]])))</f>
        <v>3 GRS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20</v>
      </c>
      <c r="E145" s="46"/>
      <c r="F145" s="37"/>
      <c r="G145" s="37"/>
      <c r="H145" s="47"/>
      <c r="I145" s="37"/>
      <c r="J145" s="39"/>
      <c r="K145" s="37"/>
      <c r="L145" s="37" t="s">
        <v>215</v>
      </c>
      <c r="M145" s="40"/>
      <c r="N145" s="38">
        <v>12</v>
      </c>
      <c r="O145" s="37" t="s">
        <v>139</v>
      </c>
      <c r="P145" s="41">
        <v>13200</v>
      </c>
      <c r="Q145" s="42"/>
      <c r="R145" s="48" t="s">
        <v>217</v>
      </c>
      <c r="S145" s="49">
        <v>0.1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158400</v>
      </c>
      <c r="Y145" s="50">
        <f>IF(NOTA[[#This Row],[JUMLAH]]="","",NOTA[[#This Row],[JUMLAH]]*NOTA[[#This Row],[DISC 1]])</f>
        <v>15840</v>
      </c>
      <c r="Z145" s="50">
        <f>IF(NOTA[[#This Row],[JUMLAH]]="","",(NOTA[[#This Row],[JUMLAH]]-NOTA[[#This Row],[DISC 1-]])*NOTA[[#This Row],[DISC 2]])</f>
        <v>7128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22968</v>
      </c>
      <c r="AC145" s="50">
        <f>IF(NOTA[[#This Row],[JUMLAH]]="","",NOTA[[#This Row],[JUMLAH]]-NOTA[[#This Row],[DISC]])</f>
        <v>135432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5" s="50">
        <f>IF(OR(NOTA[[#This Row],[QTY]]="",NOTA[[#This Row],[HARGA SATUAN]]="",),"",NOTA[[#This Row],[QTY]]*NOTA[[#This Row],[HARGA SATUAN]])</f>
        <v>158400</v>
      </c>
      <c r="AI145" s="39">
        <f ca="1">IF(NOTA[ID_H]="","",INDEX(NOTA[TANGGAL],MATCH(,INDIRECT(ADDRESS(ROW(NOTA[TANGGAL]),COLUMN(NOTA[TANGGAL]))&amp;":"&amp;ADDRESS(ROW(),COLUMN(NOTA[TANGGAL]))),-1)))</f>
        <v>45178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Row],[SUPPLIER_H]]="","",AM143),MONTH(NOTA[[#This Row],[TGL.NOTA]]))</f>
        <v>9</v>
      </c>
      <c r="AN145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101</v>
      </c>
      <c r="AT145" s="38" t="b">
        <f>IF(NOTA[[#This Row],[QTY/ CTN]]="","",TRUE)</f>
        <v>1</v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20</v>
      </c>
      <c r="E146" s="46"/>
      <c r="F146" s="37"/>
      <c r="G146" s="37"/>
      <c r="H146" s="47"/>
      <c r="I146" s="37"/>
      <c r="J146" s="39"/>
      <c r="K146" s="37"/>
      <c r="L146" s="37" t="s">
        <v>255</v>
      </c>
      <c r="M146" s="40">
        <v>1</v>
      </c>
      <c r="N146" s="38">
        <v>500</v>
      </c>
      <c r="O146" s="37" t="s">
        <v>240</v>
      </c>
      <c r="P146" s="41">
        <v>3050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1525000</v>
      </c>
      <c r="Y146" s="50">
        <f>IF(NOTA[[#This Row],[JUMLAH]]="","",NOTA[[#This Row],[JUMLAH]]*NOTA[[#This Row],[DISC 1]])</f>
        <v>190625</v>
      </c>
      <c r="Z146" s="50">
        <f>IF(NOTA[[#This Row],[JUMLAH]]="","",(NOTA[[#This Row],[JUMLAH]]-NOTA[[#This Row],[DISC 1-]])*NOTA[[#This Row],[DISC 2]])</f>
        <v>66718.75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257343.75</v>
      </c>
      <c r="AC146" s="50">
        <f>IF(NOTA[[#This Row],[JUMLAH]]="","",NOTA[[#This Row],[JUMLAH]]-NOTA[[#This Row],[DISC]])</f>
        <v>1267656.25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146" s="50">
        <f>IF(OR(NOTA[[#This Row],[QTY]]="",NOTA[[#This Row],[HARGA SATUAN]]="",),"",NOTA[[#This Row],[QTY]]*NOTA[[#This Row],[HARGA SATUAN]])</f>
        <v>1525000</v>
      </c>
      <c r="AI146" s="39">
        <f ca="1">IF(NOTA[ID_H]="","",INDEX(NOTA[TANGGAL],MATCH(,INDIRECT(ADDRESS(ROW(NOTA[TANGGAL]),COLUMN(NOTA[TANGGAL]))&amp;":"&amp;ADDRESS(ROW(),COLUMN(NOTA[TANGGAL]))),-1)))</f>
        <v>45178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9</v>
      </c>
      <c r="AN14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1631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50 PAK (10 ROL)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20</v>
      </c>
      <c r="E147" s="46"/>
      <c r="F147" s="37"/>
      <c r="G147" s="37"/>
      <c r="H147" s="47"/>
      <c r="I147" s="37"/>
      <c r="J147" s="39"/>
      <c r="K147" s="37"/>
      <c r="L147" s="37" t="s">
        <v>221</v>
      </c>
      <c r="M147" s="40">
        <v>5</v>
      </c>
      <c r="N147" s="38">
        <v>150</v>
      </c>
      <c r="O147" s="37" t="s">
        <v>213</v>
      </c>
      <c r="P147" s="41">
        <v>104400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15660000</v>
      </c>
      <c r="Y147" s="50">
        <f>IF(NOTA[[#This Row],[JUMLAH]]="","",NOTA[[#This Row],[JUMLAH]]*NOTA[[#This Row],[DISC 1]])</f>
        <v>1957500</v>
      </c>
      <c r="Z147" s="50">
        <f>IF(NOTA[[#This Row],[JUMLAH]]="","",(NOTA[[#This Row],[JUMLAH]]-NOTA[[#This Row],[DISC 1-]])*NOTA[[#This Row],[DISC 2]])</f>
        <v>685125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2642625</v>
      </c>
      <c r="AC147" s="50">
        <f>IF(NOTA[[#This Row],[JUMLAH]]="","",NOTA[[#This Row],[JUMLAH]]-NOTA[[#This Row],[DISC]])</f>
        <v>13017375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47" s="50">
        <f>IF(OR(NOTA[[#This Row],[QTY]]="",NOTA[[#This Row],[HARGA SATUAN]]="",),"",NOTA[[#This Row],[QTY]]*NOTA[[#This Row],[HARGA SATUAN]])</f>
        <v>15660000</v>
      </c>
      <c r="AI147" s="39">
        <f ca="1">IF(NOTA[ID_H]="","",INDEX(NOTA[TANGGAL],MATCH(,INDIRECT(ADDRESS(ROW(NOTA[TANGGAL]),COLUMN(NOTA[TANGGAL]))&amp;":"&amp;ADDRESS(ROW(),COLUMN(NOTA[TANGGAL]))),-1)))</f>
        <v>45178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9</v>
      </c>
      <c r="AN14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2175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30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20</v>
      </c>
      <c r="E148" s="46"/>
      <c r="F148" s="37"/>
      <c r="G148" s="37"/>
      <c r="H148" s="47"/>
      <c r="I148" s="37"/>
      <c r="J148" s="39"/>
      <c r="K148" s="37"/>
      <c r="L148" s="37" t="s">
        <v>256</v>
      </c>
      <c r="M148" s="40">
        <v>5</v>
      </c>
      <c r="N148" s="38">
        <v>100</v>
      </c>
      <c r="O148" s="37" t="s">
        <v>139</v>
      </c>
      <c r="P148" s="41">
        <v>85200</v>
      </c>
      <c r="Q148" s="42"/>
      <c r="R148" s="48"/>
      <c r="S148" s="49">
        <v>0.125</v>
      </c>
      <c r="T148" s="44">
        <v>0.05</v>
      </c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8520000</v>
      </c>
      <c r="Y148" s="50">
        <f>IF(NOTA[[#This Row],[JUMLAH]]="","",NOTA[[#This Row],[JUMLAH]]*NOTA[[#This Row],[DISC 1]])</f>
        <v>1065000</v>
      </c>
      <c r="Z148" s="50">
        <f>IF(NOTA[[#This Row],[JUMLAH]]="","",(NOTA[[#This Row],[JUMLAH]]-NOTA[[#This Row],[DISC 1-]])*NOTA[[#This Row],[DISC 2]])</f>
        <v>372750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1437750</v>
      </c>
      <c r="AC148" s="50">
        <f>IF(NOTA[[#This Row],[JUMLAH]]="","",NOTA[[#This Row],[JUMLAH]]-NOTA[[#This Row],[DISC]])</f>
        <v>7082250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8" s="50">
        <f>IF(OR(NOTA[[#This Row],[QTY]]="",NOTA[[#This Row],[HARGA SATUAN]]="",),"",NOTA[[#This Row],[QTY]]*NOTA[[#This Row],[HARGA SATUAN]])</f>
        <v>8520000</v>
      </c>
      <c r="AI148" s="39">
        <f ca="1">IF(NOTA[ID_H]="","",INDEX(NOTA[TANGGAL],MATCH(,INDIRECT(ADDRESS(ROW(NOTA[TANGGAL]),COLUMN(NOTA[TANGGAL]))&amp;":"&amp;ADDRESS(ROW(),COLUMN(NOTA[TANGGAL]))),-1)))</f>
        <v>45178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9</v>
      </c>
      <c r="AN14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2474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20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20</v>
      </c>
      <c r="E149" s="46"/>
      <c r="F149" s="37"/>
      <c r="G149" s="37"/>
      <c r="H149" s="47"/>
      <c r="I149" s="37"/>
      <c r="J149" s="39"/>
      <c r="K149" s="37"/>
      <c r="L149" s="37" t="s">
        <v>257</v>
      </c>
      <c r="M149" s="40">
        <v>2</v>
      </c>
      <c r="N149" s="38">
        <v>80</v>
      </c>
      <c r="O149" s="37" t="s">
        <v>139</v>
      </c>
      <c r="P149" s="41">
        <v>49200</v>
      </c>
      <c r="Q149" s="42"/>
      <c r="R149" s="48"/>
      <c r="S149" s="49">
        <v>0.125</v>
      </c>
      <c r="T149" s="44">
        <v>0.05</v>
      </c>
      <c r="U149" s="44"/>
      <c r="V149" s="50">
        <v>135432</v>
      </c>
      <c r="W149" s="45"/>
      <c r="X149" s="50">
        <f>IF(NOTA[[#This Row],[HARGA/ CTN]]="",NOTA[[#This Row],[JUMLAH_H]],NOTA[[#This Row],[HARGA/ CTN]]*IF(NOTA[[#This Row],[C]]="",0,NOTA[[#This Row],[C]]))</f>
        <v>3936000</v>
      </c>
      <c r="Y149" s="50">
        <f>IF(NOTA[[#This Row],[JUMLAH]]="","",NOTA[[#This Row],[JUMLAH]]*NOTA[[#This Row],[DISC 1]])</f>
        <v>492000</v>
      </c>
      <c r="Z149" s="50">
        <f>IF(NOTA[[#This Row],[JUMLAH]]="","",(NOTA[[#This Row],[JUMLAH]]-NOTA[[#This Row],[DISC 1-]])*NOTA[[#This Row],[DISC 2]])</f>
        <v>172200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664200</v>
      </c>
      <c r="AC149" s="50">
        <f>IF(NOTA[[#This Row],[JUMLAH]]="","",NOTA[[#This Row],[JUMLAH]]-NOTA[[#This Row],[DISC]])</f>
        <v>3271800</v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6696078.75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32204121.25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49" s="50">
        <f>IF(OR(NOTA[[#This Row],[QTY]]="",NOTA[[#This Row],[HARGA SATUAN]]="",),"",NOTA[[#This Row],[QTY]]*NOTA[[#This Row],[HARGA SATUAN]])</f>
        <v>3936000</v>
      </c>
      <c r="AI149" s="39">
        <f ca="1">IF(NOTA[ID_H]="","",INDEX(NOTA[TANGGAL],MATCH(,INDIRECT(ADDRESS(ROW(NOTA[TANGGAL]),COLUMN(NOTA[TANGGAL]))&amp;":"&amp;ADDRESS(ROW(),COLUMN(NOTA[TANGGAL]))),-1)))</f>
        <v>45178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9</v>
      </c>
      <c r="AN14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684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40 LSN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41" t="str">
        <f ca="1">IF(NOTA[[#This Row],[NAMA BARANG]]="","",INDEX(NOTA[SUPPLIER],MATCH(,INDIRECT(ADDRESS(ROW(NOTA[ID]),COLUMN(NOTA[ID]))&amp;":"&amp;ADDRESS(ROW(),COLUMN(NOTA[ID]))),-1)))</f>
        <v/>
      </c>
      <c r="AK150" s="41" t="str">
        <f ca="1">IF(NOTA[[#This Row],[ID_H]]="","",IF(NOTA[[#This Row],[FAKTUR]]="",INDIRECT(ADDRESS(ROW()-1,COLUMN())),NOTA[[#This Row],[FAKTUR]]))</f>
        <v/>
      </c>
      <c r="AL150" s="38" t="str">
        <f ca="1">IF(NOTA[[#This Row],[ID]]="","",COUNTIF(NOTA[ID_H],NOTA[[#This Row],[ID_H]]))</f>
        <v/>
      </c>
      <c r="AM150" s="38" t="str">
        <f ca="1">IF(NOTA[[#This Row],[TGL.NOTA]]="",IF(NOTA[[#This Row],[SUPPLIER_H]]="","",AM149),MONTH(NOTA[[#This Row],[TGL.NOTA]]))</f>
        <v/>
      </c>
      <c r="AN150" s="38" t="str">
        <f>LOWER(SUBSTITUTE(SUBSTITUTE(SUBSTITUTE(SUBSTITUTE(SUBSTITUTE(SUBSTITUTE(SUBSTITUTE(SUBSTITUTE(SUBSTITUTE(NOTA[NAMA BARANG]," ",),".",""),"-",""),"(",""),")",""),",",""),"/",""),"""",""),"+",""))</f>
        <v/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 t="str">
        <f>IF(NOTA[[#This Row],[CONCAT1]]="","",MATCH(NOTA[[#This Row],[CONCAT1]],[3]!db[NB NOTA_C],0))</f>
        <v/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/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0" s="38" t="str">
        <f ca="1">IF(NOTA[[#This Row],[ID_H]]="","",MATCH(NOTA[[#This Row],[NB NOTA_C_QTY]],[4]!db[NB NOTA_C_QTY+F],0))</f>
        <v/>
      </c>
      <c r="AX150" s="53" t="str">
        <f ca="1">IF(NOTA[[#This Row],[NB NOTA_C_QTY]]="","",ROW()-2)</f>
        <v/>
      </c>
    </row>
    <row r="151" spans="1:50" s="38" customFormat="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ATA_0909_894-12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21</v>
      </c>
      <c r="E151" s="46"/>
      <c r="F151" s="37" t="s">
        <v>24</v>
      </c>
      <c r="G151" s="37" t="s">
        <v>23</v>
      </c>
      <c r="H151" s="47" t="s">
        <v>260</v>
      </c>
      <c r="I151" s="37"/>
      <c r="J151" s="39">
        <v>45175</v>
      </c>
      <c r="K151" s="37"/>
      <c r="L151" s="37" t="s">
        <v>261</v>
      </c>
      <c r="M151" s="40">
        <v>2</v>
      </c>
      <c r="N151" s="38">
        <v>288</v>
      </c>
      <c r="O151" s="37" t="s">
        <v>133</v>
      </c>
      <c r="P151" s="41">
        <v>8400</v>
      </c>
      <c r="Q151" s="42"/>
      <c r="R151" s="48"/>
      <c r="S151" s="49">
        <v>0.125</v>
      </c>
      <c r="T151" s="44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2419200</v>
      </c>
      <c r="Y151" s="50">
        <f>IF(NOTA[[#This Row],[JUMLAH]]="","",NOTA[[#This Row],[JUMLAH]]*NOTA[[#This Row],[DISC 1]])</f>
        <v>302400</v>
      </c>
      <c r="Z151" s="50">
        <f>IF(NOTA[[#This Row],[JUMLAH]]="","",(NOTA[[#This Row],[JUMLAH]]-NOTA[[#This Row],[DISC 1-]])*NOTA[[#This Row],[DISC 2]])</f>
        <v>105840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408240</v>
      </c>
      <c r="AC151" s="50">
        <f>IF(NOTA[[#This Row],[JUMLAH]]="","",NOTA[[#This Row],[JUMLAH]]-NOTA[[#This Row],[DISC]])</f>
        <v>2010960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51" s="50">
        <f>IF(OR(NOTA[[#This Row],[QTY]]="",NOTA[[#This Row],[HARGA SATUAN]]="",),"",NOTA[[#This Row],[QTY]]*NOTA[[#This Row],[HARGA SATUAN]])</f>
        <v>2419200</v>
      </c>
      <c r="AI151" s="39">
        <f ca="1">IF(NOTA[ID_H]="","",INDEX(NOTA[TANGGAL],MATCH(,INDIRECT(ADDRESS(ROW(NOTA[TANGGAL]),COLUMN(NOTA[TANGGAL]))&amp;":"&amp;ADDRESS(ROW(),COLUMN(NOTA[TANGGAL]))),-1)))</f>
        <v>45178</v>
      </c>
      <c r="AJ151" s="41" t="str">
        <f ca="1">IF(NOTA[[#This Row],[NAMA BARANG]]="","",INDEX(NOTA[SUPPLIER],MATCH(,INDIRECT(ADDRESS(ROW(NOTA[ID]),COLUMN(NOTA[ID]))&amp;":"&amp;ADDRESS(ROW(),COLUMN(NOTA[ID]))),-1)))</f>
        <v>ATALI MAKMUR</v>
      </c>
      <c r="AK151" s="41" t="str">
        <f ca="1">IF(NOTA[[#This Row],[ID_H]]="","",IF(NOTA[[#This Row],[FAKTUR]]="",INDIRECT(ADDRESS(ROW()-1,COLUMN())),NOTA[[#This Row],[FAKTUR]]))</f>
        <v>ARTO MORO</v>
      </c>
      <c r="AL151" s="38">
        <f ca="1">IF(NOTA[[#This Row],[ID]]="","",COUNTIF(NOTA[ID_H],NOTA[[#This Row],[ID_H]]))</f>
        <v>12</v>
      </c>
      <c r="AM151" s="38">
        <f>IF(NOTA[[#This Row],[TGL.NOTA]]="",IF(NOTA[[#This Row],[SUPPLIER_H]]="","",AM150),MONTH(NOTA[[#This Row],[TGL.NOTA]]))</f>
        <v>9</v>
      </c>
      <c r="AN151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MOROSA23091589445175colorpencilcp103jk</v>
      </c>
      <c r="AR151" s="38" t="e">
        <f>IF(NOTA[[#This Row],[CONCAT4]]="","",_xlfn.IFNA(MATCH(NOTA[[#This Row],[CONCAT4]],[2]!RAW[CONCAT_H],0),FALSE))</f>
        <v>#REF!</v>
      </c>
      <c r="AS151" s="38">
        <f>IF(NOTA[[#This Row],[CONCAT1]]="","",MATCH(NOTA[[#This Row],[CONCAT1]],[3]!db[NB NOTA_C],0))</f>
        <v>590</v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>12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21</v>
      </c>
      <c r="E152" s="46"/>
      <c r="F152" s="37"/>
      <c r="G152" s="37"/>
      <c r="H152" s="47"/>
      <c r="I152" s="37"/>
      <c r="J152" s="39"/>
      <c r="K152" s="37"/>
      <c r="L152" s="37" t="s">
        <v>262</v>
      </c>
      <c r="M152" s="40">
        <v>2</v>
      </c>
      <c r="N152" s="38">
        <v>144</v>
      </c>
      <c r="O152" s="37" t="s">
        <v>133</v>
      </c>
      <c r="P152" s="41">
        <v>16800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2419200</v>
      </c>
      <c r="Y152" s="50">
        <f>IF(NOTA[[#This Row],[JUMLAH]]="","",NOTA[[#This Row],[JUMLAH]]*NOTA[[#This Row],[DISC 1]])</f>
        <v>302400</v>
      </c>
      <c r="Z152" s="50">
        <f>IF(NOTA[[#This Row],[JUMLAH]]="","",(NOTA[[#This Row],[JUMLAH]]-NOTA[[#This Row],[DISC 1-]])*NOTA[[#This Row],[DISC 2]])</f>
        <v>105840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408240</v>
      </c>
      <c r="AC152" s="50">
        <f>IF(NOTA[[#This Row],[JUMLAH]]="","",NOTA[[#This Row],[JUMLAH]]-NOTA[[#This Row],[DISC]])</f>
        <v>2010960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52" s="50">
        <f>IF(OR(NOTA[[#This Row],[QTY]]="",NOTA[[#This Row],[HARGA SATUAN]]="",),"",NOTA[[#This Row],[QTY]]*NOTA[[#This Row],[HARGA SATUAN]])</f>
        <v>2419200</v>
      </c>
      <c r="AI152" s="39">
        <f ca="1">IF(NOTA[ID_H]="","",INDEX(NOTA[TANGGAL],MATCH(,INDIRECT(ADDRESS(ROW(NOTA[TANGGAL]),COLUMN(NOTA[TANGGAL]))&amp;":"&amp;ADDRESS(ROW(),COLUMN(NOTA[TANGGAL]))),-1)))</f>
        <v>45178</v>
      </c>
      <c r="AJ152" s="41" t="str">
        <f ca="1">IF(NOTA[[#This Row],[NAMA BARANG]]="","",INDEX(NOTA[SUPPLIER],MATCH(,INDIRECT(ADDRESS(ROW(NOTA[ID]),COLUMN(NOTA[ID]))&amp;":"&amp;ADDRESS(ROW(),COLUMN(NOTA[ID]))),-1)))</f>
        <v>ATALI MAKMUR</v>
      </c>
      <c r="AK152" s="41" t="str">
        <f ca="1">IF(NOTA[[#This Row],[ID_H]]="","",IF(NOTA[[#This Row],[FAKTUR]]="",INDIRECT(ADDRESS(ROW()-1,COLUMN())),NOTA[[#This Row],[FAKTUR]]))</f>
        <v>ARTO MORO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9</v>
      </c>
      <c r="AN152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591</v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>12 BOX (6 SET)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21</v>
      </c>
      <c r="E153" s="46"/>
      <c r="F153" s="37"/>
      <c r="G153" s="37"/>
      <c r="H153" s="47"/>
      <c r="I153" s="37"/>
      <c r="J153" s="39"/>
      <c r="K153" s="37"/>
      <c r="L153" s="37" t="s">
        <v>270</v>
      </c>
      <c r="M153" s="40">
        <v>3</v>
      </c>
      <c r="N153" s="38">
        <v>3000</v>
      </c>
      <c r="O153" s="37" t="s">
        <v>240</v>
      </c>
      <c r="P153" s="41">
        <v>2050</v>
      </c>
      <c r="Q153" s="42"/>
      <c r="R153" s="48"/>
      <c r="S153" s="49">
        <v>0.125</v>
      </c>
      <c r="T153" s="44">
        <v>0.05</v>
      </c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6150000</v>
      </c>
      <c r="Y153" s="50">
        <f>IF(NOTA[[#This Row],[JUMLAH]]="","",NOTA[[#This Row],[JUMLAH]]*NOTA[[#This Row],[DISC 1]])</f>
        <v>768750</v>
      </c>
      <c r="Z153" s="50">
        <f>IF(NOTA[[#This Row],[JUMLAH]]="","",(NOTA[[#This Row],[JUMLAH]]-NOTA[[#This Row],[DISC 1-]])*NOTA[[#This Row],[DISC 2]])</f>
        <v>269062.5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1037812.5</v>
      </c>
      <c r="AC153" s="50">
        <f>IF(NOTA[[#This Row],[JUMLAH]]="","",NOTA[[#This Row],[JUMLAH]]-NOTA[[#This Row],[DISC]])</f>
        <v>5112187.5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53" s="50">
        <f>IF(OR(NOTA[[#This Row],[QTY]]="",NOTA[[#This Row],[HARGA SATUAN]]="",),"",NOTA[[#This Row],[QTY]]*NOTA[[#This Row],[HARGA SATUAN]])</f>
        <v>6150000</v>
      </c>
      <c r="AI153" s="39">
        <f ca="1">IF(NOTA[ID_H]="","",INDEX(NOTA[TANGGAL],MATCH(,INDIRECT(ADDRESS(ROW(NOTA[TANGGAL]),COLUMN(NOTA[TANGGAL]))&amp;":"&amp;ADDRESS(ROW(),COLUMN(NOTA[TANGGAL]))),-1)))</f>
        <v>45178</v>
      </c>
      <c r="AJ153" s="41" t="str">
        <f ca="1">IF(NOTA[[#This Row],[NAMA BARANG]]="","",INDEX(NOTA[SUPPLIER],MATCH(,INDIRECT(ADDRESS(ROW(NOTA[ID]),COLUMN(NOTA[ID]))&amp;":"&amp;ADDRESS(ROW(),COLUMN(NOTA[ID]))),-1)))</f>
        <v>ATALI MAKMUR</v>
      </c>
      <c r="AK153" s="41" t="str">
        <f ca="1">IF(NOTA[[#This Row],[ID_H]]="","",IF(NOTA[[#This Row],[FAKTUR]]="",INDIRECT(ADDRESS(ROW()-1,COLUMN())),NOTA[[#This Row],[FAKTUR]]))</f>
        <v>ARTO MORO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9</v>
      </c>
      <c r="AN15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1626</v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>100 PAK (10 ROL)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21</v>
      </c>
      <c r="E154" s="46"/>
      <c r="F154" s="37"/>
      <c r="G154" s="37"/>
      <c r="H154" s="47"/>
      <c r="I154" s="37"/>
      <c r="J154" s="39"/>
      <c r="K154" s="37"/>
      <c r="L154" s="37" t="s">
        <v>263</v>
      </c>
      <c r="M154" s="40">
        <v>1</v>
      </c>
      <c r="N154" s="38">
        <v>24</v>
      </c>
      <c r="O154" s="37" t="s">
        <v>127</v>
      </c>
      <c r="P154" s="41">
        <v>40000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960000</v>
      </c>
      <c r="Y154" s="50">
        <f>IF(NOTA[[#This Row],[JUMLAH]]="","",NOTA[[#This Row],[JUMLAH]]*NOTA[[#This Row],[DISC 1]])</f>
        <v>120000</v>
      </c>
      <c r="Z154" s="50">
        <f>IF(NOTA[[#This Row],[JUMLAH]]="","",(NOTA[[#This Row],[JUMLAH]]-NOTA[[#This Row],[DISC 1-]])*NOTA[[#This Row],[DISC 2]])</f>
        <v>42000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162000</v>
      </c>
      <c r="AC154" s="50">
        <f>IF(NOTA[[#This Row],[JUMLAH]]="","",NOTA[[#This Row],[JUMLAH]]-NOTA[[#This Row],[DISC]])</f>
        <v>798000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54" s="50">
        <f>IF(OR(NOTA[[#This Row],[QTY]]="",NOTA[[#This Row],[HARGA SATUAN]]="",),"",NOTA[[#This Row],[QTY]]*NOTA[[#This Row],[HARGA SATUAN]])</f>
        <v>960000</v>
      </c>
      <c r="AI154" s="39">
        <f ca="1">IF(NOTA[ID_H]="","",INDEX(NOTA[TANGGAL],MATCH(,INDIRECT(ADDRESS(ROW(NOTA[TANGGAL]),COLUMN(NOTA[TANGGAL]))&amp;":"&amp;ADDRESS(ROW(),COLUMN(NOTA[TANGGAL]))),-1)))</f>
        <v>45178</v>
      </c>
      <c r="AJ154" s="41" t="str">
        <f ca="1">IF(NOTA[[#This Row],[NAMA BARANG]]="","",INDEX(NOTA[SUPPLIER],MATCH(,INDIRECT(ADDRESS(ROW(NOTA[ID]),COLUMN(NOTA[ID]))&amp;":"&amp;ADDRESS(ROW(),COLUMN(NOTA[ID]))),-1)))</f>
        <v>ATALI MAKMUR</v>
      </c>
      <c r="AK154" s="41" t="str">
        <f ca="1">IF(NOTA[[#This Row],[ID_H]]="","",IF(NOTA[[#This Row],[FAKTUR]]="",INDIRECT(ADDRESS(ROW()-1,COLUMN())),NOTA[[#This Row],[FAKTUR]]))</f>
        <v>ARTO MORO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9</v>
      </c>
      <c r="AN154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2344</v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>24 PCS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21</v>
      </c>
      <c r="E155" s="46"/>
      <c r="F155" s="37"/>
      <c r="G155" s="37"/>
      <c r="H155" s="47"/>
      <c r="I155" s="37"/>
      <c r="J155" s="39"/>
      <c r="K155" s="37"/>
      <c r="L155" s="37" t="s">
        <v>264</v>
      </c>
      <c r="M155" s="40">
        <v>2</v>
      </c>
      <c r="N155" s="38">
        <v>480</v>
      </c>
      <c r="O155" s="37" t="s">
        <v>133</v>
      </c>
      <c r="P155" s="41">
        <v>8800</v>
      </c>
      <c r="Q155" s="42"/>
      <c r="R155" s="48"/>
      <c r="S155" s="49">
        <v>0.125</v>
      </c>
      <c r="T155" s="44">
        <v>0.05</v>
      </c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4224000</v>
      </c>
      <c r="Y155" s="50">
        <f>IF(NOTA[[#This Row],[JUMLAH]]="","",NOTA[[#This Row],[JUMLAH]]*NOTA[[#This Row],[DISC 1]])</f>
        <v>528000</v>
      </c>
      <c r="Z155" s="50">
        <f>IF(NOTA[[#This Row],[JUMLAH]]="","",(NOTA[[#This Row],[JUMLAH]]-NOTA[[#This Row],[DISC 1-]])*NOTA[[#This Row],[DISC 2]])</f>
        <v>184800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712800</v>
      </c>
      <c r="AC155" s="50">
        <f>IF(NOTA[[#This Row],[JUMLAH]]="","",NOTA[[#This Row],[JUMLAH]]-NOTA[[#This Row],[DISC]])</f>
        <v>3511200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155" s="50">
        <f>IF(OR(NOTA[[#This Row],[QTY]]="",NOTA[[#This Row],[HARGA SATUAN]]="",),"",NOTA[[#This Row],[QTY]]*NOTA[[#This Row],[HARGA SATUAN]])</f>
        <v>4224000</v>
      </c>
      <c r="AI155" s="39">
        <f ca="1">IF(NOTA[ID_H]="","",INDEX(NOTA[TANGGAL],MATCH(,INDIRECT(ADDRESS(ROW(NOTA[TANGGAL]),COLUMN(NOTA[TANGGAL]))&amp;":"&amp;ADDRESS(ROW(),COLUMN(NOTA[TANGGAL]))),-1)))</f>
        <v>45178</v>
      </c>
      <c r="AJ155" s="41" t="str">
        <f ca="1">IF(NOTA[[#This Row],[NAMA BARANG]]="","",INDEX(NOTA[SUPPLIER],MATCH(,INDIRECT(ADDRESS(ROW(NOTA[ID]),COLUMN(NOTA[ID]))&amp;":"&amp;ADDRESS(ROW(),COLUMN(NOTA[ID]))),-1)))</f>
        <v>ATALI MAKMUR</v>
      </c>
      <c r="AK155" s="41" t="str">
        <f ca="1">IF(NOTA[[#This Row],[ID_H]]="","",IF(NOTA[[#This Row],[FAKTUR]]="",INDIRECT(ADDRESS(ROW()-1,COLUMN())),NOTA[[#This Row],[FAKTUR]]))</f>
        <v>ARTO MORO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9</v>
      </c>
      <c r="AN155" s="38" t="str">
        <f>LOWER(SUBSTITUTE(SUBSTITUTE(SUBSTITUTE(SUBSTITUTE(SUBSTITUTE(SUBSTITUTE(SUBSTITUTE(SUBSTITUTE(SUBSTITUTE(NOTA[NAMA BARANG]," ",),".",""),"-",""),"(",""),")",""),",",""),"/",""),"""",""),"+",""))</f>
        <v>brushbr1jk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395</v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>10 BOX (24 SET)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21</v>
      </c>
      <c r="E156" s="46"/>
      <c r="F156" s="37"/>
      <c r="G156" s="37"/>
      <c r="H156" s="47"/>
      <c r="I156" s="37"/>
      <c r="J156" s="39"/>
      <c r="K156" s="37"/>
      <c r="L156" s="37" t="s">
        <v>265</v>
      </c>
      <c r="M156" s="40">
        <v>1</v>
      </c>
      <c r="N156" s="38">
        <v>60</v>
      </c>
      <c r="O156" s="37" t="s">
        <v>127</v>
      </c>
      <c r="P156" s="41">
        <v>29500</v>
      </c>
      <c r="Q156" s="42"/>
      <c r="R156" s="48"/>
      <c r="S156" s="49">
        <v>0.125</v>
      </c>
      <c r="T156" s="44">
        <v>0.05</v>
      </c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1770000</v>
      </c>
      <c r="Y156" s="50">
        <f>IF(NOTA[[#This Row],[JUMLAH]]="","",NOTA[[#This Row],[JUMLAH]]*NOTA[[#This Row],[DISC 1]])</f>
        <v>221250</v>
      </c>
      <c r="Z156" s="50">
        <f>IF(NOTA[[#This Row],[JUMLAH]]="","",(NOTA[[#This Row],[JUMLAH]]-NOTA[[#This Row],[DISC 1-]])*NOTA[[#This Row],[DISC 2]])</f>
        <v>77437.5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298687.5</v>
      </c>
      <c r="AC156" s="50">
        <f>IF(NOTA[[#This Row],[JUMLAH]]="","",NOTA[[#This Row],[JUMLAH]]-NOTA[[#This Row],[DISC]])</f>
        <v>1471312.5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56" s="50">
        <f>IF(OR(NOTA[[#This Row],[QTY]]="",NOTA[[#This Row],[HARGA SATUAN]]="",),"",NOTA[[#This Row],[QTY]]*NOTA[[#This Row],[HARGA SATUAN]])</f>
        <v>1770000</v>
      </c>
      <c r="AI156" s="39">
        <f ca="1">IF(NOTA[ID_H]="","",INDEX(NOTA[TANGGAL],MATCH(,INDIRECT(ADDRESS(ROW(NOTA[TANGGAL]),COLUMN(NOTA[TANGGAL]))&amp;":"&amp;ADDRESS(ROW(),COLUMN(NOTA[TANGGAL]))),-1)))</f>
        <v>45178</v>
      </c>
      <c r="AJ156" s="41" t="str">
        <f ca="1">IF(NOTA[[#This Row],[NAMA BARANG]]="","",INDEX(NOTA[SUPPLIER],MATCH(,INDIRECT(ADDRESS(ROW(NOTA[ID]),COLUMN(NOTA[ID]))&amp;":"&amp;ADDRESS(ROW(),COLUMN(NOTA[ID]))),-1)))</f>
        <v>ATALI MAKMUR</v>
      </c>
      <c r="AK156" s="41" t="str">
        <f ca="1">IF(NOTA[[#This Row],[ID_H]]="","",IF(NOTA[[#This Row],[FAKTUR]]="",INDIRECT(ADDRESS(ROW()-1,COLUMN())),NOTA[[#This Row],[FAKTUR]]))</f>
        <v>ARTO MORO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9</v>
      </c>
      <c r="AN156" s="38" t="str">
        <f>LOWER(SUBSTITUTE(SUBSTITUTE(SUBSTITUTE(SUBSTITUTE(SUBSTITUTE(SUBSTITUTE(SUBSTITUTE(SUBSTITUTE(SUBSTITUTE(NOTA[NAMA BARANG]," ",),".",""),"-",""),"(",""),")",""),",",""),"/",""),"""",""),"+",""))</f>
        <v>punch40xljk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2341</v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>5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21</v>
      </c>
      <c r="E157" s="46"/>
      <c r="F157" s="37"/>
      <c r="G157" s="37"/>
      <c r="H157" s="47"/>
      <c r="I157" s="37"/>
      <c r="J157" s="39"/>
      <c r="K157" s="37"/>
      <c r="L157" s="37" t="s">
        <v>266</v>
      </c>
      <c r="M157" s="40">
        <v>1</v>
      </c>
      <c r="N157" s="38">
        <v>216</v>
      </c>
      <c r="O157" s="37" t="s">
        <v>127</v>
      </c>
      <c r="P157" s="41">
        <v>4900</v>
      </c>
      <c r="Q157" s="42"/>
      <c r="R157" s="48"/>
      <c r="S157" s="49">
        <v>0.125</v>
      </c>
      <c r="T157" s="44">
        <v>0.05</v>
      </c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1058400</v>
      </c>
      <c r="Y157" s="50">
        <f>IF(NOTA[[#This Row],[JUMLAH]]="","",NOTA[[#This Row],[JUMLAH]]*NOTA[[#This Row],[DISC 1]])</f>
        <v>132300</v>
      </c>
      <c r="Z157" s="50">
        <f>IF(NOTA[[#This Row],[JUMLAH]]="","",(NOTA[[#This Row],[JUMLAH]]-NOTA[[#This Row],[DISC 1-]])*NOTA[[#This Row],[DISC 2]])</f>
        <v>46305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178605</v>
      </c>
      <c r="AC157" s="50">
        <f>IF(NOTA[[#This Row],[JUMLAH]]="","",NOTA[[#This Row],[JUMLAH]]-NOTA[[#This Row],[DISC]])</f>
        <v>879795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57" s="50">
        <f>IF(OR(NOTA[[#This Row],[QTY]]="",NOTA[[#This Row],[HARGA SATUAN]]="",),"",NOTA[[#This Row],[QTY]]*NOTA[[#This Row],[HARGA SATUAN]])</f>
        <v>1058400</v>
      </c>
      <c r="AI157" s="39">
        <f ca="1">IF(NOTA[ID_H]="","",INDEX(NOTA[TANGGAL],MATCH(,INDIRECT(ADDRESS(ROW(NOTA[TANGGAL]),COLUMN(NOTA[TANGGAL]))&amp;":"&amp;ADDRESS(ROW(),COLUMN(NOTA[TANGGAL]))),-1)))</f>
        <v>45178</v>
      </c>
      <c r="AJ157" s="41" t="str">
        <f ca="1">IF(NOTA[[#This Row],[NAMA BARANG]]="","",INDEX(NOTA[SUPPLIER],MATCH(,INDIRECT(ADDRESS(ROW(NOTA[ID]),COLUMN(NOTA[ID]))&amp;":"&amp;ADDRESS(ROW(),COLUMN(NOTA[ID]))),-1)))</f>
        <v>ATALI MAKMUR</v>
      </c>
      <c r="AK157" s="41" t="str">
        <f ca="1">IF(NOTA[[#This Row],[ID_H]]="","",IF(NOTA[[#This Row],[FAKTUR]]="",INDIRECT(ADDRESS(ROW()-1,COLUMN())),NOTA[[#This Row],[FAKTUR]]))</f>
        <v>ARTO MORO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9</v>
      </c>
      <c r="AN1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2467</v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>18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21</v>
      </c>
      <c r="E158" s="46"/>
      <c r="F158" s="37"/>
      <c r="G158" s="37"/>
      <c r="H158" s="47"/>
      <c r="I158" s="37"/>
      <c r="J158" s="39"/>
      <c r="K158" s="37"/>
      <c r="L158" s="37" t="s">
        <v>267</v>
      </c>
      <c r="M158" s="40">
        <v>1</v>
      </c>
      <c r="N158" s="38">
        <v>216</v>
      </c>
      <c r="O158" s="37" t="s">
        <v>127</v>
      </c>
      <c r="P158" s="41">
        <v>5800</v>
      </c>
      <c r="Q158" s="42"/>
      <c r="R158" s="48"/>
      <c r="S158" s="49">
        <v>0.125</v>
      </c>
      <c r="T158" s="44">
        <v>0.05</v>
      </c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1252800</v>
      </c>
      <c r="Y158" s="50">
        <f>IF(NOTA[[#This Row],[JUMLAH]]="","",NOTA[[#This Row],[JUMLAH]]*NOTA[[#This Row],[DISC 1]])</f>
        <v>156600</v>
      </c>
      <c r="Z158" s="50">
        <f>IF(NOTA[[#This Row],[JUMLAH]]="","",(NOTA[[#This Row],[JUMLAH]]-NOTA[[#This Row],[DISC 1-]])*NOTA[[#This Row],[DISC 2]])</f>
        <v>54810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211410</v>
      </c>
      <c r="AC158" s="50">
        <f>IF(NOTA[[#This Row],[JUMLAH]]="","",NOTA[[#This Row],[JUMLAH]]-NOTA[[#This Row],[DISC]])</f>
        <v>1041390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158" s="50">
        <f>IF(OR(NOTA[[#This Row],[QTY]]="",NOTA[[#This Row],[HARGA SATUAN]]="",),"",NOTA[[#This Row],[QTY]]*NOTA[[#This Row],[HARGA SATUAN]])</f>
        <v>1252800</v>
      </c>
      <c r="AI158" s="39">
        <f ca="1">IF(NOTA[ID_H]="","",INDEX(NOTA[TANGGAL],MATCH(,INDIRECT(ADDRESS(ROW(NOTA[TANGGAL]),COLUMN(NOTA[TANGGAL]))&amp;":"&amp;ADDRESS(ROW(),COLUMN(NOTA[TANGGAL]))),-1)))</f>
        <v>45178</v>
      </c>
      <c r="AJ158" s="41" t="str">
        <f ca="1">IF(NOTA[[#This Row],[NAMA BARANG]]="","",INDEX(NOTA[SUPPLIER],MATCH(,INDIRECT(ADDRESS(ROW(NOTA[ID]),COLUMN(NOTA[ID]))&amp;":"&amp;ADDRESS(ROW(),COLUMN(NOTA[ID]))),-1)))</f>
        <v>ATALI MAKMUR</v>
      </c>
      <c r="AK158" s="41" t="str">
        <f ca="1">IF(NOTA[[#This Row],[ID_H]]="","",IF(NOTA[[#This Row],[FAKTUR]]="",INDIRECT(ADDRESS(ROW()-1,COLUMN())),NOTA[[#This Row],[FAKTUR]]))</f>
        <v>ARTO MORO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9</v>
      </c>
      <c r="AN1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>
        <f>IF(NOTA[[#This Row],[CONCAT1]]="","",MATCH(NOTA[[#This Row],[CONCAT1]],[3]!db[NB NOTA_C],0))</f>
        <v>2469</v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>18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21</v>
      </c>
      <c r="E159" s="46"/>
      <c r="F159" s="37"/>
      <c r="G159" s="37"/>
      <c r="H159" s="47"/>
      <c r="I159" s="37"/>
      <c r="J159" s="39"/>
      <c r="K159" s="37"/>
      <c r="L159" s="37" t="s">
        <v>268</v>
      </c>
      <c r="M159" s="40">
        <v>1</v>
      </c>
      <c r="N159" s="38">
        <v>144</v>
      </c>
      <c r="O159" s="37" t="s">
        <v>139</v>
      </c>
      <c r="P159" s="41">
        <v>27600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3974400</v>
      </c>
      <c r="Y159" s="50">
        <f>IF(NOTA[[#This Row],[JUMLAH]]="","",NOTA[[#This Row],[JUMLAH]]*NOTA[[#This Row],[DISC 1]])</f>
        <v>496800</v>
      </c>
      <c r="Z159" s="50">
        <f>IF(NOTA[[#This Row],[JUMLAH]]="","",(NOTA[[#This Row],[JUMLAH]]-NOTA[[#This Row],[DISC 1-]])*NOTA[[#This Row],[DISC 2]])</f>
        <v>173880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670680</v>
      </c>
      <c r="AC159" s="50">
        <f>IF(NOTA[[#This Row],[JUMLAH]]="","",NOTA[[#This Row],[JUMLAH]]-NOTA[[#This Row],[DISC]])</f>
        <v>3303720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159" s="50">
        <f>IF(OR(NOTA[[#This Row],[QTY]]="",NOTA[[#This Row],[HARGA SATUAN]]="",),"",NOTA[[#This Row],[QTY]]*NOTA[[#This Row],[HARGA SATUAN]])</f>
        <v>3974400</v>
      </c>
      <c r="AI159" s="39">
        <f ca="1">IF(NOTA[ID_H]="","",INDEX(NOTA[TANGGAL],MATCH(,INDIRECT(ADDRESS(ROW(NOTA[TANGGAL]),COLUMN(NOTA[TANGGAL]))&amp;":"&amp;ADDRESS(ROW(),COLUMN(NOTA[TANGGAL]))),-1)))</f>
        <v>45178</v>
      </c>
      <c r="AJ159" s="41" t="str">
        <f ca="1">IF(NOTA[[#This Row],[NAMA BARANG]]="","",INDEX(NOTA[SUPPLIER],MATCH(,INDIRECT(ADDRESS(ROW(NOTA[ID]),COLUMN(NOTA[ID]))&amp;":"&amp;ADDRESS(ROW(),COLUMN(NOTA[ID]))),-1)))</f>
        <v>ATALI MAKMUR</v>
      </c>
      <c r="AK159" s="41" t="str">
        <f ca="1">IF(NOTA[[#This Row],[ID_H]]="","",IF(NOTA[[#This Row],[FAKTUR]]="",INDIRECT(ADDRESS(ROW()-1,COLUMN())),NOTA[[#This Row],[FAKTUR]]))</f>
        <v>ARTO MORO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9</v>
      </c>
      <c r="AN159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>
        <f>IF(NOTA[[#This Row],[CONCAT1]]="","",MATCH(NOTA[[#This Row],[CONCAT1]],[3]!db[NB NOTA_C],0))</f>
        <v>905</v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>144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21</v>
      </c>
      <c r="E160" s="46"/>
      <c r="F160" s="37"/>
      <c r="G160" s="37"/>
      <c r="H160" s="47"/>
      <c r="I160" s="37"/>
      <c r="J160" s="39"/>
      <c r="K160" s="37"/>
      <c r="L160" s="37" t="s">
        <v>223</v>
      </c>
      <c r="M160" s="40">
        <v>1</v>
      </c>
      <c r="N160" s="38">
        <v>72</v>
      </c>
      <c r="O160" s="37" t="s">
        <v>127</v>
      </c>
      <c r="P160" s="41">
        <v>15800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1137600</v>
      </c>
      <c r="Y160" s="50">
        <f>IF(NOTA[[#This Row],[JUMLAH]]="","",NOTA[[#This Row],[JUMLAH]]*NOTA[[#This Row],[DISC 1]])</f>
        <v>142200</v>
      </c>
      <c r="Z160" s="50">
        <f>IF(NOTA[[#This Row],[JUMLAH]]="","",(NOTA[[#This Row],[JUMLAH]]-NOTA[[#This Row],[DISC 1-]])*NOTA[[#This Row],[DISC 2]])</f>
        <v>49770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191970</v>
      </c>
      <c r="AC160" s="50">
        <f>IF(NOTA[[#This Row],[JUMLAH]]="","",NOTA[[#This Row],[JUMLAH]]-NOTA[[#This Row],[DISC]])</f>
        <v>945630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0" s="50">
        <f>IF(OR(NOTA[[#This Row],[QTY]]="",NOTA[[#This Row],[HARGA SATUAN]]="",),"",NOTA[[#This Row],[QTY]]*NOTA[[#This Row],[HARGA SATUAN]])</f>
        <v>1137600</v>
      </c>
      <c r="AI160" s="39">
        <f ca="1">IF(NOTA[ID_H]="","",INDEX(NOTA[TANGGAL],MATCH(,INDIRECT(ADDRESS(ROW(NOTA[TANGGAL]),COLUMN(NOTA[TANGGAL]))&amp;":"&amp;ADDRESS(ROW(),COLUMN(NOTA[TANGGAL]))),-1)))</f>
        <v>45178</v>
      </c>
      <c r="AJ160" s="41" t="str">
        <f ca="1">IF(NOTA[[#This Row],[NAMA BARANG]]="","",INDEX(NOTA[SUPPLIER],MATCH(,INDIRECT(ADDRESS(ROW(NOTA[ID]),COLUMN(NOTA[ID]))&amp;":"&amp;ADDRESS(ROW(),COLUMN(NOTA[ID]))),-1)))</f>
        <v>ATALI MAKMUR</v>
      </c>
      <c r="AK160" s="41" t="str">
        <f ca="1">IF(NOTA[[#This Row],[ID_H]]="","",IF(NOTA[[#This Row],[FAKTUR]]="",INDIRECT(ADDRESS(ROW()-1,COLUMN())),NOTA[[#This Row],[FAKTUR]]))</f>
        <v>ARTO MORO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9</v>
      </c>
      <c r="AN16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185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72 PCS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21</v>
      </c>
      <c r="E161" s="46"/>
      <c r="F161" s="37"/>
      <c r="G161" s="37"/>
      <c r="H161" s="47"/>
      <c r="I161" s="37"/>
      <c r="J161" s="39"/>
      <c r="K161" s="37"/>
      <c r="L161" s="37" t="s">
        <v>225</v>
      </c>
      <c r="M161" s="40">
        <v>1</v>
      </c>
      <c r="N161" s="38">
        <v>72</v>
      </c>
      <c r="O161" s="37" t="s">
        <v>127</v>
      </c>
      <c r="P161" s="41">
        <v>15800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1137600</v>
      </c>
      <c r="Y161" s="50">
        <f>IF(NOTA[[#This Row],[JUMLAH]]="","",NOTA[[#This Row],[JUMLAH]]*NOTA[[#This Row],[DISC 1]])</f>
        <v>142200</v>
      </c>
      <c r="Z161" s="50">
        <f>IF(NOTA[[#This Row],[JUMLAH]]="","",(NOTA[[#This Row],[JUMLAH]]-NOTA[[#This Row],[DISC 1-]])*NOTA[[#This Row],[DISC 2]])</f>
        <v>49770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191970</v>
      </c>
      <c r="AC161" s="50">
        <f>IF(NOTA[[#This Row],[JUMLAH]]="","",NOTA[[#This Row],[JUMLAH]]-NOTA[[#This Row],[DISC]])</f>
        <v>945630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1" s="50">
        <f>IF(OR(NOTA[[#This Row],[QTY]]="",NOTA[[#This Row],[HARGA SATUAN]]="",),"",NOTA[[#This Row],[QTY]]*NOTA[[#This Row],[HARGA SATUAN]])</f>
        <v>1137600</v>
      </c>
      <c r="AI161" s="39">
        <f ca="1">IF(NOTA[ID_H]="","",INDEX(NOTA[TANGGAL],MATCH(,INDIRECT(ADDRESS(ROW(NOTA[TANGGAL]),COLUMN(NOTA[TANGGAL]))&amp;":"&amp;ADDRESS(ROW(),COLUMN(NOTA[TANGGAL]))),-1)))</f>
        <v>45178</v>
      </c>
      <c r="AJ161" s="41" t="str">
        <f ca="1">IF(NOTA[[#This Row],[NAMA BARANG]]="","",INDEX(NOTA[SUPPLIER],MATCH(,INDIRECT(ADDRESS(ROW(NOTA[ID]),COLUMN(NOTA[ID]))&amp;":"&amp;ADDRESS(ROW(),COLUMN(NOTA[ID]))),-1)))</f>
        <v>ATALI MAKMUR</v>
      </c>
      <c r="AK161" s="41" t="str">
        <f ca="1">IF(NOTA[[#This Row],[ID_H]]="","",IF(NOTA[[#This Row],[FAKTUR]]="",INDIRECT(ADDRESS(ROW()-1,COLUMN())),NOTA[[#This Row],[FAKTUR]]))</f>
        <v>ARTO MORO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9</v>
      </c>
      <c r="AN16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190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72 PCS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21</v>
      </c>
      <c r="E162" s="46"/>
      <c r="F162" s="37"/>
      <c r="G162" s="37"/>
      <c r="H162" s="47"/>
      <c r="I162" s="37"/>
      <c r="J162" s="39"/>
      <c r="K162" s="37"/>
      <c r="L162" s="37" t="s">
        <v>269</v>
      </c>
      <c r="M162" s="40">
        <v>1</v>
      </c>
      <c r="N162" s="38">
        <v>72</v>
      </c>
      <c r="O162" s="37" t="s">
        <v>127</v>
      </c>
      <c r="P162" s="41">
        <v>15800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1137600</v>
      </c>
      <c r="Y162" s="50">
        <f>IF(NOTA[[#This Row],[JUMLAH]]="","",NOTA[[#This Row],[JUMLAH]]*NOTA[[#This Row],[DISC 1]])</f>
        <v>142200</v>
      </c>
      <c r="Z162" s="50">
        <f>IF(NOTA[[#This Row],[JUMLAH]]="","",(NOTA[[#This Row],[JUMLAH]]-NOTA[[#This Row],[DISC 1-]])*NOTA[[#This Row],[DISC 2]])</f>
        <v>49770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191970</v>
      </c>
      <c r="AC162" s="50">
        <f>IF(NOTA[[#This Row],[JUMLAH]]="","",NOTA[[#This Row],[JUMLAH]]-NOTA[[#This Row],[DISC]])</f>
        <v>945630</v>
      </c>
      <c r="AD162" s="50"/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4664385</v>
      </c>
      <c r="AF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22976415</v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2" s="50">
        <f>IF(OR(NOTA[[#This Row],[QTY]]="",NOTA[[#This Row],[HARGA SATUAN]]="",),"",NOTA[[#This Row],[QTY]]*NOTA[[#This Row],[HARGA SATUAN]])</f>
        <v>1137600</v>
      </c>
      <c r="AI162" s="39">
        <f ca="1">IF(NOTA[ID_H]="","",INDEX(NOTA[TANGGAL],MATCH(,INDIRECT(ADDRESS(ROW(NOTA[TANGGAL]),COLUMN(NOTA[TANGGAL]))&amp;":"&amp;ADDRESS(ROW(),COLUMN(NOTA[TANGGAL]))),-1)))</f>
        <v>45178</v>
      </c>
      <c r="AJ162" s="41" t="str">
        <f ca="1">IF(NOTA[[#This Row],[NAMA BARANG]]="","",INDEX(NOTA[SUPPLIER],MATCH(,INDIRECT(ADDRESS(ROW(NOTA[ID]),COLUMN(NOTA[ID]))&amp;":"&amp;ADDRESS(ROW(),COLUMN(NOTA[ID]))),-1)))</f>
        <v>ATALI MAKMUR</v>
      </c>
      <c r="AK162" s="41" t="str">
        <f ca="1">IF(NOTA[[#This Row],[ID_H]]="","",IF(NOTA[[#This Row],[FAKTUR]]="",INDIRECT(ADDRESS(ROW()-1,COLUMN())),NOTA[[#This Row],[FAKTUR]]))</f>
        <v>ARTO MORO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9</v>
      </c>
      <c r="AN162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186</v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>72 PCS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ATA_0909_895-8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22</v>
      </c>
      <c r="E164" s="46"/>
      <c r="F164" s="37" t="s">
        <v>24</v>
      </c>
      <c r="G164" s="37" t="s">
        <v>23</v>
      </c>
      <c r="H164" s="47" t="s">
        <v>271</v>
      </c>
      <c r="I164" s="37"/>
      <c r="J164" s="39">
        <v>45175</v>
      </c>
      <c r="K164" s="37"/>
      <c r="L164" s="37" t="s">
        <v>231</v>
      </c>
      <c r="M164" s="40">
        <v>1</v>
      </c>
      <c r="N164" s="38">
        <v>72</v>
      </c>
      <c r="O164" s="37" t="s">
        <v>127</v>
      </c>
      <c r="P164" s="41">
        <v>15800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1137600</v>
      </c>
      <c r="Y164" s="50">
        <f>IF(NOTA[[#This Row],[JUMLAH]]="","",NOTA[[#This Row],[JUMLAH]]*NOTA[[#This Row],[DISC 1]])</f>
        <v>142200</v>
      </c>
      <c r="Z164" s="50">
        <f>IF(NOTA[[#This Row],[JUMLAH]]="","",(NOTA[[#This Row],[JUMLAH]]-NOTA[[#This Row],[DISC 1-]])*NOTA[[#This Row],[DISC 2]])</f>
        <v>49770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191970</v>
      </c>
      <c r="AC164" s="50">
        <f>IF(NOTA[[#This Row],[JUMLAH]]="","",NOTA[[#This Row],[JUMLAH]]-NOTA[[#This Row],[DISC]])</f>
        <v>945630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4" s="50">
        <f>IF(OR(NOTA[[#This Row],[QTY]]="",NOTA[[#This Row],[HARGA SATUAN]]="",),"",NOTA[[#This Row],[QTY]]*NOTA[[#This Row],[HARGA SATUAN]])</f>
        <v>1137600</v>
      </c>
      <c r="AI164" s="39">
        <f ca="1">IF(NOTA[ID_H]="","",INDEX(NOTA[TANGGAL],MATCH(,INDIRECT(ADDRESS(ROW(NOTA[TANGGAL]),COLUMN(NOTA[TANGGAL]))&amp;":"&amp;ADDRESS(ROW(),COLUMN(NOTA[TANGGAL]))),-1)))</f>
        <v>45178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>
        <f ca="1">IF(NOTA[[#This Row],[ID]]="","",COUNTIF(NOTA[ID_H],NOTA[[#This Row],[ID_H]]))</f>
        <v>8</v>
      </c>
      <c r="AM164" s="38">
        <f>IF(NOTA[[#This Row],[TGL.NOTA]]="",IF(NOTA[[#This Row],[SUPPLIER_H]]="","",AM163),MONTH(NOTA[[#This Row],[TGL.NOTA]]))</f>
        <v>9</v>
      </c>
      <c r="AN164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MOROSA23091589545175bindera5tsacm477academyjku</v>
      </c>
      <c r="AR164" s="38" t="e">
        <f>IF(NOTA[[#This Row],[CONCAT4]]="","",_xlfn.IFNA(MATCH(NOTA[[#This Row],[CONCAT4]],[2]!RAW[CONCAT_H],0),FALSE))</f>
        <v>#REF!</v>
      </c>
      <c r="AS164" s="38">
        <f>IF(NOTA[[#This Row],[CONCAT1]]="","",MATCH(NOTA[[#This Row],[CONCAT1]],[3]!db[NB NOTA_C],0))</f>
        <v>180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72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22</v>
      </c>
      <c r="E165" s="46"/>
      <c r="F165" s="37"/>
      <c r="G165" s="37"/>
      <c r="H165" s="47"/>
      <c r="I165" s="37"/>
      <c r="J165" s="39"/>
      <c r="K165" s="37"/>
      <c r="L165" s="37" t="s">
        <v>272</v>
      </c>
      <c r="M165" s="40">
        <v>1</v>
      </c>
      <c r="N165" s="38">
        <v>72</v>
      </c>
      <c r="O165" s="37" t="s">
        <v>127</v>
      </c>
      <c r="P165" s="41">
        <v>15800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1137600</v>
      </c>
      <c r="Y165" s="50">
        <f>IF(NOTA[[#This Row],[JUMLAH]]="","",NOTA[[#This Row],[JUMLAH]]*NOTA[[#This Row],[DISC 1]])</f>
        <v>142200</v>
      </c>
      <c r="Z165" s="50">
        <f>IF(NOTA[[#This Row],[JUMLAH]]="","",(NOTA[[#This Row],[JUMLAH]]-NOTA[[#This Row],[DISC 1-]])*NOTA[[#This Row],[DISC 2]])</f>
        <v>49770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191970</v>
      </c>
      <c r="AC165" s="50">
        <f>IF(NOTA[[#This Row],[JUMLAH]]="","",NOTA[[#This Row],[JUMLAH]]-NOTA[[#This Row],[DISC]])</f>
        <v>945630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5" s="50">
        <f>IF(OR(NOTA[[#This Row],[QTY]]="",NOTA[[#This Row],[HARGA SATUAN]]="",),"",NOTA[[#This Row],[QTY]]*NOTA[[#This Row],[HARGA SATUAN]])</f>
        <v>1137600</v>
      </c>
      <c r="AI165" s="39">
        <f ca="1">IF(NOTA[ID_H]="","",INDEX(NOTA[TANGGAL],MATCH(,INDIRECT(ADDRESS(ROW(NOTA[TANGGAL]),COLUMN(NOTA[TANGGAL]))&amp;":"&amp;ADDRESS(ROW(),COLUMN(NOTA[TANGGAL]))),-1)))</f>
        <v>45178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9</v>
      </c>
      <c r="AN16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217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72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22</v>
      </c>
      <c r="E166" s="46"/>
      <c r="F166" s="37"/>
      <c r="G166" s="37"/>
      <c r="H166" s="47"/>
      <c r="I166" s="37"/>
      <c r="J166" s="39"/>
      <c r="K166" s="37"/>
      <c r="L166" s="37" t="s">
        <v>273</v>
      </c>
      <c r="M166" s="40">
        <v>1</v>
      </c>
      <c r="N166" s="38">
        <v>72</v>
      </c>
      <c r="O166" s="37" t="s">
        <v>127</v>
      </c>
      <c r="P166" s="41">
        <v>15800</v>
      </c>
      <c r="Q166" s="42"/>
      <c r="R166" s="48"/>
      <c r="S166" s="49">
        <v>0.125</v>
      </c>
      <c r="T166" s="44">
        <v>0.05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1137600</v>
      </c>
      <c r="Y166" s="50">
        <f>IF(NOTA[[#This Row],[JUMLAH]]="","",NOTA[[#This Row],[JUMLAH]]*NOTA[[#This Row],[DISC 1]])</f>
        <v>142200</v>
      </c>
      <c r="Z166" s="50">
        <f>IF(NOTA[[#This Row],[JUMLAH]]="","",(NOTA[[#This Row],[JUMLAH]]-NOTA[[#This Row],[DISC 1-]])*NOTA[[#This Row],[DISC 2]])</f>
        <v>49770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191970</v>
      </c>
      <c r="AC166" s="50">
        <f>IF(NOTA[[#This Row],[JUMLAH]]="","",NOTA[[#This Row],[JUMLAH]]-NOTA[[#This Row],[DISC]])</f>
        <v>945630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6" s="50">
        <f>IF(OR(NOTA[[#This Row],[QTY]]="",NOTA[[#This Row],[HARGA SATUAN]]="",),"",NOTA[[#This Row],[QTY]]*NOTA[[#This Row],[HARGA SATUAN]])</f>
        <v>1137600</v>
      </c>
      <c r="AI166" s="39">
        <f ca="1">IF(NOTA[ID_H]="","",INDEX(NOTA[TANGGAL],MATCH(,INDIRECT(ADDRESS(ROW(NOTA[TANGGAL]),COLUMN(NOTA[TANGGAL]))&amp;":"&amp;ADDRESS(ROW(),COLUMN(NOTA[TANGGAL]))),-1)))</f>
        <v>45178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9</v>
      </c>
      <c r="AN166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194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72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22</v>
      </c>
      <c r="E167" s="46"/>
      <c r="F167" s="37"/>
      <c r="G167" s="37"/>
      <c r="H167" s="47"/>
      <c r="I167" s="37"/>
      <c r="J167" s="39"/>
      <c r="K167" s="37"/>
      <c r="L167" s="37" t="s">
        <v>274</v>
      </c>
      <c r="M167" s="40">
        <v>1</v>
      </c>
      <c r="N167" s="38">
        <v>72</v>
      </c>
      <c r="O167" s="37" t="s">
        <v>127</v>
      </c>
      <c r="P167" s="41">
        <v>15800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1137600</v>
      </c>
      <c r="Y167" s="50">
        <f>IF(NOTA[[#This Row],[JUMLAH]]="","",NOTA[[#This Row],[JUMLAH]]*NOTA[[#This Row],[DISC 1]])</f>
        <v>142200</v>
      </c>
      <c r="Z167" s="50">
        <f>IF(NOTA[[#This Row],[JUMLAH]]="","",(NOTA[[#This Row],[JUMLAH]]-NOTA[[#This Row],[DISC 1-]])*NOTA[[#This Row],[DISC 2]])</f>
        <v>49770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191970</v>
      </c>
      <c r="AC167" s="50">
        <f>IF(NOTA[[#This Row],[JUMLAH]]="","",NOTA[[#This Row],[JUMLAH]]-NOTA[[#This Row],[DISC]])</f>
        <v>945630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7" s="50">
        <f>IF(OR(NOTA[[#This Row],[QTY]]="",NOTA[[#This Row],[HARGA SATUAN]]="",),"",NOTA[[#This Row],[QTY]]*NOTA[[#This Row],[HARGA SATUAN]])</f>
        <v>1137600</v>
      </c>
      <c r="AI167" s="39">
        <f ca="1">IF(NOTA[ID_H]="","",INDEX(NOTA[TANGGAL],MATCH(,INDIRECT(ADDRESS(ROW(NOTA[TANGGAL]),COLUMN(NOTA[TANGGAL]))&amp;":"&amp;ADDRESS(ROW(),COLUMN(NOTA[TANGGAL]))),-1)))</f>
        <v>45178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9</v>
      </c>
      <c r="AN167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200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72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22</v>
      </c>
      <c r="E168" s="46"/>
      <c r="F168" s="37"/>
      <c r="G168" s="37"/>
      <c r="H168" s="47"/>
      <c r="I168" s="37"/>
      <c r="J168" s="39"/>
      <c r="K168" s="37"/>
      <c r="L168" s="37" t="s">
        <v>275</v>
      </c>
      <c r="M168" s="40">
        <v>1</v>
      </c>
      <c r="N168" s="38">
        <v>72</v>
      </c>
      <c r="O168" s="37" t="s">
        <v>127</v>
      </c>
      <c r="P168" s="41">
        <v>15800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1137600</v>
      </c>
      <c r="Y168" s="50">
        <f>IF(NOTA[[#This Row],[JUMLAH]]="","",NOTA[[#This Row],[JUMLAH]]*NOTA[[#This Row],[DISC 1]])</f>
        <v>142200</v>
      </c>
      <c r="Z168" s="50">
        <f>IF(NOTA[[#This Row],[JUMLAH]]="","",(NOTA[[#This Row],[JUMLAH]]-NOTA[[#This Row],[DISC 1-]])*NOTA[[#This Row],[DISC 2]])</f>
        <v>49770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191970</v>
      </c>
      <c r="AC168" s="50">
        <f>IF(NOTA[[#This Row],[JUMLAH]]="","",NOTA[[#This Row],[JUMLAH]]-NOTA[[#This Row],[DISC]])</f>
        <v>945630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8" s="50">
        <f>IF(OR(NOTA[[#This Row],[QTY]]="",NOTA[[#This Row],[HARGA SATUAN]]="",),"",NOTA[[#This Row],[QTY]]*NOTA[[#This Row],[HARGA SATUAN]])</f>
        <v>1137600</v>
      </c>
      <c r="AI168" s="39">
        <f ca="1">IF(NOTA[ID_H]="","",INDEX(NOTA[TANGGAL],MATCH(,INDIRECT(ADDRESS(ROW(NOTA[TANGGAL]),COLUMN(NOTA[TANGGAL]))&amp;":"&amp;ADDRESS(ROW(),COLUMN(NOTA[TANGGAL]))),-1)))</f>
        <v>45178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9</v>
      </c>
      <c r="AN168" s="38" t="str">
        <f>LOWER(SUBSTITUTE(SUBSTITUTE(SUBSTITUTE(SUBSTITUTE(SUBSTITUTE(SUBSTITUTE(SUBSTITUTE(SUBSTITUTE(SUBSTITUTE(NOTA[NAMA BARANG]," ",),".",""),"-",""),"(",""),")",""),",",""),"/",""),"""",""),"+",""))</f>
        <v>bindera5tsedm476educationjku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191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72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bindera5tsedm476educationjku72pcsartomoro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22</v>
      </c>
      <c r="E169" s="46"/>
      <c r="F169" s="37"/>
      <c r="G169" s="37"/>
      <c r="H169" s="47"/>
      <c r="I169" s="37"/>
      <c r="J169" s="39"/>
      <c r="K169" s="37"/>
      <c r="L169" s="37" t="s">
        <v>276</v>
      </c>
      <c r="M169" s="40">
        <v>1</v>
      </c>
      <c r="N169" s="38">
        <v>72</v>
      </c>
      <c r="O169" s="37" t="s">
        <v>127</v>
      </c>
      <c r="P169" s="41">
        <v>15800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1137600</v>
      </c>
      <c r="Y169" s="50">
        <f>IF(NOTA[[#This Row],[JUMLAH]]="","",NOTA[[#This Row],[JUMLAH]]*NOTA[[#This Row],[DISC 1]])</f>
        <v>142200</v>
      </c>
      <c r="Z169" s="50">
        <f>IF(NOTA[[#This Row],[JUMLAH]]="","",(NOTA[[#This Row],[JUMLAH]]-NOTA[[#This Row],[DISC 1-]])*NOTA[[#This Row],[DISC 2]])</f>
        <v>49770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191970</v>
      </c>
      <c r="AC169" s="50">
        <f>IF(NOTA[[#This Row],[JUMLAH]]="","",NOTA[[#This Row],[JUMLAH]]-NOTA[[#This Row],[DISC]])</f>
        <v>945630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9" s="50">
        <f>IF(OR(NOTA[[#This Row],[QTY]]="",NOTA[[#This Row],[HARGA SATUAN]]="",),"",NOTA[[#This Row],[QTY]]*NOTA[[#This Row],[HARGA SATUAN]])</f>
        <v>1137600</v>
      </c>
      <c r="AI169" s="39">
        <f ca="1">IF(NOTA[ID_H]="","",INDEX(NOTA[TANGGAL],MATCH(,INDIRECT(ADDRESS(ROW(NOTA[TANGGAL]),COLUMN(NOTA[TANGGAL]))&amp;":"&amp;ADDRESS(ROW(),COLUMN(NOTA[TANGGAL]))),-1)))</f>
        <v>45178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9</v>
      </c>
      <c r="AN16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187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72 PCS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22</v>
      </c>
      <c r="E170" s="46"/>
      <c r="F170" s="37"/>
      <c r="G170" s="37"/>
      <c r="H170" s="47"/>
      <c r="I170" s="37"/>
      <c r="J170" s="39"/>
      <c r="K170" s="37"/>
      <c r="L170" s="37" t="s">
        <v>277</v>
      </c>
      <c r="M170" s="40">
        <v>1</v>
      </c>
      <c r="N170" s="38">
        <v>72</v>
      </c>
      <c r="O170" s="37" t="s">
        <v>127</v>
      </c>
      <c r="P170" s="41">
        <v>15800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1137600</v>
      </c>
      <c r="Y170" s="50">
        <f>IF(NOTA[[#This Row],[JUMLAH]]="","",NOTA[[#This Row],[JUMLAH]]*NOTA[[#This Row],[DISC 1]])</f>
        <v>142200</v>
      </c>
      <c r="Z170" s="50">
        <f>IF(NOTA[[#This Row],[JUMLAH]]="","",(NOTA[[#This Row],[JUMLAH]]-NOTA[[#This Row],[DISC 1-]])*NOTA[[#This Row],[DISC 2]])</f>
        <v>49770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191970</v>
      </c>
      <c r="AC170" s="50">
        <f>IF(NOTA[[#This Row],[JUMLAH]]="","",NOTA[[#This Row],[JUMLAH]]-NOTA[[#This Row],[DISC]])</f>
        <v>945630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70" s="50">
        <f>IF(OR(NOTA[[#This Row],[QTY]]="",NOTA[[#This Row],[HARGA SATUAN]]="",),"",NOTA[[#This Row],[QTY]]*NOTA[[#This Row],[HARGA SATUAN]])</f>
        <v>1137600</v>
      </c>
      <c r="AI170" s="39">
        <f ca="1">IF(NOTA[ID_H]="","",INDEX(NOTA[TANGGAL],MATCH(,INDIRECT(ADDRESS(ROW(NOTA[TANGGAL]),COLUMN(NOTA[TANGGAL]))&amp;":"&amp;ADDRESS(ROW(),COLUMN(NOTA[TANGGAL]))),-1)))</f>
        <v>45178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9</v>
      </c>
      <c r="AN170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214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72 PCS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22</v>
      </c>
      <c r="E171" s="46"/>
      <c r="F171" s="37"/>
      <c r="G171" s="37"/>
      <c r="H171" s="47"/>
      <c r="I171" s="37"/>
      <c r="J171" s="39"/>
      <c r="K171" s="37"/>
      <c r="L171" s="37" t="s">
        <v>278</v>
      </c>
      <c r="M171" s="40">
        <v>1</v>
      </c>
      <c r="N171" s="38">
        <v>72</v>
      </c>
      <c r="O171" s="37" t="s">
        <v>127</v>
      </c>
      <c r="P171" s="41">
        <v>15800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1137600</v>
      </c>
      <c r="Y171" s="50">
        <f>IF(NOTA[[#This Row],[JUMLAH]]="","",NOTA[[#This Row],[JUMLAH]]*NOTA[[#This Row],[DISC 1]])</f>
        <v>142200</v>
      </c>
      <c r="Z171" s="50">
        <f>IF(NOTA[[#This Row],[JUMLAH]]="","",(NOTA[[#This Row],[JUMLAH]]-NOTA[[#This Row],[DISC 1-]])*NOTA[[#This Row],[DISC 2]])</f>
        <v>49770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191970</v>
      </c>
      <c r="AC171" s="50">
        <f>IF(NOTA[[#This Row],[JUMLAH]]="","",NOTA[[#This Row],[JUMLAH]]-NOTA[[#This Row],[DISC]])</f>
        <v>945630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1535760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7565040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71" s="50">
        <f>IF(OR(NOTA[[#This Row],[QTY]]="",NOTA[[#This Row],[HARGA SATUAN]]="",),"",NOTA[[#This Row],[QTY]]*NOTA[[#This Row],[HARGA SATUAN]])</f>
        <v>1137600</v>
      </c>
      <c r="AI171" s="39">
        <f ca="1">IF(NOTA[ID_H]="","",INDEX(NOTA[TANGGAL],MATCH(,INDIRECT(ADDRESS(ROW(NOTA[TANGGAL]),COLUMN(NOTA[TANGGAL]))&amp;":"&amp;ADDRESS(ROW(),COLUMN(NOTA[TANGGAL]))),-1)))</f>
        <v>45178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9</v>
      </c>
      <c r="AN171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215</v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>72 PCS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NCL_1109_010-1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23</v>
      </c>
      <c r="E173" s="46">
        <v>45180</v>
      </c>
      <c r="F173" s="37" t="s">
        <v>547</v>
      </c>
      <c r="G173" s="37" t="s">
        <v>23</v>
      </c>
      <c r="H173" s="47" t="s">
        <v>280</v>
      </c>
      <c r="I173" s="37"/>
      <c r="J173" s="39">
        <v>45176</v>
      </c>
      <c r="K173" s="37"/>
      <c r="L173" s="37" t="s">
        <v>281</v>
      </c>
      <c r="M173" s="40">
        <v>1</v>
      </c>
      <c r="N173" s="38">
        <v>60</v>
      </c>
      <c r="O173" s="37" t="s">
        <v>282</v>
      </c>
      <c r="P173" s="41">
        <v>60811</v>
      </c>
      <c r="Q173" s="42"/>
      <c r="R173" s="48" t="s">
        <v>283</v>
      </c>
      <c r="S173" s="49">
        <v>0.2</v>
      </c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3648660</v>
      </c>
      <c r="Y173" s="50">
        <f>IF(NOTA[[#This Row],[JUMLAH]]="","",NOTA[[#This Row],[JUMLAH]]*NOTA[[#This Row],[DISC 1]])</f>
        <v>729732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729732</v>
      </c>
      <c r="AC173" s="50">
        <f>IF(NOTA[[#This Row],[JUMLAH]]="","",NOTA[[#This Row],[JUMLAH]]-NOTA[[#This Row],[DISC]])</f>
        <v>2918928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729732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2918928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3648660</v>
      </c>
      <c r="AH173" s="50">
        <f>IF(OR(NOTA[[#This Row],[QTY]]="",NOTA[[#This Row],[HARGA SATUAN]]="",),"",NOTA[[#This Row],[QTY]]*NOTA[[#This Row],[HARGA SATUAN]])</f>
        <v>3648660</v>
      </c>
      <c r="AI173" s="39">
        <f ca="1">IF(NOTA[ID_H]="","",INDEX(NOTA[TANGGAL],MATCH(,INDIRECT(ADDRESS(ROW(NOTA[TANGGAL]),COLUMN(NOTA[TANGGAL]))&amp;":"&amp;ADDRESS(ROW(),COLUMN(NOTA[TANGGAL]))),-1)))</f>
        <v>45180</v>
      </c>
      <c r="AJ173" s="41" t="str">
        <f ca="1">IF(NOTA[[#This Row],[NAMA BARANG]]="","",INDEX(NOTA[SUPPLIER],MATCH(,INDIRECT(ADDRESS(ROW(NOTA[ID]),COLUMN(NOTA[ID]))&amp;":"&amp;ADDRESS(ROW(),COLUMN(NOTA[ID]))),-1)))</f>
        <v>NCL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1</v>
      </c>
      <c r="AM173" s="38">
        <f>IF(NOTA[[#This Row],[TGL.NOTA]]="",IF(NOTA[[#This Row],[SUPPLIER_H]]="","",AM172),MONTH(NOTA[[#This Row],[TGL.NOTA]]))</f>
        <v>9</v>
      </c>
      <c r="AN173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balonmacaron102220x5lkm220036486600.2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balonmacaron102220x5lkm220036486600.2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NCLARTO MORONCL-R230900001045176balonmacaron102220x5lkm2200</v>
      </c>
      <c r="AR173" s="38" t="e">
        <f>IF(NOTA[[#This Row],[CONCAT4]]="","",_xlfn.IFNA(MATCH(NOTA[[#This Row],[CONCAT4]],[2]!RAW[CONCAT_H],0),FALSE))</f>
        <v>#REF!</v>
      </c>
      <c r="AS173" s="38" t="e">
        <f>IF(NOTA[[#This Row],[CONCAT1]]="","",MATCH(NOTA[[#This Row],[CONCAT1]],[3]!db[NB NOTA_C],0))</f>
        <v>#N/A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60 LPG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LAY_0909_035-1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24</v>
      </c>
      <c r="E175" s="46">
        <v>45178</v>
      </c>
      <c r="F175" s="37" t="s">
        <v>27</v>
      </c>
      <c r="G175" s="37" t="s">
        <v>23</v>
      </c>
      <c r="H175" s="47" t="s">
        <v>284</v>
      </c>
      <c r="I175" s="37"/>
      <c r="J175" s="39" t="s">
        <v>285</v>
      </c>
      <c r="K175" s="37"/>
      <c r="L175" s="37" t="s">
        <v>286</v>
      </c>
      <c r="M175" s="40">
        <v>20</v>
      </c>
      <c r="N175" s="38">
        <v>2000</v>
      </c>
      <c r="O175" s="37" t="s">
        <v>287</v>
      </c>
      <c r="P175" s="41">
        <v>14000</v>
      </c>
      <c r="Q175" s="42"/>
      <c r="R175" s="48" t="s">
        <v>288</v>
      </c>
      <c r="S175" s="49">
        <v>0.1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28000000</v>
      </c>
      <c r="Y175" s="50">
        <f>IF(NOTA[[#This Row],[JUMLAH]]="","",NOTA[[#This Row],[JUMLAH]]*NOTA[[#This Row],[DISC 1]])</f>
        <v>2800000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2800000</v>
      </c>
      <c r="AC175" s="50">
        <f>IF(NOTA[[#This Row],[JUMLAH]]="","",NOTA[[#This Row],[JUMLAH]]-NOTA[[#This Row],[DISC]])</f>
        <v>25200000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75" s="50">
        <f>IF(OR(NOTA[[#This Row],[QTY]]="",NOTA[[#This Row],[HARGA SATUAN]]="",),"",NOTA[[#This Row],[QTY]]*NOTA[[#This Row],[HARGA SATUAN]])</f>
        <v>28000000</v>
      </c>
      <c r="AI175" s="39">
        <f ca="1">IF(NOTA[ID_H]="","",INDEX(NOTA[TANGGAL],MATCH(,INDIRECT(ADDRESS(ROW(NOTA[TANGGAL]),COLUMN(NOTA[TANGGAL]))&amp;":"&amp;ADDRESS(ROW(),COLUMN(NOTA[TANGGAL]))),-1)))</f>
        <v>45178</v>
      </c>
      <c r="AJ175" s="41" t="str">
        <f ca="1">IF(NOTA[[#This Row],[NAMA BARANG]]="","",INDEX(NOTA[SUPPLIER],MATCH(,INDIRECT(ADDRESS(ROW(NOTA[ID]),COLUMN(NOTA[ID]))&amp;":"&amp;ADDRESS(ROW(),COLUMN(NOTA[ID]))),-1)))</f>
        <v>LAYS</v>
      </c>
      <c r="AK175" s="41" t="str">
        <f ca="1">IF(NOTA[[#This Row],[ID_H]]="","",IF(NOTA[[#This Row],[FAKTUR]]="",INDIRECT(ADDRESS(ROW()-1,COLUMN())),NOTA[[#This Row],[FAKTUR]]))</f>
        <v>ARTO MORO</v>
      </c>
      <c r="AL175" s="38">
        <f ca="1">IF(NOTA[[#This Row],[ID]]="","",COUNTIF(NOTA[ID_H],NOTA[[#This Row],[ID_H]]))</f>
        <v>1</v>
      </c>
      <c r="AM175" s="38" t="e">
        <f>IF(NOTA[[#This Row],[TGL.NOTA]]="",IF(NOTA[[#This Row],[SUPPLIER_H]]="","",AM174),MONTH(NOTA[[#This Row],[TGL.NOTA]]))</f>
        <v>#VALUE!</v>
      </c>
      <c r="AN17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MOROL1090350709/2023isigwno10</v>
      </c>
      <c r="AR175" s="38" t="e">
        <f>IF(NOTA[[#This Row],[CONCAT4]]="","",_xlfn.IFNA(MATCH(NOTA[[#This Row],[CONCAT4]],[2]!RAW[CONCAT_H],0),FALSE))</f>
        <v>#REF!</v>
      </c>
      <c r="AS175" s="38">
        <f>IF(NOTA[[#This Row],[CONCAT1]]="","",MATCH(NOTA[[#This Row],[CONCAT1]],[3]!db[NB NOTA_C],0))</f>
        <v>1222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100 PAK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COM_1109_913-1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25</v>
      </c>
      <c r="E177" s="46">
        <v>45180</v>
      </c>
      <c r="F177" s="37" t="s">
        <v>136</v>
      </c>
      <c r="G177" s="37" t="s">
        <v>124</v>
      </c>
      <c r="H177" s="47" t="s">
        <v>289</v>
      </c>
      <c r="I177" s="37"/>
      <c r="J177" s="39">
        <v>45180</v>
      </c>
      <c r="K177" s="37"/>
      <c r="L177" s="37" t="s">
        <v>290</v>
      </c>
      <c r="M177" s="40"/>
      <c r="N177" s="38">
        <v>2</v>
      </c>
      <c r="O177" s="37" t="s">
        <v>139</v>
      </c>
      <c r="P177" s="41">
        <v>260000</v>
      </c>
      <c r="Q177" s="42"/>
      <c r="R177" s="48"/>
      <c r="S177" s="49"/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520000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520000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520000</v>
      </c>
      <c r="AH177" s="50">
        <f>IF(OR(NOTA[[#This Row],[QTY]]="",NOTA[[#This Row],[HARGA SATUAN]]="",),"",NOTA[[#This Row],[QTY]]*NOTA[[#This Row],[HARGA SATUAN]])</f>
        <v>520000</v>
      </c>
      <c r="AI177" s="39">
        <f ca="1">IF(NOTA[ID_H]="","",INDEX(NOTA[TANGGAL],MATCH(,INDIRECT(ADDRESS(ROW(NOTA[TANGGAL]),COLUMN(NOTA[TANGGAL]))&amp;":"&amp;ADDRESS(ROW(),COLUMN(NOTA[TANGGAL]))),-1)))</f>
        <v>45180</v>
      </c>
      <c r="AJ177" s="41" t="str">
        <f ca="1">IF(NOTA[[#This Row],[NAMA BARANG]]="","",INDEX(NOTA[SUPPLIER],MATCH(,INDIRECT(ADDRESS(ROW(NOTA[ID]),COLUMN(NOTA[ID]))&amp;":"&amp;ADDRESS(ROW(),COLUMN(NOTA[ID]))),-1)))</f>
        <v>COMBI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9</v>
      </c>
      <c r="AN177" s="38" t="str">
        <f>LOWER(SUBSTITUTE(SUBSTITUTE(SUBSTITUTE(SUBSTITUTE(SUBSTITUTE(SUBSTITUTE(SUBSTITUTE(SUBSTITUTE(SUBSTITUTE(NOTA[NAMA BARANG]," ",),".",""),"-",""),"(",""),")",""),",",""),"/",""),"""",""),"+",""))</f>
        <v>docretoptima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docretoptima520000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docretoptima260000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COMBIUNTANA091345180docretoptima</v>
      </c>
      <c r="AR177" s="38" t="e">
        <f>IF(NOTA[[#This Row],[CONCAT4]]="","",_xlfn.IFNA(MATCH(NOTA[[#This Row],[CONCAT4]],[2]!RAW[CONCAT_H],0),FALSE))</f>
        <v>#REF!</v>
      </c>
      <c r="AS177" s="38" t="e">
        <f>IF(NOTA[[#This Row],[CONCAT1]]="","",MATCH(NOTA[[#This Row],[CONCAT1]],[3]!db[NB NOTA_C],0))</f>
        <v>#N/A</v>
      </c>
      <c r="AT177" s="38" t="str">
        <f>IF(NOTA[[#This Row],[QTY/ CTN]]="","",TRUE)</f>
        <v/>
      </c>
      <c r="AU177" s="38" t="e">
        <f ca="1">IF(NOTA[[#This Row],[ID_H]]="","",IF(NOTA[[#This Row],[Column3]]=TRUE,NOTA[[#This Row],[QTY/ CTN]],INDEX([3]!db[QTY/ CTN],NOTA[[#This Row],[//DB]])))</f>
        <v>#N/A</v>
      </c>
      <c r="AV1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77" s="38" t="e">
        <f ca="1">IF(NOTA[[#This Row],[ID_H]]="","",MATCH(NOTA[[#This Row],[NB NOTA_C_QTY]],[4]!db[NB NOTA_C_QTY+F],0))</f>
        <v>#N/A</v>
      </c>
      <c r="AX177" s="53" t="e">
        <f ca="1">IF(NOTA[[#This Row],[NB NOTA_C_QTY]]="","",ROW()-2)</f>
        <v>#N/A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PPW_0909_X23-3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26</v>
      </c>
      <c r="E179" s="46">
        <v>45178</v>
      </c>
      <c r="F179" s="37" t="s">
        <v>291</v>
      </c>
      <c r="G179" s="37" t="s">
        <v>124</v>
      </c>
      <c r="H179" s="47" t="s">
        <v>292</v>
      </c>
      <c r="I179" s="37"/>
      <c r="J179" s="39">
        <v>45175</v>
      </c>
      <c r="K179" s="37"/>
      <c r="L179" s="37" t="s">
        <v>293</v>
      </c>
      <c r="M179" s="40">
        <v>5</v>
      </c>
      <c r="N179" s="38">
        <v>500</v>
      </c>
      <c r="O179" s="37" t="s">
        <v>139</v>
      </c>
      <c r="P179" s="41">
        <v>26780</v>
      </c>
      <c r="Q179" s="42"/>
      <c r="R179" s="48" t="s">
        <v>294</v>
      </c>
      <c r="S179" s="49">
        <v>0.2</v>
      </c>
      <c r="T179" s="44">
        <v>0.04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13390000</v>
      </c>
      <c r="Y179" s="50">
        <f>IF(NOTA[[#This Row],[JUMLAH]]="","",NOTA[[#This Row],[JUMLAH]]*NOTA[[#This Row],[DISC 1]])</f>
        <v>2678000</v>
      </c>
      <c r="Z179" s="50">
        <f>IF(NOTA[[#This Row],[JUMLAH]]="","",(NOTA[[#This Row],[JUMLAH]]-NOTA[[#This Row],[DISC 1-]])*NOTA[[#This Row],[DISC 2]])</f>
        <v>428480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3106480</v>
      </c>
      <c r="AC179" s="50">
        <f>IF(NOTA[[#This Row],[JUMLAH]]="","",NOTA[[#This Row],[JUMLAH]]-NOTA[[#This Row],[DISC]])</f>
        <v>10283520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179" s="50">
        <f>IF(OR(NOTA[[#This Row],[QTY]]="",NOTA[[#This Row],[HARGA SATUAN]]="",),"",NOTA[[#This Row],[QTY]]*NOTA[[#This Row],[HARGA SATUAN]])</f>
        <v>13390000</v>
      </c>
      <c r="AI179" s="39">
        <f ca="1">IF(NOTA[ID_H]="","",INDEX(NOTA[TANGGAL],MATCH(,INDIRECT(ADDRESS(ROW(NOTA[TANGGAL]),COLUMN(NOTA[TANGGAL]))&amp;":"&amp;ADDRESS(ROW(),COLUMN(NOTA[TANGGAL]))),-1)))</f>
        <v>45178</v>
      </c>
      <c r="AJ179" s="41" t="str">
        <f ca="1">IF(NOTA[[#This Row],[NAMA BARANG]]="","",INDEX(NOTA[SUPPLIER],MATCH(,INDIRECT(ADDRESS(ROW(NOTA[ID]),COLUMN(NOTA[ID]))&amp;":"&amp;ADDRESS(ROW(),COLUMN(NOTA[ID]))),-1)))</f>
        <v>PPW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3</v>
      </c>
      <c r="AM179" s="38">
        <f>IF(NOTA[[#This Row],[TGL.NOTA]]="",IF(NOTA[[#This Row],[SUPPLIER_H]]="","",AM178),MONTH(NOTA[[#This Row],[TGL.NOTA]]))</f>
        <v>9</v>
      </c>
      <c r="AN179" s="38" t="str">
        <f>LOWER(SUBSTITUTE(SUBSTITUTE(SUBSTITUTE(SUBSTITUTE(SUBSTITUTE(SUBSTITUTE(SUBSTITUTE(SUBSTITUTE(SUBSTITUTE(NOTA[NAMA BARANG]," ",),".",""),"-",""),"(",""),")",""),",",""),"/",""),"""",""),"+",""))</f>
        <v>bt30cm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PPWUNTANA0067/HW/IX/2345175bt30cm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421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CTN]],INDEX([3]!db[QTY/ CTN],NOTA[[#This Row],[//DB]])))</f>
        <v>100 LSN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26</v>
      </c>
      <c r="E180" s="46"/>
      <c r="F180" s="37"/>
      <c r="G180" s="37"/>
      <c r="H180" s="47"/>
      <c r="I180" s="37"/>
      <c r="J180" s="39"/>
      <c r="K180" s="37"/>
      <c r="L180" s="37" t="s">
        <v>295</v>
      </c>
      <c r="M180" s="40">
        <v>1</v>
      </c>
      <c r="N180" s="38">
        <v>16</v>
      </c>
      <c r="O180" s="37" t="s">
        <v>139</v>
      </c>
      <c r="P180" s="41">
        <v>63180</v>
      </c>
      <c r="Q180" s="42"/>
      <c r="R180" s="48" t="s">
        <v>296</v>
      </c>
      <c r="S180" s="49">
        <v>0.2</v>
      </c>
      <c r="T180" s="44">
        <v>0.04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1010880</v>
      </c>
      <c r="Y180" s="50">
        <f>IF(NOTA[[#This Row],[JUMLAH]]="","",NOTA[[#This Row],[JUMLAH]]*NOTA[[#This Row],[DISC 1]])</f>
        <v>202176</v>
      </c>
      <c r="Z180" s="50">
        <f>IF(NOTA[[#This Row],[JUMLAH]]="","",(NOTA[[#This Row],[JUMLAH]]-NOTA[[#This Row],[DISC 1-]])*NOTA[[#This Row],[DISC 2]])</f>
        <v>32348.16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234524.16</v>
      </c>
      <c r="AC180" s="50">
        <f>IF(NOTA[[#This Row],[JUMLAH]]="","",NOTA[[#This Row],[JUMLAH]]-NOTA[[#This Row],[DISC]])</f>
        <v>776355.83999999997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180" s="50">
        <f>IF(OR(NOTA[[#This Row],[QTY]]="",NOTA[[#This Row],[HARGA SATUAN]]="",),"",NOTA[[#This Row],[QTY]]*NOTA[[#This Row],[HARGA SATUAN]])</f>
        <v>1010880</v>
      </c>
      <c r="AI180" s="39">
        <f ca="1">IF(NOTA[ID_H]="","",INDEX(NOTA[TANGGAL],MATCH(,INDIRECT(ADDRESS(ROW(NOTA[TANGGAL]),COLUMN(NOTA[TANGGAL]))&amp;":"&amp;ADDRESS(ROW(),COLUMN(NOTA[TANGGAL]))),-1)))</f>
        <v>45178</v>
      </c>
      <c r="AJ180" s="41" t="str">
        <f ca="1">IF(NOTA[[#This Row],[NAMA BARANG]]="","",INDEX(NOTA[SUPPLIER],MATCH(,INDIRECT(ADDRESS(ROW(NOTA[ID]),COLUMN(NOTA[ID]))&amp;":"&amp;ADDRESS(ROW(),COLUMN(NOTA[ID]))),-1)))</f>
        <v>PPW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9</v>
      </c>
      <c r="AN180" s="38" t="str">
        <f>LOWER(SUBSTITUTE(SUBSTITUTE(SUBSTITUTE(SUBSTITUTE(SUBSTITUTE(SUBSTITUTE(SUBSTITUTE(SUBSTITUTE(SUBSTITUTE(NOTA[NAMA BARANG]," ",),".",""),"-",""),"(",""),")",""),",",""),"/",""),"""",""),"+",""))</f>
        <v>segitigabtno6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segitigabtno610108800.20.04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2417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16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26</v>
      </c>
      <c r="E181" s="46"/>
      <c r="F181" s="37"/>
      <c r="G181" s="37"/>
      <c r="H181" s="47"/>
      <c r="I181" s="37"/>
      <c r="J181" s="39"/>
      <c r="K181" s="37"/>
      <c r="L181" s="37" t="s">
        <v>297</v>
      </c>
      <c r="M181" s="40">
        <v>1</v>
      </c>
      <c r="N181" s="38">
        <v>16</v>
      </c>
      <c r="O181" s="37" t="s">
        <v>139</v>
      </c>
      <c r="P181" s="41">
        <v>179780</v>
      </c>
      <c r="Q181" s="42"/>
      <c r="R181" s="48" t="s">
        <v>296</v>
      </c>
      <c r="S181" s="49">
        <v>0.2</v>
      </c>
      <c r="T181" s="44">
        <v>0.04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2876480</v>
      </c>
      <c r="Y181" s="50">
        <f>IF(NOTA[[#This Row],[JUMLAH]]="","",NOTA[[#This Row],[JUMLAH]]*NOTA[[#This Row],[DISC 1]])</f>
        <v>575296</v>
      </c>
      <c r="Z181" s="50">
        <f>IF(NOTA[[#This Row],[JUMLAH]]="","",(NOTA[[#This Row],[JUMLAH]]-NOTA[[#This Row],[DISC 1-]])*NOTA[[#This Row],[DISC 2]])</f>
        <v>92047.360000000001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667343.35999999999</v>
      </c>
      <c r="AC181" s="50">
        <f>IF(NOTA[[#This Row],[JUMLAH]]="","",NOTA[[#This Row],[JUMLAH]]-NOTA[[#This Row],[DISC]])</f>
        <v>2209136.6400000001</v>
      </c>
      <c r="AD181" s="50"/>
      <c r="AE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4008347.52</v>
      </c>
      <c r="AF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13269012.48</v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181" s="50">
        <f>IF(OR(NOTA[[#This Row],[QTY]]="",NOTA[[#This Row],[HARGA SATUAN]]="",),"",NOTA[[#This Row],[QTY]]*NOTA[[#This Row],[HARGA SATUAN]])</f>
        <v>2876480</v>
      </c>
      <c r="AI181" s="39">
        <f ca="1">IF(NOTA[ID_H]="","",INDEX(NOTA[TANGGAL],MATCH(,INDIRECT(ADDRESS(ROW(NOTA[TANGGAL]),COLUMN(NOTA[TANGGAL]))&amp;":"&amp;ADDRESS(ROW(),COLUMN(NOTA[TANGGAL]))),-1)))</f>
        <v>45178</v>
      </c>
      <c r="AJ181" s="41" t="str">
        <f ca="1">IF(NOTA[[#This Row],[NAMA BARANG]]="","",INDEX(NOTA[SUPPLIER],MATCH(,INDIRECT(ADDRESS(ROW(NOTA[ID]),COLUMN(NOTA[ID]))&amp;":"&amp;ADDRESS(ROW(),COLUMN(NOTA[ID]))),-1)))</f>
        <v>PPW</v>
      </c>
      <c r="AK181" s="41" t="str">
        <f ca="1">IF(NOTA[[#This Row],[ID_H]]="","",IF(NOTA[[#This Row],[FAKTUR]]="",INDIRECT(ADDRESS(ROW()-1,COLUMN())),NOTA[[#This Row],[FAKTUR]]))</f>
        <v>UNTANA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9</v>
      </c>
      <c r="AN181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2413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16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2" s="50" t="str">
        <f>IF(OR(NOTA[[#This Row],[QTY]]="",NOTA[[#This Row],[HARGA SATUAN]]="",),"",NOTA[[#This Row],[QTY]]*NOTA[[#This Row],[HARGA SATUAN]])</f>
        <v/>
      </c>
      <c r="AI182" s="39" t="str">
        <f ca="1">IF(NOTA[ID_H]="","",INDEX(NOTA[TANGGAL],MATCH(,INDIRECT(ADDRESS(ROW(NOTA[TANGGAL]),COLUMN(NOTA[TANGGAL]))&amp;":"&amp;ADDRESS(ROW(),COLUMN(NOTA[TANGGAL]))),-1)))</f>
        <v/>
      </c>
      <c r="AJ182" s="41" t="str">
        <f ca="1">IF(NOTA[[#This Row],[NAMA BARANG]]="","",INDEX(NOTA[SUPPLIER],MATCH(,INDIRECT(ADDRESS(ROW(NOTA[ID]),COLUMN(NOTA[ID]))&amp;":"&amp;ADDRESS(ROW(),COLUMN(NOTA[ID]))),-1)))</f>
        <v/>
      </c>
      <c r="AK182" s="41" t="str">
        <f ca="1">IF(NOTA[[#This Row],[ID_H]]="","",IF(NOTA[[#This Row],[FAKTUR]]="",INDIRECT(ADDRESS(ROW()-1,COLUMN())),NOTA[[#This Row],[FAKTUR]]))</f>
        <v/>
      </c>
      <c r="AL182" s="38" t="str">
        <f ca="1">IF(NOTA[[#This Row],[ID]]="","",COUNTIF(NOTA[ID_H],NOTA[[#This Row],[ID_H]]))</f>
        <v/>
      </c>
      <c r="AM182" s="38" t="str">
        <f ca="1">IF(NOTA[[#This Row],[TGL.NOTA]]="",IF(NOTA[[#This Row],[SUPPLIER_H]]="","",AM181),MONTH(NOTA[[#This Row],[TGL.NOTA]]))</f>
        <v/>
      </c>
      <c r="AN182" s="38" t="str">
        <f>LOWER(SUBSTITUTE(SUBSTITUTE(SUBSTITUTE(SUBSTITUTE(SUBSTITUTE(SUBSTITUTE(SUBSTITUTE(SUBSTITUTE(SUBSTITUTE(NOTA[NAMA BARANG]," ",),".",""),"-",""),"(",""),")",""),",",""),"/",""),"""",""),"+",""))</f>
        <v/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 t="str">
        <f>IF(NOTA[[#This Row],[CONCAT1]]="","",MATCH(NOTA[[#This Row],[CONCAT1]],[3]!db[NB NOTA_C],0))</f>
        <v/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/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2" s="38" t="str">
        <f ca="1">IF(NOTA[[#This Row],[ID_H]]="","",MATCH(NOTA[[#This Row],[NB NOTA_C_QTY]],[4]!db[NB NOTA_C_QTY+F],0))</f>
        <v/>
      </c>
      <c r="AX182" s="53" t="str">
        <f ca="1">IF(NOTA[[#This Row],[NB NOTA_C_QTY]]="","",ROW()-2)</f>
        <v/>
      </c>
    </row>
    <row r="183" spans="1:50" s="38" customFormat="1" ht="20.100000000000001" customHeight="1" x14ac:dyDescent="0.25">
      <c r="A18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DBS_1109_823-1</v>
      </c>
      <c r="C183" s="38" t="e">
        <f ca="1">IF(NOTA[[#This Row],[ID_P]]="","",MATCH(NOTA[[#This Row],[ID_P]],[1]!B_MSK[N_ID],0))</f>
        <v>#REF!</v>
      </c>
      <c r="D183" s="38">
        <f ca="1">IF(NOTA[[#This Row],[NAMA BARANG]]="","",INDEX(NOTA[ID],MATCH(,INDIRECT(ADDRESS(ROW(NOTA[ID]),COLUMN(NOTA[ID]))&amp;":"&amp;ADDRESS(ROW(),COLUMN(NOTA[ID]))),-1)))</f>
        <v>27</v>
      </c>
      <c r="E183" s="46">
        <v>45180</v>
      </c>
      <c r="F183" s="37" t="s">
        <v>298</v>
      </c>
      <c r="G183" s="37" t="s">
        <v>124</v>
      </c>
      <c r="H183" s="47" t="s">
        <v>299</v>
      </c>
      <c r="I183" s="37"/>
      <c r="J183" s="39">
        <v>45177</v>
      </c>
      <c r="K183" s="37"/>
      <c r="L183" s="37" t="s">
        <v>300</v>
      </c>
      <c r="M183" s="40">
        <v>5</v>
      </c>
      <c r="N183" s="38">
        <v>480</v>
      </c>
      <c r="O183" s="37" t="s">
        <v>139</v>
      </c>
      <c r="P183" s="41">
        <v>31500</v>
      </c>
      <c r="Q183" s="42"/>
      <c r="R183" s="48" t="s">
        <v>301</v>
      </c>
      <c r="S183" s="49"/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15120000</v>
      </c>
      <c r="Y183" s="50">
        <f>IF(NOTA[[#This Row],[JUMLAH]]="","",NOTA[[#This Row],[JUMLAH]]*NOTA[[#This Row],[DISC 1]])</f>
        <v>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0</v>
      </c>
      <c r="AC183" s="50">
        <f>IF(NOTA[[#This Row],[JUMLAH]]="","",NOTA[[#This Row],[JUMLAH]]-NOTA[[#This Row],[DISC]])</f>
        <v>15120000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15120000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83" s="50">
        <f>IF(OR(NOTA[[#This Row],[QTY]]="",NOTA[[#This Row],[HARGA SATUAN]]="",),"",NOTA[[#This Row],[QTY]]*NOTA[[#This Row],[HARGA SATUAN]])</f>
        <v>15120000</v>
      </c>
      <c r="AI183" s="39">
        <f ca="1">IF(NOTA[ID_H]="","",INDEX(NOTA[TANGGAL],MATCH(,INDIRECT(ADDRESS(ROW(NOTA[TANGGAL]),COLUMN(NOTA[TANGGAL]))&amp;":"&amp;ADDRESS(ROW(),COLUMN(NOTA[TANGGAL]))),-1)))</f>
        <v>45180</v>
      </c>
      <c r="AJ183" s="41" t="str">
        <f ca="1">IF(NOTA[[#This Row],[NAMA BARANG]]="","",INDEX(NOTA[SUPPLIER],MATCH(,INDIRECT(ADDRESS(ROW(NOTA[ID]),COLUMN(NOTA[ID]))&amp;":"&amp;ADDRESS(ROW(),COLUMN(NOTA[ID]))),-1)))</f>
        <v>DB STATIONERY</v>
      </c>
      <c r="AK183" s="41" t="str">
        <f ca="1">IF(NOTA[[#This Row],[ID_H]]="","",IF(NOTA[[#This Row],[FAKTUR]]="",INDIRECT(ADDRESS(ROW()-1,COLUMN())),NOTA[[#This Row],[FAKTUR]]))</f>
        <v>UNTANA</v>
      </c>
      <c r="AL183" s="38">
        <f ca="1">IF(NOTA[[#This Row],[ID]]="","",COUNTIF(NOTA[ID_H],NOTA[[#This Row],[ID_H]]))</f>
        <v>1</v>
      </c>
      <c r="AM183" s="38">
        <f>IF(NOTA[[#This Row],[TGL.NOTA]]="",IF(NOTA[[#This Row],[SUPPLIER_H]]="","",AM182),MONTH(NOTA[[#This Row],[TGL.NOTA]]))</f>
        <v>9</v>
      </c>
      <c r="AN183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STATIONERYUNTANAJUI158/2345177gel10tg340bibiru</v>
      </c>
      <c r="AR183" s="38" t="e">
        <f>IF(NOTA[[#This Row],[CONCAT4]]="","",_xlfn.IFNA(MATCH(NOTA[[#This Row],[CONCAT4]],[2]!RAW[CONCAT_H],0),FALSE))</f>
        <v>#REF!</v>
      </c>
      <c r="AS183" s="38">
        <f>IF(NOTA[[#This Row],[CONCAT1]]="","",MATCH(NOTA[[#This Row],[CONCAT1]],[3]!db[NB NOTA_C],0))</f>
        <v>878</v>
      </c>
      <c r="AT183" s="38" t="b">
        <f>IF(NOTA[[#This Row],[QTY/ CTN]]="","",TRUE)</f>
        <v>1</v>
      </c>
      <c r="AU183" s="38" t="str">
        <f ca="1">IF(NOTA[[#This Row],[ID_H]]="","",IF(NOTA[[#This Row],[Column3]]=TRUE,NOTA[[#This Row],[QTY/ CTN]],INDEX([3]!db[QTY/ CTN],NOTA[[#This Row],[//DB]])))</f>
        <v>96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41" t="str">
        <f ca="1">IF(NOTA[[#This Row],[NAMA BARANG]]="","",INDEX(NOTA[SUPPLIER],MATCH(,INDIRECT(ADDRESS(ROW(NOTA[ID]),COLUMN(NOTA[ID]))&amp;":"&amp;ADDRESS(ROW(),COLUMN(NOTA[ID]))),-1)))</f>
        <v/>
      </c>
      <c r="AK184" s="41" t="str">
        <f ca="1">IF(NOTA[[#This Row],[ID_H]]="","",IF(NOTA[[#This Row],[FAKTUR]]="",INDIRECT(ADDRESS(ROW()-1,COLUMN())),NOTA[[#This Row],[FAKTUR]]))</f>
        <v/>
      </c>
      <c r="AL184" s="38" t="str">
        <f ca="1">IF(NOTA[[#This Row],[ID]]="","",COUNTIF(NOTA[ID_H],NOTA[[#This Row],[ID_H]]))</f>
        <v/>
      </c>
      <c r="AM184" s="38" t="str">
        <f ca="1">IF(NOTA[[#This Row],[TGL.NOTA]]="",IF(NOTA[[#This Row],[SUPPLIER_H]]="","",AM183),MONTH(NOTA[[#This Row],[TGL.NOTA]]))</f>
        <v/>
      </c>
      <c r="AN184" s="38" t="str">
        <f>LOWER(SUBSTITUTE(SUBSTITUTE(SUBSTITUTE(SUBSTITUTE(SUBSTITUTE(SUBSTITUTE(SUBSTITUTE(SUBSTITUTE(SUBSTITUTE(NOTA[NAMA BARANG]," ",),".",""),"-",""),"(",""),")",""),",",""),"/",""),"""",""),"+",""))</f>
        <v/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 t="str">
        <f>IF(NOTA[[#This Row],[CONCAT1]]="","",MATCH(NOTA[[#This Row],[CONCAT1]],[3]!db[NB NOTA_C],0))</f>
        <v/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/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4" s="38" t="str">
        <f ca="1">IF(NOTA[[#This Row],[ID_H]]="","",MATCH(NOTA[[#This Row],[NB NOTA_C_QTY]],[4]!db[NB NOTA_C_QTY+F],0))</f>
        <v/>
      </c>
      <c r="AX184" s="53" t="str">
        <f ca="1">IF(NOTA[[#This Row],[NB NOTA_C_QTY]]="","",ROW()-2)</f>
        <v/>
      </c>
    </row>
    <row r="185" spans="1:50" s="38" customFormat="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ETJ_0909_823-2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28</v>
      </c>
      <c r="E185" s="46">
        <v>45178</v>
      </c>
      <c r="F185" s="37" t="s">
        <v>302</v>
      </c>
      <c r="G185" s="37" t="s">
        <v>124</v>
      </c>
      <c r="H185" s="47" t="s">
        <v>303</v>
      </c>
      <c r="I185" s="37"/>
      <c r="J185" s="39">
        <v>45175</v>
      </c>
      <c r="K185" s="37"/>
      <c r="L185" s="37" t="s">
        <v>304</v>
      </c>
      <c r="M185" s="40">
        <v>3</v>
      </c>
      <c r="N185" s="38">
        <v>6000</v>
      </c>
      <c r="O185" s="37" t="s">
        <v>127</v>
      </c>
      <c r="P185" s="41">
        <v>1000</v>
      </c>
      <c r="Q185" s="42"/>
      <c r="R185" s="48" t="s">
        <v>305</v>
      </c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6000000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6000000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185" s="50">
        <f>IF(OR(NOTA[[#This Row],[QTY]]="",NOTA[[#This Row],[HARGA SATUAN]]="",),"",NOTA[[#This Row],[QTY]]*NOTA[[#This Row],[HARGA SATUAN]])</f>
        <v>6000000</v>
      </c>
      <c r="AI185" s="39">
        <f ca="1">IF(NOTA[ID_H]="","",INDEX(NOTA[TANGGAL],MATCH(,INDIRECT(ADDRESS(ROW(NOTA[TANGGAL]),COLUMN(NOTA[TANGGAL]))&amp;":"&amp;ADDRESS(ROW(),COLUMN(NOTA[TANGGAL]))),-1)))</f>
        <v>45178</v>
      </c>
      <c r="AJ185" s="41" t="str">
        <f ca="1">IF(NOTA[[#This Row],[NAMA BARANG]]="","",INDEX(NOTA[SUPPLIER],MATCH(,INDIRECT(ADDRESS(ROW(NOTA[ID]),COLUMN(NOTA[ID]))&amp;":"&amp;ADDRESS(ROW(),COLUMN(NOTA[ID]))),-1)))</f>
        <v>ETJ</v>
      </c>
      <c r="AK185" s="41" t="str">
        <f ca="1">IF(NOTA[[#This Row],[ID_H]]="","",IF(NOTA[[#This Row],[FAKTUR]]="",INDIRECT(ADDRESS(ROW()-1,COLUMN())),NOTA[[#This Row],[FAKTUR]]))</f>
        <v>UNTANA</v>
      </c>
      <c r="AL185" s="38">
        <f ca="1">IF(NOTA[[#This Row],[ID]]="","",COUNTIF(NOTA[ID_H],NOTA[[#This Row],[ID_H]]))</f>
        <v>2</v>
      </c>
      <c r="AM185" s="38">
        <f>IF(NOTA[[#This Row],[TGL.NOTA]]="",IF(NOTA[[#This Row],[SUPPLIER_H]]="","",AM184),MONTH(NOTA[[#This Row],[TGL.NOTA]]))</f>
        <v>9</v>
      </c>
      <c r="AN185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tintamotex1line20mm2000000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tintamotex1line20mm2000000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ETJUNTANA158.2345175tintamotex1line20mm</v>
      </c>
      <c r="AR185" s="38" t="e">
        <f>IF(NOTA[[#This Row],[CONCAT4]]="","",_xlfn.IFNA(MATCH(NOTA[[#This Row],[CONCAT4]],[2]!RAW[CONCAT_H],0),FALSE))</f>
        <v>#REF!</v>
      </c>
      <c r="AS185" s="38" t="e">
        <f>IF(NOTA[[#This Row],[CONCAT1]]="","",MATCH(NOTA[[#This Row],[CONCAT1]],[3]!db[NB NOTA_C],0))</f>
        <v>#N/A</v>
      </c>
      <c r="AT185" s="38" t="b">
        <f>IF(NOTA[[#This Row],[QTY/ CTN]]="","",TRUE)</f>
        <v>1</v>
      </c>
      <c r="AU185" s="38" t="str">
        <f ca="1">IF(NOTA[[#This Row],[ID_H]]="","",IF(NOTA[[#This Row],[Column3]]=TRUE,NOTA[[#This Row],[QTY/ CTN]],INDEX([3]!db[QTY/ CTN],NOTA[[#This Row],[//DB]])))</f>
        <v>2000 PCS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28</v>
      </c>
      <c r="E186" s="46"/>
      <c r="F186" s="37"/>
      <c r="G186" s="37"/>
      <c r="H186" s="47"/>
      <c r="I186" s="37"/>
      <c r="J186" s="39"/>
      <c r="K186" s="37"/>
      <c r="L186" s="37" t="s">
        <v>304</v>
      </c>
      <c r="M186" s="40"/>
      <c r="N186" s="38">
        <v>1284</v>
      </c>
      <c r="O186" s="37" t="s">
        <v>127</v>
      </c>
      <c r="P186" s="41">
        <v>1000</v>
      </c>
      <c r="Q186" s="42"/>
      <c r="R186" s="48" t="s">
        <v>305</v>
      </c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1284000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1284000</v>
      </c>
      <c r="AD186" s="50"/>
      <c r="AE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7284000</v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186" s="50">
        <f>IF(OR(NOTA[[#This Row],[QTY]]="",NOTA[[#This Row],[HARGA SATUAN]]="",),"",NOTA[[#This Row],[QTY]]*NOTA[[#This Row],[HARGA SATUAN]])</f>
        <v>1284000</v>
      </c>
      <c r="AI186" s="39">
        <f ca="1">IF(NOTA[ID_H]="","",INDEX(NOTA[TANGGAL],MATCH(,INDIRECT(ADDRESS(ROW(NOTA[TANGGAL]),COLUMN(NOTA[TANGGAL]))&amp;":"&amp;ADDRESS(ROW(),COLUMN(NOTA[TANGGAL]))),-1)))</f>
        <v>45178</v>
      </c>
      <c r="AJ186" s="41" t="str">
        <f ca="1">IF(NOTA[[#This Row],[NAMA BARANG]]="","",INDEX(NOTA[SUPPLIER],MATCH(,INDIRECT(ADDRESS(ROW(NOTA[ID]),COLUMN(NOTA[ID]))&amp;":"&amp;ADDRESS(ROW(),COLUMN(NOTA[ID]))),-1)))</f>
        <v>ETJ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9</v>
      </c>
      <c r="AN186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tintamotex1line20mm1284000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tintamotex1line20mm1000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 t="e">
        <f>IF(NOTA[[#This Row],[CONCAT1]]="","",MATCH(NOTA[[#This Row],[CONCAT1]],[3]!db[NB NOTA_C],0))</f>
        <v>#N/A</v>
      </c>
      <c r="AT186" s="38" t="b">
        <f>IF(NOTA[[#This Row],[QTY/ CTN]]="","",TRUE)</f>
        <v>1</v>
      </c>
      <c r="AU186" s="38" t="str">
        <f ca="1">IF(NOTA[[#This Row],[ID_H]]="","",IF(NOTA[[#This Row],[Column3]]=TRUE,NOTA[[#This Row],[QTY/ CTN]],INDEX([3]!db[QTY/ CTN],NOTA[[#This Row],[//DB]])))</f>
        <v>2000 PCS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7" s="50" t="str">
        <f>IF(OR(NOTA[[#This Row],[QTY]]="",NOTA[[#This Row],[HARGA SATUAN]]="",),"",NOTA[[#This Row],[QTY]]*NOTA[[#This Row],[HARGA SATUAN]])</f>
        <v/>
      </c>
      <c r="AI187" s="39" t="str">
        <f ca="1">IF(NOTA[ID_H]="","",INDEX(NOTA[TANGGAL],MATCH(,INDIRECT(ADDRESS(ROW(NOTA[TANGGAL]),COLUMN(NOTA[TANGGAL]))&amp;":"&amp;ADDRESS(ROW(),COLUMN(NOTA[TANGGAL]))),-1)))</f>
        <v/>
      </c>
      <c r="AJ187" s="41" t="str">
        <f ca="1">IF(NOTA[[#This Row],[NAMA BARANG]]="","",INDEX(NOTA[SUPPLIER],MATCH(,INDIRECT(ADDRESS(ROW(NOTA[ID]),COLUMN(NOTA[ID]))&amp;":"&amp;ADDRESS(ROW(),COLUMN(NOTA[ID]))),-1)))</f>
        <v/>
      </c>
      <c r="AK187" s="41" t="str">
        <f ca="1">IF(NOTA[[#This Row],[ID_H]]="","",IF(NOTA[[#This Row],[FAKTUR]]="",INDIRECT(ADDRESS(ROW()-1,COLUMN())),NOTA[[#This Row],[FAKTUR]]))</f>
        <v/>
      </c>
      <c r="AL187" s="38" t="str">
        <f ca="1">IF(NOTA[[#This Row],[ID]]="","",COUNTIF(NOTA[ID_H],NOTA[[#This Row],[ID_H]]))</f>
        <v/>
      </c>
      <c r="AM187" s="38" t="str">
        <f ca="1">IF(NOTA[[#This Row],[TGL.NOTA]]="",IF(NOTA[[#This Row],[SUPPLIER_H]]="","",AM186),MONTH(NOTA[[#This Row],[TGL.NOTA]]))</f>
        <v/>
      </c>
      <c r="AN187" s="38" t="str">
        <f>LOWER(SUBSTITUTE(SUBSTITUTE(SUBSTITUTE(SUBSTITUTE(SUBSTITUTE(SUBSTITUTE(SUBSTITUTE(SUBSTITUTE(SUBSTITUTE(NOTA[NAMA BARANG]," ",),".",""),"-",""),"(",""),")",""),",",""),"/",""),"""",""),"+",""))</f>
        <v/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 t="str">
        <f>IF(NOTA[[#This Row],[CONCAT1]]="","",MATCH(NOTA[[#This Row],[CONCAT1]],[3]!db[NB NOTA_C],0))</f>
        <v/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/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7" s="38" t="str">
        <f ca="1">IF(NOTA[[#This Row],[ID_H]]="","",MATCH(NOTA[[#This Row],[NB NOTA_C_QTY]],[4]!db[NB NOTA_C_QTY+F],0))</f>
        <v/>
      </c>
      <c r="AX187" s="53" t="str">
        <f ca="1">IF(NOTA[[#This Row],[NB NOTA_C_QTY]]="","",ROW()-2)</f>
        <v/>
      </c>
    </row>
    <row r="188" spans="1:50" s="38" customFormat="1" ht="20.100000000000001" customHeight="1" x14ac:dyDescent="0.25">
      <c r="A18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ETJ_1109_823-2</v>
      </c>
      <c r="C188" s="38" t="e">
        <f ca="1">IF(NOTA[[#This Row],[ID_P]]="","",MATCH(NOTA[[#This Row],[ID_P]],[1]!B_MSK[N_ID],0))</f>
        <v>#REF!</v>
      </c>
      <c r="D188" s="38">
        <f ca="1">IF(NOTA[[#This Row],[NAMA BARANG]]="","",INDEX(NOTA[ID],MATCH(,INDIRECT(ADDRESS(ROW(NOTA[ID]),COLUMN(NOTA[ID]))&amp;":"&amp;ADDRESS(ROW(),COLUMN(NOTA[ID]))),-1)))</f>
        <v>29</v>
      </c>
      <c r="E188" s="46">
        <v>45180</v>
      </c>
      <c r="F188" s="37" t="s">
        <v>302</v>
      </c>
      <c r="G188" s="37" t="s">
        <v>124</v>
      </c>
      <c r="H188" s="47" t="s">
        <v>306</v>
      </c>
      <c r="I188" s="37"/>
      <c r="J188" s="39">
        <v>45176</v>
      </c>
      <c r="K188" s="37"/>
      <c r="L188" s="37" t="s">
        <v>307</v>
      </c>
      <c r="M188" s="40">
        <v>1</v>
      </c>
      <c r="N188" s="38">
        <v>1000</v>
      </c>
      <c r="O188" s="37" t="s">
        <v>139</v>
      </c>
      <c r="P188" s="41">
        <v>8750</v>
      </c>
      <c r="Q188" s="42"/>
      <c r="R188" s="48" t="s">
        <v>308</v>
      </c>
      <c r="S188" s="49"/>
      <c r="T188" s="44"/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8750000</v>
      </c>
      <c r="Y188" s="50">
        <f>IF(NOTA[[#This Row],[JUMLAH]]="","",NOTA[[#This Row],[JUMLAH]]*NOTA[[#This Row],[DISC 1]])</f>
        <v>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0</v>
      </c>
      <c r="AC188" s="50">
        <f>IF(NOTA[[#This Row],[JUMLAH]]="","",NOTA[[#This Row],[JUMLAH]]-NOTA[[#This Row],[DISC]])</f>
        <v>8750000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H188" s="50">
        <f>IF(OR(NOTA[[#This Row],[QTY]]="",NOTA[[#This Row],[HARGA SATUAN]]="",),"",NOTA[[#This Row],[QTY]]*NOTA[[#This Row],[HARGA SATUAN]])</f>
        <v>8750000</v>
      </c>
      <c r="AI188" s="39">
        <f ca="1">IF(NOTA[ID_H]="","",INDEX(NOTA[TANGGAL],MATCH(,INDIRECT(ADDRESS(ROW(NOTA[TANGGAL]),COLUMN(NOTA[TANGGAL]))&amp;":"&amp;ADDRESS(ROW(),COLUMN(NOTA[TANGGAL]))),-1)))</f>
        <v>45180</v>
      </c>
      <c r="AJ188" s="41" t="str">
        <f ca="1">IF(NOTA[[#This Row],[NAMA BARANG]]="","",INDEX(NOTA[SUPPLIER],MATCH(,INDIRECT(ADDRESS(ROW(NOTA[ID]),COLUMN(NOTA[ID]))&amp;":"&amp;ADDRESS(ROW(),COLUMN(NOTA[ID]))),-1)))</f>
        <v>ETJ</v>
      </c>
      <c r="AK188" s="41" t="str">
        <f ca="1">IF(NOTA[[#This Row],[ID_H]]="","",IF(NOTA[[#This Row],[FAKTUR]]="",INDIRECT(ADDRESS(ROW()-1,COLUMN())),NOTA[[#This Row],[FAKTUR]]))</f>
        <v>UNTANA</v>
      </c>
      <c r="AL188" s="38">
        <f ca="1">IF(NOTA[[#This Row],[ID]]="","",COUNTIF(NOTA[ID_H],NOTA[[#This Row],[ID_H]]))</f>
        <v>2</v>
      </c>
      <c r="AM188" s="38">
        <f>IF(NOTA[[#This Row],[TGL.NOTA]]="",IF(NOTA[[#This Row],[SUPPLIER_H]]="","",AM187),MONTH(NOTA[[#This Row],[TGL.NOTA]]))</f>
        <v>9</v>
      </c>
      <c r="AN188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enter30cm6758750000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enter30cm6758750000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ETJUNTANAQ68.2345176enter30cm675</v>
      </c>
      <c r="AR188" s="38" t="e">
        <f>IF(NOTA[[#This Row],[CONCAT4]]="","",_xlfn.IFNA(MATCH(NOTA[[#This Row],[CONCAT4]],[2]!RAW[CONCAT_H],0),FALSE))</f>
        <v>#REF!</v>
      </c>
      <c r="AS188" s="38">
        <f>IF(NOTA[[#This Row],[CONCAT1]]="","",MATCH(NOTA[[#This Row],[CONCAT1]],[3]!db[NB NOTA_C],0))</f>
        <v>797</v>
      </c>
      <c r="AT188" s="38" t="b">
        <f>IF(NOTA[[#This Row],[QTY/ CTN]]="","",TRUE)</f>
        <v>1</v>
      </c>
      <c r="AU188" s="38" t="str">
        <f ca="1">IF(NOTA[[#This Row],[ID_H]]="","",IF(NOTA[[#This Row],[Column3]]=TRUE,NOTA[[#This Row],[QTY/ CTN]],INDEX([3]!db[QTY/ CTN],NOTA[[#This Row],[//DB]])))</f>
        <v>200 LSN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29</v>
      </c>
      <c r="E189" s="46"/>
      <c r="F189" s="37"/>
      <c r="G189" s="37"/>
      <c r="H189" s="47"/>
      <c r="I189" s="37"/>
      <c r="J189" s="39"/>
      <c r="K189" s="37"/>
      <c r="L189" s="37" t="s">
        <v>309</v>
      </c>
      <c r="M189" s="40">
        <v>1</v>
      </c>
      <c r="N189" s="38">
        <v>100</v>
      </c>
      <c r="O189" s="37" t="s">
        <v>287</v>
      </c>
      <c r="P189" s="41">
        <v>17500</v>
      </c>
      <c r="Q189" s="42"/>
      <c r="R189" s="48" t="s">
        <v>288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1750000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1750000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89" s="50">
        <f>IF(OR(NOTA[[#This Row],[QTY]]="",NOTA[[#This Row],[HARGA SATUAN]]="",),"",NOTA[[#This Row],[QTY]]*NOTA[[#This Row],[HARGA SATUAN]])</f>
        <v>1750000</v>
      </c>
      <c r="AI189" s="39">
        <f ca="1">IF(NOTA[ID_H]="","",INDEX(NOTA[TANGGAL],MATCH(,INDIRECT(ADDRESS(ROW(NOTA[TANGGAL]),COLUMN(NOTA[TANGGAL]))&amp;":"&amp;ADDRESS(ROW(),COLUMN(NOTA[TANGGAL]))),-1)))</f>
        <v>45180</v>
      </c>
      <c r="AJ189" s="41" t="str">
        <f ca="1">IF(NOTA[[#This Row],[NAMA BARANG]]="","",INDEX(NOTA[SUPPLIER],MATCH(,INDIRECT(ADDRESS(ROW(NOTA[ID]),COLUMN(NOTA[ID]))&amp;":"&amp;ADDRESS(ROW(),COLUMN(NOTA[ID]))),-1)))</f>
        <v>ETJ</v>
      </c>
      <c r="AK189" s="41" t="str">
        <f ca="1">IF(NOTA[[#This Row],[ID_H]]="","",IF(NOTA[[#This Row],[FAKTUR]]="",INDIRECT(ADDRESS(ROW()-1,COLUMN())),NOTA[[#This Row],[FAKTUR]]))</f>
        <v>UNTANA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9</v>
      </c>
      <c r="AN189" s="38" t="str">
        <f>LOWER(SUBSTITUTE(SUBSTITUTE(SUBSTITUTE(SUBSTITUTE(SUBSTITUTE(SUBSTITUTE(SUBSTITUTE(SUBSTITUTE(SUBSTITUTE(NOTA[NAMA BARANG]," ",),".",""),"-",""),"(",""),")",""),",",""),"/",""),"""",""),"+",""))</f>
        <v>kojikoabsensidmerah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kojikoabsensidmerah1750000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kojikoabsensidmerah1750000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100 PAK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kojikoabsensidmerah100pakuntana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GUN_1109_056-2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30</v>
      </c>
      <c r="E191" s="46">
        <v>45180</v>
      </c>
      <c r="F191" s="37" t="s">
        <v>310</v>
      </c>
      <c r="G191" s="37" t="s">
        <v>124</v>
      </c>
      <c r="H191" s="47" t="s">
        <v>311</v>
      </c>
      <c r="I191" s="37"/>
      <c r="J191" s="39">
        <v>45176</v>
      </c>
      <c r="K191" s="37"/>
      <c r="L191" s="37" t="s">
        <v>312</v>
      </c>
      <c r="M191" s="40">
        <v>3</v>
      </c>
      <c r="N191" s="38">
        <v>90</v>
      </c>
      <c r="O191" s="37" t="s">
        <v>139</v>
      </c>
      <c r="P191" s="41">
        <v>61000</v>
      </c>
      <c r="Q191" s="42"/>
      <c r="R191" s="48" t="s">
        <v>313</v>
      </c>
      <c r="S191" s="49">
        <v>0.05</v>
      </c>
      <c r="T191" s="44">
        <v>0.1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5490000</v>
      </c>
      <c r="Y191" s="50">
        <f>IF(NOTA[[#This Row],[JUMLAH]]="","",NOTA[[#This Row],[JUMLAH]]*NOTA[[#This Row],[DISC 1]])</f>
        <v>274500</v>
      </c>
      <c r="Z191" s="50">
        <f>IF(NOTA[[#This Row],[JUMLAH]]="","",(NOTA[[#This Row],[JUMLAH]]-NOTA[[#This Row],[DISC 1-]])*NOTA[[#This Row],[DISC 2]])</f>
        <v>521550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796050</v>
      </c>
      <c r="AC191" s="50">
        <f>IF(NOTA[[#This Row],[JUMLAH]]="","",NOTA[[#This Row],[JUMLAH]]-NOTA[[#This Row],[DISC]])</f>
        <v>4693950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191" s="50">
        <f>IF(OR(NOTA[[#This Row],[QTY]]="",NOTA[[#This Row],[HARGA SATUAN]]="",),"",NOTA[[#This Row],[QTY]]*NOTA[[#This Row],[HARGA SATUAN]])</f>
        <v>5490000</v>
      </c>
      <c r="AI191" s="39">
        <f ca="1">IF(NOTA[ID_H]="","",INDEX(NOTA[TANGGAL],MATCH(,INDIRECT(ADDRESS(ROW(NOTA[TANGGAL]),COLUMN(NOTA[TANGGAL]))&amp;":"&amp;ADDRESS(ROW(),COLUMN(NOTA[TANGGAL]))),-1)))</f>
        <v>45180</v>
      </c>
      <c r="AJ191" s="41" t="str">
        <f ca="1">IF(NOTA[[#This Row],[NAMA BARANG]]="","",INDEX(NOTA[SUPPLIER],MATCH(,INDIRECT(ADDRESS(ROW(NOTA[ID]),COLUMN(NOTA[ID]))&amp;":"&amp;ADDRESS(ROW(),COLUMN(NOTA[ID]))),-1)))</f>
        <v>GUNINDO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2</v>
      </c>
      <c r="AM191" s="38">
        <f>IF(NOTA[[#This Row],[TGL.NOTA]]="",IF(NOTA[[#This Row],[SUPPLIER_H]]="","",AM190),MONTH(NOTA[[#This Row],[TGL.NOTA]]))</f>
        <v>9</v>
      </c>
      <c r="AN191" s="38" t="str">
        <f>LOWER(SUBSTITUTE(SUBSTITUTE(SUBSTITUTE(SUBSTITUTE(SUBSTITUTE(SUBSTITUTE(SUBSTITUTE(SUBSTITUTE(SUBSTITUTE(NOTA[NAMA BARANG]," ",),".",""),"-",""),"(",""),")",""),",",""),"/",""),"""",""),"+",""))</f>
        <v>wberaser803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GUNINDOUNTANA230905645176wberaser803</v>
      </c>
      <c r="AR191" s="38" t="e">
        <f>IF(NOTA[[#This Row],[CONCAT4]]="","",_xlfn.IFNA(MATCH(NOTA[[#This Row],[CONCAT4]],[2]!RAW[CONCAT_H],0),FALSE))</f>
        <v>#REF!</v>
      </c>
      <c r="AS191" s="38">
        <f>IF(NOTA[[#This Row],[CONCAT1]]="","",MATCH(NOTA[[#This Row],[CONCAT1]],[3]!db[NB NOTA_C],0))</f>
        <v>2663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CTN]],INDEX([3]!db[QTY/ CTN],NOTA[[#This Row],[//DB]])))</f>
        <v>30 LSN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30</v>
      </c>
      <c r="E192" s="46"/>
      <c r="F192" s="37"/>
      <c r="G192" s="37"/>
      <c r="H192" s="47"/>
      <c r="I192" s="37"/>
      <c r="J192" s="39"/>
      <c r="K192" s="37"/>
      <c r="L192" s="37" t="s">
        <v>314</v>
      </c>
      <c r="M192" s="40">
        <v>2</v>
      </c>
      <c r="N192" s="38">
        <v>120</v>
      </c>
      <c r="O192" s="37" t="s">
        <v>139</v>
      </c>
      <c r="P192" s="41">
        <v>47500</v>
      </c>
      <c r="Q192" s="42"/>
      <c r="R192" s="48" t="s">
        <v>315</v>
      </c>
      <c r="S192" s="49">
        <v>0.05</v>
      </c>
      <c r="T192" s="44">
        <v>0.1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5700000</v>
      </c>
      <c r="Y192" s="50">
        <f>IF(NOTA[[#This Row],[JUMLAH]]="","",NOTA[[#This Row],[JUMLAH]]*NOTA[[#This Row],[DISC 1]])</f>
        <v>285000</v>
      </c>
      <c r="Z192" s="50">
        <f>IF(NOTA[[#This Row],[JUMLAH]]="","",(NOTA[[#This Row],[JUMLAH]]-NOTA[[#This Row],[DISC 1-]])*NOTA[[#This Row],[DISC 2]])</f>
        <v>541500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826500</v>
      </c>
      <c r="AC192" s="50">
        <f>IF(NOTA[[#This Row],[JUMLAH]]="","",NOTA[[#This Row],[JUMLAH]]-NOTA[[#This Row],[DISC]])</f>
        <v>4873500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1622550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9567450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192" s="50">
        <f>IF(OR(NOTA[[#This Row],[QTY]]="",NOTA[[#This Row],[HARGA SATUAN]]="",),"",NOTA[[#This Row],[QTY]]*NOTA[[#This Row],[HARGA SATUAN]])</f>
        <v>5700000</v>
      </c>
      <c r="AI192" s="39">
        <f ca="1">IF(NOTA[ID_H]="","",INDEX(NOTA[TANGGAL],MATCH(,INDIRECT(ADDRESS(ROW(NOTA[TANGGAL]),COLUMN(NOTA[TANGGAL]))&amp;":"&amp;ADDRESS(ROW(),COLUMN(NOTA[TANGGAL]))),-1)))</f>
        <v>45180</v>
      </c>
      <c r="AJ192" s="41" t="str">
        <f ca="1">IF(NOTA[[#This Row],[NAMA BARANG]]="","",INDEX(NOTA[SUPPLIER],MATCH(,INDIRECT(ADDRESS(ROW(NOTA[ID]),COLUMN(NOTA[ID]))&amp;":"&amp;ADDRESS(ROW(),COLUMN(NOTA[ID]))),-1)))</f>
        <v>GUNINDO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9</v>
      </c>
      <c r="AN192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677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60 LSN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PUT_1109_027-7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31</v>
      </c>
      <c r="E194" s="46">
        <v>45180</v>
      </c>
      <c r="F194" s="37" t="s">
        <v>316</v>
      </c>
      <c r="G194" s="37" t="s">
        <v>124</v>
      </c>
      <c r="H194" s="47" t="s">
        <v>317</v>
      </c>
      <c r="I194" s="37"/>
      <c r="J194" s="39">
        <v>45180</v>
      </c>
      <c r="K194" s="37"/>
      <c r="L194" s="37" t="s">
        <v>318</v>
      </c>
      <c r="M194" s="40">
        <v>2</v>
      </c>
      <c r="N194" s="38">
        <v>96</v>
      </c>
      <c r="O194" s="37" t="s">
        <v>282</v>
      </c>
      <c r="P194" s="41">
        <v>110000</v>
      </c>
      <c r="Q194" s="42"/>
      <c r="R194" s="48" t="s">
        <v>319</v>
      </c>
      <c r="S194" s="49">
        <v>0.2</v>
      </c>
      <c r="T194" s="44"/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10560000</v>
      </c>
      <c r="Y194" s="50">
        <f>IF(NOTA[[#This Row],[JUMLAH]]="","",NOTA[[#This Row],[JUMLAH]]*NOTA[[#This Row],[DISC 1]])</f>
        <v>2112000</v>
      </c>
      <c r="Z194" s="50">
        <f>IF(NOTA[[#This Row],[JUMLAH]]="","",(NOTA[[#This Row],[JUMLAH]]-NOTA[[#This Row],[DISC 1-]])*NOTA[[#This Row],[DISC 2]])</f>
        <v>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2112000</v>
      </c>
      <c r="AC194" s="50">
        <f>IF(NOTA[[#This Row],[JUMLAH]]="","",NOTA[[#This Row],[JUMLAH]]-NOTA[[#This Row],[DISC]])</f>
        <v>8448000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194" s="50">
        <f>IF(OR(NOTA[[#This Row],[QTY]]="",NOTA[[#This Row],[HARGA SATUAN]]="",),"",NOTA[[#This Row],[QTY]]*NOTA[[#This Row],[HARGA SATUAN]])</f>
        <v>10560000</v>
      </c>
      <c r="AI194" s="39">
        <f ca="1">IF(NOTA[ID_H]="","",INDEX(NOTA[TANGGAL],MATCH(,INDIRECT(ADDRESS(ROW(NOTA[TANGGAL]),COLUMN(NOTA[TANGGAL]))&amp;":"&amp;ADDRESS(ROW(),COLUMN(NOTA[TANGGAL]))),-1)))</f>
        <v>45180</v>
      </c>
      <c r="AJ194" s="41" t="str">
        <f ca="1">IF(NOTA[[#This Row],[NAMA BARANG]]="","",INDEX(NOTA[SUPPLIER],MATCH(,INDIRECT(ADDRESS(ROW(NOTA[ID]),COLUMN(NOTA[ID]))&amp;":"&amp;ADDRESS(ROW(),COLUMN(NOTA[ID]))),-1)))</f>
        <v>PUTR SURYA MANDIRI</v>
      </c>
      <c r="AK194" s="41" t="str">
        <f ca="1">IF(NOTA[[#This Row],[ID_H]]="","",IF(NOTA[[#This Row],[FAKTUR]]="",INDIRECT(ADDRESS(ROW()-1,COLUMN())),NOTA[[#This Row],[FAKTUR]]))</f>
        <v>UNTANA</v>
      </c>
      <c r="AL194" s="38">
        <f ca="1">IF(NOTA[[#This Row],[ID]]="","",COUNTIF(NOTA[ID_H],NOTA[[#This Row],[ID_H]]))</f>
        <v>7</v>
      </c>
      <c r="AM194" s="38">
        <f>IF(NOTA[[#This Row],[TGL.NOTA]]="",IF(NOTA[[#This Row],[SUPPLIER_H]]="","",AM193),MONTH(NOTA[[#This Row],[TGL.NOTA]]))</f>
        <v>9</v>
      </c>
      <c r="AN194" s="38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>PUTR SURYA MANDIRIUNTANAPSM-R230900002745180balonsmilewarna20x5lks3200sw</v>
      </c>
      <c r="AR194" s="38" t="e">
        <f>IF(NOTA[[#This Row],[CONCAT4]]="","",_xlfn.IFNA(MATCH(NOTA[[#This Row],[CONCAT4]],[2]!RAW[CONCAT_H],0),FALSE))</f>
        <v>#REF!</v>
      </c>
      <c r="AS194" s="38">
        <f>IF(NOTA[[#This Row],[CONCAT1]]="","",MATCH(NOTA[[#This Row],[CONCAT1]],[3]!db[NB NOTA_C],0))</f>
        <v>158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CTN]],INDEX([3]!db[QTY/ CTN],NOTA[[#This Row],[//DB]])))</f>
        <v>48 LPG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31</v>
      </c>
      <c r="E195" s="46"/>
      <c r="F195" s="37"/>
      <c r="G195" s="37"/>
      <c r="H195" s="47"/>
      <c r="I195" s="37"/>
      <c r="J195" s="39"/>
      <c r="K195" s="37"/>
      <c r="L195" s="37" t="s">
        <v>320</v>
      </c>
      <c r="M195" s="40">
        <v>2</v>
      </c>
      <c r="N195" s="38">
        <v>96</v>
      </c>
      <c r="O195" s="37" t="s">
        <v>282</v>
      </c>
      <c r="P195" s="41">
        <v>110000</v>
      </c>
      <c r="Q195" s="42"/>
      <c r="R195" s="48" t="s">
        <v>319</v>
      </c>
      <c r="S195" s="49">
        <v>0.2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10560000</v>
      </c>
      <c r="Y195" s="50">
        <f>IF(NOTA[[#This Row],[JUMLAH]]="","",NOTA[[#This Row],[JUMLAH]]*NOTA[[#This Row],[DISC 1]])</f>
        <v>2112000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2112000</v>
      </c>
      <c r="AC195" s="50">
        <f>IF(NOTA[[#This Row],[JUMLAH]]="","",NOTA[[#This Row],[JUMLAH]]-NOTA[[#This Row],[DISC]])</f>
        <v>8448000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195" s="50">
        <f>IF(OR(NOTA[[#This Row],[QTY]]="",NOTA[[#This Row],[HARGA SATUAN]]="",),"",NOTA[[#This Row],[QTY]]*NOTA[[#This Row],[HARGA SATUAN]])</f>
        <v>10560000</v>
      </c>
      <c r="AI195" s="39">
        <f ca="1">IF(NOTA[ID_H]="","",INDEX(NOTA[TANGGAL],MATCH(,INDIRECT(ADDRESS(ROW(NOTA[TANGGAL]),COLUMN(NOTA[TANGGAL]))&amp;":"&amp;ADDRESS(ROW(),COLUMN(NOTA[TANGGAL]))),-1)))</f>
        <v>45180</v>
      </c>
      <c r="AJ195" s="41" t="str">
        <f ca="1">IF(NOTA[[#This Row],[NAMA BARANG]]="","",INDEX(NOTA[SUPPLIER],MATCH(,INDIRECT(ADDRESS(ROW(NOTA[ID]),COLUMN(NOTA[ID]))&amp;":"&amp;ADDRESS(ROW(),COLUMN(NOTA[ID]))),-1)))</f>
        <v>PUTR SURYA MANDIRI</v>
      </c>
      <c r="AK195" s="41" t="str">
        <f ca="1">IF(NOTA[[#This Row],[ID_H]]="","",IF(NOTA[[#This Row],[FAKTUR]]="",INDIRECT(ADDRESS(ROW()-1,COLUMN())),NOTA[[#This Row],[FAKTUR]]))</f>
        <v>UNTANA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9</v>
      </c>
      <c r="AN195" s="38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157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48 LPG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balonsmilekuning20x5lks3200sk48lpguntana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31</v>
      </c>
      <c r="E196" s="46"/>
      <c r="F196" s="37"/>
      <c r="G196" s="37"/>
      <c r="H196" s="47"/>
      <c r="I196" s="37"/>
      <c r="J196" s="39"/>
      <c r="K196" s="37"/>
      <c r="L196" s="37" t="s">
        <v>321</v>
      </c>
      <c r="M196" s="40">
        <v>2</v>
      </c>
      <c r="N196" s="38">
        <v>96</v>
      </c>
      <c r="O196" s="37" t="s">
        <v>282</v>
      </c>
      <c r="P196" s="41">
        <v>100000</v>
      </c>
      <c r="Q196" s="42"/>
      <c r="R196" s="48" t="s">
        <v>319</v>
      </c>
      <c r="S196" s="49">
        <v>0.2</v>
      </c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9600000</v>
      </c>
      <c r="Y196" s="50">
        <f>IF(NOTA[[#This Row],[JUMLAH]]="","",NOTA[[#This Row],[JUMLAH]]*NOTA[[#This Row],[DISC 1]])</f>
        <v>1920000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1920000</v>
      </c>
      <c r="AC196" s="50">
        <f>IF(NOTA[[#This Row],[JUMLAH]]="","",NOTA[[#This Row],[JUMLAH]]-NOTA[[#This Row],[DISC]])</f>
        <v>7680000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H196" s="50">
        <f>IF(OR(NOTA[[#This Row],[QTY]]="",NOTA[[#This Row],[HARGA SATUAN]]="",),"",NOTA[[#This Row],[QTY]]*NOTA[[#This Row],[HARGA SATUAN]])</f>
        <v>9600000</v>
      </c>
      <c r="AI196" s="39">
        <f ca="1">IF(NOTA[ID_H]="","",INDEX(NOTA[TANGGAL],MATCH(,INDIRECT(ADDRESS(ROW(NOTA[TANGGAL]),COLUMN(NOTA[TANGGAL]))&amp;":"&amp;ADDRESS(ROW(),COLUMN(NOTA[TANGGAL]))),-1)))</f>
        <v>45180</v>
      </c>
      <c r="AJ196" s="41" t="str">
        <f ca="1">IF(NOTA[[#This Row],[NAMA BARANG]]="","",INDEX(NOTA[SUPPLIER],MATCH(,INDIRECT(ADDRESS(ROW(NOTA[ID]),COLUMN(NOTA[ID]))&amp;":"&amp;ADDRESS(ROW(),COLUMN(NOTA[ID]))),-1)))</f>
        <v>PUTR SURYA MANDIRI</v>
      </c>
      <c r="AK196" s="41" t="str">
        <f ca="1">IF(NOTA[[#This Row],[ID_H]]="","",IF(NOTA[[#This Row],[FAKTUR]]="",INDIRECT(ADDRESS(ROW()-1,COLUMN())),NOTA[[#This Row],[FAKTUR]]))</f>
        <v>UNTANA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9</v>
      </c>
      <c r="AN196" s="38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156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48 LPG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balonmetalikhb122820x5lms2800hb48lpguntana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31</v>
      </c>
      <c r="E197" s="46"/>
      <c r="F197" s="37"/>
      <c r="G197" s="37"/>
      <c r="H197" s="47"/>
      <c r="I197" s="37"/>
      <c r="J197" s="39"/>
      <c r="K197" s="37"/>
      <c r="L197" s="37" t="s">
        <v>322</v>
      </c>
      <c r="M197" s="40">
        <v>2</v>
      </c>
      <c r="N197" s="38">
        <v>80</v>
      </c>
      <c r="O197" s="37" t="s">
        <v>282</v>
      </c>
      <c r="P197" s="41">
        <v>125000</v>
      </c>
      <c r="Q197" s="42"/>
      <c r="R197" s="48" t="s">
        <v>323</v>
      </c>
      <c r="S197" s="49">
        <v>0.2</v>
      </c>
      <c r="T197" s="44"/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10000000</v>
      </c>
      <c r="Y197" s="50">
        <f>IF(NOTA[[#This Row],[JUMLAH]]="","",NOTA[[#This Row],[JUMLAH]]*NOTA[[#This Row],[DISC 1]])</f>
        <v>2000000</v>
      </c>
      <c r="Z197" s="50">
        <f>IF(NOTA[[#This Row],[JUMLAH]]="","",(NOTA[[#This Row],[JUMLAH]]-NOTA[[#This Row],[DISC 1-]])*NOTA[[#This Row],[DISC 2]])</f>
        <v>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2000000</v>
      </c>
      <c r="AC197" s="50">
        <f>IF(NOTA[[#This Row],[JUMLAH]]="","",NOTA[[#This Row],[JUMLAH]]-NOTA[[#This Row],[DISC]])</f>
        <v>8000000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197" s="50">
        <f>IF(OR(NOTA[[#This Row],[QTY]]="",NOTA[[#This Row],[HARGA SATUAN]]="",),"",NOTA[[#This Row],[QTY]]*NOTA[[#This Row],[HARGA SATUAN]])</f>
        <v>10000000</v>
      </c>
      <c r="AI197" s="39">
        <f ca="1">IF(NOTA[ID_H]="","",INDEX(NOTA[TANGGAL],MATCH(,INDIRECT(ADDRESS(ROW(NOTA[TANGGAL]),COLUMN(NOTA[TANGGAL]))&amp;":"&amp;ADDRESS(ROW(),COLUMN(NOTA[TANGGAL]))),-1)))</f>
        <v>45180</v>
      </c>
      <c r="AJ197" s="41" t="str">
        <f ca="1">IF(NOTA[[#This Row],[NAMA BARANG]]="","",INDEX(NOTA[SUPPLIER],MATCH(,INDIRECT(ADDRESS(ROW(NOTA[ID]),COLUMN(NOTA[ID]))&amp;":"&amp;ADDRESS(ROW(),COLUMN(NOTA[ID]))),-1)))</f>
        <v>PUTR SURYA MANDIRI</v>
      </c>
      <c r="AK197" s="41" t="str">
        <f ca="1">IF(NOTA[[#This Row],[ID_H]]="","",IF(NOTA[[#This Row],[FAKTUR]]="",INDIRECT(ADDRESS(ROW()-1,COLUMN())),NOTA[[#This Row],[FAKTUR]]))</f>
        <v>UNTANA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9</v>
      </c>
      <c r="AN197" s="38" t="str">
        <f>LOWER(SUBSTITUTE(SUBSTITUTE(SUBSTITUTE(SUBSTITUTE(SUBSTITUTE(SUBSTITUTE(SUBSTITUTE(SUBSTITUTE(SUBSTITUTE(NOTA[NAMA BARANG]," ",),".",""),"-",""),"(",""),")",""),",",""),"/",""),"""",""),"+",""))</f>
        <v>balonfshbwarna20x5lkf3200hbw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balonfshbwarna20x5lkf3200hbw50000000.2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balonfshbwarna20x5lkf3200hbw50000000.2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e">
        <f>IF(NOTA[[#This Row],[CONCAT1]]="","",MATCH(NOTA[[#This Row],[CONCAT1]],[3]!db[NB NOTA_C],0))</f>
        <v>#N/A</v>
      </c>
      <c r="AT197" s="38" t="b">
        <f>IF(NOTA[[#This Row],[QTY/ CTN]]="","",TRUE)</f>
        <v>1</v>
      </c>
      <c r="AU197" s="38" t="str">
        <f ca="1">IF(NOTA[[#This Row],[ID_H]]="","",IF(NOTA[[#This Row],[Column3]]=TRUE,NOTA[[#This Row],[QTY/ CTN]],INDEX([3]!db[QTY/ CTN],NOTA[[#This Row],[//DB]])))</f>
        <v>40 LPG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balonfshbwarna20x5lkf3200hbw40lpguntana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31</v>
      </c>
      <c r="E198" s="46"/>
      <c r="F198" s="37"/>
      <c r="G198" s="37"/>
      <c r="H198" s="47"/>
      <c r="I198" s="37"/>
      <c r="J198" s="39"/>
      <c r="K198" s="37"/>
      <c r="L198" s="37" t="s">
        <v>324</v>
      </c>
      <c r="M198" s="40">
        <v>2</v>
      </c>
      <c r="N198" s="38">
        <v>80</v>
      </c>
      <c r="O198" s="37" t="s">
        <v>282</v>
      </c>
      <c r="P198" s="41">
        <v>125000</v>
      </c>
      <c r="Q198" s="42"/>
      <c r="R198" s="48" t="s">
        <v>323</v>
      </c>
      <c r="S198" s="49">
        <v>0.2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10000000</v>
      </c>
      <c r="Y198" s="50">
        <f>IF(NOTA[[#This Row],[JUMLAH]]="","",NOTA[[#This Row],[JUMLAH]]*NOTA[[#This Row],[DISC 1]])</f>
        <v>2000000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2000000</v>
      </c>
      <c r="AC198" s="50">
        <f>IF(NOTA[[#This Row],[JUMLAH]]="","",NOTA[[#This Row],[JUMLAH]]-NOTA[[#This Row],[DISC]])</f>
        <v>8000000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198" s="50">
        <f>IF(OR(NOTA[[#This Row],[QTY]]="",NOTA[[#This Row],[HARGA SATUAN]]="",),"",NOTA[[#This Row],[QTY]]*NOTA[[#This Row],[HARGA SATUAN]])</f>
        <v>10000000</v>
      </c>
      <c r="AI198" s="39">
        <f ca="1">IF(NOTA[ID_H]="","",INDEX(NOTA[TANGGAL],MATCH(,INDIRECT(ADDRESS(ROW(NOTA[TANGGAL]),COLUMN(NOTA[TANGGAL]))&amp;":"&amp;ADDRESS(ROW(),COLUMN(NOTA[TANGGAL]))),-1)))</f>
        <v>45180</v>
      </c>
      <c r="AJ198" s="41" t="str">
        <f ca="1">IF(NOTA[[#This Row],[NAMA BARANG]]="","",INDEX(NOTA[SUPPLIER],MATCH(,INDIRECT(ADDRESS(ROW(NOTA[ID]),COLUMN(NOTA[ID]))&amp;":"&amp;ADDRESS(ROW(),COLUMN(NOTA[ID]))),-1)))</f>
        <v>PUTR SURYA MANDIRI</v>
      </c>
      <c r="AK198" s="41" t="str">
        <f ca="1">IF(NOTA[[#This Row],[ID_H]]="","",IF(NOTA[[#This Row],[FAKTUR]]="",INDIRECT(ADDRESS(ROW()-1,COLUMN())),NOTA[[#This Row],[FAKTUR]]))</f>
        <v>UNTANA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9</v>
      </c>
      <c r="AN198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140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CTN]],INDEX([3]!db[QTY/ CTN],NOTA[[#This Row],[//DB]])))</f>
        <v>40 LPG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balonfshb123220x5lkf3200hb40lpguntana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31</v>
      </c>
      <c r="E199" s="46"/>
      <c r="F199" s="37"/>
      <c r="G199" s="37"/>
      <c r="H199" s="47"/>
      <c r="I199" s="37"/>
      <c r="J199" s="39"/>
      <c r="K199" s="37"/>
      <c r="L199" s="37" t="s">
        <v>325</v>
      </c>
      <c r="M199" s="40">
        <v>2</v>
      </c>
      <c r="N199" s="38">
        <v>100</v>
      </c>
      <c r="O199" s="37" t="s">
        <v>282</v>
      </c>
      <c r="P199" s="41">
        <v>75000</v>
      </c>
      <c r="Q199" s="42"/>
      <c r="R199" s="48" t="s">
        <v>326</v>
      </c>
      <c r="S199" s="49">
        <v>0.2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7500000</v>
      </c>
      <c r="Y199" s="50">
        <f>IF(NOTA[[#This Row],[JUMLAH]]="","",NOTA[[#This Row],[JUMLAH]]*NOTA[[#This Row],[DISC 1]])</f>
        <v>1500000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1500000</v>
      </c>
      <c r="AC199" s="50">
        <f>IF(NOTA[[#This Row],[JUMLAH]]="","",NOTA[[#This Row],[JUMLAH]]-NOTA[[#This Row],[DISC]])</f>
        <v>6000000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199" s="50">
        <f>IF(OR(NOTA[[#This Row],[QTY]]="",NOTA[[#This Row],[HARGA SATUAN]]="",),"",NOTA[[#This Row],[QTY]]*NOTA[[#This Row],[HARGA SATUAN]])</f>
        <v>7500000</v>
      </c>
      <c r="AI199" s="39">
        <f ca="1">IF(NOTA[ID_H]="","",INDEX(NOTA[TANGGAL],MATCH(,INDIRECT(ADDRESS(ROW(NOTA[TANGGAL]),COLUMN(NOTA[TANGGAL]))&amp;":"&amp;ADDRESS(ROW(),COLUMN(NOTA[TANGGAL]))),-1)))</f>
        <v>45180</v>
      </c>
      <c r="AJ199" s="41" t="str">
        <f ca="1">IF(NOTA[[#This Row],[NAMA BARANG]]="","",INDEX(NOTA[SUPPLIER],MATCH(,INDIRECT(ADDRESS(ROW(NOTA[ID]),COLUMN(NOTA[ID]))&amp;":"&amp;ADDRESS(ROW(),COLUMN(NOTA[ID]))),-1)))</f>
        <v>PUTR SURYA MANDIRI</v>
      </c>
      <c r="AK199" s="41" t="str">
        <f ca="1">IF(NOTA[[#This Row],[ID_H]]="","",IF(NOTA[[#This Row],[FAKTUR]]="",INDIRECT(ADDRESS(ROW()-1,COLUMN())),NOTA[[#This Row],[FAKTUR]]))</f>
        <v>UNTANA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9</v>
      </c>
      <c r="AN1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152</v>
      </c>
      <c r="AT199" s="38" t="b">
        <f>IF(NOTA[[#This Row],[QTY/ CTN]]="","",TRUE)</f>
        <v>1</v>
      </c>
      <c r="AU199" s="38" t="str">
        <f ca="1">IF(NOTA[[#This Row],[ID_H]]="","",IF(NOTA[[#This Row],[Column3]]=TRUE,NOTA[[#This Row],[QTY/ CTN]],INDEX([3]!db[QTY/ CTN],NOTA[[#This Row],[//DB]])))</f>
        <v>50 LPG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31</v>
      </c>
      <c r="E200" s="46"/>
      <c r="F200" s="37"/>
      <c r="G200" s="37"/>
      <c r="H200" s="47"/>
      <c r="I200" s="37"/>
      <c r="J200" s="39"/>
      <c r="K200" s="37"/>
      <c r="L200" s="37" t="s">
        <v>281</v>
      </c>
      <c r="M200" s="40">
        <v>3</v>
      </c>
      <c r="N200" s="38">
        <v>180</v>
      </c>
      <c r="O200" s="37" t="s">
        <v>282</v>
      </c>
      <c r="P200" s="41">
        <v>67500</v>
      </c>
      <c r="Q200" s="42"/>
      <c r="R200" s="48" t="s">
        <v>283</v>
      </c>
      <c r="S200" s="49">
        <v>0.2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12150000</v>
      </c>
      <c r="Y200" s="50">
        <f>IF(NOTA[[#This Row],[JUMLAH]]="","",NOTA[[#This Row],[JUMLAH]]*NOTA[[#This Row],[DISC 1]])</f>
        <v>2430000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2430000</v>
      </c>
      <c r="AC200" s="50">
        <f>IF(NOTA[[#This Row],[JUMLAH]]="","",NOTA[[#This Row],[JUMLAH]]-NOTA[[#This Row],[DISC]])</f>
        <v>9720000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14074000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56296000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H200" s="50">
        <f>IF(OR(NOTA[[#This Row],[QTY]]="",NOTA[[#This Row],[HARGA SATUAN]]="",),"",NOTA[[#This Row],[QTY]]*NOTA[[#This Row],[HARGA SATUAN]])</f>
        <v>12150000</v>
      </c>
      <c r="AI200" s="39">
        <f ca="1">IF(NOTA[ID_H]="","",INDEX(NOTA[TANGGAL],MATCH(,INDIRECT(ADDRESS(ROW(NOTA[TANGGAL]),COLUMN(NOTA[TANGGAL]))&amp;":"&amp;ADDRESS(ROW(),COLUMN(NOTA[TANGGAL]))),-1)))</f>
        <v>45180</v>
      </c>
      <c r="AJ200" s="41" t="str">
        <f ca="1">IF(NOTA[[#This Row],[NAMA BARANG]]="","",INDEX(NOTA[SUPPLIER],MATCH(,INDIRECT(ADDRESS(ROW(NOTA[ID]),COLUMN(NOTA[ID]))&amp;":"&amp;ADDRESS(ROW(),COLUMN(NOTA[ID]))),-1)))</f>
        <v>PUTR SURYA MANDIRI</v>
      </c>
      <c r="AK200" s="41" t="str">
        <f ca="1">IF(NOTA[[#This Row],[ID_H]]="","",IF(NOTA[[#This Row],[FAKTUR]]="",INDIRECT(ADDRESS(ROW()-1,COLUMN())),NOTA[[#This Row],[FAKTUR]]))</f>
        <v>UNTANA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9</v>
      </c>
      <c r="AN200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e">
        <f>IF(NOTA[[#This Row],[CONCAT1]]="","",MATCH(NOTA[[#This Row],[CONCAT1]],[3]!db[NB NOTA_C],0))</f>
        <v>#N/A</v>
      </c>
      <c r="AT200" s="38" t="b">
        <f>IF(NOTA[[#This Row],[QTY/ CTN]]="","",TRUE)</f>
        <v>1</v>
      </c>
      <c r="AU200" s="38" t="str">
        <f ca="1">IF(NOTA[[#This Row],[ID_H]]="","",IF(NOTA[[#This Row],[Column3]]=TRUE,NOTA[[#This Row],[QTY/ CTN]],INDEX([3]!db[QTY/ CTN],NOTA[[#This Row],[//DB]])))</f>
        <v>60 LPG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SBS_1109_4B1-2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32</v>
      </c>
      <c r="E202" s="46">
        <v>45180</v>
      </c>
      <c r="F202" s="37" t="s">
        <v>327</v>
      </c>
      <c r="G202" s="37" t="s">
        <v>124</v>
      </c>
      <c r="H202" s="47" t="s">
        <v>328</v>
      </c>
      <c r="I202" s="37"/>
      <c r="J202" s="39">
        <v>45173</v>
      </c>
      <c r="K202" s="37"/>
      <c r="L202" s="37" t="s">
        <v>329</v>
      </c>
      <c r="M202" s="40">
        <v>3</v>
      </c>
      <c r="N202" s="38">
        <v>540</v>
      </c>
      <c r="O202" s="37" t="s">
        <v>330</v>
      </c>
      <c r="P202" s="41">
        <v>16440</v>
      </c>
      <c r="Q202" s="42"/>
      <c r="R202" s="48" t="s">
        <v>333</v>
      </c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8877600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8877600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H202" s="50">
        <f>IF(OR(NOTA[[#This Row],[QTY]]="",NOTA[[#This Row],[HARGA SATUAN]]="",),"",NOTA[[#This Row],[QTY]]*NOTA[[#This Row],[HARGA SATUAN]])</f>
        <v>8877600</v>
      </c>
      <c r="AI202" s="39">
        <f ca="1">IF(NOTA[ID_H]="","",INDEX(NOTA[TANGGAL],MATCH(,INDIRECT(ADDRESS(ROW(NOTA[TANGGAL]),COLUMN(NOTA[TANGGAL]))&amp;":"&amp;ADDRESS(ROW(),COLUMN(NOTA[TANGGAL]))),-1)))</f>
        <v>45180</v>
      </c>
      <c r="AJ202" s="41" t="str">
        <f ca="1">IF(NOTA[[#This Row],[NAMA BARANG]]="","",INDEX(NOTA[SUPPLIER],MATCH(,INDIRECT(ADDRESS(ROW(NOTA[ID]),COLUMN(NOTA[ID]))&amp;":"&amp;ADDRESS(ROW(),COLUMN(NOTA[ID]))),-1)))</f>
        <v>SBS</v>
      </c>
      <c r="AK202" s="41" t="str">
        <f ca="1">IF(NOTA[[#This Row],[ID_H]]="","",IF(NOTA[[#This Row],[FAKTUR]]="",INDIRECT(ADDRESS(ROW()-1,COLUMN())),NOTA[[#This Row],[FAKTUR]]))</f>
        <v>UNTANA</v>
      </c>
      <c r="AL202" s="38">
        <f ca="1">IF(NOTA[[#This Row],[ID]]="","",COUNTIF(NOTA[ID_H],NOTA[[#This Row],[ID_H]]))</f>
        <v>2</v>
      </c>
      <c r="AM202" s="38">
        <f>IF(NOTA[[#This Row],[TGL.NOTA]]="",IF(NOTA[[#This Row],[SUPPLIER_H]]="","",AM201),MONTH(NOTA[[#This Row],[TGL.NOTA]]))</f>
        <v>9</v>
      </c>
      <c r="AN202" s="38" t="str">
        <f>LOWER(SUBSTITUTE(SUBSTITUTE(SUBSTITUTE(SUBSTITUTE(SUBSTITUTE(SUBSTITUTE(SUBSTITUTE(SUBSTITUTE(SUBSTITUTE(NOTA[NAMA BARANG]," ",),".",""),"-",""),"(",""),")",""),",",""),"/",""),"""",""),"+",""))</f>
        <v>peruncingdy393b1hhamster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peruncingdy393b1hhamster2959200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peruncingdy393b1hhamster2959200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SBSUNTANAVJ0084B145173peruncingdy393b1hhamster</v>
      </c>
      <c r="AR202" s="38" t="e">
        <f>IF(NOTA[[#This Row],[CONCAT4]]="","",_xlfn.IFNA(MATCH(NOTA[[#This Row],[CONCAT4]],[2]!RAW[CONCAT_H],0),FALSE))</f>
        <v>#REF!</v>
      </c>
      <c r="AS202" s="38" t="e">
        <f>IF(NOTA[[#This Row],[CONCAT1]]="","",MATCH(NOTA[[#This Row],[CONCAT1]],[3]!db[NB NOTA_C],0))</f>
        <v>#N/A</v>
      </c>
      <c r="AT202" s="38" t="b">
        <f>IF(NOTA[[#This Row],[QTY/ CTN]]="","",TRUE)</f>
        <v>1</v>
      </c>
      <c r="AU202" s="38" t="str">
        <f ca="1">IF(NOTA[[#This Row],[ID_H]]="","",IF(NOTA[[#This Row],[Column3]]=TRUE,NOTA[[#This Row],[QTY/ CTN]],INDEX([3]!db[QTY/ CTN],NOTA[[#This Row],[//DB]])))</f>
        <v>180 DSP (12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peruncingdy393b1hhamster180dsp12pcsuntana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32</v>
      </c>
      <c r="E203" s="46"/>
      <c r="F203" s="37"/>
      <c r="G203" s="37"/>
      <c r="H203" s="47"/>
      <c r="I203" s="37"/>
      <c r="J203" s="39"/>
      <c r="K203" s="37"/>
      <c r="L203" s="37" t="s">
        <v>331</v>
      </c>
      <c r="M203" s="40">
        <v>3</v>
      </c>
      <c r="N203" s="38">
        <v>540</v>
      </c>
      <c r="O203" s="37" t="s">
        <v>332</v>
      </c>
      <c r="P203" s="41">
        <v>16440</v>
      </c>
      <c r="Q203" s="42"/>
      <c r="R203" s="48" t="s">
        <v>333</v>
      </c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8877600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8877600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17755200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H203" s="50">
        <f>IF(OR(NOTA[[#This Row],[QTY]]="",NOTA[[#This Row],[HARGA SATUAN]]="",),"",NOTA[[#This Row],[QTY]]*NOTA[[#This Row],[HARGA SATUAN]])</f>
        <v>8877600</v>
      </c>
      <c r="AI203" s="39">
        <f ca="1">IF(NOTA[ID_H]="","",INDEX(NOTA[TANGGAL],MATCH(,INDIRECT(ADDRESS(ROW(NOTA[TANGGAL]),COLUMN(NOTA[TANGGAL]))&amp;":"&amp;ADDRESS(ROW(),COLUMN(NOTA[TANGGAL]))),-1)))</f>
        <v>45180</v>
      </c>
      <c r="AJ203" s="41" t="str">
        <f ca="1">IF(NOTA[[#This Row],[NAMA BARANG]]="","",INDEX(NOTA[SUPPLIER],MATCH(,INDIRECT(ADDRESS(ROW(NOTA[ID]),COLUMN(NOTA[ID]))&amp;":"&amp;ADDRESS(ROW(),COLUMN(NOTA[ID]))),-1)))</f>
        <v>SBS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9</v>
      </c>
      <c r="AN203" s="38" t="str">
        <f>LOWER(SUBSTITUTE(SUBSTITUTE(SUBSTITUTE(SUBSTITUTE(SUBSTITUTE(SUBSTITUTE(SUBSTITUTE(SUBSTITUTE(SUBSTITUTE(NOTA[NAMA BARANG]," ",),".",""),"-",""),"(",""),")",""),",",""),"/",""),"""",""),"+",""))</f>
        <v>peruncingdy395b1hrabbit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peruncingdy395b1hrabbit2959200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peruncingdy395b1hrabbit2959200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e">
        <f>IF(NOTA[[#This Row],[CONCAT1]]="","",MATCH(NOTA[[#This Row],[CONCAT1]],[3]!db[NB NOTA_C],0))</f>
        <v>#N/A</v>
      </c>
      <c r="AT203" s="38" t="b">
        <f>IF(NOTA[[#This Row],[QTY/ CTN]]="","",TRUE)</f>
        <v>1</v>
      </c>
      <c r="AU203" s="38" t="str">
        <f ca="1">IF(NOTA[[#This Row],[ID_H]]="","",IF(NOTA[[#This Row],[Column3]]=TRUE,NOTA[[#This Row],[QTY/ CTN]],INDEX([3]!db[QTY/ CTN],NOTA[[#This Row],[//DB]])))</f>
        <v>180 DSP (12 PCS)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peruncingdy395b1hrabbit180dsp12pcsuntana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HAN_1309_137-1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33</v>
      </c>
      <c r="E205" s="46">
        <v>45182</v>
      </c>
      <c r="F205" s="37" t="s">
        <v>123</v>
      </c>
      <c r="G205" s="37" t="s">
        <v>124</v>
      </c>
      <c r="H205" s="47" t="s">
        <v>334</v>
      </c>
      <c r="I205" s="37"/>
      <c r="J205" s="39">
        <v>45182</v>
      </c>
      <c r="K205" s="37"/>
      <c r="L205" s="37" t="s">
        <v>335</v>
      </c>
      <c r="M205" s="40"/>
      <c r="N205" s="38">
        <v>50</v>
      </c>
      <c r="O205" s="37" t="s">
        <v>127</v>
      </c>
      <c r="P205" s="41">
        <v>6100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305000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305000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205" s="50">
        <f>IF(OR(NOTA[[#This Row],[QTY]]="",NOTA[[#This Row],[HARGA SATUAN]]="",),"",NOTA[[#This Row],[QTY]]*NOTA[[#This Row],[HARGA SATUAN]])</f>
        <v>305000</v>
      </c>
      <c r="AI205" s="39">
        <f ca="1">IF(NOTA[ID_H]="","",INDEX(NOTA[TANGGAL],MATCH(,INDIRECT(ADDRESS(ROW(NOTA[TANGGAL]),COLUMN(NOTA[TANGGAL]))&amp;":"&amp;ADDRESS(ROW(),COLUMN(NOTA[TANGGAL]))),-1)))</f>
        <v>45182</v>
      </c>
      <c r="AJ205" s="41" t="str">
        <f ca="1">IF(NOTA[[#This Row],[NAMA BARANG]]="","",INDEX(NOTA[SUPPLIER],MATCH(,INDIRECT(ADDRESS(ROW(NOTA[ID]),COLUMN(NOTA[ID]))&amp;":"&amp;ADDRESS(ROW(),COLUMN(NOTA[ID]))),-1)))</f>
        <v>HANSA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9</v>
      </c>
      <c r="AN20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HANSAUNTANAHN09202313745182malamshintoengb612w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1722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150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GLO_1309_004-4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34</v>
      </c>
      <c r="E207" s="46">
        <v>45182</v>
      </c>
      <c r="F207" s="37" t="s">
        <v>336</v>
      </c>
      <c r="G207" s="37" t="s">
        <v>124</v>
      </c>
      <c r="H207" s="47" t="s">
        <v>337</v>
      </c>
      <c r="I207" s="37"/>
      <c r="J207" s="39">
        <v>45180</v>
      </c>
      <c r="K207" s="37"/>
      <c r="L207" s="37" t="s">
        <v>338</v>
      </c>
      <c r="M207" s="40">
        <v>3</v>
      </c>
      <c r="N207" s="38">
        <v>2400</v>
      </c>
      <c r="O207" s="37" t="s">
        <v>127</v>
      </c>
      <c r="P207" s="41">
        <v>2250</v>
      </c>
      <c r="Q207" s="42"/>
      <c r="R207" s="48" t="s">
        <v>339</v>
      </c>
      <c r="S207" s="49">
        <v>0.03</v>
      </c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5400000</v>
      </c>
      <c r="Y207" s="50">
        <f>IF(NOTA[[#This Row],[JUMLAH]]="","",NOTA[[#This Row],[JUMLAH]]*NOTA[[#This Row],[DISC 1]])</f>
        <v>162000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162000</v>
      </c>
      <c r="AC207" s="50">
        <f>IF(NOTA[[#This Row],[JUMLAH]]="","",NOTA[[#This Row],[JUMLAH]]-NOTA[[#This Row],[DISC]])</f>
        <v>5238000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07" s="50">
        <f>IF(OR(NOTA[[#This Row],[QTY]]="",NOTA[[#This Row],[HARGA SATUAN]]="",),"",NOTA[[#This Row],[QTY]]*NOTA[[#This Row],[HARGA SATUAN]])</f>
        <v>5400000</v>
      </c>
      <c r="AI207" s="39">
        <f ca="1">IF(NOTA[ID_H]="","",INDEX(NOTA[TANGGAL],MATCH(,INDIRECT(ADDRESS(ROW(NOTA[TANGGAL]),COLUMN(NOTA[TANGGAL]))&amp;":"&amp;ADDRESS(ROW(),COLUMN(NOTA[TANGGAL]))),-1)))</f>
        <v>45182</v>
      </c>
      <c r="AJ207" s="41" t="str">
        <f ca="1">IF(NOTA[[#This Row],[NAMA BARANG]]="","",INDEX(NOTA[SUPPLIER],MATCH(,INDIRECT(ADDRESS(ROW(NOTA[ID]),COLUMN(NOTA[ID]))&amp;":"&amp;ADDRESS(ROW(),COLUMN(NOTA[ID]))),-1)))</f>
        <v>GLORY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4</v>
      </c>
      <c r="AM207" s="38">
        <f>IF(NOTA[[#This Row],[TGL.NOTA]]="",IF(NOTA[[#This Row],[SUPPLIER_H]]="","",AM206),MONTH(NOTA[[#This Row],[TGL.NOTA]]))</f>
        <v>9</v>
      </c>
      <c r="AN207" s="38" t="str">
        <f>LOWER(SUBSTITUTE(SUBSTITUTE(SUBSTITUTE(SUBSTITUTE(SUBSTITUTE(SUBSTITUTE(SUBSTITUTE(SUBSTITUTE(SUBSTITUTE(NOTA[NAMA BARANG]," ",),".",""),"-",""),"(",""),")",""),",",""),"/",""),"""",""),"+",""))</f>
        <v>bkmwrndottodotif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bkmwrndottodotif18000000.03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bkmwrndottodotif18000000.03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GLORYUNTANAFP2309000445180bkmwrndottodotif</v>
      </c>
      <c r="AR207" s="38" t="e">
        <f>IF(NOTA[[#This Row],[CONCAT4]]="","",_xlfn.IFNA(MATCH(NOTA[[#This Row],[CONCAT4]],[2]!RAW[CONCAT_H],0),FALSE))</f>
        <v>#REF!</v>
      </c>
      <c r="AS207" s="38" t="e">
        <f>IF(NOTA[[#This Row],[CONCAT1]]="","",MATCH(NOTA[[#This Row],[CONCAT1]],[3]!db[NB NOTA_C],0))</f>
        <v>#N/A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800 PCS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bkmwrndottodotif800pcsuntana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34</v>
      </c>
      <c r="E208" s="46"/>
      <c r="F208" s="37"/>
      <c r="G208" s="37"/>
      <c r="H208" s="47"/>
      <c r="I208" s="37"/>
      <c r="J208" s="39"/>
      <c r="K208" s="37"/>
      <c r="L208" s="37" t="s">
        <v>340</v>
      </c>
      <c r="M208" s="40">
        <v>3</v>
      </c>
      <c r="N208" s="38">
        <v>1800</v>
      </c>
      <c r="O208" s="37" t="s">
        <v>127</v>
      </c>
      <c r="P208" s="41">
        <v>2250</v>
      </c>
      <c r="Q208" s="42"/>
      <c r="R208" s="48" t="s">
        <v>341</v>
      </c>
      <c r="S208" s="49">
        <v>0.03</v>
      </c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4050000</v>
      </c>
      <c r="Y208" s="50">
        <f>IF(NOTA[[#This Row],[JUMLAH]]="","",NOTA[[#This Row],[JUMLAH]]*NOTA[[#This Row],[DISC 1]])</f>
        <v>121500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121500</v>
      </c>
      <c r="AC208" s="50">
        <f>IF(NOTA[[#This Row],[JUMLAH]]="","",NOTA[[#This Row],[JUMLAH]]-NOTA[[#This Row],[DISC]])</f>
        <v>3928500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08" s="50">
        <f>IF(OR(NOTA[[#This Row],[QTY]]="",NOTA[[#This Row],[HARGA SATUAN]]="",),"",NOTA[[#This Row],[QTY]]*NOTA[[#This Row],[HARGA SATUAN]])</f>
        <v>4050000</v>
      </c>
      <c r="AI208" s="39">
        <f ca="1">IF(NOTA[ID_H]="","",INDEX(NOTA[TANGGAL],MATCH(,INDIRECT(ADDRESS(ROW(NOTA[TANGGAL]),COLUMN(NOTA[TANGGAL]))&amp;":"&amp;ADDRESS(ROW(),COLUMN(NOTA[TANGGAL]))),-1)))</f>
        <v>45182</v>
      </c>
      <c r="AJ208" s="41" t="str">
        <f ca="1">IF(NOTA[[#This Row],[NAMA BARANG]]="","",INDEX(NOTA[SUPPLIER],MATCH(,INDIRECT(ADDRESS(ROW(NOTA[ID]),COLUMN(NOTA[ID]))&amp;":"&amp;ADDRESS(ROW(),COLUMN(NOTA[ID]))),-1)))</f>
        <v>GLORY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9</v>
      </c>
      <c r="AN208" s="38" t="str">
        <f>LOWER(SUBSTITUTE(SUBSTITUTE(SUBSTITUTE(SUBSTITUTE(SUBSTITUTE(SUBSTITUTE(SUBSTITUTE(SUBSTITUTE(SUBSTITUTE(NOTA[NAMA BARANG]," ",),".",""),"-",""),"(",""),")",""),",",""),"/",""),"""",""),"+",""))</f>
        <v>bkmwrnjumboabjdangka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bkmwrnjumboabjdangka13500000.03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bkmwrnjumboabjdangka13500000.03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e">
        <f>IF(NOTA[[#This Row],[CONCAT1]]="","",MATCH(NOTA[[#This Row],[CONCAT1]],[3]!db[NB NOTA_C],0))</f>
        <v>#N/A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600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bkmwrnjumboabjdangka600pcsuntana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34</v>
      </c>
      <c r="E209" s="46"/>
      <c r="F209" s="37"/>
      <c r="G209" s="37"/>
      <c r="H209" s="47"/>
      <c r="I209" s="37"/>
      <c r="J209" s="39"/>
      <c r="K209" s="37"/>
      <c r="L209" s="37" t="s">
        <v>342</v>
      </c>
      <c r="M209" s="40">
        <v>3</v>
      </c>
      <c r="N209" s="38">
        <v>1800</v>
      </c>
      <c r="O209" s="37" t="s">
        <v>127</v>
      </c>
      <c r="P209" s="41">
        <v>2250</v>
      </c>
      <c r="Q209" s="42"/>
      <c r="R209" s="48" t="s">
        <v>341</v>
      </c>
      <c r="S209" s="49">
        <v>0.03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4050000</v>
      </c>
      <c r="Y209" s="50">
        <f>IF(NOTA[[#This Row],[JUMLAH]]="","",NOTA[[#This Row],[JUMLAH]]*NOTA[[#This Row],[DISC 1]])</f>
        <v>121500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121500</v>
      </c>
      <c r="AC209" s="50">
        <f>IF(NOTA[[#This Row],[JUMLAH]]="","",NOTA[[#This Row],[JUMLAH]]-NOTA[[#This Row],[DISC]])</f>
        <v>3928500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09" s="50">
        <f>IF(OR(NOTA[[#This Row],[QTY]]="",NOTA[[#This Row],[HARGA SATUAN]]="",),"",NOTA[[#This Row],[QTY]]*NOTA[[#This Row],[HARGA SATUAN]])</f>
        <v>4050000</v>
      </c>
      <c r="AI209" s="39">
        <f ca="1">IF(NOTA[ID_H]="","",INDEX(NOTA[TANGGAL],MATCH(,INDIRECT(ADDRESS(ROW(NOTA[TANGGAL]),COLUMN(NOTA[TANGGAL]))&amp;":"&amp;ADDRESS(ROW(),COLUMN(NOTA[TANGGAL]))),-1)))</f>
        <v>45182</v>
      </c>
      <c r="AJ209" s="41" t="str">
        <f ca="1">IF(NOTA[[#This Row],[NAMA BARANG]]="","",INDEX(NOTA[SUPPLIER],MATCH(,INDIRECT(ADDRESS(ROW(NOTA[ID]),COLUMN(NOTA[ID]))&amp;":"&amp;ADDRESS(ROW(),COLUMN(NOTA[ID]))),-1)))</f>
        <v>GLORY</v>
      </c>
      <c r="AK209" s="41" t="str">
        <f ca="1">IF(NOTA[[#This Row],[ID_H]]="","",IF(NOTA[[#This Row],[FAKTUR]]="",INDIRECT(ADDRESS(ROW()-1,COLUMN())),NOTA[[#This Row],[FAKTUR]]))</f>
        <v>UNTANA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9</v>
      </c>
      <c r="AN209" s="38" t="str">
        <f>LOWER(SUBSTITUTE(SUBSTITUTE(SUBSTITUTE(SUBSTITUTE(SUBSTITUTE(SUBSTITUTE(SUBSTITUTE(SUBSTITUTE(SUBSTITUTE(NOTA[NAMA BARANG]," ",),".",""),"-",""),"(",""),")",""),",",""),"/",""),"""",""),"+",""))</f>
        <v>bkmwrn4seriejumboif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bkmwrn4seriejumboif13500000.03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bkmwrn4seriejumboif13500000.03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333</v>
      </c>
      <c r="AT209" s="38" t="b">
        <f>IF(NOTA[[#This Row],[QTY/ CTN]]="","",TRUE)</f>
        <v>1</v>
      </c>
      <c r="AU209" s="38" t="str">
        <f ca="1">IF(NOTA[[#This Row],[ID_H]]="","",IF(NOTA[[#This Row],[Column3]]=TRUE,NOTA[[#This Row],[QTY/ CTN]],INDEX([3]!db[QTY/ CTN],NOTA[[#This Row],[//DB]])))</f>
        <v>600 PCS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bkmwrn4seriejumboif600pcsuntana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34</v>
      </c>
      <c r="E210" s="46"/>
      <c r="F210" s="37"/>
      <c r="G210" s="37"/>
      <c r="H210" s="47"/>
      <c r="I210" s="37"/>
      <c r="J210" s="39"/>
      <c r="K210" s="37"/>
      <c r="L210" s="37" t="s">
        <v>343</v>
      </c>
      <c r="M210" s="40">
        <v>3</v>
      </c>
      <c r="N210" s="38">
        <v>1800</v>
      </c>
      <c r="O210" s="37" t="s">
        <v>127</v>
      </c>
      <c r="P210" s="41">
        <v>2300</v>
      </c>
      <c r="Q210" s="42"/>
      <c r="R210" s="48" t="s">
        <v>341</v>
      </c>
      <c r="S210" s="49">
        <v>0.03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4140000</v>
      </c>
      <c r="Y210" s="50">
        <f>IF(NOTA[[#This Row],[JUMLAH]]="","",NOTA[[#This Row],[JUMLAH]]*NOTA[[#This Row],[DISC 1]])</f>
        <v>124200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124200</v>
      </c>
      <c r="AC210" s="50">
        <f>IF(NOTA[[#This Row],[JUMLAH]]="","",NOTA[[#This Row],[JUMLAH]]-NOTA[[#This Row],[DISC]])</f>
        <v>4015800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529200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17110800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210" s="50">
        <f>IF(OR(NOTA[[#This Row],[QTY]]="",NOTA[[#This Row],[HARGA SATUAN]]="",),"",NOTA[[#This Row],[QTY]]*NOTA[[#This Row],[HARGA SATUAN]])</f>
        <v>4140000</v>
      </c>
      <c r="AI210" s="39">
        <f ca="1">IF(NOTA[ID_H]="","",INDEX(NOTA[TANGGAL],MATCH(,INDIRECT(ADDRESS(ROW(NOTA[TANGGAL]),COLUMN(NOTA[TANGGAL]))&amp;":"&amp;ADDRESS(ROW(),COLUMN(NOTA[TANGGAL]))),-1)))</f>
        <v>45182</v>
      </c>
      <c r="AJ210" s="41" t="str">
        <f ca="1">IF(NOTA[[#This Row],[NAMA BARANG]]="","",INDEX(NOTA[SUPPLIER],MATCH(,INDIRECT(ADDRESS(ROW(NOTA[ID]),COLUMN(NOTA[ID]))&amp;":"&amp;ADDRESS(ROW(),COLUMN(NOTA[ID]))),-1)))</f>
        <v>GLORY</v>
      </c>
      <c r="AK210" s="41" t="str">
        <f ca="1">IF(NOTA[[#This Row],[ID_H]]="","",IF(NOTA[[#This Row],[FAKTUR]]="",INDIRECT(ADDRESS(ROW()-1,COLUMN())),NOTA[[#This Row],[FAKTUR]]))</f>
        <v>UNTANA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9</v>
      </c>
      <c r="AN210" s="38" t="str">
        <f>LOWER(SUBSTITUTE(SUBSTITUTE(SUBSTITUTE(SUBSTITUTE(SUBSTITUTE(SUBSTITUTE(SUBSTITUTE(SUBSTITUTE(SUBSTITUTE(NOTA[NAMA BARANG]," ",),".",""),"-",""),"(",""),")",""),",",""),"/",""),"""",""),"+",""))</f>
        <v>bkmwrnjumbopondif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bkmwrnjumbopondif13800000.03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bkmwrnjumbopondif13800000.03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e">
        <f>IF(NOTA[[#This Row],[CONCAT1]]="","",MATCH(NOTA[[#This Row],[CONCAT1]],[3]!db[NB NOTA_C],0))</f>
        <v>#N/A</v>
      </c>
      <c r="AT210" s="38" t="b">
        <f>IF(NOTA[[#This Row],[QTY/ CTN]]="","",TRUE)</f>
        <v>1</v>
      </c>
      <c r="AU210" s="38" t="str">
        <f ca="1">IF(NOTA[[#This Row],[ID_H]]="","",IF(NOTA[[#This Row],[Column3]]=TRUE,NOTA[[#This Row],[QTY/ CTN]],INDEX([3]!db[QTY/ CTN],NOTA[[#This Row],[//DB]])))</f>
        <v>600 PCS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bkmwrnjumbopondif600pcsuntana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GLO_1309_005-4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35</v>
      </c>
      <c r="E212" s="46">
        <v>45182</v>
      </c>
      <c r="F212" s="37" t="s">
        <v>336</v>
      </c>
      <c r="G212" s="37" t="s">
        <v>124</v>
      </c>
      <c r="H212" s="47" t="s">
        <v>344</v>
      </c>
      <c r="I212" s="37"/>
      <c r="J212" s="39">
        <v>45181</v>
      </c>
      <c r="K212" s="37"/>
      <c r="L212" s="37" t="s">
        <v>345</v>
      </c>
      <c r="M212" s="40">
        <v>28</v>
      </c>
      <c r="N212" s="38">
        <v>33600</v>
      </c>
      <c r="O212" s="37" t="s">
        <v>127</v>
      </c>
      <c r="P212" s="41">
        <v>400</v>
      </c>
      <c r="Q212" s="42"/>
      <c r="R212" s="48" t="s">
        <v>346</v>
      </c>
      <c r="S212" s="49"/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13440000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13440000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212" s="50">
        <f>IF(OR(NOTA[[#This Row],[QTY]]="",NOTA[[#This Row],[HARGA SATUAN]]="",),"",NOTA[[#This Row],[QTY]]*NOTA[[#This Row],[HARGA SATUAN]])</f>
        <v>13440000</v>
      </c>
      <c r="AI212" s="39">
        <f ca="1">IF(NOTA[ID_H]="","",INDEX(NOTA[TANGGAL],MATCH(,INDIRECT(ADDRESS(ROW(NOTA[TANGGAL]),COLUMN(NOTA[TANGGAL]))&amp;":"&amp;ADDRESS(ROW(),COLUMN(NOTA[TANGGAL]))),-1)))</f>
        <v>45182</v>
      </c>
      <c r="AJ212" s="41" t="str">
        <f ca="1">IF(NOTA[[#This Row],[NAMA BARANG]]="","",INDEX(NOTA[SUPPLIER],MATCH(,INDIRECT(ADDRESS(ROW(NOTA[ID]),COLUMN(NOTA[ID]))&amp;":"&amp;ADDRESS(ROW(),COLUMN(NOTA[ID]))),-1)))</f>
        <v>GLORY</v>
      </c>
      <c r="AK212" s="41" t="str">
        <f ca="1">IF(NOTA[[#This Row],[ID_H]]="","",IF(NOTA[[#This Row],[FAKTUR]]="",INDIRECT(ADDRESS(ROW()-1,COLUMN())),NOTA[[#This Row],[FAKTUR]]))</f>
        <v>UNTANA</v>
      </c>
      <c r="AL212" s="38">
        <f ca="1">IF(NOTA[[#This Row],[ID]]="","",COUNTIF(NOTA[ID_H],NOTA[[#This Row],[ID_H]]))</f>
        <v>4</v>
      </c>
      <c r="AM212" s="38">
        <f>IF(NOTA[[#This Row],[TGL.NOTA]]="",IF(NOTA[[#This Row],[SUPPLIER_H]]="","",AM211),MONTH(NOTA[[#This Row],[TGL.NOTA]]))</f>
        <v>9</v>
      </c>
      <c r="AN212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origamisukungbox12x12480000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origamisukungbox12x12480000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GLORYUNTANAFP2309000545181origamisukungbox12x12</v>
      </c>
      <c r="AR212" s="38" t="e">
        <f>IF(NOTA[[#This Row],[CONCAT4]]="","",_xlfn.IFNA(MATCH(NOTA[[#This Row],[CONCAT4]],[2]!RAW[CONCAT_H],0),FALSE))</f>
        <v>#REF!</v>
      </c>
      <c r="AS212" s="38" t="e">
        <f>IF(NOTA[[#This Row],[CONCAT1]]="","",MATCH(NOTA[[#This Row],[CONCAT1]],[3]!db[NB NOTA_C],0))</f>
        <v>#N/A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1200 PCS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35</v>
      </c>
      <c r="E213" s="46"/>
      <c r="F213" s="37"/>
      <c r="G213" s="37"/>
      <c r="H213" s="47"/>
      <c r="I213" s="37"/>
      <c r="J213" s="39"/>
      <c r="K213" s="37"/>
      <c r="L213" s="37" t="s">
        <v>345</v>
      </c>
      <c r="M213" s="40"/>
      <c r="N213" s="38">
        <v>690</v>
      </c>
      <c r="O213" s="37" t="s">
        <v>127</v>
      </c>
      <c r="P213" s="41">
        <v>400</v>
      </c>
      <c r="Q213" s="42"/>
      <c r="R213" s="48" t="s">
        <v>346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276000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276000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H213" s="50">
        <f>IF(OR(NOTA[[#This Row],[QTY]]="",NOTA[[#This Row],[HARGA SATUAN]]="",),"",NOTA[[#This Row],[QTY]]*NOTA[[#This Row],[HARGA SATUAN]])</f>
        <v>276000</v>
      </c>
      <c r="AI213" s="39">
        <f ca="1">IF(NOTA[ID_H]="","",INDEX(NOTA[TANGGAL],MATCH(,INDIRECT(ADDRESS(ROW(NOTA[TANGGAL]),COLUMN(NOTA[TANGGAL]))&amp;":"&amp;ADDRESS(ROW(),COLUMN(NOTA[TANGGAL]))),-1)))</f>
        <v>45182</v>
      </c>
      <c r="AJ213" s="41" t="str">
        <f ca="1">IF(NOTA[[#This Row],[NAMA BARANG]]="","",INDEX(NOTA[SUPPLIER],MATCH(,INDIRECT(ADDRESS(ROW(NOTA[ID]),COLUMN(NOTA[ID]))&amp;":"&amp;ADDRESS(ROW(),COLUMN(NOTA[ID]))),-1)))</f>
        <v>GLORY</v>
      </c>
      <c r="AK213" s="41" t="str">
        <f ca="1">IF(NOTA[[#This Row],[ID_H]]="","",IF(NOTA[[#This Row],[FAKTUR]]="",INDIRECT(ADDRESS(ROW()-1,COLUMN())),NOTA[[#This Row],[FAKTUR]]))</f>
        <v>UNTANA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9</v>
      </c>
      <c r="AN213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origamisukungbox12x12276000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origamisukungbox12x12400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e">
        <f>IF(NOTA[[#This Row],[CONCAT1]]="","",MATCH(NOTA[[#This Row],[CONCAT1]],[3]!db[NB NOTA_C],0))</f>
        <v>#N/A</v>
      </c>
      <c r="AT213" s="38" t="b">
        <f>IF(NOTA[[#This Row],[QTY/ CTN]]="","",TRUE)</f>
        <v>1</v>
      </c>
      <c r="AU213" s="38" t="str">
        <f ca="1">IF(NOTA[[#This Row],[ID_H]]="","",IF(NOTA[[#This Row],[Column3]]=TRUE,NOTA[[#This Row],[QTY/ CTN]],INDEX([3]!db[QTY/ CTN],NOTA[[#This Row],[//DB]])))</f>
        <v>1200 PCS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35</v>
      </c>
      <c r="E214" s="46"/>
      <c r="F214" s="37"/>
      <c r="G214" s="37"/>
      <c r="H214" s="47"/>
      <c r="I214" s="37"/>
      <c r="J214" s="39"/>
      <c r="K214" s="37"/>
      <c r="L214" s="37" t="s">
        <v>347</v>
      </c>
      <c r="M214" s="40">
        <v>10</v>
      </c>
      <c r="N214" s="38">
        <v>9000</v>
      </c>
      <c r="O214" s="37" t="s">
        <v>127</v>
      </c>
      <c r="P214" s="41">
        <v>500</v>
      </c>
      <c r="Q214" s="42"/>
      <c r="R214" s="48" t="s">
        <v>348</v>
      </c>
      <c r="S214" s="49"/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4500000</v>
      </c>
      <c r="Y214" s="50">
        <f>IF(NOTA[[#This Row],[JUMLAH]]="","",NOTA[[#This Row],[JUMLAH]]*NOTA[[#This Row],[DISC 1]])</f>
        <v>0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0</v>
      </c>
      <c r="AC214" s="50">
        <f>IF(NOTA[[#This Row],[JUMLAH]]="","",NOTA[[#This Row],[JUMLAH]]-NOTA[[#This Row],[DISC]])</f>
        <v>4500000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450000</v>
      </c>
      <c r="AH214" s="50">
        <f>IF(OR(NOTA[[#This Row],[QTY]]="",NOTA[[#This Row],[HARGA SATUAN]]="",),"",NOTA[[#This Row],[QTY]]*NOTA[[#This Row],[HARGA SATUAN]])</f>
        <v>4500000</v>
      </c>
      <c r="AI214" s="39">
        <f ca="1">IF(NOTA[ID_H]="","",INDEX(NOTA[TANGGAL],MATCH(,INDIRECT(ADDRESS(ROW(NOTA[TANGGAL]),COLUMN(NOTA[TANGGAL]))&amp;":"&amp;ADDRESS(ROW(),COLUMN(NOTA[TANGGAL]))),-1)))</f>
        <v>45182</v>
      </c>
      <c r="AJ214" s="41" t="str">
        <f ca="1">IF(NOTA[[#This Row],[NAMA BARANG]]="","",INDEX(NOTA[SUPPLIER],MATCH(,INDIRECT(ADDRESS(ROW(NOTA[ID]),COLUMN(NOTA[ID]))&amp;":"&amp;ADDRESS(ROW(),COLUMN(NOTA[ID]))),-1)))</f>
        <v>GLORY</v>
      </c>
      <c r="AK214" s="41" t="str">
        <f ca="1">IF(NOTA[[#This Row],[ID_H]]="","",IF(NOTA[[#This Row],[FAKTUR]]="",INDIRECT(ADDRESS(ROW()-1,COLUMN())),NOTA[[#This Row],[FAKTUR]]))</f>
        <v>UNTANA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9</v>
      </c>
      <c r="AN214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origamisukungbox14x14450000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origamisukungbox14x14450000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 t="e">
        <f>IF(NOTA[[#This Row],[CONCAT1]]="","",MATCH(NOTA[[#This Row],[CONCAT1]],[3]!db[NB NOTA_C],0))</f>
        <v>#N/A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900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35</v>
      </c>
      <c r="E215" s="46"/>
      <c r="F215" s="37"/>
      <c r="G215" s="37"/>
      <c r="H215" s="47"/>
      <c r="I215" s="37"/>
      <c r="J215" s="39"/>
      <c r="K215" s="37"/>
      <c r="L215" s="37" t="s">
        <v>347</v>
      </c>
      <c r="M215" s="40"/>
      <c r="N215" s="38">
        <v>996</v>
      </c>
      <c r="O215" s="37" t="s">
        <v>127</v>
      </c>
      <c r="P215" s="41">
        <v>500</v>
      </c>
      <c r="Q215" s="42"/>
      <c r="R215" s="48" t="s">
        <v>348</v>
      </c>
      <c r="S215" s="49"/>
      <c r="T215" s="44"/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498000</v>
      </c>
      <c r="Y215" s="50">
        <f>IF(NOTA[[#This Row],[JUMLAH]]="","",NOTA[[#This Row],[JUMLAH]]*NOTA[[#This Row],[DISC 1]])</f>
        <v>0</v>
      </c>
      <c r="Z215" s="50">
        <f>IF(NOTA[[#This Row],[JUMLAH]]="","",(NOTA[[#This Row],[JUMLAH]]-NOTA[[#This Row],[DISC 1-]])*NOTA[[#This Row],[DISC 2]])</f>
        <v>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0</v>
      </c>
      <c r="AC215" s="50">
        <f>IF(NOTA[[#This Row],[JUMLAH]]="","",NOTA[[#This Row],[JUMLAH]]-NOTA[[#This Row],[DISC]])</f>
        <v>498000</v>
      </c>
      <c r="AD215" s="50"/>
      <c r="AE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18714000</v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498000</v>
      </c>
      <c r="AH215" s="50">
        <f>IF(OR(NOTA[[#This Row],[QTY]]="",NOTA[[#This Row],[HARGA SATUAN]]="",),"",NOTA[[#This Row],[QTY]]*NOTA[[#This Row],[HARGA SATUAN]])</f>
        <v>498000</v>
      </c>
      <c r="AI215" s="39">
        <f ca="1">IF(NOTA[ID_H]="","",INDEX(NOTA[TANGGAL],MATCH(,INDIRECT(ADDRESS(ROW(NOTA[TANGGAL]),COLUMN(NOTA[TANGGAL]))&amp;":"&amp;ADDRESS(ROW(),COLUMN(NOTA[TANGGAL]))),-1)))</f>
        <v>45182</v>
      </c>
      <c r="AJ215" s="41" t="str">
        <f ca="1">IF(NOTA[[#This Row],[NAMA BARANG]]="","",INDEX(NOTA[SUPPLIER],MATCH(,INDIRECT(ADDRESS(ROW(NOTA[ID]),COLUMN(NOTA[ID]))&amp;":"&amp;ADDRESS(ROW(),COLUMN(NOTA[ID]))),-1)))</f>
        <v>GLORY</v>
      </c>
      <c r="AK215" s="41" t="str">
        <f ca="1">IF(NOTA[[#This Row],[ID_H]]="","",IF(NOTA[[#This Row],[FAKTUR]]="",INDIRECT(ADDRESS(ROW()-1,COLUMN())),NOTA[[#This Row],[FAKTUR]]))</f>
        <v>UNTANA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9</v>
      </c>
      <c r="AN215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origamisukungbox14x14498000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origamisukungbox14x14500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e">
        <f>IF(NOTA[[#This Row],[CONCAT1]]="","",MATCH(NOTA[[#This Row],[CONCAT1]],[3]!db[NB NOTA_C],0))</f>
        <v>#N/A</v>
      </c>
      <c r="AT215" s="38" t="b">
        <f>IF(NOTA[[#This Row],[QTY/ CTN]]="","",TRUE)</f>
        <v>1</v>
      </c>
      <c r="AU215" s="38" t="str">
        <f ca="1">IF(NOTA[[#This Row],[ID_H]]="","",IF(NOTA[[#This Row],[Column3]]=TRUE,NOTA[[#This Row],[QTY/ CTN]],INDEX([3]!db[QTY/ CTN],NOTA[[#This Row],[//DB]])))</f>
        <v>900 PCS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39" t="str">
        <f ca="1">IF(NOTA[ID_H]="","",INDEX(NOTA[TANGGAL],MATCH(,INDIRECT(ADDRESS(ROW(NOTA[TANGGAL]),COLUMN(NOTA[TANGGAL]))&amp;":"&amp;ADDRESS(ROW(),COLUMN(NOTA[TANGGAL]))),-1)))</f>
        <v/>
      </c>
      <c r="AJ216" s="41" t="str">
        <f ca="1">IF(NOTA[[#This Row],[NAMA BARANG]]="","",INDEX(NOTA[SUPPLIER],MATCH(,INDIRECT(ADDRESS(ROW(NOTA[ID]),COLUMN(NOTA[ID]))&amp;":"&amp;ADDRESS(ROW(),COLUMN(NOTA[ID]))),-1)))</f>
        <v/>
      </c>
      <c r="AK216" s="41" t="str">
        <f ca="1">IF(NOTA[[#This Row],[ID_H]]="","",IF(NOTA[[#This Row],[FAKTUR]]="",INDIRECT(ADDRESS(ROW()-1,COLUMN())),NOTA[[#This Row],[FAKTUR]]))</f>
        <v/>
      </c>
      <c r="AL216" s="38" t="str">
        <f ca="1">IF(NOTA[[#This Row],[ID]]="","",COUNTIF(NOTA[ID_H],NOTA[[#This Row],[ID_H]]))</f>
        <v/>
      </c>
      <c r="AM216" s="38" t="str">
        <f ca="1">IF(NOTA[[#This Row],[TGL.NOTA]]="",IF(NOTA[[#This Row],[SUPPLIER_H]]="","",AM215),MONTH(NOTA[[#This Row],[TGL.NOTA]]))</f>
        <v/>
      </c>
      <c r="AN216" s="38" t="str">
        <f>LOWER(SUBSTITUTE(SUBSTITUTE(SUBSTITUTE(SUBSTITUTE(SUBSTITUTE(SUBSTITUTE(SUBSTITUTE(SUBSTITUTE(SUBSTITUTE(NOTA[NAMA BARANG]," ",),".",""),"-",""),"(",""),")",""),",",""),"/",""),"""",""),"+",""))</f>
        <v/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 t="str">
        <f>IF(NOTA[[#This Row],[CONCAT1]]="","",MATCH(NOTA[[#This Row],[CONCAT1]],[3]!db[NB NOTA_C],0))</f>
        <v/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/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6" s="38" t="str">
        <f ca="1">IF(NOTA[[#This Row],[ID_H]]="","",MATCH(NOTA[[#This Row],[NB NOTA_C_QTY]],[4]!db[NB NOTA_C_QTY+F],0))</f>
        <v/>
      </c>
      <c r="AX216" s="53" t="str">
        <f ca="1">IF(NOTA[[#This Row],[NB NOTA_C_QTY]]="","",ROW()-2)</f>
        <v/>
      </c>
    </row>
    <row r="217" spans="1:50" s="38" customFormat="1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HON_1309_175-2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36</v>
      </c>
      <c r="E217" s="46">
        <v>45182</v>
      </c>
      <c r="F217" s="37" t="s">
        <v>349</v>
      </c>
      <c r="G217" s="37" t="s">
        <v>124</v>
      </c>
      <c r="H217" s="47" t="s">
        <v>350</v>
      </c>
      <c r="I217" s="37"/>
      <c r="J217" s="39">
        <v>45182</v>
      </c>
      <c r="K217" s="37"/>
      <c r="L217" s="37" t="s">
        <v>351</v>
      </c>
      <c r="M217" s="40">
        <v>1</v>
      </c>
      <c r="N217" s="38">
        <v>8</v>
      </c>
      <c r="O217" s="37" t="s">
        <v>139</v>
      </c>
      <c r="P217" s="41">
        <v>220000</v>
      </c>
      <c r="Q217" s="42"/>
      <c r="R217" s="48" t="s">
        <v>352</v>
      </c>
      <c r="S217" s="49"/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1760000</v>
      </c>
      <c r="Y217" s="50">
        <f>IF(NOTA[[#This Row],[JUMLAH]]="","",NOTA[[#This Row],[JUMLAH]]*NOTA[[#This Row],[DISC 1]])</f>
        <v>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0</v>
      </c>
      <c r="AC217" s="50">
        <f>IF(NOTA[[#This Row],[JUMLAH]]="","",NOTA[[#This Row],[JUMLAH]]-NOTA[[#This Row],[DISC]])</f>
        <v>1760000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H217" s="50">
        <f>IF(OR(NOTA[[#This Row],[QTY]]="",NOTA[[#This Row],[HARGA SATUAN]]="",),"",NOTA[[#This Row],[QTY]]*NOTA[[#This Row],[HARGA SATUAN]])</f>
        <v>1760000</v>
      </c>
      <c r="AI217" s="39">
        <f ca="1">IF(NOTA[ID_H]="","",INDEX(NOTA[TANGGAL],MATCH(,INDIRECT(ADDRESS(ROW(NOTA[TANGGAL]),COLUMN(NOTA[TANGGAL]))&amp;":"&amp;ADDRESS(ROW(),COLUMN(NOTA[TANGGAL]))),-1)))</f>
        <v>45182</v>
      </c>
      <c r="AJ217" s="41" t="str">
        <f ca="1">IF(NOTA[[#This Row],[NAMA BARANG]]="","",INDEX(NOTA[SUPPLIER],MATCH(,INDIRECT(ADDRESS(ROW(NOTA[ID]),COLUMN(NOTA[ID]))&amp;":"&amp;ADDRESS(ROW(),COLUMN(NOTA[ID]))),-1)))</f>
        <v>HONGSIAN</v>
      </c>
      <c r="AK217" s="41" t="str">
        <f ca="1">IF(NOTA[[#This Row],[ID_H]]="","",IF(NOTA[[#This Row],[FAKTUR]]="",INDIRECT(ADDRESS(ROW()-1,COLUMN())),NOTA[[#This Row],[FAKTUR]]))</f>
        <v>UNTANA</v>
      </c>
      <c r="AL217" s="38">
        <f ca="1">IF(NOTA[[#This Row],[ID]]="","",COUNTIF(NOTA[ID_H],NOTA[[#This Row],[ID_H]]))</f>
        <v>2</v>
      </c>
      <c r="AM217" s="38">
        <f>IF(NOTA[[#This Row],[TGL.NOTA]]="",IF(NOTA[[#This Row],[SUPPLIER_H]]="","",AM216),MONTH(NOTA[[#This Row],[TGL.NOTA]]))</f>
        <v>9</v>
      </c>
      <c r="AN217" s="38" t="str">
        <f>LOWER(SUBSTITUTE(SUBSTITUTE(SUBSTITUTE(SUBSTITUTE(SUBSTITUTE(SUBSTITUTE(SUBSTITUTE(SUBSTITUTE(SUBSTITUTE(NOTA[NAMA BARANG]," ",),".",""),"-",""),"(",""),")",""),",",""),"/",""),"""",""),"+",""))</f>
        <v>dochd53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dochd531760000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dochd531760000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HONGSIANUNTANA617545182dochd53</v>
      </c>
      <c r="AR217" s="38" t="e">
        <f>IF(NOTA[[#This Row],[CONCAT4]]="","",_xlfn.IFNA(MATCH(NOTA[[#This Row],[CONCAT4]],[2]!RAW[CONCAT_H],0),FALSE))</f>
        <v>#REF!</v>
      </c>
      <c r="AS217" s="38" t="e">
        <f>IF(NOTA[[#This Row],[CONCAT1]]="","",MATCH(NOTA[[#This Row],[CONCAT1]],[3]!db[NB NOTA_C],0))</f>
        <v>#N/A</v>
      </c>
      <c r="AT217" s="38" t="b">
        <f>IF(NOTA[[#This Row],[QTY/ CTN]]="","",TRUE)</f>
        <v>1</v>
      </c>
      <c r="AU217" s="38" t="str">
        <f ca="1">IF(NOTA[[#This Row],[ID_H]]="","",IF(NOTA[[#This Row],[Column3]]=TRUE,NOTA[[#This Row],[QTY/ CTN]],INDEX([3]!db[QTY/ CTN],NOTA[[#This Row],[//DB]])))</f>
        <v>8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dochd538lsnuntana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36</v>
      </c>
      <c r="E218" s="46"/>
      <c r="F218" s="37"/>
      <c r="G218" s="37"/>
      <c r="H218" s="47"/>
      <c r="I218" s="37"/>
      <c r="J218" s="39"/>
      <c r="K218" s="37"/>
      <c r="L218" s="37" t="s">
        <v>353</v>
      </c>
      <c r="M218" s="40">
        <v>1</v>
      </c>
      <c r="N218" s="38">
        <v>8</v>
      </c>
      <c r="O218" s="37" t="s">
        <v>139</v>
      </c>
      <c r="P218" s="41">
        <v>240000</v>
      </c>
      <c r="Q218" s="42"/>
      <c r="R218" s="48" t="s">
        <v>352</v>
      </c>
      <c r="S218" s="49"/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1920000</v>
      </c>
      <c r="Y218" s="50">
        <f>IF(NOTA[[#This Row],[JUMLAH]]="","",NOTA[[#This Row],[JUMLAH]]*NOTA[[#This Row],[DISC 1]])</f>
        <v>0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0</v>
      </c>
      <c r="AC218" s="50">
        <f>IF(NOTA[[#This Row],[JUMLAH]]="","",NOTA[[#This Row],[JUMLAH]]-NOTA[[#This Row],[DISC]])</f>
        <v>1920000</v>
      </c>
      <c r="AD218" s="50"/>
      <c r="AE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3680000</v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18" s="50">
        <f>IF(OR(NOTA[[#This Row],[QTY]]="",NOTA[[#This Row],[HARGA SATUAN]]="",),"",NOTA[[#This Row],[QTY]]*NOTA[[#This Row],[HARGA SATUAN]])</f>
        <v>1920000</v>
      </c>
      <c r="AI218" s="39">
        <f ca="1">IF(NOTA[ID_H]="","",INDEX(NOTA[TANGGAL],MATCH(,INDIRECT(ADDRESS(ROW(NOTA[TANGGAL]),COLUMN(NOTA[TANGGAL]))&amp;":"&amp;ADDRESS(ROW(),COLUMN(NOTA[TANGGAL]))),-1)))</f>
        <v>45182</v>
      </c>
      <c r="AJ218" s="41" t="str">
        <f ca="1">IF(NOTA[[#This Row],[NAMA BARANG]]="","",INDEX(NOTA[SUPPLIER],MATCH(,INDIRECT(ADDRESS(ROW(NOTA[ID]),COLUMN(NOTA[ID]))&amp;":"&amp;ADDRESS(ROW(),COLUMN(NOTA[ID]))),-1)))</f>
        <v>HONGSIAN</v>
      </c>
      <c r="AK218" s="41" t="str">
        <f ca="1">IF(NOTA[[#This Row],[ID_H]]="","",IF(NOTA[[#This Row],[FAKTUR]]="",INDIRECT(ADDRESS(ROW()-1,COLUMN())),NOTA[[#This Row],[FAKTUR]]))</f>
        <v>UNTANA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9</v>
      </c>
      <c r="AN218" s="38" t="str">
        <f>LOWER(SUBSTITUTE(SUBSTITUTE(SUBSTITUTE(SUBSTITUTE(SUBSTITUTE(SUBSTITUTE(SUBSTITUTE(SUBSTITUTE(SUBSTITUTE(NOTA[NAMA BARANG]," ",),".",""),"-",""),"(",""),")",""),",",""),"/",""),"""",""),"+",""))</f>
        <v>dochd62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dochd621920000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dochd621920000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e">
        <f>IF(NOTA[[#This Row],[CONCAT1]]="","",MATCH(NOTA[[#This Row],[CONCAT1]],[3]!db[NB NOTA_C],0))</f>
        <v>#N/A</v>
      </c>
      <c r="AT218" s="38" t="b">
        <f>IF(NOTA[[#This Row],[QTY/ CTN]]="","",TRUE)</f>
        <v>1</v>
      </c>
      <c r="AU218" s="38" t="str">
        <f ca="1">IF(NOTA[[#This Row],[ID_H]]="","",IF(NOTA[[#This Row],[Column3]]=TRUE,NOTA[[#This Row],[QTY/ CTN]],INDEX([3]!db[QTY/ CTN],NOTA[[#This Row],[//DB]])))</f>
        <v>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dochd628lsnuntana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41" t="str">
        <f ca="1">IF(NOTA[[#This Row],[NAMA BARANG]]="","",INDEX(NOTA[SUPPLIER],MATCH(,INDIRECT(ADDRESS(ROW(NOTA[ID]),COLUMN(NOTA[ID]))&amp;":"&amp;ADDRESS(ROW(),COLUMN(NOTA[ID]))),-1)))</f>
        <v/>
      </c>
      <c r="AK219" s="41" t="str">
        <f ca="1">IF(NOTA[[#This Row],[ID_H]]="","",IF(NOTA[[#This Row],[FAKTUR]]="",INDIRECT(ADDRESS(ROW()-1,COLUMN())),NOTA[[#This Row],[FAKTUR]]))</f>
        <v/>
      </c>
      <c r="AL219" s="38" t="str">
        <f ca="1">IF(NOTA[[#This Row],[ID]]="","",COUNTIF(NOTA[ID_H],NOTA[[#This Row],[ID_H]]))</f>
        <v/>
      </c>
      <c r="AM219" s="38" t="str">
        <f ca="1">IF(NOTA[[#This Row],[TGL.NOTA]]="",IF(NOTA[[#This Row],[SUPPLIER_H]]="","",AM218),MONTH(NOTA[[#This Row],[TGL.NOTA]]))</f>
        <v/>
      </c>
      <c r="AN219" s="38" t="str">
        <f>LOWER(SUBSTITUTE(SUBSTITUTE(SUBSTITUTE(SUBSTITUTE(SUBSTITUTE(SUBSTITUTE(SUBSTITUTE(SUBSTITUTE(SUBSTITUTE(NOTA[NAMA BARANG]," ",),".",""),"-",""),"(",""),")",""),",",""),"/",""),"""",""),"+",""))</f>
        <v/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 t="str">
        <f>IF(NOTA[[#This Row],[CONCAT1]]="","",MATCH(NOTA[[#This Row],[CONCAT1]],[3]!db[NB NOTA_C],0))</f>
        <v/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/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9" s="38" t="str">
        <f ca="1">IF(NOTA[[#This Row],[ID_H]]="","",MATCH(NOTA[[#This Row],[NB NOTA_C_QTY]],[4]!db[NB NOTA_C_QTY+F],0))</f>
        <v/>
      </c>
      <c r="AX219" s="53" t="str">
        <f ca="1">IF(NOTA[[#This Row],[NB NOTA_C_QTY]]="","",ROW()-2)</f>
        <v/>
      </c>
    </row>
    <row r="220" spans="1:50" s="38" customFormat="1" ht="20.100000000000001" customHeight="1" x14ac:dyDescent="0.25">
      <c r="A220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KEN_1409_177-7</v>
      </c>
      <c r="C220" s="38" t="e">
        <f ca="1">IF(NOTA[[#This Row],[ID_P]]="","",MATCH(NOTA[[#This Row],[ID_P]],[1]!B_MSK[N_ID],0))</f>
        <v>#REF!</v>
      </c>
      <c r="D220" s="38">
        <f ca="1">IF(NOTA[[#This Row],[NAMA BARANG]]="","",INDEX(NOTA[ID],MATCH(,INDIRECT(ADDRESS(ROW(NOTA[ID]),COLUMN(NOTA[ID]))&amp;":"&amp;ADDRESS(ROW(),COLUMN(NOTA[ID]))),-1)))</f>
        <v>37</v>
      </c>
      <c r="E220" s="46">
        <v>45183</v>
      </c>
      <c r="F220" s="37" t="s">
        <v>22</v>
      </c>
      <c r="G220" s="37" t="s">
        <v>23</v>
      </c>
      <c r="H220" s="47" t="s">
        <v>354</v>
      </c>
      <c r="I220" s="37"/>
      <c r="J220" s="39">
        <v>45182</v>
      </c>
      <c r="K220" s="37"/>
      <c r="L220" s="37" t="s">
        <v>107</v>
      </c>
      <c r="M220" s="40">
        <v>3</v>
      </c>
      <c r="O220" s="37"/>
      <c r="P220" s="41"/>
      <c r="Q220" s="42">
        <v>900000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2700000</v>
      </c>
      <c r="Y220" s="50">
        <f>IF(NOTA[[#This Row],[JUMLAH]]="","",NOTA[[#This Row],[JUMLAH]]*NOTA[[#This Row],[DISC 1]])</f>
        <v>459000.00000000006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459000.00000000006</v>
      </c>
      <c r="AC220" s="50">
        <f>IF(NOTA[[#This Row],[JUMLAH]]="","",NOTA[[#This Row],[JUMLAH]]-NOTA[[#This Row],[DISC]])</f>
        <v>2241000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45183</v>
      </c>
      <c r="AJ220" s="41" t="str">
        <f ca="1">IF(NOTA[[#This Row],[NAMA BARANG]]="","",INDEX(NOTA[SUPPLIER],MATCH(,INDIRECT(ADDRESS(ROW(NOTA[ID]),COLUMN(NOTA[ID]))&amp;":"&amp;ADDRESS(ROW(),COLUMN(NOTA[ID]))),-1)))</f>
        <v>KENKO SINAR INDONESIA</v>
      </c>
      <c r="AK220" s="41" t="str">
        <f ca="1">IF(NOTA[[#This Row],[ID_H]]="","",IF(NOTA[[#This Row],[FAKTUR]]="",INDIRECT(ADDRESS(ROW()-1,COLUMN())),NOTA[[#This Row],[FAKTUR]]))</f>
        <v>ARTO MORO</v>
      </c>
      <c r="AL220" s="38">
        <f ca="1">IF(NOTA[[#This Row],[ID]]="","",COUNTIF(NOTA[ID_H],NOTA[[#This Row],[ID_H]]))</f>
        <v>7</v>
      </c>
      <c r="AM220" s="38">
        <f>IF(NOTA[[#This Row],[TGL.NOTA]]="",IF(NOTA[[#This Row],[SUPPLIER_H]]="","",AM219),MONTH(NOTA[[#This Row],[TGL.NOTA]]))</f>
        <v>9</v>
      </c>
      <c r="AN22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MORO2309117745182kenkobinderclipno260</v>
      </c>
      <c r="AR220" s="38" t="e">
        <f>IF(NOTA[[#This Row],[CONCAT4]]="","",_xlfn.IFNA(MATCH(NOTA[[#This Row],[CONCAT4]],[2]!RAW[CONCAT_H],0),FALSE))</f>
        <v>#REF!</v>
      </c>
      <c r="AS220" s="38">
        <f>IF(NOTA[[#This Row],[CONCAT1]]="","",MATCH(NOTA[[#This Row],[CONCAT1]],[3]!db[NB NOTA_C],0))</f>
        <v>1289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5 GRS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37</v>
      </c>
      <c r="E221" s="46"/>
      <c r="F221" s="37"/>
      <c r="G221" s="37"/>
      <c r="H221" s="47"/>
      <c r="I221" s="37"/>
      <c r="J221" s="39"/>
      <c r="K221" s="37"/>
      <c r="L221" s="37" t="s">
        <v>355</v>
      </c>
      <c r="M221" s="40">
        <v>1</v>
      </c>
      <c r="O221" s="37"/>
      <c r="P221" s="41"/>
      <c r="Q221" s="42">
        <v>396000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396000</v>
      </c>
      <c r="Y221" s="50">
        <f>IF(NOTA[[#This Row],[JUMLAH]]="","",NOTA[[#This Row],[JUMLAH]]*NOTA[[#This Row],[DISC 1]])</f>
        <v>67320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67320</v>
      </c>
      <c r="AC221" s="50">
        <f>IF(NOTA[[#This Row],[JUMLAH]]="","",NOTA[[#This Row],[JUMLAH]]-NOTA[[#This Row],[DISC]])</f>
        <v>328680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45183</v>
      </c>
      <c r="AJ221" s="41" t="str">
        <f ca="1">IF(NOTA[[#This Row],[NAMA BARANG]]="","",INDEX(NOTA[SUPPLIER],MATCH(,INDIRECT(ADDRESS(ROW(NOTA[ID]),COLUMN(NOTA[ID]))&amp;":"&amp;ADDRESS(ROW(),COLUMN(NOTA[ID]))),-1)))</f>
        <v>KENKO SINAR INDONESIA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9</v>
      </c>
      <c r="AN22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1475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20 LSN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37</v>
      </c>
      <c r="E222" s="46"/>
      <c r="F222" s="37"/>
      <c r="G222" s="37"/>
      <c r="H222" s="47"/>
      <c r="I222" s="37"/>
      <c r="J222" s="39"/>
      <c r="K222" s="37"/>
      <c r="L222" s="37" t="s">
        <v>356</v>
      </c>
      <c r="M222" s="40">
        <v>1</v>
      </c>
      <c r="O222" s="37"/>
      <c r="P222" s="41"/>
      <c r="Q222" s="42">
        <v>504000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504000</v>
      </c>
      <c r="Y222" s="50">
        <f>IF(NOTA[[#This Row],[JUMLAH]]="","",NOTA[[#This Row],[JUMLAH]]*NOTA[[#This Row],[DISC 1]])</f>
        <v>85680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85680</v>
      </c>
      <c r="AC222" s="50">
        <f>IF(NOTA[[#This Row],[JUMLAH]]="","",NOTA[[#This Row],[JUMLAH]]-NOTA[[#This Row],[DISC]])</f>
        <v>418320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45183</v>
      </c>
      <c r="AJ222" s="41" t="str">
        <f ca="1">IF(NOTA[[#This Row],[NAMA BARANG]]="","",INDEX(NOTA[SUPPLIER],MATCH(,INDIRECT(ADDRESS(ROW(NOTA[ID]),COLUMN(NOTA[ID]))&amp;":"&amp;ADDRESS(ROW(),COLUMN(NOTA[ID]))),-1)))</f>
        <v>KENKO SINAR INDONESIA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9</v>
      </c>
      <c r="AN222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1476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20 LSN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37</v>
      </c>
      <c r="E223" s="46"/>
      <c r="F223" s="37"/>
      <c r="G223" s="37"/>
      <c r="H223" s="47"/>
      <c r="I223" s="37"/>
      <c r="J223" s="39"/>
      <c r="K223" s="37"/>
      <c r="L223" s="37" t="s">
        <v>357</v>
      </c>
      <c r="M223" s="40">
        <v>1</v>
      </c>
      <c r="O223" s="37"/>
      <c r="P223" s="41"/>
      <c r="Q223" s="42">
        <v>990000</v>
      </c>
      <c r="R223" s="48"/>
      <c r="S223" s="49">
        <v>0.17</v>
      </c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990000</v>
      </c>
      <c r="Y223" s="50">
        <f>IF(NOTA[[#This Row],[JUMLAH]]="","",NOTA[[#This Row],[JUMLAH]]*NOTA[[#This Row],[DISC 1]])</f>
        <v>168300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168300</v>
      </c>
      <c r="AC223" s="50">
        <f>IF(NOTA[[#This Row],[JUMLAH]]="","",NOTA[[#This Row],[JUMLAH]]-NOTA[[#This Row],[DISC]])</f>
        <v>821700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223" s="50" t="str">
        <f>IF(OR(NOTA[[#This Row],[QTY]]="",NOTA[[#This Row],[HARGA SATUAN]]="",),"",NOTA[[#This Row],[QTY]]*NOTA[[#This Row],[HARGA SATUAN]])</f>
        <v/>
      </c>
      <c r="AI223" s="39">
        <f ca="1">IF(NOTA[ID_H]="","",INDEX(NOTA[TANGGAL],MATCH(,INDIRECT(ADDRESS(ROW(NOTA[TANGGAL]),COLUMN(NOTA[TANGGAL]))&amp;":"&amp;ADDRESS(ROW(),COLUMN(NOTA[TANGGAL]))),-1)))</f>
        <v>45183</v>
      </c>
      <c r="AJ223" s="41" t="str">
        <f ca="1">IF(NOTA[[#This Row],[NAMA BARANG]]="","",INDEX(NOTA[SUPPLIER],MATCH(,INDIRECT(ADDRESS(ROW(NOTA[ID]),COLUMN(NOTA[ID]))&amp;":"&amp;ADDRESS(ROW(),COLUMN(NOTA[ID]))),-1)))</f>
        <v>KENKO SINAR INDONESIA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9</v>
      </c>
      <c r="AN223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1311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 LSN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37</v>
      </c>
      <c r="E224" s="46"/>
      <c r="F224" s="37"/>
      <c r="G224" s="37"/>
      <c r="H224" s="47"/>
      <c r="I224" s="37"/>
      <c r="J224" s="39"/>
      <c r="K224" s="37"/>
      <c r="L224" s="37" t="s">
        <v>163</v>
      </c>
      <c r="M224" s="40">
        <v>2</v>
      </c>
      <c r="O224" s="37"/>
      <c r="P224" s="41"/>
      <c r="Q224" s="42">
        <v>3110400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6220800</v>
      </c>
      <c r="Y224" s="50">
        <f>IF(NOTA[[#This Row],[JUMLAH]]="","",NOTA[[#This Row],[JUMLAH]]*NOTA[[#This Row],[DISC 1]])</f>
        <v>1057536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1057536</v>
      </c>
      <c r="AC224" s="50">
        <f>IF(NOTA[[#This Row],[JUMLAH]]="","",NOTA[[#This Row],[JUMLAH]]-NOTA[[#This Row],[DISC]])</f>
        <v>5163264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45183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9</v>
      </c>
      <c r="AN22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1431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144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37</v>
      </c>
      <c r="E225" s="46"/>
      <c r="F225" s="37"/>
      <c r="G225" s="37"/>
      <c r="H225" s="47"/>
      <c r="I225" s="37"/>
      <c r="J225" s="39"/>
      <c r="K225" s="37"/>
      <c r="L225" s="37" t="s">
        <v>358</v>
      </c>
      <c r="M225" s="40">
        <v>1</v>
      </c>
      <c r="O225" s="37"/>
      <c r="P225" s="41"/>
      <c r="Q225" s="42">
        <v>850000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850000</v>
      </c>
      <c r="Y225" s="50">
        <f>IF(NOTA[[#This Row],[JUMLAH]]="","",NOTA[[#This Row],[JUMLAH]]*NOTA[[#This Row],[DISC 1]])</f>
        <v>144500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144500</v>
      </c>
      <c r="AC225" s="50">
        <f>IF(NOTA[[#This Row],[JUMLAH]]="","",NOTA[[#This Row],[JUMLAH]]-NOTA[[#This Row],[DISC]])</f>
        <v>705500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45183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9</v>
      </c>
      <c r="AN22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1583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500 BOX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37</v>
      </c>
      <c r="E226" s="46"/>
      <c r="F226" s="37"/>
      <c r="G226" s="37"/>
      <c r="H226" s="47"/>
      <c r="I226" s="37"/>
      <c r="J226" s="39"/>
      <c r="K226" s="37"/>
      <c r="L226" s="37" t="s">
        <v>205</v>
      </c>
      <c r="M226" s="40">
        <v>1</v>
      </c>
      <c r="O226" s="37"/>
      <c r="P226" s="41"/>
      <c r="Q226" s="42">
        <v>801600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801600</v>
      </c>
      <c r="Y226" s="50">
        <f>IF(NOTA[[#This Row],[JUMLAH]]="","",NOTA[[#This Row],[JUMLAH]]*NOTA[[#This Row],[DISC 1]])</f>
        <v>136272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136272</v>
      </c>
      <c r="AC226" s="50">
        <f>IF(NOTA[[#This Row],[JUMLAH]]="","",NOTA[[#This Row],[JUMLAH]]-NOTA[[#This Row],[DISC]])</f>
        <v>665328</v>
      </c>
      <c r="AD226" s="50"/>
      <c r="AE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2118608</v>
      </c>
      <c r="AF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10343792</v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45183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9</v>
      </c>
      <c r="AN22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1477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96 PCS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39" t="str">
        <f ca="1">IF(NOTA[ID_H]="","",INDEX(NOTA[TANGGAL],MATCH(,INDIRECT(ADDRESS(ROW(NOTA[TANGGAL]),COLUMN(NOTA[TANGGAL]))&amp;":"&amp;ADDRESS(ROW(),COLUMN(NOTA[TANGGAL]))),-1)))</f>
        <v/>
      </c>
      <c r="AJ227" s="41" t="str">
        <f ca="1">IF(NOTA[[#This Row],[NAMA BARANG]]="","",INDEX(NOTA[SUPPLIER],MATCH(,INDIRECT(ADDRESS(ROW(NOTA[ID]),COLUMN(NOTA[ID]))&amp;":"&amp;ADDRESS(ROW(),COLUMN(NOTA[ID]))),-1)))</f>
        <v/>
      </c>
      <c r="AK227" s="41" t="str">
        <f ca="1">IF(NOTA[[#This Row],[ID_H]]="","",IF(NOTA[[#This Row],[FAKTUR]]="",INDIRECT(ADDRESS(ROW()-1,COLUMN())),NOTA[[#This Row],[FAKTUR]]))</f>
        <v/>
      </c>
      <c r="AL227" s="38" t="str">
        <f ca="1">IF(NOTA[[#This Row],[ID]]="","",COUNTIF(NOTA[ID_H],NOTA[[#This Row],[ID_H]]))</f>
        <v/>
      </c>
      <c r="AM227" s="38" t="str">
        <f ca="1">IF(NOTA[[#This Row],[TGL.NOTA]]="",IF(NOTA[[#This Row],[SUPPLIER_H]]="","",AM226),MONTH(NOTA[[#This Row],[TGL.NOTA]]))</f>
        <v/>
      </c>
      <c r="AN227" s="38" t="str">
        <f>LOWER(SUBSTITUTE(SUBSTITUTE(SUBSTITUTE(SUBSTITUTE(SUBSTITUTE(SUBSTITUTE(SUBSTITUTE(SUBSTITUTE(SUBSTITUTE(NOTA[NAMA BARANG]," ",),".",""),"-",""),"(",""),")",""),",",""),"/",""),"""",""),"+",""))</f>
        <v/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str">
        <f>IF(NOTA[[#This Row],[CONCAT1]]="","",MATCH(NOTA[[#This Row],[CONCAT1]],[3]!db[NB NOTA_C],0))</f>
        <v/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/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7" s="38" t="str">
        <f ca="1">IF(NOTA[[#This Row],[ID_H]]="","",MATCH(NOTA[[#This Row],[NB NOTA_C_QTY]],[4]!db[NB NOTA_C_QTY+F],0))</f>
        <v/>
      </c>
      <c r="AX227" s="53" t="str">
        <f ca="1">IF(NOTA[[#This Row],[NB NOTA_C_QTY]]="","",ROW()-2)</f>
        <v/>
      </c>
    </row>
    <row r="228" spans="1:50" s="38" customFormat="1" ht="19.5" customHeight="1" x14ac:dyDescent="0.25">
      <c r="A22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KEN_1409_114-3</v>
      </c>
      <c r="C228" s="38" t="e">
        <f ca="1">IF(NOTA[[#This Row],[ID_P]]="","",MATCH(NOTA[[#This Row],[ID_P]],[1]!B_MSK[N_ID],0))</f>
        <v>#REF!</v>
      </c>
      <c r="D228" s="38">
        <f ca="1">IF(NOTA[[#This Row],[NAMA BARANG]]="","",INDEX(NOTA[ID],MATCH(,INDIRECT(ADDRESS(ROW(NOTA[ID]),COLUMN(NOTA[ID]))&amp;":"&amp;ADDRESS(ROW(),COLUMN(NOTA[ID]))),-1)))</f>
        <v>38</v>
      </c>
      <c r="E228" s="46"/>
      <c r="F228" s="37" t="s">
        <v>22</v>
      </c>
      <c r="G228" s="37" t="s">
        <v>23</v>
      </c>
      <c r="H228" s="47" t="s">
        <v>359</v>
      </c>
      <c r="I228" s="37"/>
      <c r="J228" s="39">
        <v>45181</v>
      </c>
      <c r="K228" s="37"/>
      <c r="L228" s="37" t="s">
        <v>156</v>
      </c>
      <c r="M228" s="40">
        <v>6</v>
      </c>
      <c r="O228" s="37"/>
      <c r="P228" s="41"/>
      <c r="Q228" s="42">
        <v>1695600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10173600</v>
      </c>
      <c r="Y228" s="50">
        <f>IF(NOTA[[#This Row],[JUMLAH]]="","",NOTA[[#This Row],[JUMLAH]]*NOTA[[#This Row],[DISC 1]])</f>
        <v>1729512.0000000002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1729512.0000000002</v>
      </c>
      <c r="AC228" s="50">
        <f>IF(NOTA[[#This Row],[JUMLAH]]="","",NOTA[[#This Row],[JUMLAH]]-NOTA[[#This Row],[DISC]])</f>
        <v>8444088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45183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>
        <f ca="1">IF(NOTA[[#This Row],[ID]]="","",COUNTIF(NOTA[ID_H],NOTA[[#This Row],[ID_H]]))</f>
        <v>3</v>
      </c>
      <c r="AM228" s="38">
        <f>IF(NOTA[[#This Row],[TGL.NOTA]]="",IF(NOTA[[#This Row],[SUPPLIER_H]]="","",AM227),MONTH(NOTA[[#This Row],[TGL.NOTA]]))</f>
        <v>9</v>
      </c>
      <c r="AN22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MORO2309111445181kenkocorrectionfluidke108</v>
      </c>
      <c r="AR228" s="38" t="e">
        <f>IF(NOTA[[#This Row],[CONCAT4]]="","",_xlfn.IFNA(MATCH(NOTA[[#This Row],[CONCAT4]],[2]!RAW[CONCAT_H],0),FALSE))</f>
        <v>#REF!</v>
      </c>
      <c r="AS228" s="38">
        <f>IF(NOTA[[#This Row],[CONCAT1]]="","",MATCH(NOTA[[#This Row],[CONCAT1]],[3]!db[NB NOTA_C],0))</f>
        <v>1347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36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38</v>
      </c>
      <c r="E229" s="46"/>
      <c r="F229" s="37"/>
      <c r="G229" s="37"/>
      <c r="H229" s="47"/>
      <c r="I229" s="37"/>
      <c r="J229" s="39"/>
      <c r="K229" s="37"/>
      <c r="L229" s="37" t="s">
        <v>360</v>
      </c>
      <c r="M229" s="40">
        <v>2</v>
      </c>
      <c r="O229" s="37"/>
      <c r="P229" s="41"/>
      <c r="Q229" s="42">
        <v>1375000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2750000</v>
      </c>
      <c r="Y229" s="50">
        <f>IF(NOTA[[#This Row],[JUMLAH]]="","",NOTA[[#This Row],[JUMLAH]]*NOTA[[#This Row],[DISC 1]])</f>
        <v>467500.00000000006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467500.00000000006</v>
      </c>
      <c r="AC229" s="50">
        <f>IF(NOTA[[#This Row],[JUMLAH]]="","",NOTA[[#This Row],[JUMLAH]]-NOTA[[#This Row],[DISC]])</f>
        <v>2282500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45183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9</v>
      </c>
      <c r="AN229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1400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50 BOX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38</v>
      </c>
      <c r="E230" s="46"/>
      <c r="F230" s="37"/>
      <c r="G230" s="37"/>
      <c r="H230" s="47"/>
      <c r="I230" s="37"/>
      <c r="J230" s="39"/>
      <c r="K230" s="37"/>
      <c r="L230" s="37" t="s">
        <v>157</v>
      </c>
      <c r="M230" s="40">
        <v>1</v>
      </c>
      <c r="O230" s="37"/>
      <c r="P230" s="41"/>
      <c r="Q230" s="42">
        <v>2088000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2088000</v>
      </c>
      <c r="Y230" s="50">
        <f>IF(NOTA[[#This Row],[JUMLAH]]="","",NOTA[[#This Row],[JUMLAH]]*NOTA[[#This Row],[DISC 1]])</f>
        <v>354960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354960</v>
      </c>
      <c r="AC230" s="50">
        <f>IF(NOTA[[#This Row],[JUMLAH]]="","",NOTA[[#This Row],[JUMLAH]]-NOTA[[#This Row],[DISC]])</f>
        <v>1733040</v>
      </c>
      <c r="AD230" s="50"/>
      <c r="AE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2551972.0000000005</v>
      </c>
      <c r="AF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12459628</v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45183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9</v>
      </c>
      <c r="AN23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2575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12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41" t="str">
        <f ca="1">IF(NOTA[[#This Row],[NAMA BARANG]]="","",INDEX(NOTA[SUPPLIER],MATCH(,INDIRECT(ADDRESS(ROW(NOTA[ID]),COLUMN(NOTA[ID]))&amp;":"&amp;ADDRESS(ROW(),COLUMN(NOTA[ID]))),-1)))</f>
        <v/>
      </c>
      <c r="AK231" s="41" t="str">
        <f ca="1">IF(NOTA[[#This Row],[ID_H]]="","",IF(NOTA[[#This Row],[FAKTUR]]="",INDIRECT(ADDRESS(ROW()-1,COLUMN())),NOTA[[#This Row],[FAKTUR]]))</f>
        <v/>
      </c>
      <c r="AL231" s="38" t="str">
        <f ca="1">IF(NOTA[[#This Row],[ID]]="","",COUNTIF(NOTA[ID_H],NOTA[[#This Row],[ID_H]]))</f>
        <v/>
      </c>
      <c r="AM231" s="38" t="str">
        <f ca="1">IF(NOTA[[#This Row],[TGL.NOTA]]="",IF(NOTA[[#This Row],[SUPPLIER_H]]="","",AM230),MONTH(NOTA[[#This Row],[TGL.NOTA]]))</f>
        <v/>
      </c>
      <c r="AN231" s="38" t="str">
        <f>LOWER(SUBSTITUTE(SUBSTITUTE(SUBSTITUTE(SUBSTITUTE(SUBSTITUTE(SUBSTITUTE(SUBSTITUTE(SUBSTITUTE(SUBSTITUTE(NOTA[NAMA BARANG]," ",),".",""),"-",""),"(",""),")",""),",",""),"/",""),"""",""),"+",""))</f>
        <v/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str">
        <f>IF(NOTA[[#This Row],[CONCAT1]]="","",MATCH(NOTA[[#This Row],[CONCAT1]],[3]!db[NB NOTA_C],0))</f>
        <v/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/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1" s="38" t="str">
        <f ca="1">IF(NOTA[[#This Row],[ID_H]]="","",MATCH(NOTA[[#This Row],[NB NOTA_C_QTY]],[4]!db[NB NOTA_C_QTY+F],0))</f>
        <v/>
      </c>
      <c r="AX231" s="53" t="str">
        <f ca="1">IF(NOTA[[#This Row],[NB NOTA_C_QTY]]="","",ROW()-2)</f>
        <v/>
      </c>
    </row>
    <row r="232" spans="1:50" s="38" customFormat="1" ht="20.100000000000001" customHeight="1" x14ac:dyDescent="0.25">
      <c r="A232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KEN_1409_140-11</v>
      </c>
      <c r="C232" s="38" t="e">
        <f ca="1">IF(NOTA[[#This Row],[ID_P]]="","",MATCH(NOTA[[#This Row],[ID_P]],[1]!B_MSK[N_ID],0))</f>
        <v>#REF!</v>
      </c>
      <c r="D232" s="38">
        <f ca="1">IF(NOTA[[#This Row],[NAMA BARANG]]="","",INDEX(NOTA[ID],MATCH(,INDIRECT(ADDRESS(ROW(NOTA[ID]),COLUMN(NOTA[ID]))&amp;":"&amp;ADDRESS(ROW(),COLUMN(NOTA[ID]))),-1)))</f>
        <v>39</v>
      </c>
      <c r="E232" s="46"/>
      <c r="F232" s="37" t="s">
        <v>22</v>
      </c>
      <c r="G232" s="37" t="s">
        <v>23</v>
      </c>
      <c r="H232" s="47" t="s">
        <v>361</v>
      </c>
      <c r="I232" s="37"/>
      <c r="J232" s="39">
        <v>45181</v>
      </c>
      <c r="K232" s="37"/>
      <c r="L232" s="37" t="s">
        <v>368</v>
      </c>
      <c r="M232" s="40">
        <v>5</v>
      </c>
      <c r="O232" s="37"/>
      <c r="P232" s="41"/>
      <c r="Q232" s="42">
        <v>396000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1980000</v>
      </c>
      <c r="Y232" s="50">
        <f>IF(NOTA[[#This Row],[JUMLAH]]="","",NOTA[[#This Row],[JUMLAH]]*NOTA[[#This Row],[DISC 1]])</f>
        <v>336600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336600</v>
      </c>
      <c r="AC232" s="50">
        <f>IF(NOTA[[#This Row],[JUMLAH]]="","",NOTA[[#This Row],[JUMLAH]]-NOTA[[#This Row],[DISC]])</f>
        <v>1643400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45183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>
        <f ca="1">IF(NOTA[[#This Row],[ID]]="","",COUNTIF(NOTA[ID_H],NOTA[[#This Row],[ID_H]]))</f>
        <v>11</v>
      </c>
      <c r="AM232" s="38">
        <f>IF(NOTA[[#This Row],[TGL.NOTA]]="",IF(NOTA[[#This Row],[SUPPLIER_H]]="","",AM231),MONTH(NOTA[[#This Row],[TGL.NOTA]]))</f>
        <v>9</v>
      </c>
      <c r="AN232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MORO2309114045181kenkoliquidgluelg3535ml</v>
      </c>
      <c r="AR232" s="38" t="e">
        <f>IF(NOTA[[#This Row],[CONCAT4]]="","",_xlfn.IFNA(MATCH(NOTA[[#This Row],[CONCAT4]],[2]!RAW[CONCAT_H],0),FALSE))</f>
        <v>#REF!</v>
      </c>
      <c r="AS232" s="38">
        <f>IF(NOTA[[#This Row],[CONCAT1]]="","",MATCH(NOTA[[#This Row],[CONCAT1]],[3]!db[NB NOTA_C],0))</f>
        <v>1475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20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39</v>
      </c>
      <c r="E233" s="46"/>
      <c r="F233" s="37"/>
      <c r="G233" s="37"/>
      <c r="H233" s="47"/>
      <c r="I233" s="37"/>
      <c r="J233" s="39"/>
      <c r="K233" s="37"/>
      <c r="L233" s="37" t="s">
        <v>369</v>
      </c>
      <c r="M233" s="40">
        <v>5</v>
      </c>
      <c r="O233" s="37"/>
      <c r="P233" s="41"/>
      <c r="Q233" s="42">
        <v>504000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2520000</v>
      </c>
      <c r="Y233" s="50">
        <f>IF(NOTA[[#This Row],[JUMLAH]]="","",NOTA[[#This Row],[JUMLAH]]*NOTA[[#This Row],[DISC 1]])</f>
        <v>428400.00000000006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428400.00000000006</v>
      </c>
      <c r="AC233" s="50">
        <f>IF(NOTA[[#This Row],[JUMLAH]]="","",NOTA[[#This Row],[JUMLAH]]-NOTA[[#This Row],[DISC]])</f>
        <v>2091600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45183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9</v>
      </c>
      <c r="AN233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1476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LSN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39</v>
      </c>
      <c r="E234" s="46"/>
      <c r="F234" s="37"/>
      <c r="G234" s="37"/>
      <c r="H234" s="47"/>
      <c r="I234" s="37"/>
      <c r="J234" s="39"/>
      <c r="K234" s="37"/>
      <c r="L234" s="37" t="s">
        <v>362</v>
      </c>
      <c r="M234" s="40">
        <v>5</v>
      </c>
      <c r="O234" s="37"/>
      <c r="P234" s="41"/>
      <c r="Q234" s="42">
        <v>1050000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5250000</v>
      </c>
      <c r="Y234" s="50">
        <f>IF(NOTA[[#This Row],[JUMLAH]]="","",NOTA[[#This Row],[JUMLAH]]*NOTA[[#This Row],[DISC 1]])</f>
        <v>892500.00000000012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892500.00000000012</v>
      </c>
      <c r="AC234" s="50">
        <f>IF(NOTA[[#This Row],[JUMLAH]]="","",NOTA[[#This Row],[JUMLAH]]-NOTA[[#This Row],[DISC]])</f>
        <v>4357500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45183</v>
      </c>
      <c r="AJ234" s="41" t="str">
        <f ca="1">IF(NOTA[[#This Row],[NAMA BARANG]]="","",INDEX(NOTA[SUPPLIER],MATCH(,INDIRECT(ADDRESS(ROW(NOTA[ID]),COLUMN(NOTA[ID]))&amp;":"&amp;ADDRESS(ROW(),COLUMN(NOTA[ID]))),-1)))</f>
        <v>KENKO SINAR INDONESIA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9</v>
      </c>
      <c r="AN23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>
        <f>IF(NOTA[[#This Row],[CONCAT1]]="","",MATCH(NOTA[[#This Row],[CONCAT1]],[3]!db[NB NOTA_C],0))</f>
        <v>1523</v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>50 TUB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39</v>
      </c>
      <c r="E235" s="46"/>
      <c r="F235" s="37"/>
      <c r="G235" s="37"/>
      <c r="H235" s="47"/>
      <c r="I235" s="37"/>
      <c r="J235" s="39"/>
      <c r="K235" s="37"/>
      <c r="L235" s="37" t="s">
        <v>105</v>
      </c>
      <c r="M235" s="40">
        <v>2</v>
      </c>
      <c r="O235" s="37"/>
      <c r="P235" s="41"/>
      <c r="Q235" s="42">
        <v>1860000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3720000</v>
      </c>
      <c r="Y235" s="50">
        <f>IF(NOTA[[#This Row],[JUMLAH]]="","",NOTA[[#This Row],[JUMLAH]]*NOTA[[#This Row],[DISC 1]])</f>
        <v>632400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632400</v>
      </c>
      <c r="AC235" s="50">
        <f>IF(NOTA[[#This Row],[JUMLAH]]="","",NOTA[[#This Row],[JUMLAH]]-NOTA[[#This Row],[DISC]])</f>
        <v>3087600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45183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9</v>
      </c>
      <c r="AN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>
        <f>IF(NOTA[[#This Row],[CONCAT1]]="","",MATCH(NOTA[[#This Row],[CONCAT1]],[3]!db[NB NOTA_C],0))</f>
        <v>1561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20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39</v>
      </c>
      <c r="E236" s="46"/>
      <c r="F236" s="37"/>
      <c r="G236" s="37"/>
      <c r="H236" s="47"/>
      <c r="I236" s="37"/>
      <c r="J236" s="39"/>
      <c r="K236" s="37"/>
      <c r="L236" s="37" t="s">
        <v>363</v>
      </c>
      <c r="M236" s="40">
        <v>1</v>
      </c>
      <c r="O236" s="37"/>
      <c r="P236" s="41"/>
      <c r="Q236" s="42">
        <v>2352000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2352000</v>
      </c>
      <c r="Y236" s="50">
        <f>IF(NOTA[[#This Row],[JUMLAH]]="","",NOTA[[#This Row],[JUMLAH]]*NOTA[[#This Row],[DISC 1]])</f>
        <v>399840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399840</v>
      </c>
      <c r="AC236" s="50">
        <f>IF(NOTA[[#This Row],[JUMLAH]]="","",NOTA[[#This Row],[JUMLAH]]-NOTA[[#This Row],[DISC]])</f>
        <v>1952160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45183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9</v>
      </c>
      <c r="AN23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1562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20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39</v>
      </c>
      <c r="E237" s="46"/>
      <c r="F237" s="37"/>
      <c r="G237" s="37"/>
      <c r="H237" s="47"/>
      <c r="I237" s="37"/>
      <c r="J237" s="39"/>
      <c r="K237" s="37"/>
      <c r="L237" s="37" t="s">
        <v>364</v>
      </c>
      <c r="M237" s="40">
        <v>1</v>
      </c>
      <c r="O237" s="37"/>
      <c r="P237" s="41"/>
      <c r="Q237" s="42">
        <v>1497600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1497600</v>
      </c>
      <c r="Y237" s="50">
        <f>IF(NOTA[[#This Row],[JUMLAH]]="","",NOTA[[#This Row],[JUMLAH]]*NOTA[[#This Row],[DISC 1]])</f>
        <v>254592.00000000003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254592.00000000003</v>
      </c>
      <c r="AC237" s="50">
        <f>IF(NOTA[[#This Row],[JUMLAH]]="","",NOTA[[#This Row],[JUMLAH]]-NOTA[[#This Row],[DISC]])</f>
        <v>1243008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45183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9</v>
      </c>
      <c r="AN237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kenkopencilcasepc0719tk14976000.17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kenkopencilcasepc0719tk14976000.17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1513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24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kenkopencilcasepc0719tk24lsnartomoro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39</v>
      </c>
      <c r="E238" s="46"/>
      <c r="F238" s="37"/>
      <c r="G238" s="37"/>
      <c r="H238" s="47"/>
      <c r="I238" s="37"/>
      <c r="J238" s="39"/>
      <c r="K238" s="37"/>
      <c r="L238" s="37" t="s">
        <v>365</v>
      </c>
      <c r="M238" s="40">
        <v>1</v>
      </c>
      <c r="O238" s="37"/>
      <c r="P238" s="41"/>
      <c r="Q238" s="42">
        <v>3800000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3800000</v>
      </c>
      <c r="Y238" s="50">
        <f>IF(NOTA[[#This Row],[JUMLAH]]="","",NOTA[[#This Row],[JUMLAH]]*NOTA[[#This Row],[DISC 1]])</f>
        <v>646000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646000</v>
      </c>
      <c r="AC238" s="50">
        <f>IF(NOTA[[#This Row],[JUMLAH]]="","",NOTA[[#This Row],[JUMLAH]]-NOTA[[#This Row],[DISC]])</f>
        <v>3154000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3800000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45183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9</v>
      </c>
      <c r="AN238" s="38" t="str">
        <f>LOWER(SUBSTITUTE(SUBSTITUTE(SUBSTITUTE(SUBSTITUTE(SUBSTITUTE(SUBSTITUTE(SUBSTITUTE(SUBSTITUTE(SUBSTITUTE(NOTA[NAMA BARANG]," ",),".",""),"-",""),"(",""),")",""),",",""),"/",""),"""",""),"+",""))</f>
        <v>kenkohandtallycounterht30210pcsbox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1452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20 BOX (10 PCS)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kenkohandtallycounterht30210pcsbox20box10pcsartomoro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39</v>
      </c>
      <c r="E239" s="46"/>
      <c r="F239" s="37"/>
      <c r="G239" s="37"/>
      <c r="H239" s="47"/>
      <c r="I239" s="37"/>
      <c r="J239" s="39"/>
      <c r="K239" s="37"/>
      <c r="L239" s="37" t="s">
        <v>197</v>
      </c>
      <c r="M239" s="40">
        <v>1</v>
      </c>
      <c r="O239" s="37"/>
      <c r="P239" s="41"/>
      <c r="Q239" s="42">
        <v>1560000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1560000</v>
      </c>
      <c r="Y239" s="50">
        <f>IF(NOTA[[#This Row],[JUMLAH]]="","",NOTA[[#This Row],[JUMLAH]]*NOTA[[#This Row],[DISC 1]])</f>
        <v>265200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265200</v>
      </c>
      <c r="AC239" s="50">
        <f>IF(NOTA[[#This Row],[JUMLAH]]="","",NOTA[[#This Row],[JUMLAH]]-NOTA[[#This Row],[DISC]])</f>
        <v>1294800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45183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9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1528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39</v>
      </c>
      <c r="E240" s="46"/>
      <c r="F240" s="37"/>
      <c r="G240" s="37"/>
      <c r="H240" s="47"/>
      <c r="I240" s="37"/>
      <c r="J240" s="39"/>
      <c r="K240" s="37"/>
      <c r="L240" s="37" t="s">
        <v>198</v>
      </c>
      <c r="M240" s="40">
        <v>1</v>
      </c>
      <c r="O240" s="37"/>
      <c r="P240" s="41"/>
      <c r="Q240" s="42">
        <v>1440000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1440000</v>
      </c>
      <c r="Y240" s="50">
        <f>IF(NOTA[[#This Row],[JUMLAH]]="","",NOTA[[#This Row],[JUMLAH]]*NOTA[[#This Row],[DISC 1]])</f>
        <v>244800.00000000003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244800.00000000003</v>
      </c>
      <c r="AC240" s="50">
        <f>IF(NOTA[[#This Row],[JUMLAH]]="","",NOTA[[#This Row],[JUMLAH]]-NOTA[[#This Row],[DISC]])</f>
        <v>1195200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45183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9</v>
      </c>
      <c r="AN24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1529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4 BOX (24 PCS)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39</v>
      </c>
      <c r="E241" s="46"/>
      <c r="F241" s="37"/>
      <c r="G241" s="37"/>
      <c r="H241" s="47"/>
      <c r="I241" s="37"/>
      <c r="J241" s="39"/>
      <c r="K241" s="37"/>
      <c r="L241" s="37" t="s">
        <v>366</v>
      </c>
      <c r="M241" s="40">
        <v>1</v>
      </c>
      <c r="O241" s="37"/>
      <c r="P241" s="41"/>
      <c r="Q241" s="42">
        <v>1536000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1536000</v>
      </c>
      <c r="Y241" s="50">
        <f>IF(NOTA[[#This Row],[JUMLAH]]="","",NOTA[[#This Row],[JUMLAH]]*NOTA[[#This Row],[DISC 1]])</f>
        <v>261120.00000000003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261120.00000000003</v>
      </c>
      <c r="AC241" s="50">
        <f>IF(NOTA[[#This Row],[JUMLAH]]="","",NOTA[[#This Row],[JUMLAH]]-NOTA[[#This Row],[DISC]])</f>
        <v>1274880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45183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9</v>
      </c>
      <c r="AN241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1531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4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39</v>
      </c>
      <c r="E242" s="46"/>
      <c r="F242" s="37"/>
      <c r="G242" s="37"/>
      <c r="H242" s="47"/>
      <c r="I242" s="37"/>
      <c r="J242" s="39"/>
      <c r="K242" s="37"/>
      <c r="L242" s="37" t="s">
        <v>367</v>
      </c>
      <c r="M242" s="40">
        <v>2</v>
      </c>
      <c r="O242" s="37"/>
      <c r="P242" s="41"/>
      <c r="Q242" s="42">
        <v>504000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1008000</v>
      </c>
      <c r="Y242" s="50">
        <f>IF(NOTA[[#This Row],[JUMLAH]]="","",NOTA[[#This Row],[JUMLAH]]*NOTA[[#This Row],[DISC 1]])</f>
        <v>171360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171360</v>
      </c>
      <c r="AC242" s="50">
        <f>IF(NOTA[[#This Row],[JUMLAH]]="","",NOTA[[#This Row],[JUMLAH]]-NOTA[[#This Row],[DISC]])</f>
        <v>836640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4532812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22130788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45183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9</v>
      </c>
      <c r="AN24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1458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6 PCS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SDI_1409_198-2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40</v>
      </c>
      <c r="E244" s="46"/>
      <c r="F244" s="37" t="s">
        <v>72</v>
      </c>
      <c r="G244" s="37" t="s">
        <v>23</v>
      </c>
      <c r="H244" s="47" t="s">
        <v>370</v>
      </c>
      <c r="I244" s="37"/>
      <c r="J244" s="39">
        <v>45181</v>
      </c>
      <c r="K244" s="37"/>
      <c r="L244" s="37" t="s">
        <v>371</v>
      </c>
      <c r="M244" s="40">
        <v>1</v>
      </c>
      <c r="N244" s="38">
        <v>20</v>
      </c>
      <c r="O244" s="37" t="s">
        <v>139</v>
      </c>
      <c r="P244" s="41">
        <v>216283.78</v>
      </c>
      <c r="Q244" s="42"/>
      <c r="R244" s="48" t="s">
        <v>372</v>
      </c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4325675.5999999996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4325675.5999999996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H244" s="50">
        <f>IF(OR(NOTA[[#This Row],[QTY]]="",NOTA[[#This Row],[HARGA SATUAN]]="",),"",NOTA[[#This Row],[QTY]]*NOTA[[#This Row],[HARGA SATUAN]])</f>
        <v>4325675.5999999996</v>
      </c>
      <c r="AI244" s="39">
        <f ca="1">IF(NOTA[ID_H]="","",INDEX(NOTA[TANGGAL],MATCH(,INDIRECT(ADDRESS(ROW(NOTA[TANGGAL]),COLUMN(NOTA[TANGGAL]))&amp;":"&amp;ADDRESS(ROW(),COLUMN(NOTA[TANGGAL]))),-1)))</f>
        <v>45183</v>
      </c>
      <c r="AJ244" s="41" t="str">
        <f ca="1">IF(NOTA[[#This Row],[NAMA BARANG]]="","",INDEX(NOTA[SUPPLIER],MATCH(,INDIRECT(ADDRESS(ROW(NOTA[ID]),COLUMN(NOTA[ID]))&amp;":"&amp;ADDRESS(ROW(),COLUMN(NOTA[ID]))),-1)))</f>
        <v>SDI</v>
      </c>
      <c r="AK244" s="41" t="str">
        <f ca="1">IF(NOTA[[#This Row],[ID_H]]="","",IF(NOTA[[#This Row],[FAKTUR]]="",INDIRECT(ADDRESS(ROW()-1,COLUMN())),NOTA[[#This Row],[FAKTUR]]))</f>
        <v>ARTO MORO</v>
      </c>
      <c r="AL244" s="38">
        <f ca="1">IF(NOTA[[#This Row],[ID]]="","",COUNTIF(NOTA[ID_H],NOTA[[#This Row],[ID_H]]))</f>
        <v>2</v>
      </c>
      <c r="AM244" s="38">
        <f>IF(NOTA[[#This Row],[TGL.NOTA]]="",IF(NOTA[[#This Row],[SUPPLIER_H]]="","",AM243),MONTH(NOTA[[#This Row],[TGL.NOTA]]))</f>
        <v>9</v>
      </c>
      <c r="AN244" s="38" t="str">
        <f>LOWER(SUBSTITUTE(SUBSTITUTE(SUBSTITUTE(SUBSTITUTE(SUBSTITUTE(SUBSTITUTE(SUBSTITUTE(SUBSTITUTE(SUBSTITUTE(NOTA[NAMA BARANG]," ",),".",""),"-",""),"(",""),")",""),",",""),"/",""),"""",""),"+",""))</f>
        <v>sdistapler1123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MOROSINV99-23090000019845181sdistapler1123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2407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20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40</v>
      </c>
      <c r="E245" s="46"/>
      <c r="F245" s="37"/>
      <c r="G245" s="37"/>
      <c r="H245" s="47"/>
      <c r="I245" s="37"/>
      <c r="J245" s="39"/>
      <c r="K245" s="37"/>
      <c r="L245" s="37" t="s">
        <v>553</v>
      </c>
      <c r="M245" s="40"/>
      <c r="N245" s="38">
        <v>12</v>
      </c>
      <c r="O245" s="37" t="s">
        <v>133</v>
      </c>
      <c r="P245" s="41">
        <v>3195.95</v>
      </c>
      <c r="Q245" s="42"/>
      <c r="R245" s="48"/>
      <c r="S245" s="49"/>
      <c r="T245" s="44"/>
      <c r="U245" s="44"/>
      <c r="V245" s="50"/>
      <c r="W245" s="45" t="s">
        <v>418</v>
      </c>
      <c r="X245" s="50">
        <f>IF(NOTA[[#This Row],[HARGA/ CTN]]="",NOTA[[#This Row],[JUMLAH_H]],NOTA[[#This Row],[HARGA/ CTN]]*IF(NOTA[[#This Row],[C]]="",0,NOTA[[#This Row],[C]]))</f>
        <v>38351.399999999994</v>
      </c>
      <c r="Y245" s="50">
        <f>IF(NOTA[[#This Row],[JUMLAH]]="","",NOTA[[#This Row],[JUMLAH]]*NOTA[[#This Row],[DISC 1]])</f>
        <v>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0</v>
      </c>
      <c r="AC245" s="50">
        <f>IF(NOTA[[#This Row],[JUMLAH]]="","",NOTA[[#This Row],[JUMLAH]]-NOTA[[#This Row],[DISC]])</f>
        <v>38351.399999999994</v>
      </c>
      <c r="AD245" s="50"/>
      <c r="AE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4364027</v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H245" s="50">
        <f>IF(OR(NOTA[[#This Row],[QTY]]="",NOTA[[#This Row],[HARGA SATUAN]]="",),"",NOTA[[#This Row],[QTY]]*NOTA[[#This Row],[HARGA SATUAN]])</f>
        <v>38351.399999999994</v>
      </c>
      <c r="AI245" s="39">
        <f ca="1">IF(NOTA[ID_H]="","",INDEX(NOTA[TANGGAL],MATCH(,INDIRECT(ADDRESS(ROW(NOTA[TANGGAL]),COLUMN(NOTA[TANGGAL]))&amp;":"&amp;ADDRESS(ROW(),COLUMN(NOTA[TANGGAL]))),-1)))</f>
        <v>45183</v>
      </c>
      <c r="AJ245" s="41" t="str">
        <f ca="1">IF(NOTA[[#This Row],[NAMA BARANG]]="","",INDEX(NOTA[SUPPLIER],MATCH(,INDIRECT(ADDRESS(ROW(NOTA[ID]),COLUMN(NOTA[ID]))&amp;":"&amp;ADDRESS(ROW(),COLUMN(NOTA[ID]))),-1)))</f>
        <v>SDI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9</v>
      </c>
      <c r="AN245" s="38" t="str">
        <f>LOWER(SUBSTITUTE(SUBSTITUTE(SUBSTITUTE(SUBSTITUTE(SUBSTITUTE(SUBSTITUTE(SUBSTITUTE(SUBSTITUTE(SUBSTITUTE(NOTA[NAMA BARANG]," ",),".",""),"-",""),"(",""),")",""),",",""),"/",""),"""",""),"+",""))</f>
        <v>sdipmarkerp500vpbiru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sdipmarkerp500vpbiru38351.4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sdipmarkerp500vpbiru3195.95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>
        <f>IF(NOTA[[#This Row],[CONCAT1]]="","",MATCH(NOTA[[#This Row],[CONCAT1]],[3]!db[NB NOTA_C],0))</f>
        <v>2403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12 SET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sdipmarkerp500vpbiru12setartomoro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6" s="50" t="str">
        <f>IF(OR(NOTA[[#This Row],[QTY]]="",NOTA[[#This Row],[HARGA SATUAN]]="",),"",NOTA[[#This Row],[QTY]]*NOTA[[#This Row],[HARGA SATUAN]])</f>
        <v/>
      </c>
      <c r="AI246" s="39" t="str">
        <f ca="1">IF(NOTA[ID_H]="","",INDEX(NOTA[TANGGAL],MATCH(,INDIRECT(ADDRESS(ROW(NOTA[TANGGAL]),COLUMN(NOTA[TANGGAL]))&amp;":"&amp;ADDRESS(ROW(),COLUMN(NOTA[TANGGAL]))),-1)))</f>
        <v/>
      </c>
      <c r="AJ246" s="41" t="str">
        <f ca="1">IF(NOTA[[#This Row],[NAMA BARANG]]="","",INDEX(NOTA[SUPPLIER],MATCH(,INDIRECT(ADDRESS(ROW(NOTA[ID]),COLUMN(NOTA[ID]))&amp;":"&amp;ADDRESS(ROW(),COLUMN(NOTA[ID]))),-1)))</f>
        <v/>
      </c>
      <c r="AK246" s="41" t="str">
        <f ca="1">IF(NOTA[[#This Row],[ID_H]]="","",IF(NOTA[[#This Row],[FAKTUR]]="",INDIRECT(ADDRESS(ROW()-1,COLUMN())),NOTA[[#This Row],[FAKTUR]]))</f>
        <v/>
      </c>
      <c r="AL246" s="38" t="str">
        <f ca="1">IF(NOTA[[#This Row],[ID]]="","",COUNTIF(NOTA[ID_H],NOTA[[#This Row],[ID_H]]))</f>
        <v/>
      </c>
      <c r="AM246" s="38" t="str">
        <f ca="1">IF(NOTA[[#This Row],[TGL.NOTA]]="",IF(NOTA[[#This Row],[SUPPLIER_H]]="","",AM245),MONTH(NOTA[[#This Row],[TGL.NOTA]]))</f>
        <v/>
      </c>
      <c r="AN246" s="38" t="str">
        <f>LOWER(SUBSTITUTE(SUBSTITUTE(SUBSTITUTE(SUBSTITUTE(SUBSTITUTE(SUBSTITUTE(SUBSTITUTE(SUBSTITUTE(SUBSTITUTE(NOTA[NAMA BARANG]," ",),".",""),"-",""),"(",""),")",""),",",""),"/",""),"""",""),"+",""))</f>
        <v/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 t="str">
        <f>IF(NOTA[[#This Row],[CONCAT1]]="","",MATCH(NOTA[[#This Row],[CONCAT1]],[3]!db[NB NOTA_C],0))</f>
        <v/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/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6" s="38" t="str">
        <f ca="1">IF(NOTA[[#This Row],[ID_H]]="","",MATCH(NOTA[[#This Row],[NB NOTA_C_QTY]],[4]!db[NB NOTA_C_QTY+F],0))</f>
        <v/>
      </c>
      <c r="AX246" s="53" t="str">
        <f ca="1">IF(NOTA[[#This Row],[NB NOTA_C_QTY]]="","",ROW()-2)</f>
        <v/>
      </c>
    </row>
    <row r="247" spans="1:50" s="38" customFormat="1" ht="20.100000000000001" customHeight="1" x14ac:dyDescent="0.25">
      <c r="A24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DBS_1509_323-5</v>
      </c>
      <c r="C247" s="38" t="e">
        <f ca="1">IF(NOTA[[#This Row],[ID_P]]="","",MATCH(NOTA[[#This Row],[ID_P]],[1]!B_MSK[N_ID],0))</f>
        <v>#REF!</v>
      </c>
      <c r="D247" s="38">
        <f ca="1">IF(NOTA[[#This Row],[NAMA BARANG]]="","",INDEX(NOTA[ID],MATCH(,INDIRECT(ADDRESS(ROW(NOTA[ID]),COLUMN(NOTA[ID]))&amp;":"&amp;ADDRESS(ROW(),COLUMN(NOTA[ID]))),-1)))</f>
        <v>41</v>
      </c>
      <c r="E247" s="46">
        <v>45184</v>
      </c>
      <c r="F247" s="37" t="s">
        <v>298</v>
      </c>
      <c r="G247" s="37" t="s">
        <v>124</v>
      </c>
      <c r="H247" s="47" t="s">
        <v>373</v>
      </c>
      <c r="I247" s="37"/>
      <c r="J247" s="39">
        <v>45183</v>
      </c>
      <c r="K247" s="37"/>
      <c r="L247" s="37" t="s">
        <v>374</v>
      </c>
      <c r="M247" s="40">
        <v>2</v>
      </c>
      <c r="N247" s="38">
        <v>192</v>
      </c>
      <c r="O247" s="37" t="s">
        <v>139</v>
      </c>
      <c r="P247" s="41">
        <v>29000</v>
      </c>
      <c r="Q247" s="42"/>
      <c r="R247" s="48" t="s">
        <v>301</v>
      </c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5568000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5568000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5568000</v>
      </c>
      <c r="AI247" s="39">
        <f ca="1">IF(NOTA[ID_H]="","",INDEX(NOTA[TANGGAL],MATCH(,INDIRECT(ADDRESS(ROW(NOTA[TANGGAL]),COLUMN(NOTA[TANGGAL]))&amp;":"&amp;ADDRESS(ROW(),COLUMN(NOTA[TANGGAL]))),-1)))</f>
        <v>45184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>
        <f ca="1">IF(NOTA[[#This Row],[ID]]="","",COUNTIF(NOTA[ID_H],NOTA[[#This Row],[ID_H]]))</f>
        <v>5</v>
      </c>
      <c r="AM247" s="38">
        <f>IF(NOTA[[#This Row],[TGL.NOTA]]="",IF(NOTA[[#This Row],[SUPPLIER_H]]="","",AM246),MONTH(NOTA[[#This Row],[TGL.NOTA]]))</f>
        <v>9</v>
      </c>
      <c r="AN247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STATIONERYUNTANAJUI253/2345183mekpensil20tm01800</v>
      </c>
      <c r="AR247" s="38" t="e">
        <f>IF(NOTA[[#This Row],[CONCAT4]]="","",_xlfn.IFNA(MATCH(NOTA[[#This Row],[CONCAT4]],[2]!RAW[CONCAT_H],0),FALSE))</f>
        <v>#REF!</v>
      </c>
      <c r="AS247" s="38">
        <f>IF(NOTA[[#This Row],[CONCAT1]]="","",MATCH(NOTA[[#This Row],[CONCAT1]],[3]!db[NB NOTA_C],0))</f>
        <v>1815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41</v>
      </c>
      <c r="E248" s="46"/>
      <c r="F248" s="37"/>
      <c r="G248" s="37"/>
      <c r="H248" s="47"/>
      <c r="I248" s="37"/>
      <c r="J248" s="39"/>
      <c r="K248" s="37"/>
      <c r="L248" s="37" t="s">
        <v>375</v>
      </c>
      <c r="M248" s="40">
        <v>2</v>
      </c>
      <c r="N248" s="38">
        <v>192</v>
      </c>
      <c r="O248" s="37" t="s">
        <v>139</v>
      </c>
      <c r="P248" s="41">
        <v>29000</v>
      </c>
      <c r="Q248" s="42"/>
      <c r="R248" s="48" t="s">
        <v>301</v>
      </c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5568000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5568000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5568000</v>
      </c>
      <c r="AI248" s="39">
        <f ca="1">IF(NOTA[ID_H]="","",INDEX(NOTA[TANGGAL],MATCH(,INDIRECT(ADDRESS(ROW(NOTA[TANGGAL]),COLUMN(NOTA[TANGGAL]))&amp;":"&amp;ADDRESS(ROW(),COLUMN(NOTA[TANGGAL]))),-1)))</f>
        <v>45184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9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1812</v>
      </c>
      <c r="AT248" s="38" t="b">
        <f>IF(NOTA[[#This Row],[QTY/ CTN]]="","",TRUE)</f>
        <v>1</v>
      </c>
      <c r="AU248" s="38" t="str">
        <f ca="1">IF(NOTA[[#This Row],[ID_H]]="","",IF(NOTA[[#This Row],[Column3]]=TRUE,NOTA[[#This Row],[QTY/ CTN]],INDEX([3]!db[QTY/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41</v>
      </c>
      <c r="E249" s="46"/>
      <c r="F249" s="37"/>
      <c r="G249" s="37"/>
      <c r="H249" s="47"/>
      <c r="I249" s="37"/>
      <c r="J249" s="39"/>
      <c r="K249" s="37"/>
      <c r="L249" s="37" t="s">
        <v>376</v>
      </c>
      <c r="M249" s="40">
        <v>2</v>
      </c>
      <c r="N249" s="38">
        <v>192</v>
      </c>
      <c r="O249" s="37" t="s">
        <v>139</v>
      </c>
      <c r="P249" s="41">
        <v>29000</v>
      </c>
      <c r="Q249" s="42"/>
      <c r="R249" s="48" t="s">
        <v>301</v>
      </c>
      <c r="S249" s="49"/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5568000</v>
      </c>
      <c r="Y249" s="50">
        <f>IF(NOTA[[#This Row],[JUMLAH]]="","",NOTA[[#This Row],[JUMLAH]]*NOTA[[#This Row],[DISC 1]])</f>
        <v>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0</v>
      </c>
      <c r="AC249" s="50">
        <f>IF(NOTA[[#This Row],[JUMLAH]]="","",NOTA[[#This Row],[JUMLAH]]-NOTA[[#This Row],[DISC]])</f>
        <v>5568000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9" s="50">
        <f>IF(OR(NOTA[[#This Row],[QTY]]="",NOTA[[#This Row],[HARGA SATUAN]]="",),"",NOTA[[#This Row],[QTY]]*NOTA[[#This Row],[HARGA SATUAN]])</f>
        <v>5568000</v>
      </c>
      <c r="AI249" s="39">
        <f ca="1">IF(NOTA[ID_H]="","",INDEX(NOTA[TANGGAL],MATCH(,INDIRECT(ADDRESS(ROW(NOTA[TANGGAL]),COLUMN(NOTA[TANGGAL]))&amp;":"&amp;ADDRESS(ROW(),COLUMN(NOTA[TANGGAL]))),-1)))</f>
        <v>45184</v>
      </c>
      <c r="AJ249" s="41" t="str">
        <f ca="1">IF(NOTA[[#This Row],[NAMA BARANG]]="","",INDEX(NOTA[SUPPLIER],MATCH(,INDIRECT(ADDRESS(ROW(NOTA[ID]),COLUMN(NOTA[ID]))&amp;":"&amp;ADDRESS(ROW(),COLUMN(NOTA[ID]))),-1)))</f>
        <v>DB STATIONERY</v>
      </c>
      <c r="AK249" s="41" t="str">
        <f ca="1">IF(NOTA[[#This Row],[ID_H]]="","",IF(NOTA[[#This Row],[FAKTUR]]="",INDIRECT(ADDRESS(ROW()-1,COLUMN())),NOTA[[#This Row],[FAKTUR]]))</f>
        <v>UNTANA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9</v>
      </c>
      <c r="AN249" s="38" t="str">
        <f>LOWER(SUBSTITUTE(SUBSTITUTE(SUBSTITUTE(SUBSTITUTE(SUBSTITUTE(SUBSTITUTE(SUBSTITUTE(SUBSTITUTE(SUBSTITUTE(NOTA[NAMA BARANG]," ",),".",""),"-",""),"(",""),")",""),",",""),"/",""),"""",""),"+",""))</f>
        <v>mekpensil20tizotm30g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mekpensil20tizotm30g2784000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mekpensil20tizotm30g2784000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96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mekpensil20tizotm30g96lsnuntana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41</v>
      </c>
      <c r="E250" s="46"/>
      <c r="F250" s="37"/>
      <c r="G250" s="37"/>
      <c r="H250" s="47"/>
      <c r="I250" s="37"/>
      <c r="J250" s="39"/>
      <c r="K250" s="37"/>
      <c r="L250" s="37" t="s">
        <v>378</v>
      </c>
      <c r="M250" s="40">
        <v>2</v>
      </c>
      <c r="N250" s="38">
        <v>144</v>
      </c>
      <c r="O250" s="37" t="s">
        <v>127</v>
      </c>
      <c r="P250" s="41">
        <v>25000</v>
      </c>
      <c r="Q250" s="42"/>
      <c r="R250" s="48" t="s">
        <v>379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3600000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3600000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50" s="50">
        <f>IF(OR(NOTA[[#This Row],[QTY]]="",NOTA[[#This Row],[HARGA SATUAN]]="",),"",NOTA[[#This Row],[QTY]]*NOTA[[#This Row],[HARGA SATUAN]])</f>
        <v>3600000</v>
      </c>
      <c r="AI250" s="39">
        <f ca="1">IF(NOTA[ID_H]="","",INDEX(NOTA[TANGGAL],MATCH(,INDIRECT(ADDRESS(ROW(NOTA[TANGGAL]),COLUMN(NOTA[TANGGAL]))&amp;":"&amp;ADDRESS(ROW(),COLUMN(NOTA[TANGGAL]))),-1)))</f>
        <v>45184</v>
      </c>
      <c r="AJ250" s="41" t="str">
        <f ca="1">IF(NOTA[[#This Row],[NAMA BARANG]]="","",INDEX(NOTA[SUPPLIER],MATCH(,INDIRECT(ADDRESS(ROW(NOTA[ID]),COLUMN(NOTA[ID]))&amp;":"&amp;ADDRESS(ROW(),COLUMN(NOTA[ID]))),-1)))</f>
        <v>DB STATIONERY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9</v>
      </c>
      <c r="AN250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1830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72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41</v>
      </c>
      <c r="E251" s="46"/>
      <c r="F251" s="37"/>
      <c r="G251" s="37"/>
      <c r="H251" s="47"/>
      <c r="I251" s="37"/>
      <c r="J251" s="39"/>
      <c r="K251" s="39"/>
      <c r="L251" s="37" t="s">
        <v>377</v>
      </c>
      <c r="M251" s="40">
        <v>2</v>
      </c>
      <c r="N251" s="38">
        <v>144</v>
      </c>
      <c r="O251" s="37" t="s">
        <v>127</v>
      </c>
      <c r="P251" s="41">
        <v>25000</v>
      </c>
      <c r="Q251" s="42"/>
      <c r="R251" s="48" t="s">
        <v>379</v>
      </c>
      <c r="S251" s="49"/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3600000</v>
      </c>
      <c r="Y251" s="50">
        <f>IF(NOTA[[#This Row],[JUMLAH]]="","",NOTA[[#This Row],[JUMLAH]]*NOTA[[#This Row],[DISC 1]])</f>
        <v>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0</v>
      </c>
      <c r="AC251" s="50">
        <f>IF(NOTA[[#This Row],[JUMLAH]]="","",NOTA[[#This Row],[JUMLAH]]-NOTA[[#This Row],[DISC]])</f>
        <v>3600000</v>
      </c>
      <c r="AD251" s="50"/>
      <c r="AE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51" s="50">
        <f>IF(OR(NOTA[[#This Row],[QTY]]="",NOTA[[#This Row],[HARGA SATUAN]]="",),"",NOTA[[#This Row],[QTY]]*NOTA[[#This Row],[HARGA SATUAN]])</f>
        <v>3600000</v>
      </c>
      <c r="AI251" s="39">
        <f ca="1">IF(NOTA[ID_H]="","",INDEX(NOTA[TANGGAL],MATCH(,INDIRECT(ADDRESS(ROW(NOTA[TANGGAL]),COLUMN(NOTA[TANGGAL]))&amp;":"&amp;ADDRESS(ROW(),COLUMN(NOTA[TANGGAL]))),-1)))</f>
        <v>45184</v>
      </c>
      <c r="AJ251" s="41" t="str">
        <f ca="1">IF(NOTA[[#This Row],[NAMA BARANG]]="","",INDEX(NOTA[SUPPLIER],MATCH(,INDIRECT(ADDRESS(ROW(NOTA[ID]),COLUMN(NOTA[ID]))&amp;":"&amp;ADDRESS(ROW(),COLUMN(NOTA[ID]))),-1)))</f>
        <v>DB STATIONERY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9</v>
      </c>
      <c r="AN251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1817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72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2" s="50" t="str">
        <f>IF(OR(NOTA[[#This Row],[QTY]]="",NOTA[[#This Row],[HARGA SATUAN]]="",),"",NOTA[[#This Row],[QTY]]*NOTA[[#This Row],[HARGA SATUAN]])</f>
        <v/>
      </c>
      <c r="AI252" s="39" t="str">
        <f ca="1">IF(NOTA[ID_H]="","",INDEX(NOTA[TANGGAL],MATCH(,INDIRECT(ADDRESS(ROW(NOTA[TANGGAL]),COLUMN(NOTA[TANGGAL]))&amp;":"&amp;ADDRESS(ROW(),COLUMN(NOTA[TANGGAL]))),-1)))</f>
        <v/>
      </c>
      <c r="AJ252" s="41" t="str">
        <f ca="1">IF(NOTA[[#This Row],[NAMA BARANG]]="","",INDEX(NOTA[SUPPLIER],MATCH(,INDIRECT(ADDRESS(ROW(NOTA[ID]),COLUMN(NOTA[ID]))&amp;":"&amp;ADDRESS(ROW(),COLUMN(NOTA[ID]))),-1)))</f>
        <v/>
      </c>
      <c r="AK252" s="41" t="str">
        <f ca="1">IF(NOTA[[#This Row],[ID_H]]="","",IF(NOTA[[#This Row],[FAKTUR]]="",INDIRECT(ADDRESS(ROW()-1,COLUMN())),NOTA[[#This Row],[FAKTUR]]))</f>
        <v/>
      </c>
      <c r="AL252" s="38" t="str">
        <f ca="1">IF(NOTA[[#This Row],[ID]]="","",COUNTIF(NOTA[ID_H],NOTA[[#This Row],[ID_H]]))</f>
        <v/>
      </c>
      <c r="AM252" s="38" t="str">
        <f ca="1">IF(NOTA[[#This Row],[TGL.NOTA]]="",IF(NOTA[[#This Row],[SUPPLIER_H]]="","",AM251),MONTH(NOTA[[#This Row],[TGL.NOTA]]))</f>
        <v/>
      </c>
      <c r="AN252" s="38" t="str">
        <f>LOWER(SUBSTITUTE(SUBSTITUTE(SUBSTITUTE(SUBSTITUTE(SUBSTITUTE(SUBSTITUTE(SUBSTITUTE(SUBSTITUTE(SUBSTITUTE(NOTA[NAMA BARANG]," ",),".",""),"-",""),"(",""),")",""),",",""),"/",""),"""",""),"+",""))</f>
        <v/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str">
        <f>IF(NOTA[[#This Row],[CONCAT1]]="","",MATCH(NOTA[[#This Row],[CONCAT1]],[3]!db[NB NOTA_C],0))</f>
        <v/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/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2" s="38" t="str">
        <f ca="1">IF(NOTA[[#This Row],[ID_H]]="","",MATCH(NOTA[[#This Row],[NB NOTA_C_QTY]],[4]!db[NB NOTA_C_QTY+F],0))</f>
        <v/>
      </c>
      <c r="AX252" s="53" t="str">
        <f ca="1">IF(NOTA[[#This Row],[NB NOTA_C_QTY]]="","",ROW()-2)</f>
        <v/>
      </c>
    </row>
    <row r="253" spans="1:50" s="38" customFormat="1" ht="20.100000000000001" customHeight="1" x14ac:dyDescent="0.25">
      <c r="A253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KEN_1609_397-3</v>
      </c>
      <c r="C253" s="38" t="e">
        <f ca="1">IF(NOTA[[#This Row],[ID_P]]="","",MATCH(NOTA[[#This Row],[ID_P]],[1]!B_MSK[N_ID],0))</f>
        <v>#REF!</v>
      </c>
      <c r="D253" s="38">
        <f ca="1">IF(NOTA[[#This Row],[NAMA BARANG]]="","",INDEX(NOTA[ID],MATCH(,INDIRECT(ADDRESS(ROW(NOTA[ID]),COLUMN(NOTA[ID]))&amp;":"&amp;ADDRESS(ROW(),COLUMN(NOTA[ID]))),-1)))</f>
        <v>42</v>
      </c>
      <c r="E253" s="46">
        <v>45185</v>
      </c>
      <c r="F253" s="37" t="s">
        <v>22</v>
      </c>
      <c r="G253" s="37" t="s">
        <v>23</v>
      </c>
      <c r="H253" s="47" t="s">
        <v>380</v>
      </c>
      <c r="I253" s="37"/>
      <c r="J253" s="39">
        <v>45184</v>
      </c>
      <c r="K253" s="37"/>
      <c r="L253" s="37" t="s">
        <v>381</v>
      </c>
      <c r="M253" s="40">
        <v>1</v>
      </c>
      <c r="O253" s="37"/>
      <c r="P253" s="41"/>
      <c r="Q253" s="42">
        <v>1150000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1150000</v>
      </c>
      <c r="Y253" s="50">
        <f>IF(NOTA[[#This Row],[JUMLAH]]="","",NOTA[[#This Row],[JUMLAH]]*NOTA[[#This Row],[DISC 1]])</f>
        <v>195500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195500</v>
      </c>
      <c r="AC253" s="50">
        <f>IF(NOTA[[#This Row],[JUMLAH]]="","",NOTA[[#This Row],[JUMLAH]]-NOTA[[#This Row],[DISC]])</f>
        <v>954500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45185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>
        <f ca="1">IF(NOTA[[#This Row],[ID]]="","",COUNTIF(NOTA[ID_H],NOTA[[#This Row],[ID_H]]))</f>
        <v>3</v>
      </c>
      <c r="AM253" s="38">
        <f>IF(NOTA[[#This Row],[TGL.NOTA]]="",IF(NOTA[[#This Row],[SUPPLIER_H]]="","",AM252),MONTH(NOTA[[#This Row],[TGL.NOTA]]))</f>
        <v>9</v>
      </c>
      <c r="AN253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MORO2309139745184kenkolaminatingfilmlf1002234fc@100pcs</v>
      </c>
      <c r="AR253" s="38" t="e">
        <f>IF(NOTA[[#This Row],[CONCAT4]]="","",_xlfn.IFNA(MATCH(NOTA[[#This Row],[CONCAT4]],[2]!RAW[CONCAT_H],0),FALSE))</f>
        <v>#REF!</v>
      </c>
      <c r="AS253" s="38">
        <f>IF(NOTA[[#This Row],[CONCAT1]]="","",MATCH(NOTA[[#This Row],[CONCAT1]],[3]!db[NB NOTA_C],0))</f>
        <v>1474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10 BOX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42</v>
      </c>
      <c r="E254" s="46"/>
      <c r="F254" s="37"/>
      <c r="G254" s="37"/>
      <c r="H254" s="47"/>
      <c r="I254" s="37"/>
      <c r="J254" s="39"/>
      <c r="K254" s="37"/>
      <c r="L254" s="37" t="s">
        <v>362</v>
      </c>
      <c r="M254" s="40">
        <v>1</v>
      </c>
      <c r="O254" s="37"/>
      <c r="P254" s="41"/>
      <c r="Q254" s="42">
        <v>1050000</v>
      </c>
      <c r="R254" s="48"/>
      <c r="S254" s="49">
        <v>0.17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1050000</v>
      </c>
      <c r="Y254" s="50">
        <f>IF(NOTA[[#This Row],[JUMLAH]]="","",NOTA[[#This Row],[JUMLAH]]*NOTA[[#This Row],[DISC 1]])</f>
        <v>178500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178500</v>
      </c>
      <c r="AC254" s="50">
        <f>IF(NOTA[[#This Row],[JUMLAH]]="","",NOTA[[#This Row],[JUMLAH]]-NOTA[[#This Row],[DISC]])</f>
        <v>871500</v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54" s="50" t="str">
        <f>IF(OR(NOTA[[#This Row],[QTY]]="",NOTA[[#This Row],[HARGA SATUAN]]="",),"",NOTA[[#This Row],[QTY]]*NOTA[[#This Row],[HARGA SATUAN]])</f>
        <v/>
      </c>
      <c r="AI254" s="39">
        <f ca="1">IF(NOTA[ID_H]="","",INDEX(NOTA[TANGGAL],MATCH(,INDIRECT(ADDRESS(ROW(NOTA[TANGGAL]),COLUMN(NOTA[TANGGAL]))&amp;":"&amp;ADDRESS(ROW(),COLUMN(NOTA[TANGGAL]))),-1)))</f>
        <v>45185</v>
      </c>
      <c r="AJ254" s="41" t="str">
        <f ca="1">IF(NOTA[[#This Row],[NAMA BARANG]]="","",INDEX(NOTA[SUPPLIER],MATCH(,INDIRECT(ADDRESS(ROW(NOTA[ID]),COLUMN(NOTA[ID]))&amp;":"&amp;ADDRESS(ROW(),COLUMN(NOTA[ID]))),-1)))</f>
        <v>KENKO SINAR INDONESIA</v>
      </c>
      <c r="AK254" s="41" t="str">
        <f ca="1">IF(NOTA[[#This Row],[ID_H]]="","",IF(NOTA[[#This Row],[FAKTUR]]="",INDIRECT(ADDRESS(ROW()-1,COLUMN())),NOTA[[#This Row],[FAKTUR]]))</f>
        <v>ARTO MORO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9</v>
      </c>
      <c r="AN25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>
        <f>IF(NOTA[[#This Row],[CONCAT1]]="","",MATCH(NOTA[[#This Row],[CONCAT1]],[3]!db[NB NOTA_C],0))</f>
        <v>1523</v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>50 TUB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42</v>
      </c>
      <c r="E255" s="46"/>
      <c r="F255" s="37"/>
      <c r="G255" s="37"/>
      <c r="H255" s="47"/>
      <c r="I255" s="37"/>
      <c r="J255" s="39"/>
      <c r="K255" s="37"/>
      <c r="L255" s="37" t="s">
        <v>156</v>
      </c>
      <c r="M255" s="40">
        <v>4</v>
      </c>
      <c r="O255" s="37"/>
      <c r="P255" s="41"/>
      <c r="Q255" s="42">
        <v>1695600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6782400</v>
      </c>
      <c r="Y255" s="50">
        <f>IF(NOTA[[#This Row],[JUMLAH]]="","",NOTA[[#This Row],[JUMLAH]]*NOTA[[#This Row],[DISC 1]])</f>
        <v>1153008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1153008</v>
      </c>
      <c r="AC255" s="50">
        <f>IF(NOTA[[#This Row],[JUMLAH]]="","",NOTA[[#This Row],[JUMLAH]]-NOTA[[#This Row],[DISC]])</f>
        <v>5629392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1527008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7455392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55" s="50" t="str">
        <f>IF(OR(NOTA[[#This Row],[QTY]]="",NOTA[[#This Row],[HARGA SATUAN]]="",),"",NOTA[[#This Row],[QTY]]*NOTA[[#This Row],[HARGA SATUAN]])</f>
        <v/>
      </c>
      <c r="AI255" s="39">
        <f ca="1">IF(NOTA[ID_H]="","",INDEX(NOTA[TANGGAL],MATCH(,INDIRECT(ADDRESS(ROW(NOTA[TANGGAL]),COLUMN(NOTA[TANGGAL]))&amp;":"&amp;ADDRESS(ROW(),COLUMN(NOTA[TANGGAL]))),-1)))</f>
        <v>45185</v>
      </c>
      <c r="AJ255" s="41" t="str">
        <f ca="1">IF(NOTA[[#This Row],[NAMA BARANG]]="","",INDEX(NOTA[SUPPLIER],MATCH(,INDIRECT(ADDRESS(ROW(NOTA[ID]),COLUMN(NOTA[ID]))&amp;":"&amp;ADDRESS(ROW(),COLUMN(NOTA[ID]))),-1)))</f>
        <v>KENKO SINAR INDONESIA</v>
      </c>
      <c r="AK255" s="41" t="str">
        <f ca="1">IF(NOTA[[#This Row],[ID_H]]="","",IF(NOTA[[#This Row],[FAKTUR]]="",INDIRECT(ADDRESS(ROW()-1,COLUMN())),NOTA[[#This Row],[FAKTUR]]))</f>
        <v>ARTO MORO</v>
      </c>
      <c r="AL255" s="38" t="str">
        <f ca="1">IF(NOTA[[#This Row],[ID]]="","",COUNTIF(NOTA[ID_H],NOTA[[#This Row],[ID_H]]))</f>
        <v/>
      </c>
      <c r="AM255" s="38">
        <f ca="1">IF(NOTA[[#This Row],[TGL.NOTA]]="",IF(NOTA[[#This Row],[SUPPLIER_H]]="","",AM254),MONTH(NOTA[[#This Row],[TGL.NOTA]]))</f>
        <v>9</v>
      </c>
      <c r="AN25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>
        <f>IF(NOTA[[#This Row],[CONCAT1]]="","",MATCH(NOTA[[#This Row],[CONCAT1]],[3]!db[NB NOTA_C],0))</f>
        <v>1347</v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>36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ATA_1609_213-4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43</v>
      </c>
      <c r="E257" s="46"/>
      <c r="F257" s="37" t="s">
        <v>24</v>
      </c>
      <c r="G257" s="37" t="s">
        <v>23</v>
      </c>
      <c r="H257" s="47" t="s">
        <v>382</v>
      </c>
      <c r="I257" s="37"/>
      <c r="J257" s="39">
        <v>45181</v>
      </c>
      <c r="K257" s="37"/>
      <c r="L257" s="37" t="s">
        <v>383</v>
      </c>
      <c r="M257" s="40">
        <v>1</v>
      </c>
      <c r="N257" s="38">
        <v>216</v>
      </c>
      <c r="O257" s="37" t="s">
        <v>127</v>
      </c>
      <c r="P257" s="41">
        <v>4900</v>
      </c>
      <c r="Q257" s="42"/>
      <c r="R257" s="48"/>
      <c r="S257" s="49">
        <v>0.125</v>
      </c>
      <c r="T257" s="44">
        <v>0.05</v>
      </c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1058400</v>
      </c>
      <c r="Y257" s="50">
        <f>IF(NOTA[[#This Row],[JUMLAH]]="","",NOTA[[#This Row],[JUMLAH]]*NOTA[[#This Row],[DISC 1]])</f>
        <v>132300</v>
      </c>
      <c r="Z257" s="50">
        <f>IF(NOTA[[#This Row],[JUMLAH]]="","",(NOTA[[#This Row],[JUMLAH]]-NOTA[[#This Row],[DISC 1-]])*NOTA[[#This Row],[DISC 2]])</f>
        <v>46305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178605</v>
      </c>
      <c r="AC257" s="50">
        <f>IF(NOTA[[#This Row],[JUMLAH]]="","",NOTA[[#This Row],[JUMLAH]]-NOTA[[#This Row],[DISC]])</f>
        <v>879795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257" s="50">
        <f>IF(OR(NOTA[[#This Row],[QTY]]="",NOTA[[#This Row],[HARGA SATUAN]]="",),"",NOTA[[#This Row],[QTY]]*NOTA[[#This Row],[HARGA SATUAN]])</f>
        <v>1058400</v>
      </c>
      <c r="AI257" s="39">
        <f ca="1">IF(NOTA[ID_H]="","",INDEX(NOTA[TANGGAL],MATCH(,INDIRECT(ADDRESS(ROW(NOTA[TANGGAL]),COLUMN(NOTA[TANGGAL]))&amp;":"&amp;ADDRESS(ROW(),COLUMN(NOTA[TANGGAL]))),-1)))</f>
        <v>45185</v>
      </c>
      <c r="AJ257" s="41" t="str">
        <f ca="1">IF(NOTA[[#This Row],[NAMA BARANG]]="","",INDEX(NOTA[SUPPLIER],MATCH(,INDIRECT(ADDRESS(ROW(NOTA[ID]),COLUMN(NOTA[ID]))&amp;":"&amp;ADDRESS(ROW(),COLUMN(NOTA[ID]))),-1)))</f>
        <v>ATALI MAKMUR</v>
      </c>
      <c r="AK257" s="41" t="str">
        <f ca="1">IF(NOTA[[#This Row],[ID_H]]="","",IF(NOTA[[#This Row],[FAKTUR]]="",INDIRECT(ADDRESS(ROW()-1,COLUMN())),NOTA[[#This Row],[FAKTUR]]))</f>
        <v>ARTO MORO</v>
      </c>
      <c r="AL257" s="38">
        <f ca="1">IF(NOTA[[#This Row],[ID]]="","",COUNTIF(NOTA[ID_H],NOTA[[#This Row],[ID_H]]))</f>
        <v>4</v>
      </c>
      <c r="AM257" s="38">
        <f>IF(NOTA[[#This Row],[TGL.NOTA]]="",IF(NOTA[[#This Row],[SUPPLIER_H]]="","",AM256),MONTH(NOTA[[#This Row],[TGL.NOTA]]))</f>
        <v>9</v>
      </c>
      <c r="AN2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MOROSA23091621345181stamppadno0jk</v>
      </c>
      <c r="AR257" s="38" t="e">
        <f>IF(NOTA[[#This Row],[CONCAT4]]="","",_xlfn.IFNA(MATCH(NOTA[[#This Row],[CONCAT4]],[2]!RAW[CONCAT_H],0),FALSE))</f>
        <v>#REF!</v>
      </c>
      <c r="AS257" s="38">
        <f>IF(NOTA[[#This Row],[CONCAT1]]="","",MATCH(NOTA[[#This Row],[CONCAT1]],[3]!db[NB NOTA_C],0))</f>
        <v>2467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18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43</v>
      </c>
      <c r="E258" s="46"/>
      <c r="F258" s="37"/>
      <c r="G258" s="37"/>
      <c r="H258" s="47"/>
      <c r="I258" s="37"/>
      <c r="J258" s="39"/>
      <c r="K258" s="37"/>
      <c r="L258" s="37" t="s">
        <v>267</v>
      </c>
      <c r="M258" s="40">
        <v>1</v>
      </c>
      <c r="N258" s="38">
        <v>216</v>
      </c>
      <c r="O258" s="37" t="s">
        <v>127</v>
      </c>
      <c r="P258" s="41">
        <v>5800</v>
      </c>
      <c r="Q258" s="42"/>
      <c r="R258" s="48"/>
      <c r="S258" s="49">
        <v>0.125</v>
      </c>
      <c r="T258" s="44">
        <v>0.05</v>
      </c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1252800</v>
      </c>
      <c r="Y258" s="50">
        <f>IF(NOTA[[#This Row],[JUMLAH]]="","",NOTA[[#This Row],[JUMLAH]]*NOTA[[#This Row],[DISC 1]])</f>
        <v>156600</v>
      </c>
      <c r="Z258" s="50">
        <f>IF(NOTA[[#This Row],[JUMLAH]]="","",(NOTA[[#This Row],[JUMLAH]]-NOTA[[#This Row],[DISC 1-]])*NOTA[[#This Row],[DISC 2]])</f>
        <v>54810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211410</v>
      </c>
      <c r="AC258" s="50">
        <f>IF(NOTA[[#This Row],[JUMLAH]]="","",NOTA[[#This Row],[JUMLAH]]-NOTA[[#This Row],[DISC]])</f>
        <v>1041390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58" s="50">
        <f>IF(OR(NOTA[[#This Row],[QTY]]="",NOTA[[#This Row],[HARGA SATUAN]]="",),"",NOTA[[#This Row],[QTY]]*NOTA[[#This Row],[HARGA SATUAN]])</f>
        <v>1252800</v>
      </c>
      <c r="AI258" s="39">
        <f ca="1">IF(NOTA[ID_H]="","",INDEX(NOTA[TANGGAL],MATCH(,INDIRECT(ADDRESS(ROW(NOTA[TANGGAL]),COLUMN(NOTA[TANGGAL]))&amp;":"&amp;ADDRESS(ROW(),COLUMN(NOTA[TANGGAL]))),-1)))</f>
        <v>45185</v>
      </c>
      <c r="AJ258" s="41" t="str">
        <f ca="1">IF(NOTA[[#This Row],[NAMA BARANG]]="","",INDEX(NOTA[SUPPLIER],MATCH(,INDIRECT(ADDRESS(ROW(NOTA[ID]),COLUMN(NOTA[ID]))&amp;":"&amp;ADDRESS(ROW(),COLUMN(NOTA[ID]))),-1)))</f>
        <v>ATALI MAKMUR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9</v>
      </c>
      <c r="AN2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2469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18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43</v>
      </c>
      <c r="E259" s="46"/>
      <c r="F259" s="37"/>
      <c r="G259" s="37"/>
      <c r="H259" s="47"/>
      <c r="I259" s="37"/>
      <c r="J259" s="39"/>
      <c r="K259" s="37"/>
      <c r="L259" s="37" t="s">
        <v>385</v>
      </c>
      <c r="M259" s="40">
        <v>2</v>
      </c>
      <c r="N259" s="38">
        <v>480</v>
      </c>
      <c r="O259" s="37" t="s">
        <v>133</v>
      </c>
      <c r="P259" s="41">
        <v>8800</v>
      </c>
      <c r="Q259" s="42"/>
      <c r="R259" s="48"/>
      <c r="S259" s="49">
        <v>0.125</v>
      </c>
      <c r="T259" s="44">
        <v>0.05</v>
      </c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4224000</v>
      </c>
      <c r="Y259" s="50">
        <f>IF(NOTA[[#This Row],[JUMLAH]]="","",NOTA[[#This Row],[JUMLAH]]*NOTA[[#This Row],[DISC 1]])</f>
        <v>528000</v>
      </c>
      <c r="Z259" s="50">
        <f>IF(NOTA[[#This Row],[JUMLAH]]="","",(NOTA[[#This Row],[JUMLAH]]-NOTA[[#This Row],[DISC 1-]])*NOTA[[#This Row],[DISC 2]])</f>
        <v>184800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712800</v>
      </c>
      <c r="AC259" s="50">
        <f>IF(NOTA[[#This Row],[JUMLAH]]="","",NOTA[[#This Row],[JUMLAH]]-NOTA[[#This Row],[DISC]])</f>
        <v>3511200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59" s="50">
        <f>IF(OR(NOTA[[#This Row],[QTY]]="",NOTA[[#This Row],[HARGA SATUAN]]="",),"",NOTA[[#This Row],[QTY]]*NOTA[[#This Row],[HARGA SATUAN]])</f>
        <v>4224000</v>
      </c>
      <c r="AI259" s="39">
        <f ca="1">IF(NOTA[ID_H]="","",INDEX(NOTA[TANGGAL],MATCH(,INDIRECT(ADDRESS(ROW(NOTA[TANGGAL]),COLUMN(NOTA[TANGGAL]))&amp;":"&amp;ADDRESS(ROW(),COLUMN(NOTA[TANGGAL]))),-1)))</f>
        <v>45185</v>
      </c>
      <c r="AJ259" s="41" t="str">
        <f ca="1">IF(NOTA[[#This Row],[NAMA BARANG]]="","",INDEX(NOTA[SUPPLIER],MATCH(,INDIRECT(ADDRESS(ROW(NOTA[ID]),COLUMN(NOTA[ID]))&amp;":"&amp;ADDRESS(ROW(),COLUMN(NOTA[ID]))),-1)))</f>
        <v>ATALI MAKMUR</v>
      </c>
      <c r="AK259" s="41" t="str">
        <f ca="1">IF(NOTA[[#This Row],[ID_H]]="","",IF(NOTA[[#This Row],[FAKTUR]]="",INDIRECT(ADDRESS(ROW()-1,COLUMN())),NOTA[[#This Row],[FAKTUR]]))</f>
        <v>ARTO MORO</v>
      </c>
      <c r="AL259" s="38" t="str">
        <f ca="1">IF(NOTA[[#This Row],[ID]]="","",COUNTIF(NOTA[ID_H],NOTA[[#This Row],[ID_H]]))</f>
        <v/>
      </c>
      <c r="AM259" s="38">
        <f ca="1">IF(NOTA[[#This Row],[TGL.NOTA]]="",IF(NOTA[[#This Row],[SUPPLIER_H]]="","",AM258),MONTH(NOTA[[#This Row],[TGL.NOTA]]))</f>
        <v>9</v>
      </c>
      <c r="AN259" s="38" t="str">
        <f>LOWER(SUBSTITUTE(SUBSTITUTE(SUBSTITUTE(SUBSTITUTE(SUBSTITUTE(SUBSTITUTE(SUBSTITUTE(SUBSTITUTE(SUBSTITUTE(NOTA[NAMA BARANG]," ",),".",""),"-",""),"(",""),")",""),",",""),"/",""),"""",""),"+",""))</f>
        <v>brushbr1jk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>
        <f>IF(NOTA[[#This Row],[CONCAT1]]="","",MATCH(NOTA[[#This Row],[CONCAT1]],[3]!db[NB NOTA_C],0))</f>
        <v>395</v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>10 BOX (24 SET)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43</v>
      </c>
      <c r="E260" s="46"/>
      <c r="F260" s="37"/>
      <c r="G260" s="37"/>
      <c r="H260" s="47"/>
      <c r="I260" s="37"/>
      <c r="J260" s="39"/>
      <c r="K260" s="37"/>
      <c r="L260" s="37" t="s">
        <v>384</v>
      </c>
      <c r="M260" s="40">
        <v>2</v>
      </c>
      <c r="N260" s="38">
        <v>288</v>
      </c>
      <c r="O260" s="37" t="s">
        <v>139</v>
      </c>
      <c r="P260" s="41">
        <v>20400</v>
      </c>
      <c r="Q260" s="42"/>
      <c r="R260" s="48"/>
      <c r="S260" s="49">
        <v>0.125</v>
      </c>
      <c r="T260" s="44">
        <v>0.05</v>
      </c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5875200</v>
      </c>
      <c r="Y260" s="50">
        <f>IF(NOTA[[#This Row],[JUMLAH]]="","",NOTA[[#This Row],[JUMLAH]]*NOTA[[#This Row],[DISC 1]])</f>
        <v>734400</v>
      </c>
      <c r="Z260" s="50">
        <f>IF(NOTA[[#This Row],[JUMLAH]]="","",(NOTA[[#This Row],[JUMLAH]]-NOTA[[#This Row],[DISC 1-]])*NOTA[[#This Row],[DISC 2]])</f>
        <v>257040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991440</v>
      </c>
      <c r="AC260" s="50">
        <f>IF(NOTA[[#This Row],[JUMLAH]]="","",NOTA[[#This Row],[JUMLAH]]-NOTA[[#This Row],[DISC]])</f>
        <v>4883760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2094255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10316145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260" s="50">
        <f>IF(OR(NOTA[[#This Row],[QTY]]="",NOTA[[#This Row],[HARGA SATUAN]]="",),"",NOTA[[#This Row],[QTY]]*NOTA[[#This Row],[HARGA SATUAN]])</f>
        <v>5875200</v>
      </c>
      <c r="AI260" s="39">
        <f ca="1">IF(NOTA[ID_H]="","",INDEX(NOTA[TANGGAL],MATCH(,INDIRECT(ADDRESS(ROW(NOTA[TANGGAL]),COLUMN(NOTA[TANGGAL]))&amp;":"&amp;ADDRESS(ROW(),COLUMN(NOTA[TANGGAL]))),-1)))</f>
        <v>45185</v>
      </c>
      <c r="AJ260" s="41" t="str">
        <f ca="1">IF(NOTA[[#This Row],[NAMA BARANG]]="","",INDEX(NOTA[SUPPLIER],MATCH(,INDIRECT(ADDRESS(ROW(NOTA[ID]),COLUMN(NOTA[ID]))&amp;":"&amp;ADDRESS(ROW(),COLUMN(NOTA[ID]))),-1)))</f>
        <v>ATALI MAKMUR</v>
      </c>
      <c r="AK260" s="41" t="str">
        <f ca="1">IF(NOTA[[#This Row],[ID_H]]="","",IF(NOTA[[#This Row],[FAKTUR]]="",INDIRECT(ADDRESS(ROW()-1,COLUMN())),NOTA[[#This Row],[FAKTUR]]))</f>
        <v>ARTO MORO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9</v>
      </c>
      <c r="AN260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>
        <f>IF(NOTA[[#This Row],[CONCAT1]]="","",MATCH(NOTA[[#This Row],[CONCAT1]],[3]!db[NB NOTA_C],0))</f>
        <v>1603</v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>144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ATA_1609_235-11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44</v>
      </c>
      <c r="E262" s="46"/>
      <c r="F262" s="37" t="s">
        <v>24</v>
      </c>
      <c r="G262" s="37" t="s">
        <v>23</v>
      </c>
      <c r="H262" s="47" t="s">
        <v>386</v>
      </c>
      <c r="I262" s="37"/>
      <c r="J262" s="39">
        <v>45181</v>
      </c>
      <c r="K262" s="37"/>
      <c r="L262" s="37" t="s">
        <v>387</v>
      </c>
      <c r="M262" s="40">
        <v>3</v>
      </c>
      <c r="N262" s="38">
        <v>150</v>
      </c>
      <c r="O262" s="37" t="s">
        <v>184</v>
      </c>
      <c r="P262" s="41">
        <v>28300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4245000</v>
      </c>
      <c r="Y262" s="50">
        <f>IF(NOTA[[#This Row],[JUMLAH]]="","",NOTA[[#This Row],[JUMLAH]]*NOTA[[#This Row],[DISC 1]])</f>
        <v>530625</v>
      </c>
      <c r="Z262" s="50">
        <f>IF(NOTA[[#This Row],[JUMLAH]]="","",(NOTA[[#This Row],[JUMLAH]]-NOTA[[#This Row],[DISC 1-]])*NOTA[[#This Row],[DISC 2]])</f>
        <v>185718.75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716343.75</v>
      </c>
      <c r="AC262" s="50">
        <f>IF(NOTA[[#This Row],[JUMLAH]]="","",NOTA[[#This Row],[JUMLAH]]-NOTA[[#This Row],[DISC]])</f>
        <v>3528656.25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2" s="50">
        <f>IF(OR(NOTA[[#This Row],[QTY]]="",NOTA[[#This Row],[HARGA SATUAN]]="",),"",NOTA[[#This Row],[QTY]]*NOTA[[#This Row],[HARGA SATUAN]])</f>
        <v>4245000</v>
      </c>
      <c r="AI262" s="39">
        <f ca="1">IF(NOTA[ID_H]="","",INDEX(NOTA[TANGGAL],MATCH(,INDIRECT(ADDRESS(ROW(NOTA[TANGGAL]),COLUMN(NOTA[TANGGAL]))&amp;":"&amp;ADDRESS(ROW(),COLUMN(NOTA[TANGGAL]))),-1)))</f>
        <v>45185</v>
      </c>
      <c r="AJ262" s="41" t="str">
        <f ca="1">IF(NOTA[[#This Row],[NAMA BARANG]]="","",INDEX(NOTA[SUPPLIER],MATCH(,INDIRECT(ADDRESS(ROW(NOTA[ID]),COLUMN(NOTA[ID]))&amp;":"&amp;ADDRESS(ROW(),COLUMN(NOTA[ID]))),-1)))</f>
        <v>ATALI MAKMUR</v>
      </c>
      <c r="AK262" s="41" t="str">
        <f ca="1">IF(NOTA[[#This Row],[ID_H]]="","",IF(NOTA[[#This Row],[FAKTUR]]="",INDIRECT(ADDRESS(ROW()-1,COLUMN())),NOTA[[#This Row],[FAKTUR]]))</f>
        <v>ARTO MORO</v>
      </c>
      <c r="AL262" s="38">
        <f ca="1">IF(NOTA[[#This Row],[ID]]="","",COUNTIF(NOTA[ID_H],NOTA[[#This Row],[ID_H]]))</f>
        <v>11</v>
      </c>
      <c r="AM262" s="38">
        <f>IF(NOTA[[#This Row],[TGL.NOTA]]="",IF(NOTA[[#This Row],[SUPPLIER_H]]="","",AM261),MONTH(NOTA[[#This Row],[TGL.NOTA]]))</f>
        <v>9</v>
      </c>
      <c r="AN26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MOROSA23091623545181eraser526b40pjk</v>
      </c>
      <c r="AR262" s="38" t="e">
        <f>IF(NOTA[[#This Row],[CONCAT4]]="","",_xlfn.IFNA(MATCH(NOTA[[#This Row],[CONCAT4]],[2]!RAW[CONCAT_H],0),FALSE))</f>
        <v>#REF!</v>
      </c>
      <c r="AS262" s="38">
        <f>IF(NOTA[[#This Row],[CONCAT1]]="","",MATCH(NOTA[[#This Row],[CONCAT1]],[3]!db[NB NOTA_C],0))</f>
        <v>836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50 BOX (40 PCS)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44</v>
      </c>
      <c r="E263" s="46"/>
      <c r="F263" s="37"/>
      <c r="G263" s="37"/>
      <c r="H263" s="47"/>
      <c r="I263" s="37"/>
      <c r="J263" s="39"/>
      <c r="K263" s="37"/>
      <c r="L263" s="37" t="s">
        <v>241</v>
      </c>
      <c r="M263" s="40">
        <v>3</v>
      </c>
      <c r="N263" s="38">
        <v>2160</v>
      </c>
      <c r="O263" s="37" t="s">
        <v>127</v>
      </c>
      <c r="P263" s="41">
        <v>4800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10368000</v>
      </c>
      <c r="Y263" s="50">
        <f>IF(NOTA[[#This Row],[JUMLAH]]="","",NOTA[[#This Row],[JUMLAH]]*NOTA[[#This Row],[DISC 1]])</f>
        <v>1296000</v>
      </c>
      <c r="Z263" s="50">
        <f>IF(NOTA[[#This Row],[JUMLAH]]="","",(NOTA[[#This Row],[JUMLAH]]-NOTA[[#This Row],[DISC 1-]])*NOTA[[#This Row],[DISC 2]])</f>
        <v>453600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1749600</v>
      </c>
      <c r="AC263" s="50">
        <f>IF(NOTA[[#This Row],[JUMLAH]]="","",NOTA[[#This Row],[JUMLAH]]-NOTA[[#This Row],[DISC]])</f>
        <v>8618400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63" s="50">
        <f>IF(OR(NOTA[[#This Row],[QTY]]="",NOTA[[#This Row],[HARGA SATUAN]]="",),"",NOTA[[#This Row],[QTY]]*NOTA[[#This Row],[HARGA SATUAN]])</f>
        <v>10368000</v>
      </c>
      <c r="AI263" s="39">
        <f ca="1">IF(NOTA[ID_H]="","",INDEX(NOTA[TANGGAL],MATCH(,INDIRECT(ADDRESS(ROW(NOTA[TANGGAL]),COLUMN(NOTA[TANGGAL]))&amp;":"&amp;ADDRESS(ROW(),COLUMN(NOTA[TANGGAL]))),-1)))</f>
        <v>45185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9</v>
      </c>
      <c r="AN263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633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60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44</v>
      </c>
      <c r="E264" s="46"/>
      <c r="F264" s="37"/>
      <c r="G264" s="37"/>
      <c r="H264" s="47"/>
      <c r="I264" s="37"/>
      <c r="J264" s="39"/>
      <c r="K264" s="37"/>
      <c r="L264" s="37" t="s">
        <v>388</v>
      </c>
      <c r="M264" s="40">
        <v>1</v>
      </c>
      <c r="N264" s="38">
        <v>144</v>
      </c>
      <c r="O264" s="37" t="s">
        <v>139</v>
      </c>
      <c r="P264" s="41">
        <v>14100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2030400</v>
      </c>
      <c r="Y264" s="50">
        <f>IF(NOTA[[#This Row],[JUMLAH]]="","",NOTA[[#This Row],[JUMLAH]]*NOTA[[#This Row],[DISC 1]])</f>
        <v>253800</v>
      </c>
      <c r="Z264" s="50">
        <f>IF(NOTA[[#This Row],[JUMLAH]]="","",(NOTA[[#This Row],[JUMLAH]]-NOTA[[#This Row],[DISC 1-]])*NOTA[[#This Row],[DISC 2]])</f>
        <v>88830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342630</v>
      </c>
      <c r="AC264" s="50">
        <f>IF(NOTA[[#This Row],[JUMLAH]]="","",NOTA[[#This Row],[JUMLAH]]-NOTA[[#This Row],[DISC]])</f>
        <v>1687770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264" s="50">
        <f>IF(OR(NOTA[[#This Row],[QTY]]="",NOTA[[#This Row],[HARGA SATUAN]]="",),"",NOTA[[#This Row],[QTY]]*NOTA[[#This Row],[HARGA SATUAN]])</f>
        <v>2030400</v>
      </c>
      <c r="AI264" s="39">
        <f ca="1">IF(NOTA[ID_H]="","",INDEX(NOTA[TANGGAL],MATCH(,INDIRECT(ADDRESS(ROW(NOTA[TANGGAL]),COLUMN(NOTA[TANGGAL]))&amp;":"&amp;ADDRESS(ROW(),COLUMN(NOTA[TANGGAL]))),-1)))</f>
        <v>45185</v>
      </c>
      <c r="AJ264" s="41" t="str">
        <f ca="1">IF(NOTA[[#This Row],[NAMA BARANG]]="","",INDEX(NOTA[SUPPLIER],MATCH(,INDIRECT(ADDRESS(ROW(NOTA[ID]),COLUMN(NOTA[ID]))&amp;":"&amp;ADDRESS(ROW(),COLUMN(NOTA[ID]))),-1)))</f>
        <v>ATALI MAKMUR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9</v>
      </c>
      <c r="AN26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911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144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44</v>
      </c>
      <c r="E265" s="46"/>
      <c r="F265" s="37"/>
      <c r="G265" s="37"/>
      <c r="H265" s="47"/>
      <c r="I265" s="37"/>
      <c r="J265" s="39"/>
      <c r="K265" s="37"/>
      <c r="L265" s="37" t="s">
        <v>396</v>
      </c>
      <c r="M265" s="40">
        <v>1</v>
      </c>
      <c r="N265" s="38">
        <v>144</v>
      </c>
      <c r="O265" s="37" t="s">
        <v>139</v>
      </c>
      <c r="P265" s="41">
        <v>21000</v>
      </c>
      <c r="Q265" s="42"/>
      <c r="R265" s="48" t="s">
        <v>217</v>
      </c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3024000</v>
      </c>
      <c r="Y265" s="50">
        <f>IF(NOTA[[#This Row],[JUMLAH]]="","",NOTA[[#This Row],[JUMLAH]]*NOTA[[#This Row],[DISC 1]])</f>
        <v>378000</v>
      </c>
      <c r="Z265" s="50">
        <f>IF(NOTA[[#This Row],[JUMLAH]]="","",(NOTA[[#This Row],[JUMLAH]]-NOTA[[#This Row],[DISC 1-]])*NOTA[[#This Row],[DISC 2]])</f>
        <v>132300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510300</v>
      </c>
      <c r="AC265" s="50">
        <f>IF(NOTA[[#This Row],[JUMLAH]]="","",NOTA[[#This Row],[JUMLAH]]-NOTA[[#This Row],[DISC]])</f>
        <v>2513700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265" s="50">
        <f>IF(OR(NOTA[[#This Row],[QTY]]="",NOTA[[#This Row],[HARGA SATUAN]]="",),"",NOTA[[#This Row],[QTY]]*NOTA[[#This Row],[HARGA SATUAN]])</f>
        <v>3024000</v>
      </c>
      <c r="AI265" s="39">
        <f ca="1">IF(NOTA[ID_H]="","",INDEX(NOTA[TANGGAL],MATCH(,INDIRECT(ADDRESS(ROW(NOTA[TANGGAL]),COLUMN(NOTA[TANGGAL]))&amp;":"&amp;ADDRESS(ROW(),COLUMN(NOTA[TANGGAL]))),-1)))</f>
        <v>45185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9</v>
      </c>
      <c r="AN265" s="38" t="str">
        <f>LOWER(SUBSTITUTE(SUBSTITUTE(SUBSTITUTE(SUBSTITUTE(SUBSTITUTE(SUBSTITUTE(SUBSTITUTE(SUBSTITUTE(SUBSTITUTE(NOTA[NAMA BARANG]," ",),".",""),"-",""),"(",""),")",""),",",""),"/",""),"""",""),"+",""))</f>
        <v>gelpengp346myteamblackjk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gelpengp346myteamblackjk30240000.1250.05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gelpengp346myteamblackjk30240000.1250.05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909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144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gelpengp346myteamblackjk144lsnartomoro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44</v>
      </c>
      <c r="E266" s="46"/>
      <c r="F266" s="37"/>
      <c r="G266" s="37"/>
      <c r="H266" s="47"/>
      <c r="I266" s="37"/>
      <c r="J266" s="39"/>
      <c r="K266" s="37"/>
      <c r="L266" s="37" t="s">
        <v>389</v>
      </c>
      <c r="M266" s="40">
        <v>1</v>
      </c>
      <c r="N266" s="38">
        <v>144</v>
      </c>
      <c r="O266" s="37" t="s">
        <v>139</v>
      </c>
      <c r="P266" s="41">
        <v>7020</v>
      </c>
      <c r="Q266" s="42"/>
      <c r="R266" s="48"/>
      <c r="S266" s="49">
        <v>0.125</v>
      </c>
      <c r="T266" s="44">
        <v>0.05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1010880</v>
      </c>
      <c r="Y266" s="50">
        <f>IF(NOTA[[#This Row],[JUMLAH]]="","",NOTA[[#This Row],[JUMLAH]]*NOTA[[#This Row],[DISC 1]])</f>
        <v>126360</v>
      </c>
      <c r="Z266" s="50">
        <f>IF(NOTA[[#This Row],[JUMLAH]]="","",(NOTA[[#This Row],[JUMLAH]]-NOTA[[#This Row],[DISC 1-]])*NOTA[[#This Row],[DISC 2]])</f>
        <v>44226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170586</v>
      </c>
      <c r="AC266" s="50">
        <f>IF(NOTA[[#This Row],[JUMLAH]]="","",NOTA[[#This Row],[JUMLAH]]-NOTA[[#This Row],[DISC]])</f>
        <v>840294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266" s="50">
        <f>IF(OR(NOTA[[#This Row],[QTY]]="",NOTA[[#This Row],[HARGA SATUAN]]="",),"",NOTA[[#This Row],[QTY]]*NOTA[[#This Row],[HARGA SATUAN]])</f>
        <v>1010880</v>
      </c>
      <c r="AI266" s="39">
        <f ca="1">IF(NOTA[ID_H]="","",INDEX(NOTA[TANGGAL],MATCH(,INDIRECT(ADDRESS(ROW(NOTA[TANGGAL]),COLUMN(NOTA[TANGGAL]))&amp;":"&amp;ADDRESS(ROW(),COLUMN(NOTA[TANGGAL]))),-1)))</f>
        <v>45185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9</v>
      </c>
      <c r="AN266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90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144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44</v>
      </c>
      <c r="E267" s="46"/>
      <c r="F267" s="37"/>
      <c r="G267" s="37"/>
      <c r="H267" s="47"/>
      <c r="I267" s="37"/>
      <c r="J267" s="39"/>
      <c r="K267" s="37"/>
      <c r="L267" s="37" t="s">
        <v>390</v>
      </c>
      <c r="M267" s="40">
        <v>2</v>
      </c>
      <c r="N267" s="38">
        <v>288</v>
      </c>
      <c r="O267" s="37" t="s">
        <v>133</v>
      </c>
      <c r="P267" s="41">
        <v>11900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3427200</v>
      </c>
      <c r="Y267" s="50">
        <f>IF(NOTA[[#This Row],[JUMLAH]]="","",NOTA[[#This Row],[JUMLAH]]*NOTA[[#This Row],[DISC 1]])</f>
        <v>428400</v>
      </c>
      <c r="Z267" s="50">
        <f>IF(NOTA[[#This Row],[JUMLAH]]="","",(NOTA[[#This Row],[JUMLAH]]-NOTA[[#This Row],[DISC 1-]])*NOTA[[#This Row],[DISC 2]])</f>
        <v>149940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578340</v>
      </c>
      <c r="AC267" s="50">
        <f>IF(NOTA[[#This Row],[JUMLAH]]="","",NOTA[[#This Row],[JUMLAH]]-NOTA[[#This Row],[DISC]])</f>
        <v>2848860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67" s="50">
        <f>IF(OR(NOTA[[#This Row],[QTY]]="",NOTA[[#This Row],[HARGA SATUAN]]="",),"",NOTA[[#This Row],[QTY]]*NOTA[[#This Row],[HARGA SATUAN]])</f>
        <v>3427200</v>
      </c>
      <c r="AI267" s="39">
        <f ca="1">IF(NOTA[ID_H]="","",INDEX(NOTA[TANGGAL],MATCH(,INDIRECT(ADDRESS(ROW(NOTA[TANGGAL]),COLUMN(NOTA[TANGGAL]))&amp;":"&amp;ADDRESS(ROW(),COLUMN(NOTA[TANGGAL]))),-1)))</f>
        <v>45185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9</v>
      </c>
      <c r="AN26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1897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12 LSN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44</v>
      </c>
      <c r="E268" s="46"/>
      <c r="F268" s="37"/>
      <c r="G268" s="37"/>
      <c r="H268" s="47"/>
      <c r="I268" s="37"/>
      <c r="J268" s="39"/>
      <c r="K268" s="37"/>
      <c r="L268" s="37" t="s">
        <v>391</v>
      </c>
      <c r="M268" s="40">
        <v>1</v>
      </c>
      <c r="N268" s="38">
        <v>144</v>
      </c>
      <c r="O268" s="37" t="s">
        <v>127</v>
      </c>
      <c r="P268" s="41">
        <v>4350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626400</v>
      </c>
      <c r="Y268" s="50">
        <f>IF(NOTA[[#This Row],[JUMLAH]]="","",NOTA[[#This Row],[JUMLAH]]*NOTA[[#This Row],[DISC 1]])</f>
        <v>78300</v>
      </c>
      <c r="Z268" s="50">
        <f>IF(NOTA[[#This Row],[JUMLAH]]="","",(NOTA[[#This Row],[JUMLAH]]-NOTA[[#This Row],[DISC 1-]])*NOTA[[#This Row],[DISC 2]])</f>
        <v>27405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105705</v>
      </c>
      <c r="AC268" s="50">
        <f>IF(NOTA[[#This Row],[JUMLAH]]="","",NOTA[[#This Row],[JUMLAH]]-NOTA[[#This Row],[DISC]])</f>
        <v>520695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68" s="50">
        <f>IF(OR(NOTA[[#This Row],[QTY]]="",NOTA[[#This Row],[HARGA SATUAN]]="",),"",NOTA[[#This Row],[QTY]]*NOTA[[#This Row],[HARGA SATUAN]])</f>
        <v>626400</v>
      </c>
      <c r="AI268" s="39">
        <f ca="1">IF(NOTA[ID_H]="","",INDEX(NOTA[TANGGAL],MATCH(,INDIRECT(ADDRESS(ROW(NOTA[TANGGAL]),COLUMN(NOTA[TANGGAL]))&amp;":"&amp;ADDRESS(ROW(),COLUMN(NOTA[TANGGAL]))),-1)))</f>
        <v>45185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9</v>
      </c>
      <c r="AN26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2396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12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44</v>
      </c>
      <c r="E269" s="46"/>
      <c r="F269" s="37"/>
      <c r="G269" s="37"/>
      <c r="H269" s="47"/>
      <c r="I269" s="37"/>
      <c r="J269" s="39"/>
      <c r="K269" s="37"/>
      <c r="L269" s="37" t="s">
        <v>392</v>
      </c>
      <c r="M269" s="40">
        <v>1</v>
      </c>
      <c r="N269" s="38">
        <v>24</v>
      </c>
      <c r="O269" s="37" t="s">
        <v>127</v>
      </c>
      <c r="P269" s="41">
        <v>41000</v>
      </c>
      <c r="Q269" s="42"/>
      <c r="R269" s="48"/>
      <c r="S269" s="49">
        <v>0.125</v>
      </c>
      <c r="T269" s="44">
        <v>0.05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984000</v>
      </c>
      <c r="Y269" s="50">
        <f>IF(NOTA[[#This Row],[JUMLAH]]="","",NOTA[[#This Row],[JUMLAH]]*NOTA[[#This Row],[DISC 1]])</f>
        <v>123000</v>
      </c>
      <c r="Z269" s="50">
        <f>IF(NOTA[[#This Row],[JUMLAH]]="","",(NOTA[[#This Row],[JUMLAH]]-NOTA[[#This Row],[DISC 1-]])*NOTA[[#This Row],[DISC 2]])</f>
        <v>43050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166050</v>
      </c>
      <c r="AC269" s="50">
        <f>IF(NOTA[[#This Row],[JUMLAH]]="","",NOTA[[#This Row],[JUMLAH]]-NOTA[[#This Row],[DISC]])</f>
        <v>817950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269" s="50">
        <f>IF(OR(NOTA[[#This Row],[QTY]]="",NOTA[[#This Row],[HARGA SATUAN]]="",),"",NOTA[[#This Row],[QTY]]*NOTA[[#This Row],[HARGA SATUAN]])</f>
        <v>984000</v>
      </c>
      <c r="AI269" s="39">
        <f ca="1">IF(NOTA[ID_H]="","",INDEX(NOTA[TANGGAL],MATCH(,INDIRECT(ADDRESS(ROW(NOTA[TANGGAL]),COLUMN(NOTA[TANGGAL]))&amp;":"&amp;ADDRESS(ROW(),COLUMN(NOTA[TANGGAL]))),-1)))</f>
        <v>45185</v>
      </c>
      <c r="AJ269" s="41" t="str">
        <f ca="1">IF(NOTA[[#This Row],[NAMA BARANG]]="","",INDEX(NOTA[SUPPLIER],MATCH(,INDIRECT(ADDRESS(ROW(NOTA[ID]),COLUMN(NOTA[ID]))&amp;":"&amp;ADDRESS(ROW(),COLUMN(NOTA[ID]))),-1)))</f>
        <v>ATALI MAKMUR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9</v>
      </c>
      <c r="AN269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2532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24 PCS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44</v>
      </c>
      <c r="E270" s="46"/>
      <c r="F270" s="37"/>
      <c r="G270" s="37"/>
      <c r="H270" s="47"/>
      <c r="I270" s="37"/>
      <c r="J270" s="39"/>
      <c r="K270" s="37"/>
      <c r="L270" s="37" t="s">
        <v>393</v>
      </c>
      <c r="M270" s="40">
        <v>1</v>
      </c>
      <c r="N270" s="38">
        <v>36</v>
      </c>
      <c r="O270" s="37" t="s">
        <v>139</v>
      </c>
      <c r="P270" s="41">
        <v>41400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1490400</v>
      </c>
      <c r="Y270" s="50">
        <f>IF(NOTA[[#This Row],[JUMLAH]]="","",NOTA[[#This Row],[JUMLAH]]*NOTA[[#This Row],[DISC 1]])</f>
        <v>186300</v>
      </c>
      <c r="Z270" s="50">
        <f>IF(NOTA[[#This Row],[JUMLAH]]="","",(NOTA[[#This Row],[JUMLAH]]-NOTA[[#This Row],[DISC 1-]])*NOTA[[#This Row],[DISC 2]])</f>
        <v>65205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251505</v>
      </c>
      <c r="AC270" s="50">
        <f>IF(NOTA[[#This Row],[JUMLAH]]="","",NOTA[[#This Row],[JUMLAH]]-NOTA[[#This Row],[DISC]])</f>
        <v>1238895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270" s="50">
        <f>IF(OR(NOTA[[#This Row],[QTY]]="",NOTA[[#This Row],[HARGA SATUAN]]="",),"",NOTA[[#This Row],[QTY]]*NOTA[[#This Row],[HARGA SATUAN]])</f>
        <v>1490400</v>
      </c>
      <c r="AI270" s="39">
        <f ca="1">IF(NOTA[ID_H]="","",INDEX(NOTA[TANGGAL],MATCH(,INDIRECT(ADDRESS(ROW(NOTA[TANGGAL]),COLUMN(NOTA[TANGGAL]))&amp;":"&amp;ADDRESS(ROW(),COLUMN(NOTA[TANGGAL]))),-1)))</f>
        <v>45185</v>
      </c>
      <c r="AJ270" s="41" t="str">
        <f ca="1">IF(NOTA[[#This Row],[NAMA BARANG]]="","",INDEX(NOTA[SUPPLIER],MATCH(,INDIRECT(ADDRESS(ROW(NOTA[ID]),COLUMN(NOTA[ID]))&amp;":"&amp;ADDRESS(ROW(),COLUMN(NOTA[ID]))),-1)))</f>
        <v>ATALI MAKMUR</v>
      </c>
      <c r="AK270" s="41" t="str">
        <f ca="1">IF(NOTA[[#This Row],[ID_H]]="","",IF(NOTA[[#This Row],[FAKTUR]]="",INDIRECT(ADDRESS(ROW()-1,COLUMN())),NOTA[[#This Row],[FAKTUR]]))</f>
        <v>ARTO MORO</v>
      </c>
      <c r="AL270" s="38" t="str">
        <f ca="1">IF(NOTA[[#This Row],[ID]]="","",COUNTIF(NOTA[ID_H],NOTA[[#This Row],[ID_H]]))</f>
        <v/>
      </c>
      <c r="AM270" s="38">
        <f ca="1">IF(NOTA[[#This Row],[TGL.NOTA]]="",IF(NOTA[[#This Row],[SUPPLIER_H]]="","",AM269),MONTH(NOTA[[#This Row],[TGL.NOTA]]))</f>
        <v>9</v>
      </c>
      <c r="AN270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>
        <f>IF(NOTA[[#This Row],[CONCAT1]]="","",MATCH(NOTA[[#This Row],[CONCAT1]],[3]!db[NB NOTA_C],0))</f>
        <v>616</v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>36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44</v>
      </c>
      <c r="E271" s="46"/>
      <c r="F271" s="37"/>
      <c r="G271" s="37"/>
      <c r="H271" s="47"/>
      <c r="I271" s="37"/>
      <c r="J271" s="39"/>
      <c r="K271" s="37"/>
      <c r="L271" s="37" t="s">
        <v>395</v>
      </c>
      <c r="M271" s="40">
        <v>1</v>
      </c>
      <c r="N271" s="38">
        <v>48</v>
      </c>
      <c r="O271" s="37" t="s">
        <v>139</v>
      </c>
      <c r="P271" s="41">
        <v>48000</v>
      </c>
      <c r="Q271" s="42"/>
      <c r="R271" s="48"/>
      <c r="S271" s="49">
        <v>0.125</v>
      </c>
      <c r="T271" s="44">
        <v>0.05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2304000</v>
      </c>
      <c r="Y271" s="50">
        <f>IF(NOTA[[#This Row],[JUMLAH]]="","",NOTA[[#This Row],[JUMLAH]]*NOTA[[#This Row],[DISC 1]])</f>
        <v>288000</v>
      </c>
      <c r="Z271" s="50">
        <f>IF(NOTA[[#This Row],[JUMLAH]]="","",(NOTA[[#This Row],[JUMLAH]]-NOTA[[#This Row],[DISC 1-]])*NOTA[[#This Row],[DISC 2]])</f>
        <v>100800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388800</v>
      </c>
      <c r="AC271" s="50">
        <f>IF(NOTA[[#This Row],[JUMLAH]]="","",NOTA[[#This Row],[JUMLAH]]-NOTA[[#This Row],[DISC]])</f>
        <v>1915200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271" s="50">
        <f>IF(OR(NOTA[[#This Row],[QTY]]="",NOTA[[#This Row],[HARGA SATUAN]]="",),"",NOTA[[#This Row],[QTY]]*NOTA[[#This Row],[HARGA SATUAN]])</f>
        <v>2304000</v>
      </c>
      <c r="AI271" s="39">
        <f ca="1">IF(NOTA[ID_H]="","",INDEX(NOTA[TANGGAL],MATCH(,INDIRECT(ADDRESS(ROW(NOTA[TANGGAL]),COLUMN(NOTA[TANGGAL]))&amp;":"&amp;ADDRESS(ROW(),COLUMN(NOTA[TANGGAL]))),-1)))</f>
        <v>45185</v>
      </c>
      <c r="AJ271" s="41" t="str">
        <f ca="1">IF(NOTA[[#This Row],[NAMA BARANG]]="","",INDEX(NOTA[SUPPLIER],MATCH(,INDIRECT(ADDRESS(ROW(NOTA[ID]),COLUMN(NOTA[ID]))&amp;":"&amp;ADDRESS(ROW(),COLUMN(NOTA[ID]))),-1)))</f>
        <v>ATALI MAKMUR</v>
      </c>
      <c r="AK271" s="41" t="str">
        <f ca="1">IF(NOTA[[#This Row],[ID_H]]="","",IF(NOTA[[#This Row],[FAKTUR]]="",INDIRECT(ADDRESS(ROW()-1,COLUMN())),NOTA[[#This Row],[FAKTUR]]))</f>
        <v>ARTO MORO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9</v>
      </c>
      <c r="AN271" s="38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614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48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correctionfluidcfs205ptjk48lsnartomoro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44</v>
      </c>
      <c r="E272" s="46"/>
      <c r="F272" s="37"/>
      <c r="G272" s="37"/>
      <c r="H272" s="47"/>
      <c r="I272" s="37"/>
      <c r="J272" s="39"/>
      <c r="K272" s="37"/>
      <c r="L272" s="37" t="s">
        <v>394</v>
      </c>
      <c r="M272" s="40">
        <v>1</v>
      </c>
      <c r="N272" s="38">
        <v>500</v>
      </c>
      <c r="O272" s="37" t="s">
        <v>240</v>
      </c>
      <c r="P272" s="41">
        <v>4300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2150000</v>
      </c>
      <c r="Y272" s="50">
        <f>IF(NOTA[[#This Row],[JUMLAH]]="","",NOTA[[#This Row],[JUMLAH]]*NOTA[[#This Row],[DISC 1]])</f>
        <v>268750</v>
      </c>
      <c r="Z272" s="50">
        <f>IF(NOTA[[#This Row],[JUMLAH]]="","",(NOTA[[#This Row],[JUMLAH]]-NOTA[[#This Row],[DISC 1-]])*NOTA[[#This Row],[DISC 2]])</f>
        <v>94062.5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362812.5</v>
      </c>
      <c r="AC272" s="50">
        <f>IF(NOTA[[#This Row],[JUMLAH]]="","",NOTA[[#This Row],[JUMLAH]]-NOTA[[#This Row],[DISC]])</f>
        <v>1787187.5</v>
      </c>
      <c r="AD272" s="50"/>
      <c r="AE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5342672.25</v>
      </c>
      <c r="AF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26317607.75</v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272" s="50">
        <f>IF(OR(NOTA[[#This Row],[QTY]]="",NOTA[[#This Row],[HARGA SATUAN]]="",),"",NOTA[[#This Row],[QTY]]*NOTA[[#This Row],[HARGA SATUAN]])</f>
        <v>2150000</v>
      </c>
      <c r="AI272" s="39">
        <f ca="1">IF(NOTA[ID_H]="","",INDEX(NOTA[TANGGAL],MATCH(,INDIRECT(ADDRESS(ROW(NOTA[TANGGAL]),COLUMN(NOTA[TANGGAL]))&amp;":"&amp;ADDRESS(ROW(),COLUMN(NOTA[TANGGAL]))),-1)))</f>
        <v>45185</v>
      </c>
      <c r="AJ272" s="41" t="str">
        <f ca="1">IF(NOTA[[#This Row],[NAMA BARANG]]="","",INDEX(NOTA[SUPPLIER],MATCH(,INDIRECT(ADDRESS(ROW(NOTA[ID]),COLUMN(NOTA[ID]))&amp;":"&amp;ADDRESS(ROW(),COLUMN(NOTA[ID]))),-1)))</f>
        <v>ATALI MAKMUR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9</v>
      </c>
      <c r="AN272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1627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50 PAK (10 ROL)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ATA_1609_212-12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45</v>
      </c>
      <c r="E274" s="46"/>
      <c r="F274" s="37" t="s">
        <v>24</v>
      </c>
      <c r="G274" s="37" t="s">
        <v>23</v>
      </c>
      <c r="H274" s="47" t="s">
        <v>397</v>
      </c>
      <c r="I274" s="37"/>
      <c r="J274" s="39">
        <v>45181</v>
      </c>
      <c r="K274" s="37"/>
      <c r="L274" s="37" t="s">
        <v>398</v>
      </c>
      <c r="M274" s="40">
        <v>2</v>
      </c>
      <c r="N274" s="38">
        <v>1000</v>
      </c>
      <c r="O274" s="37" t="s">
        <v>240</v>
      </c>
      <c r="P274" s="41">
        <v>3050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3050000</v>
      </c>
      <c r="Y274" s="50">
        <f>IF(NOTA[[#This Row],[JUMLAH]]="","",NOTA[[#This Row],[JUMLAH]]*NOTA[[#This Row],[DISC 1]])</f>
        <v>381250</v>
      </c>
      <c r="Z274" s="50">
        <f>IF(NOTA[[#This Row],[JUMLAH]]="","",(NOTA[[#This Row],[JUMLAH]]-NOTA[[#This Row],[DISC 1-]])*NOTA[[#This Row],[DISC 2]])</f>
        <v>133437.5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514687.5</v>
      </c>
      <c r="AC274" s="50">
        <f>IF(NOTA[[#This Row],[JUMLAH]]="","",NOTA[[#This Row],[JUMLAH]]-NOTA[[#This Row],[DISC]])</f>
        <v>2535312.5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274" s="50">
        <f>IF(OR(NOTA[[#This Row],[QTY]]="",NOTA[[#This Row],[HARGA SATUAN]]="",),"",NOTA[[#This Row],[QTY]]*NOTA[[#This Row],[HARGA SATUAN]])</f>
        <v>3050000</v>
      </c>
      <c r="AI274" s="39">
        <f ca="1">IF(NOTA[ID_H]="","",INDEX(NOTA[TANGGAL],MATCH(,INDIRECT(ADDRESS(ROW(NOTA[TANGGAL]),COLUMN(NOTA[TANGGAL]))&amp;":"&amp;ADDRESS(ROW(),COLUMN(NOTA[TANGGAL]))),-1)))</f>
        <v>45185</v>
      </c>
      <c r="AJ274" s="41" t="str">
        <f ca="1">IF(NOTA[[#This Row],[NAMA BARANG]]="","",INDEX(NOTA[SUPPLIER],MATCH(,INDIRECT(ADDRESS(ROW(NOTA[ID]),COLUMN(NOTA[ID]))&amp;":"&amp;ADDRESS(ROW(),COLUMN(NOTA[ID]))),-1)))</f>
        <v>ATALI MAKMUR</v>
      </c>
      <c r="AK274" s="41" t="str">
        <f ca="1">IF(NOTA[[#This Row],[ID_H]]="","",IF(NOTA[[#This Row],[FAKTUR]]="",INDIRECT(ADDRESS(ROW()-1,COLUMN())),NOTA[[#This Row],[FAKTUR]]))</f>
        <v>ARTO MORO</v>
      </c>
      <c r="AL274" s="38">
        <f ca="1">IF(NOTA[[#This Row],[ID]]="","",COUNTIF(NOTA[ID_H],NOTA[[#This Row],[ID_H]]))</f>
        <v>12</v>
      </c>
      <c r="AM274" s="38">
        <f>IF(NOTA[[#This Row],[TGL.NOTA]]="",IF(NOTA[[#This Row],[SUPPLIER_H]]="","",AM273),MONTH(NOTA[[#This Row],[TGL.NOTA]]))</f>
        <v>9</v>
      </c>
      <c r="AN274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MOROSA23091621245181labellbp2ln2barisjk</v>
      </c>
      <c r="AR274" s="38" t="e">
        <f>IF(NOTA[[#This Row],[CONCAT4]]="","",_xlfn.IFNA(MATCH(NOTA[[#This Row],[CONCAT4]],[2]!RAW[CONCAT_H],0),FALSE))</f>
        <v>#REF!</v>
      </c>
      <c r="AS274" s="38">
        <f>IF(NOTA[[#This Row],[CONCAT1]]="","",MATCH(NOTA[[#This Row],[CONCAT1]],[3]!db[NB NOTA_C],0))</f>
        <v>1631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50 PAK (10 ROL)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45</v>
      </c>
      <c r="E275" s="46"/>
      <c r="F275" s="37"/>
      <c r="G275" s="37"/>
      <c r="H275" s="47"/>
      <c r="I275" s="37"/>
      <c r="J275" s="39"/>
      <c r="K275" s="37"/>
      <c r="L275" s="37" t="s">
        <v>390</v>
      </c>
      <c r="M275" s="40">
        <v>2</v>
      </c>
      <c r="N275" s="38">
        <v>288</v>
      </c>
      <c r="O275" s="37" t="s">
        <v>133</v>
      </c>
      <c r="P275" s="41">
        <v>11900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3427200</v>
      </c>
      <c r="Y275" s="50">
        <f>IF(NOTA[[#This Row],[JUMLAH]]="","",NOTA[[#This Row],[JUMLAH]]*NOTA[[#This Row],[DISC 1]])</f>
        <v>428400</v>
      </c>
      <c r="Z275" s="50">
        <f>IF(NOTA[[#This Row],[JUMLAH]]="","",(NOTA[[#This Row],[JUMLAH]]-NOTA[[#This Row],[DISC 1-]])*NOTA[[#This Row],[DISC 2]])</f>
        <v>149940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578340</v>
      </c>
      <c r="AC275" s="50">
        <f>IF(NOTA[[#This Row],[JUMLAH]]="","",NOTA[[#This Row],[JUMLAH]]-NOTA[[#This Row],[DISC]])</f>
        <v>2848860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75" s="50">
        <f>IF(OR(NOTA[[#This Row],[QTY]]="",NOTA[[#This Row],[HARGA SATUAN]]="",),"",NOTA[[#This Row],[QTY]]*NOTA[[#This Row],[HARGA SATUAN]])</f>
        <v>3427200</v>
      </c>
      <c r="AI275" s="39">
        <f ca="1">IF(NOTA[ID_H]="","",INDEX(NOTA[TANGGAL],MATCH(,INDIRECT(ADDRESS(ROW(NOTA[TANGGAL]),COLUMN(NOTA[TANGGAL]))&amp;":"&amp;ADDRESS(ROW(),COLUMN(NOTA[TANGGAL]))),-1)))</f>
        <v>45185</v>
      </c>
      <c r="AJ275" s="41" t="str">
        <f ca="1">IF(NOTA[[#This Row],[NAMA BARANG]]="","",INDEX(NOTA[SUPPLIER],MATCH(,INDIRECT(ADDRESS(ROW(NOTA[ID]),COLUMN(NOTA[ID]))&amp;":"&amp;ADDRESS(ROW(),COLUMN(NOTA[ID]))),-1)))</f>
        <v>ATALI MAKMUR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9</v>
      </c>
      <c r="AN27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1897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12 LSN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45</v>
      </c>
      <c r="E276" s="46"/>
      <c r="F276" s="37"/>
      <c r="G276" s="37"/>
      <c r="H276" s="47"/>
      <c r="I276" s="37"/>
      <c r="J276" s="39"/>
      <c r="K276" s="37"/>
      <c r="L276" s="37" t="s">
        <v>399</v>
      </c>
      <c r="M276" s="40">
        <v>2</v>
      </c>
      <c r="N276" s="38">
        <v>72</v>
      </c>
      <c r="O276" s="37" t="s">
        <v>133</v>
      </c>
      <c r="P276" s="41">
        <v>41500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2988000</v>
      </c>
      <c r="Y276" s="50">
        <f>IF(NOTA[[#This Row],[JUMLAH]]="","",NOTA[[#This Row],[JUMLAH]]*NOTA[[#This Row],[DISC 1]])</f>
        <v>373500</v>
      </c>
      <c r="Z276" s="50">
        <f>IF(NOTA[[#This Row],[JUMLAH]]="","",(NOTA[[#This Row],[JUMLAH]]-NOTA[[#This Row],[DISC 1-]])*NOTA[[#This Row],[DISC 2]])</f>
        <v>130725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504225</v>
      </c>
      <c r="AC276" s="50">
        <f>IF(NOTA[[#This Row],[JUMLAH]]="","",NOTA[[#This Row],[JUMLAH]]-NOTA[[#This Row],[DISC]])</f>
        <v>2483775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76" s="50">
        <f>IF(OR(NOTA[[#This Row],[QTY]]="",NOTA[[#This Row],[HARGA SATUAN]]="",),"",NOTA[[#This Row],[QTY]]*NOTA[[#This Row],[HARGA SATUAN]])</f>
        <v>2988000</v>
      </c>
      <c r="AI276" s="39">
        <f ca="1">IF(NOTA[ID_H]="","",INDEX(NOTA[TANGGAL],MATCH(,INDIRECT(ADDRESS(ROW(NOTA[TANGGAL]),COLUMN(NOTA[TANGGAL]))&amp;":"&amp;ADDRESS(ROW(),COLUMN(NOTA[TANGGAL]))),-1)))</f>
        <v>45185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9</v>
      </c>
      <c r="AN27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1900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6 BOX (6 SET)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45</v>
      </c>
      <c r="E277" s="46"/>
      <c r="F277" s="37"/>
      <c r="G277" s="37"/>
      <c r="H277" s="47"/>
      <c r="I277" s="37"/>
      <c r="J277" s="39"/>
      <c r="K277" s="37"/>
      <c r="L277" s="37" t="s">
        <v>246</v>
      </c>
      <c r="M277" s="40">
        <v>2</v>
      </c>
      <c r="N277" s="38">
        <v>48</v>
      </c>
      <c r="O277" s="37" t="s">
        <v>133</v>
      </c>
      <c r="P277" s="41">
        <v>58900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2827200</v>
      </c>
      <c r="Y277" s="50">
        <f>IF(NOTA[[#This Row],[JUMLAH]]="","",NOTA[[#This Row],[JUMLAH]]*NOTA[[#This Row],[DISC 1]])</f>
        <v>353400</v>
      </c>
      <c r="Z277" s="50">
        <f>IF(NOTA[[#This Row],[JUMLAH]]="","",(NOTA[[#This Row],[JUMLAH]]-NOTA[[#This Row],[DISC 1-]])*NOTA[[#This Row],[DISC 2]])</f>
        <v>123690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477090</v>
      </c>
      <c r="AC277" s="50">
        <f>IF(NOTA[[#This Row],[JUMLAH]]="","",NOTA[[#This Row],[JUMLAH]]-NOTA[[#This Row],[DISC]])</f>
        <v>2350110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277" s="50">
        <f>IF(OR(NOTA[[#This Row],[QTY]]="",NOTA[[#This Row],[HARGA SATUAN]]="",),"",NOTA[[#This Row],[QTY]]*NOTA[[#This Row],[HARGA SATUAN]])</f>
        <v>2827200</v>
      </c>
      <c r="AI277" s="39">
        <f ca="1">IF(NOTA[ID_H]="","",INDEX(NOTA[TANGGAL],MATCH(,INDIRECT(ADDRESS(ROW(NOTA[TANGGAL]),COLUMN(NOTA[TANGGAL]))&amp;":"&amp;ADDRESS(ROW(),COLUMN(NOTA[TANGGAL]))),-1)))</f>
        <v>45185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9</v>
      </c>
      <c r="AN27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1901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4 BOX (6 SET)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45</v>
      </c>
      <c r="E278" s="46"/>
      <c r="F278" s="37"/>
      <c r="G278" s="37"/>
      <c r="H278" s="47"/>
      <c r="I278" s="37"/>
      <c r="J278" s="39"/>
      <c r="K278" s="37"/>
      <c r="L278" s="37" t="s">
        <v>400</v>
      </c>
      <c r="M278" s="40">
        <v>2</v>
      </c>
      <c r="N278" s="38">
        <v>48</v>
      </c>
      <c r="O278" s="37" t="s">
        <v>133</v>
      </c>
      <c r="P278" s="41">
        <v>96000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4608000</v>
      </c>
      <c r="Y278" s="50">
        <f>IF(NOTA[[#This Row],[JUMLAH]]="","",NOTA[[#This Row],[JUMLAH]]*NOTA[[#This Row],[DISC 1]])</f>
        <v>576000</v>
      </c>
      <c r="Z278" s="50">
        <f>IF(NOTA[[#This Row],[JUMLAH]]="","",(NOTA[[#This Row],[JUMLAH]]-NOTA[[#This Row],[DISC 1-]])*NOTA[[#This Row],[DISC 2]])</f>
        <v>201600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777600</v>
      </c>
      <c r="AC278" s="50">
        <f>IF(NOTA[[#This Row],[JUMLAH]]="","",NOTA[[#This Row],[JUMLAH]]-NOTA[[#This Row],[DISC]])</f>
        <v>3830400</v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278" s="50">
        <f>IF(OR(NOTA[[#This Row],[QTY]]="",NOTA[[#This Row],[HARGA SATUAN]]="",),"",NOTA[[#This Row],[QTY]]*NOTA[[#This Row],[HARGA SATUAN]])</f>
        <v>4608000</v>
      </c>
      <c r="AI278" s="39">
        <f ca="1">IF(NOTA[ID_H]="","",INDEX(NOTA[TANGGAL],MATCH(,INDIRECT(ADDRESS(ROW(NOTA[TANGGAL]),COLUMN(NOTA[TANGGAL]))&amp;":"&amp;ADDRESS(ROW(),COLUMN(NOTA[TANGGAL]))),-1)))</f>
        <v>45185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9</v>
      </c>
      <c r="AN278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1903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4 BOX (6 SET)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45</v>
      </c>
      <c r="E279" s="46"/>
      <c r="F279" s="37"/>
      <c r="G279" s="37"/>
      <c r="H279" s="47"/>
      <c r="I279" s="37"/>
      <c r="J279" s="39"/>
      <c r="K279" s="37"/>
      <c r="L279" s="37" t="s">
        <v>401</v>
      </c>
      <c r="M279" s="40">
        <v>1</v>
      </c>
      <c r="N279" s="38">
        <v>500</v>
      </c>
      <c r="O279" s="37" t="s">
        <v>240</v>
      </c>
      <c r="P279" s="41">
        <v>4300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2150000</v>
      </c>
      <c r="Y279" s="50">
        <f>IF(NOTA[[#This Row],[JUMLAH]]="","",NOTA[[#This Row],[JUMLAH]]*NOTA[[#This Row],[DISC 1]])</f>
        <v>268750</v>
      </c>
      <c r="Z279" s="50">
        <f>IF(NOTA[[#This Row],[JUMLAH]]="","",(NOTA[[#This Row],[JUMLAH]]-NOTA[[#This Row],[DISC 1-]])*NOTA[[#This Row],[DISC 2]])</f>
        <v>94062.5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362812.5</v>
      </c>
      <c r="AC279" s="50">
        <f>IF(NOTA[[#This Row],[JUMLAH]]="","",NOTA[[#This Row],[JUMLAH]]-NOTA[[#This Row],[DISC]])</f>
        <v>1787187.5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279" s="50">
        <f>IF(OR(NOTA[[#This Row],[QTY]]="",NOTA[[#This Row],[HARGA SATUAN]]="",),"",NOTA[[#This Row],[QTY]]*NOTA[[#This Row],[HARGA SATUAN]])</f>
        <v>2150000</v>
      </c>
      <c r="AI279" s="39">
        <f ca="1">IF(NOTA[ID_H]="","",INDEX(NOTA[TANGGAL],MATCH(,INDIRECT(ADDRESS(ROW(NOTA[TANGGAL]),COLUMN(NOTA[TANGGAL]))&amp;":"&amp;ADDRESS(ROW(),COLUMN(NOTA[TANGGAL]))),-1)))</f>
        <v>45185</v>
      </c>
      <c r="AJ279" s="41" t="str">
        <f ca="1">IF(NOTA[[#This Row],[NAMA BARANG]]="","",INDEX(NOTA[SUPPLIER],MATCH(,INDIRECT(ADDRESS(ROW(NOTA[ID]),COLUMN(NOTA[ID]))&amp;":"&amp;ADDRESS(ROW(),COLUMN(NOTA[ID]))),-1)))</f>
        <v>ATALI MAKMUR</v>
      </c>
      <c r="AK279" s="41" t="str">
        <f ca="1">IF(NOTA[[#This Row],[ID_H]]="","",IF(NOTA[[#This Row],[FAKTUR]]="",INDIRECT(ADDRESS(ROW()-1,COLUMN())),NOTA[[#This Row],[FAKTUR]]))</f>
        <v>ARTO MORO</v>
      </c>
      <c r="AL279" s="38" t="str">
        <f ca="1">IF(NOTA[[#This Row],[ID]]="","",COUNTIF(NOTA[ID_H],NOTA[[#This Row],[ID_H]]))</f>
        <v/>
      </c>
      <c r="AM279" s="38">
        <f ca="1">IF(NOTA[[#This Row],[TGL.NOTA]]="",IF(NOTA[[#This Row],[SUPPLIER_H]]="","",AM278),MONTH(NOTA[[#This Row],[TGL.NOTA]]))</f>
        <v>9</v>
      </c>
      <c r="AN279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>
        <f>IF(NOTA[[#This Row],[CONCAT1]]="","",MATCH(NOTA[[#This Row],[CONCAT1]],[3]!db[NB NOTA_C],0))</f>
        <v>1627</v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>50 PAK (10 ROL)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45</v>
      </c>
      <c r="E280" s="46"/>
      <c r="F280" s="37"/>
      <c r="G280" s="37"/>
      <c r="H280" s="47"/>
      <c r="I280" s="37"/>
      <c r="J280" s="39"/>
      <c r="K280" s="37"/>
      <c r="L280" s="37" t="s">
        <v>387</v>
      </c>
      <c r="M280" s="40">
        <v>2</v>
      </c>
      <c r="N280" s="38">
        <v>100</v>
      </c>
      <c r="O280" s="37" t="s">
        <v>184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0" s="50">
        <f>IF(OR(NOTA[[#This Row],[QTY]]="",NOTA[[#This Row],[HARGA SATUAN]]="",),"",NOTA[[#This Row],[QTY]]*NOTA[[#This Row],[HARGA SATUAN]])</f>
        <v>2830000</v>
      </c>
      <c r="AI280" s="39">
        <f ca="1">IF(NOTA[ID_H]="","",INDEX(NOTA[TANGGAL],MATCH(,INDIRECT(ADDRESS(ROW(NOTA[TANGGAL]),COLUMN(NOTA[TANGGAL]))&amp;":"&amp;ADDRESS(ROW(),COLUMN(NOTA[TANGGAL]))),-1)))</f>
        <v>45185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 t="str">
        <f ca="1">IF(NOTA[[#This Row],[ID]]="","",COUNTIF(NOTA[ID_H],NOTA[[#This Row],[ID_H]]))</f>
        <v/>
      </c>
      <c r="AM280" s="38">
        <f ca="1">IF(NOTA[[#This Row],[TGL.NOTA]]="",IF(NOTA[[#This Row],[SUPPLIER_H]]="","",AM279),MONTH(NOTA[[#This Row],[TGL.NOTA]]))</f>
        <v>9</v>
      </c>
      <c r="AN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>
        <f>IF(NOTA[[#This Row],[CONCAT1]]="","",MATCH(NOTA[[#This Row],[CONCAT1]],[3]!db[NB NOTA_C],0))</f>
        <v>836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50 BOX (40 PCS)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45</v>
      </c>
      <c r="E281" s="46"/>
      <c r="F281" s="37"/>
      <c r="G281" s="37"/>
      <c r="H281" s="47"/>
      <c r="I281" s="37"/>
      <c r="J281" s="39"/>
      <c r="K281" s="37"/>
      <c r="L281" s="37" t="s">
        <v>402</v>
      </c>
      <c r="M281" s="40">
        <v>1</v>
      </c>
      <c r="N281" s="38">
        <v>50</v>
      </c>
      <c r="O281" s="37" t="s">
        <v>184</v>
      </c>
      <c r="P281" s="41">
        <v>34100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1705000</v>
      </c>
      <c r="Y281" s="50">
        <f>IF(NOTA[[#This Row],[JUMLAH]]="","",NOTA[[#This Row],[JUMLAH]]*NOTA[[#This Row],[DISC 1]])</f>
        <v>213125</v>
      </c>
      <c r="Z281" s="50">
        <f>IF(NOTA[[#This Row],[JUMLAH]]="","",(NOTA[[#This Row],[JUMLAH]]-NOTA[[#This Row],[DISC 1-]])*NOTA[[#This Row],[DISC 2]])</f>
        <v>74593.75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287718.75</v>
      </c>
      <c r="AC281" s="50">
        <f>IF(NOTA[[#This Row],[JUMLAH]]="","",NOTA[[#This Row],[JUMLAH]]-NOTA[[#This Row],[DISC]])</f>
        <v>1417281.25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1" s="50">
        <f>IF(OR(NOTA[[#This Row],[QTY]]="",NOTA[[#This Row],[HARGA SATUAN]]="",),"",NOTA[[#This Row],[QTY]]*NOTA[[#This Row],[HARGA SATUAN]])</f>
        <v>1705000</v>
      </c>
      <c r="AI281" s="39">
        <f ca="1">IF(NOTA[ID_H]="","",INDEX(NOTA[TANGGAL],MATCH(,INDIRECT(ADDRESS(ROW(NOTA[TANGGAL]),COLUMN(NOTA[TANGGAL]))&amp;":"&amp;ADDRESS(ROW(),COLUMN(NOTA[TANGGAL]))),-1)))</f>
        <v>45185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9</v>
      </c>
      <c r="AN281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833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50 BOX (20 PCS)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45</v>
      </c>
      <c r="E282" s="46"/>
      <c r="F282" s="37"/>
      <c r="G282" s="37"/>
      <c r="H282" s="47"/>
      <c r="I282" s="37"/>
      <c r="J282" s="39"/>
      <c r="K282" s="37"/>
      <c r="L282" s="37" t="s">
        <v>403</v>
      </c>
      <c r="M282" s="40">
        <v>1</v>
      </c>
      <c r="N282" s="38">
        <v>50</v>
      </c>
      <c r="O282" s="37" t="s">
        <v>184</v>
      </c>
      <c r="P282" s="41">
        <v>34100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1705000</v>
      </c>
      <c r="Y282" s="50">
        <f>IF(NOTA[[#This Row],[JUMLAH]]="","",NOTA[[#This Row],[JUMLAH]]*NOTA[[#This Row],[DISC 1]])</f>
        <v>213125</v>
      </c>
      <c r="Z282" s="50">
        <f>IF(NOTA[[#This Row],[JUMLAH]]="","",(NOTA[[#This Row],[JUMLAH]]-NOTA[[#This Row],[DISC 1-]])*NOTA[[#This Row],[DISC 2]])</f>
        <v>74593.75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287718.75</v>
      </c>
      <c r="AC282" s="50">
        <f>IF(NOTA[[#This Row],[JUMLAH]]="","",NOTA[[#This Row],[JUMLAH]]-NOTA[[#This Row],[DISC]])</f>
        <v>1417281.25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2" s="50">
        <f>IF(OR(NOTA[[#This Row],[QTY]]="",NOTA[[#This Row],[HARGA SATUAN]]="",),"",NOTA[[#This Row],[QTY]]*NOTA[[#This Row],[HARGA SATUAN]])</f>
        <v>1705000</v>
      </c>
      <c r="AI282" s="39">
        <f ca="1">IF(NOTA[ID_H]="","",INDEX(NOTA[TANGGAL],MATCH(,INDIRECT(ADDRESS(ROW(NOTA[TANGGAL]),COLUMN(NOTA[TANGGAL]))&amp;":"&amp;ADDRESS(ROW(),COLUMN(NOTA[TANGGAL]))),-1)))</f>
        <v>45185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9</v>
      </c>
      <c r="AN28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844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50 BOX (20 PCS)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45</v>
      </c>
      <c r="E283" s="46"/>
      <c r="F283" s="37"/>
      <c r="G283" s="37"/>
      <c r="H283" s="47"/>
      <c r="I283" s="37"/>
      <c r="J283" s="39"/>
      <c r="K283" s="37"/>
      <c r="L283" s="37" t="s">
        <v>404</v>
      </c>
      <c r="M283" s="40">
        <v>5</v>
      </c>
      <c r="N283" s="38">
        <v>2880</v>
      </c>
      <c r="O283" s="37" t="s">
        <v>127</v>
      </c>
      <c r="P283" s="41">
        <v>1550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4464000</v>
      </c>
      <c r="Y283" s="50">
        <f>IF(NOTA[[#This Row],[JUMLAH]]="","",NOTA[[#This Row],[JUMLAH]]*NOTA[[#This Row],[DISC 1]])</f>
        <v>558000</v>
      </c>
      <c r="Z283" s="50">
        <f>IF(NOTA[[#This Row],[JUMLAH]]="","",(NOTA[[#This Row],[JUMLAH]]-NOTA[[#This Row],[DISC 1-]])*NOTA[[#This Row],[DISC 2]])</f>
        <v>195300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753300</v>
      </c>
      <c r="AC283" s="50">
        <f>IF(NOTA[[#This Row],[JUMLAH]]="","",NOTA[[#This Row],[JUMLAH]]-NOTA[[#This Row],[DISC]])</f>
        <v>3710700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83" s="50">
        <f>IF(OR(NOTA[[#This Row],[QTY]]="",NOTA[[#This Row],[HARGA SATUAN]]="",),"",NOTA[[#This Row],[QTY]]*NOTA[[#This Row],[HARGA SATUAN]])</f>
        <v>4464000</v>
      </c>
      <c r="AI283" s="39">
        <f ca="1">IF(NOTA[ID_H]="","",INDEX(NOTA[TANGGAL],MATCH(,INDIRECT(ADDRESS(ROW(NOTA[TANGGAL]),COLUMN(NOTA[TANGGAL]))&amp;":"&amp;ADDRESS(ROW(),COLUMN(NOTA[TANGGAL]))),-1)))</f>
        <v>45185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9</v>
      </c>
      <c r="AN28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1132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48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45</v>
      </c>
      <c r="E284" s="46"/>
      <c r="F284" s="37"/>
      <c r="G284" s="37"/>
      <c r="H284" s="47"/>
      <c r="I284" s="37"/>
      <c r="J284" s="39"/>
      <c r="K284" s="37"/>
      <c r="L284" s="37" t="s">
        <v>405</v>
      </c>
      <c r="M284" s="40">
        <v>3</v>
      </c>
      <c r="N284" s="38">
        <v>3000</v>
      </c>
      <c r="O284" s="37" t="s">
        <v>240</v>
      </c>
      <c r="P284" s="41">
        <v>2050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6150000</v>
      </c>
      <c r="Y284" s="50">
        <f>IF(NOTA[[#This Row],[JUMLAH]]="","",NOTA[[#This Row],[JUMLAH]]*NOTA[[#This Row],[DISC 1]])</f>
        <v>768750</v>
      </c>
      <c r="Z284" s="50">
        <f>IF(NOTA[[#This Row],[JUMLAH]]="","",(NOTA[[#This Row],[JUMLAH]]-NOTA[[#This Row],[DISC 1-]])*NOTA[[#This Row],[DISC 2]])</f>
        <v>269062.5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1037812.5</v>
      </c>
      <c r="AC284" s="50">
        <f>IF(NOTA[[#This Row],[JUMLAH]]="","",NOTA[[#This Row],[JUMLAH]]-NOTA[[#This Row],[DISC]])</f>
        <v>5112187.5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84" s="50">
        <f>IF(OR(NOTA[[#This Row],[QTY]]="",NOTA[[#This Row],[HARGA SATUAN]]="",),"",NOTA[[#This Row],[QTY]]*NOTA[[#This Row],[HARGA SATUAN]])</f>
        <v>6150000</v>
      </c>
      <c r="AI284" s="39">
        <f ca="1">IF(NOTA[ID_H]="","",INDEX(NOTA[TANGGAL],MATCH(,INDIRECT(ADDRESS(ROW(NOTA[TANGGAL]),COLUMN(NOTA[TANGGAL]))&amp;":"&amp;ADDRESS(ROW(),COLUMN(NOTA[TANGGAL]))),-1)))</f>
        <v>45185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9</v>
      </c>
      <c r="AN284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1626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100 PAK (10 ROL)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45</v>
      </c>
      <c r="E285" s="46"/>
      <c r="F285" s="37"/>
      <c r="G285" s="37"/>
      <c r="H285" s="47"/>
      <c r="I285" s="37"/>
      <c r="J285" s="39"/>
      <c r="K285" s="37"/>
      <c r="L285" s="37" t="s">
        <v>265</v>
      </c>
      <c r="M285" s="40">
        <v>1</v>
      </c>
      <c r="N285" s="38">
        <v>60</v>
      </c>
      <c r="O285" s="37" t="s">
        <v>127</v>
      </c>
      <c r="P285" s="41">
        <v>29500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1770000</v>
      </c>
      <c r="Y285" s="50">
        <f>IF(NOTA[[#This Row],[JUMLAH]]="","",NOTA[[#This Row],[JUMLAH]]*NOTA[[#This Row],[DISC 1]])</f>
        <v>221250</v>
      </c>
      <c r="Z285" s="50">
        <f>IF(NOTA[[#This Row],[JUMLAH]]="","",(NOTA[[#This Row],[JUMLAH]]-NOTA[[#This Row],[DISC 1-]])*NOTA[[#This Row],[DISC 2]])</f>
        <v>77437.5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298687.5</v>
      </c>
      <c r="AC285" s="50">
        <f>IF(NOTA[[#This Row],[JUMLAH]]="","",NOTA[[#This Row],[JUMLAH]]-NOTA[[#This Row],[DISC]])</f>
        <v>1471312.5</v>
      </c>
      <c r="AD285" s="50"/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6357555</v>
      </c>
      <c r="AF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31316845</v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285" s="50">
        <f>IF(OR(NOTA[[#This Row],[QTY]]="",NOTA[[#This Row],[HARGA SATUAN]]="",),"",NOTA[[#This Row],[QTY]]*NOTA[[#This Row],[HARGA SATUAN]])</f>
        <v>1770000</v>
      </c>
      <c r="AI285" s="39">
        <f ca="1">IF(NOTA[ID_H]="","",INDEX(NOTA[TANGGAL],MATCH(,INDIRECT(ADDRESS(ROW(NOTA[TANGGAL]),COLUMN(NOTA[TANGGAL]))&amp;":"&amp;ADDRESS(ROW(),COLUMN(NOTA[TANGGAL]))),-1)))</f>
        <v>45185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9</v>
      </c>
      <c r="AN285" s="38" t="str">
        <f>LOWER(SUBSTITUTE(SUBSTITUTE(SUBSTITUTE(SUBSTITUTE(SUBSTITUTE(SUBSTITUTE(SUBSTITUTE(SUBSTITUTE(SUBSTITUTE(NOTA[NAMA BARANG]," ",),".",""),"-",""),"(",""),")",""),",",""),"/",""),"""",""),"+",""))</f>
        <v>punch40xljk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2341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5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ATA_1609_290-1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46</v>
      </c>
      <c r="E287" s="46"/>
      <c r="F287" s="37" t="s">
        <v>24</v>
      </c>
      <c r="G287" s="37" t="s">
        <v>23</v>
      </c>
      <c r="H287" s="47" t="s">
        <v>406</v>
      </c>
      <c r="I287" s="37"/>
      <c r="J287" s="39">
        <v>45182</v>
      </c>
      <c r="K287" s="37"/>
      <c r="L287" s="37" t="s">
        <v>228</v>
      </c>
      <c r="M287" s="40">
        <v>5</v>
      </c>
      <c r="N287" s="38">
        <v>3840</v>
      </c>
      <c r="O287" s="37" t="s">
        <v>127</v>
      </c>
      <c r="P287" s="41">
        <v>2100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8064000</v>
      </c>
      <c r="Y287" s="50">
        <f>IF(NOTA[[#This Row],[JUMLAH]]="","",NOTA[[#This Row],[JUMLAH]]*NOTA[[#This Row],[DISC 1]])</f>
        <v>1008000</v>
      </c>
      <c r="Z287" s="50">
        <f>IF(NOTA[[#This Row],[JUMLAH]]="","",(NOTA[[#This Row],[JUMLAH]]-NOTA[[#This Row],[DISC 1-]])*NOTA[[#This Row],[DISC 2]])</f>
        <v>352800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1360800</v>
      </c>
      <c r="AC287" s="50">
        <f>IF(NOTA[[#This Row],[JUMLAH]]="","",NOTA[[#This Row],[JUMLAH]]-NOTA[[#This Row],[DISC]])</f>
        <v>6703200</v>
      </c>
      <c r="AD287" s="50"/>
      <c r="AE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1360800</v>
      </c>
      <c r="AF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6703200</v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87" s="50">
        <f>IF(OR(NOTA[[#This Row],[QTY]]="",NOTA[[#This Row],[HARGA SATUAN]]="",),"",NOTA[[#This Row],[QTY]]*NOTA[[#This Row],[HARGA SATUAN]])</f>
        <v>8064000</v>
      </c>
      <c r="AI287" s="39">
        <f ca="1">IF(NOTA[ID_H]="","",INDEX(NOTA[TANGGAL],MATCH(,INDIRECT(ADDRESS(ROW(NOTA[TANGGAL]),COLUMN(NOTA[TANGGAL]))&amp;":"&amp;ADDRESS(ROW(),COLUMN(NOTA[TANGGAL]))),-1)))</f>
        <v>45185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>
        <f ca="1">IF(NOTA[[#This Row],[ID]]="","",COUNTIF(NOTA[ID_H],NOTA[[#This Row],[ID_H]]))</f>
        <v>1</v>
      </c>
      <c r="AM287" s="38">
        <f>IF(NOTA[[#This Row],[TGL.NOTA]]="",IF(NOTA[[#This Row],[SUPPLIER_H]]="","",AM286),MONTH(NOTA[[#This Row],[TGL.NOTA]]))</f>
        <v>9</v>
      </c>
      <c r="AN2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MOROSA23091629045182gluestickgs098gramjk</v>
      </c>
      <c r="AR287" s="38" t="e">
        <f>IF(NOTA[[#This Row],[CONCAT4]]="","",_xlfn.IFNA(MATCH(NOTA[[#This Row],[CONCAT4]],[2]!RAW[CONCAT_H],0),FALSE))</f>
        <v>#REF!</v>
      </c>
      <c r="AS287" s="38">
        <f>IF(NOTA[[#This Row],[CONCAT1]]="","",MATCH(NOTA[[#This Row],[CONCAT1]],[3]!db[NB NOTA_C],0))</f>
        <v>1139</v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>64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customHeight="1" x14ac:dyDescent="0.25">
      <c r="A289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DUT_1609_23H-8</v>
      </c>
      <c r="C289" s="38" t="e">
        <f ca="1">IF(NOTA[[#This Row],[ID_P]]="","",MATCH(NOTA[[#This Row],[ID_P]],[1]!B_MSK[N_ID],0))</f>
        <v>#REF!</v>
      </c>
      <c r="D289" s="38">
        <f ca="1">IF(NOTA[[#This Row],[NAMA BARANG]]="","",INDEX(NOTA[ID],MATCH(,INDIRECT(ADDRESS(ROW(NOTA[ID]),COLUMN(NOTA[ID]))&amp;":"&amp;ADDRESS(ROW(),COLUMN(NOTA[ID]))),-1)))</f>
        <v>47</v>
      </c>
      <c r="E289" s="46"/>
      <c r="F289" s="37" t="s">
        <v>419</v>
      </c>
      <c r="G289" s="37" t="s">
        <v>124</v>
      </c>
      <c r="H289" s="47" t="s">
        <v>407</v>
      </c>
      <c r="I289" s="37"/>
      <c r="J289" s="39">
        <v>45180</v>
      </c>
      <c r="K289" s="37"/>
      <c r="L289" s="37" t="s">
        <v>410</v>
      </c>
      <c r="M289" s="40">
        <v>8</v>
      </c>
      <c r="N289" s="38">
        <v>576</v>
      </c>
      <c r="O289" s="37" t="s">
        <v>133</v>
      </c>
      <c r="P289" s="41">
        <v>16000</v>
      </c>
      <c r="Q289" s="42"/>
      <c r="R289" s="48" t="s">
        <v>408</v>
      </c>
      <c r="S289" s="49">
        <v>0.03</v>
      </c>
      <c r="T289" s="44"/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9216000</v>
      </c>
      <c r="Y289" s="50">
        <f>IF(NOTA[[#This Row],[JUMLAH]]="","",NOTA[[#This Row],[JUMLAH]]*NOTA[[#This Row],[DISC 1]])</f>
        <v>276480</v>
      </c>
      <c r="Z289" s="50">
        <f>IF(NOTA[[#This Row],[JUMLAH]]="","",(NOTA[[#This Row],[JUMLAH]]-NOTA[[#This Row],[DISC 1-]])*NOTA[[#This Row],[DISC 2]])</f>
        <v>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276480</v>
      </c>
      <c r="AC289" s="50">
        <f>IF(NOTA[[#This Row],[JUMLAH]]="","",NOTA[[#This Row],[JUMLAH]]-NOTA[[#This Row],[DISC]])</f>
        <v>8939520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289" s="50">
        <f>IF(OR(NOTA[[#This Row],[QTY]]="",NOTA[[#This Row],[HARGA SATUAN]]="",),"",NOTA[[#This Row],[QTY]]*NOTA[[#This Row],[HARGA SATUAN]])</f>
        <v>9216000</v>
      </c>
      <c r="AI289" s="39">
        <f ca="1">IF(NOTA[ID_H]="","",INDEX(NOTA[TANGGAL],MATCH(,INDIRECT(ADDRESS(ROW(NOTA[TANGGAL]),COLUMN(NOTA[TANGGAL]))&amp;":"&amp;ADDRESS(ROW(),COLUMN(NOTA[TANGGAL]))),-1)))</f>
        <v>45185</v>
      </c>
      <c r="AJ289" s="41" t="str">
        <f ca="1">IF(NOTA[[#This Row],[NAMA BARANG]]="","",INDEX(NOTA[SUPPLIER],MATCH(,INDIRECT(ADDRESS(ROW(NOTA[ID]),COLUMN(NOTA[ID]))&amp;":"&amp;ADDRESS(ROW(),COLUMN(NOTA[ID]))),-1)))</f>
        <v>DUTA BUANA</v>
      </c>
      <c r="AK289" s="41" t="str">
        <f ca="1">IF(NOTA[[#This Row],[ID_H]]="","",IF(NOTA[[#This Row],[FAKTUR]]="",INDIRECT(ADDRESS(ROW()-1,COLUMN())),NOTA[[#This Row],[FAKTUR]]))</f>
        <v>UNTANA</v>
      </c>
      <c r="AL289" s="38">
        <f ca="1">IF(NOTA[[#This Row],[ID]]="","",COUNTIF(NOTA[ID_H],NOTA[[#This Row],[ID_H]]))</f>
        <v>8</v>
      </c>
      <c r="AM289" s="38">
        <f>IF(NOTA[[#This Row],[TGL.NOTA]]="",IF(NOTA[[#This Row],[SUPPLIER_H]]="","",AM288),MONTH(NOTA[[#This Row],[TGL.NOTA]]))</f>
        <v>9</v>
      </c>
      <c r="AN289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BUANAUNTANAHM/256/09-23H45180acryliccolourtfac004n12x6mlneon</v>
      </c>
      <c r="AR289" s="38" t="e">
        <f>IF(NOTA[[#This Row],[CONCAT4]]="","",_xlfn.IFNA(MATCH(NOTA[[#This Row],[CONCAT4]],[2]!RAW[CONCAT_H],0),FALSE))</f>
        <v>#REF!</v>
      </c>
      <c r="AS289" s="38" t="e">
        <f>IF(NOTA[[#This Row],[CONCAT1]]="","",MATCH(NOTA[[#This Row],[CONCAT1]],[3]!db[NB NOTA_C],0))</f>
        <v>#N/A</v>
      </c>
      <c r="AT289" s="38" t="b">
        <f>IF(NOTA[[#This Row],[QTY/ CTN]]="","",TRUE)</f>
        <v>1</v>
      </c>
      <c r="AU289" s="38" t="str">
        <f ca="1">IF(NOTA[[#This Row],[ID_H]]="","",IF(NOTA[[#This Row],[Column3]]=TRUE,NOTA[[#This Row],[QTY/ CTN]],INDEX([3]!db[QTY/ CTN],NOTA[[#This Row],[//DB]])))</f>
        <v>72 SET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47</v>
      </c>
      <c r="E290" s="46"/>
      <c r="F290" s="37"/>
      <c r="G290" s="37"/>
      <c r="H290" s="47"/>
      <c r="I290" s="37"/>
      <c r="J290" s="39"/>
      <c r="K290" s="37"/>
      <c r="L290" s="37" t="s">
        <v>409</v>
      </c>
      <c r="M290" s="40">
        <v>8</v>
      </c>
      <c r="N290" s="38">
        <v>576</v>
      </c>
      <c r="O290" s="37" t="s">
        <v>133</v>
      </c>
      <c r="P290" s="41">
        <v>16000</v>
      </c>
      <c r="Q290" s="42"/>
      <c r="R290" s="48" t="s">
        <v>408</v>
      </c>
      <c r="S290" s="49">
        <v>0.03</v>
      </c>
      <c r="T290" s="44"/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9216000</v>
      </c>
      <c r="Y290" s="50">
        <f>IF(NOTA[[#This Row],[JUMLAH]]="","",NOTA[[#This Row],[JUMLAH]]*NOTA[[#This Row],[DISC 1]])</f>
        <v>276480</v>
      </c>
      <c r="Z290" s="50">
        <f>IF(NOTA[[#This Row],[JUMLAH]]="","",(NOTA[[#This Row],[JUMLAH]]-NOTA[[#This Row],[DISC 1-]])*NOTA[[#This Row],[DISC 2]])</f>
        <v>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276480</v>
      </c>
      <c r="AC290" s="50">
        <f>IF(NOTA[[#This Row],[JUMLAH]]="","",NOTA[[#This Row],[JUMLAH]]-NOTA[[#This Row],[DISC]])</f>
        <v>8939520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290" s="50">
        <f>IF(OR(NOTA[[#This Row],[QTY]]="",NOTA[[#This Row],[HARGA SATUAN]]="",),"",NOTA[[#This Row],[QTY]]*NOTA[[#This Row],[HARGA SATUAN]])</f>
        <v>9216000</v>
      </c>
      <c r="AI290" s="39">
        <f ca="1">IF(NOTA[ID_H]="","",INDEX(NOTA[TANGGAL],MATCH(,INDIRECT(ADDRESS(ROW(NOTA[TANGGAL]),COLUMN(NOTA[TANGGAL]))&amp;":"&amp;ADDRESS(ROW(),COLUMN(NOTA[TANGGAL]))),-1)))</f>
        <v>45185</v>
      </c>
      <c r="AJ290" s="41" t="str">
        <f ca="1">IF(NOTA[[#This Row],[NAMA BARANG]]="","",INDEX(NOTA[SUPPLIER],MATCH(,INDIRECT(ADDRESS(ROW(NOTA[ID]),COLUMN(NOTA[ID]))&amp;":"&amp;ADDRESS(ROW(),COLUMN(NOTA[ID]))),-1)))</f>
        <v>DUTA BUANA</v>
      </c>
      <c r="AK290" s="41" t="str">
        <f ca="1">IF(NOTA[[#This Row],[ID_H]]="","",IF(NOTA[[#This Row],[FAKTUR]]="",INDIRECT(ADDRESS(ROW()-1,COLUMN())),NOTA[[#This Row],[FAKTUR]]))</f>
        <v>UNTANA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9</v>
      </c>
      <c r="AN290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e">
        <f>IF(NOTA[[#This Row],[CONCAT1]]="","",MATCH(NOTA[[#This Row],[CONCAT1]],[3]!db[NB NOTA_C],0))</f>
        <v>#N/A</v>
      </c>
      <c r="AT290" s="38" t="b">
        <f>IF(NOTA[[#This Row],[QTY/ CTN]]="","",TRUE)</f>
        <v>1</v>
      </c>
      <c r="AU290" s="38" t="str">
        <f ca="1">IF(NOTA[[#This Row],[ID_H]]="","",IF(NOTA[[#This Row],[Column3]]=TRUE,NOTA[[#This Row],[QTY/ CTN]],INDEX([3]!db[QTY/ CTN],NOTA[[#This Row],[//DB]])))</f>
        <v>72 SET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47</v>
      </c>
      <c r="E291" s="46"/>
      <c r="F291" s="37"/>
      <c r="G291" s="37"/>
      <c r="H291" s="47"/>
      <c r="I291" s="37"/>
      <c r="J291" s="39"/>
      <c r="K291" s="37"/>
      <c r="L291" s="37" t="s">
        <v>411</v>
      </c>
      <c r="M291" s="40">
        <v>4</v>
      </c>
      <c r="N291" s="38">
        <v>288</v>
      </c>
      <c r="O291" s="37" t="s">
        <v>133</v>
      </c>
      <c r="P291" s="41">
        <v>16000</v>
      </c>
      <c r="Q291" s="42"/>
      <c r="R291" s="48" t="s">
        <v>408</v>
      </c>
      <c r="S291" s="49">
        <v>0.03</v>
      </c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4608000</v>
      </c>
      <c r="Y291" s="50">
        <f>IF(NOTA[[#This Row],[JUMLAH]]="","",NOTA[[#This Row],[JUMLAH]]*NOTA[[#This Row],[DISC 1]])</f>
        <v>138240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138240</v>
      </c>
      <c r="AC291" s="50">
        <f>IF(NOTA[[#This Row],[JUMLAH]]="","",NOTA[[#This Row],[JUMLAH]]-NOTA[[#This Row],[DISC]])</f>
        <v>4469760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291" s="50">
        <f>IF(OR(NOTA[[#This Row],[QTY]]="",NOTA[[#This Row],[HARGA SATUAN]]="",),"",NOTA[[#This Row],[QTY]]*NOTA[[#This Row],[HARGA SATUAN]])</f>
        <v>4608000</v>
      </c>
      <c r="AI291" s="39">
        <f ca="1">IF(NOTA[ID_H]="","",INDEX(NOTA[TANGGAL],MATCH(,INDIRECT(ADDRESS(ROW(NOTA[TANGGAL]),COLUMN(NOTA[TANGGAL]))&amp;":"&amp;ADDRESS(ROW(),COLUMN(NOTA[TANGGAL]))),-1)))</f>
        <v>45185</v>
      </c>
      <c r="AJ291" s="41" t="str">
        <f ca="1">IF(NOTA[[#This Row],[NAMA BARANG]]="","",INDEX(NOTA[SUPPLIER],MATCH(,INDIRECT(ADDRESS(ROW(NOTA[ID]),COLUMN(NOTA[ID]))&amp;":"&amp;ADDRESS(ROW(),COLUMN(NOTA[ID]))),-1)))</f>
        <v>DUTA BUANA</v>
      </c>
      <c r="AK291" s="41" t="str">
        <f ca="1">IF(NOTA[[#This Row],[ID_H]]="","",IF(NOTA[[#This Row],[FAKTUR]]="",INDIRECT(ADDRESS(ROW()-1,COLUMN())),NOTA[[#This Row],[FAKTUR]]))</f>
        <v>UNTANA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9</v>
      </c>
      <c r="AN291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27</v>
      </c>
      <c r="AT291" s="38" t="b">
        <f>IF(NOTA[[#This Row],[QTY/ CTN]]="","",TRUE)</f>
        <v>1</v>
      </c>
      <c r="AU291" s="38" t="str">
        <f ca="1">IF(NOTA[[#This Row],[ID_H]]="","",IF(NOTA[[#This Row],[Column3]]=TRUE,NOTA[[#This Row],[QTY/ CTN]],INDEX([3]!db[QTY/ CTN],NOTA[[#This Row],[//DB]])))</f>
        <v>72 SET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47</v>
      </c>
      <c r="E292" s="46"/>
      <c r="F292" s="37"/>
      <c r="G292" s="37"/>
      <c r="H292" s="47"/>
      <c r="I292" s="37"/>
      <c r="J292" s="39"/>
      <c r="K292" s="37"/>
      <c r="L292" s="37" t="s">
        <v>412</v>
      </c>
      <c r="M292" s="40">
        <v>1</v>
      </c>
      <c r="N292" s="38">
        <v>144</v>
      </c>
      <c r="O292" s="37" t="s">
        <v>139</v>
      </c>
      <c r="P292" s="41"/>
      <c r="Q292" s="42"/>
      <c r="R292" s="48" t="s">
        <v>217</v>
      </c>
      <c r="S292" s="49">
        <v>0.03</v>
      </c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2" s="50" t="str">
        <f>IF(OR(NOTA[[#This Row],[QTY]]="",NOTA[[#This Row],[HARGA SATUAN]]="",),"",NOTA[[#This Row],[QTY]]*NOTA[[#This Row],[HARGA SATUAN]])</f>
        <v/>
      </c>
      <c r="AI292" s="39">
        <f ca="1">IF(NOTA[ID_H]="","",INDEX(NOTA[TANGGAL],MATCH(,INDIRECT(ADDRESS(ROW(NOTA[TANGGAL]),COLUMN(NOTA[TANGGAL]))&amp;":"&amp;ADDRESS(ROW(),COLUMN(NOTA[TANGGAL]))),-1)))</f>
        <v>45185</v>
      </c>
      <c r="AJ292" s="41" t="str">
        <f ca="1">IF(NOTA[[#This Row],[NAMA BARANG]]="","",INDEX(NOTA[SUPPLIER],MATCH(,INDIRECT(ADDRESS(ROW(NOTA[ID]),COLUMN(NOTA[ID]))&amp;":"&amp;ADDRESS(ROW(),COLUMN(NOTA[ID]))),-1)))</f>
        <v>DUTA BUANA</v>
      </c>
      <c r="AK292" s="41" t="str">
        <f ca="1">IF(NOTA[[#This Row],[ID_H]]="","",IF(NOTA[[#This Row],[FAKTUR]]="",INDIRECT(ADDRESS(ROW()-1,COLUMN())),NOTA[[#This Row],[FAKTUR]]))</f>
        <v>UNTANA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9</v>
      </c>
      <c r="AN292" s="3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ballpenpromosihm2220ubonus00.03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ballpenpromosihm2220ubonus00.03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e">
        <f>IF(NOTA[[#This Row],[CONCAT1]]="","",MATCH(NOTA[[#This Row],[CONCAT1]],[3]!db[NB NOTA_C],0))</f>
        <v>#N/A</v>
      </c>
      <c r="AT292" s="38" t="b">
        <f>IF(NOTA[[#This Row],[QTY/ CTN]]="","",TRUE)</f>
        <v>1</v>
      </c>
      <c r="AU292" s="38" t="str">
        <f ca="1">IF(NOTA[[#This Row],[ID_H]]="","",IF(NOTA[[#This Row],[Column3]]=TRUE,NOTA[[#This Row],[QTY/ CTN]],INDEX([3]!db[QTY/ CTN],NOTA[[#This Row],[//DB]])))</f>
        <v>144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ballpenpromosihm2220ubonus144lsnuntana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/>
      <c r="G293" s="37"/>
      <c r="H293" s="47"/>
      <c r="I293" s="37"/>
      <c r="J293" s="39"/>
      <c r="K293" s="37"/>
      <c r="L293" s="37" t="s">
        <v>413</v>
      </c>
      <c r="M293" s="40">
        <v>2</v>
      </c>
      <c r="N293" s="38">
        <v>288</v>
      </c>
      <c r="O293" s="37" t="s">
        <v>133</v>
      </c>
      <c r="P293" s="41">
        <v>13500</v>
      </c>
      <c r="Q293" s="42"/>
      <c r="R293" s="48" t="s">
        <v>140</v>
      </c>
      <c r="S293" s="49">
        <v>0.03</v>
      </c>
      <c r="T293" s="44"/>
      <c r="U293" s="44"/>
      <c r="V293" s="50"/>
      <c r="W293" s="45" t="s">
        <v>418</v>
      </c>
      <c r="X293" s="50">
        <f>IF(NOTA[[#This Row],[HARGA/ CTN]]="",NOTA[[#This Row],[JUMLAH_H]],NOTA[[#This Row],[HARGA/ CTN]]*IF(NOTA[[#This Row],[C]]="",0,NOTA[[#This Row],[C]]))</f>
        <v>3888000</v>
      </c>
      <c r="Y293" s="50">
        <f>IF(NOTA[[#This Row],[JUMLAH]]="","",NOTA[[#This Row],[JUMLAH]]*NOTA[[#This Row],[DISC 1]])</f>
        <v>116640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116640</v>
      </c>
      <c r="AC293" s="50">
        <f>IF(NOTA[[#This Row],[JUMLAH]]="","",NOTA[[#This Row],[JUMLAH]]-NOTA[[#This Row],[DISC]])</f>
        <v>3771360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93" s="50">
        <f>IF(OR(NOTA[[#This Row],[QTY]]="",NOTA[[#This Row],[HARGA SATUAN]]="",),"",NOTA[[#This Row],[QTY]]*NOTA[[#This Row],[HARGA SATUAN]])</f>
        <v>3888000</v>
      </c>
      <c r="AI293" s="39">
        <f ca="1">IF(NOTA[ID_H]="","",INDEX(NOTA[TANGGAL],MATCH(,INDIRECT(ADDRESS(ROW(NOTA[TANGGAL]),COLUMN(NOTA[TANGGAL]))&amp;":"&amp;ADDRESS(ROW(),COLUMN(NOTA[TANGGAL]))),-1)))</f>
        <v>45185</v>
      </c>
      <c r="AJ293" s="41" t="str">
        <f ca="1">IF(NOTA[[#This Row],[NAMA BARANG]]="","",INDEX(NOTA[SUPPLIER],MATCH(,INDIRECT(ADDRESS(ROW(NOTA[ID]),COLUMN(NOTA[ID]))&amp;":"&amp;ADDRESS(ROW(),COLUMN(NOTA[ID]))),-1)))</f>
        <v>DUTA BUANA</v>
      </c>
      <c r="AK293" s="41" t="str">
        <f ca="1">IF(NOTA[[#This Row],[ID_H]]="","",IF(NOTA[[#This Row],[FAKTUR]]="",INDIRECT(ADDRESS(ROW()-1,COLUMN())),NOTA[[#This Row],[FAKTUR]]))</f>
        <v>UNTANA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9</v>
      </c>
      <c r="AN293" s="38" t="str">
        <f>LOWER(SUBSTITUTE(SUBSTITUTE(SUBSTITUTE(SUBSTITUTE(SUBSTITUTE(SUBSTITUTE(SUBSTITUTE(SUBSTITUTE(SUBSTITUTE(NOTA[NAMA BARANG]," ",),".",""),"-",""),"(",""),")",""),",",""),"/",""),"""",""),"+",""))</f>
        <v>brushmarkerpenwbtf105012wr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brushmarkerpenwbtf105012wr19440000.03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brushmarkerpenwbtf105012wr19440000.03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e">
        <f>IF(NOTA[[#This Row],[CONCAT1]]="","",MATCH(NOTA[[#This Row],[CONCAT1]],[3]!db[NB NOTA_C],0))</f>
        <v>#N/A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144 SET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brushmarkerpenwbtf105012wr144setuntana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414</v>
      </c>
      <c r="M294" s="40">
        <v>1</v>
      </c>
      <c r="N294" s="38">
        <v>108</v>
      </c>
      <c r="O294" s="37" t="s">
        <v>127</v>
      </c>
      <c r="P294" s="41">
        <v>12500</v>
      </c>
      <c r="Q294" s="42"/>
      <c r="R294" s="48" t="s">
        <v>415</v>
      </c>
      <c r="S294" s="49">
        <v>0.03</v>
      </c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1350000</v>
      </c>
      <c r="Y294" s="50">
        <f>IF(NOTA[[#This Row],[JUMLAH]]="","",NOTA[[#This Row],[JUMLAH]]*NOTA[[#This Row],[DISC 1]])</f>
        <v>40500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40500</v>
      </c>
      <c r="AC294" s="50">
        <f>IF(NOTA[[#This Row],[JUMLAH]]="","",NOTA[[#This Row],[JUMLAH]]-NOTA[[#This Row],[DISC]])</f>
        <v>1309500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94" s="50">
        <f>IF(OR(NOTA[[#This Row],[QTY]]="",NOTA[[#This Row],[HARGA SATUAN]]="",),"",NOTA[[#This Row],[QTY]]*NOTA[[#This Row],[HARGA SATUAN]])</f>
        <v>1350000</v>
      </c>
      <c r="AI294" s="39">
        <f ca="1">IF(NOTA[ID_H]="","",INDEX(NOTA[TANGGAL],MATCH(,INDIRECT(ADDRESS(ROW(NOTA[TANGGAL]),COLUMN(NOTA[TANGGAL]))&amp;":"&amp;ADDRESS(ROW(),COLUMN(NOTA[TANGGAL]))),-1)))</f>
        <v>45185</v>
      </c>
      <c r="AJ294" s="41" t="str">
        <f ca="1">IF(NOTA[[#This Row],[NAMA BARANG]]="","",INDEX(NOTA[SUPPLIER],MATCH(,INDIRECT(ADDRESS(ROW(NOTA[ID]),COLUMN(NOTA[ID]))&amp;":"&amp;ADDRESS(ROW(),COLUMN(NOTA[ID]))),-1)))</f>
        <v>DUTA BUANA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9</v>
      </c>
      <c r="AN294" s="38" t="str">
        <f>LOWER(SUBSTITUTE(SUBSTITUTE(SUBSTITUTE(SUBSTITUTE(SUBSTITUTE(SUBSTITUTE(SUBSTITUTE(SUBSTITUTE(SUBSTITUTE(NOTA[NAMA BARANG]," ",),".",""),"-",""),"(",""),")",""),",",""),"/",""),"""",""),"+",""))</f>
        <v>sticknotetf0246400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e">
        <f>IF(NOTA[[#This Row],[CONCAT1]]="","",MATCH(NOTA[[#This Row],[CONCAT1]],[3]!db[NB NOTA_C],0))</f>
        <v>#N/A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108 PCS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47</v>
      </c>
      <c r="E295" s="46"/>
      <c r="F295" s="37"/>
      <c r="G295" s="37"/>
      <c r="H295" s="47"/>
      <c r="I295" s="37"/>
      <c r="J295" s="39"/>
      <c r="K295" s="37"/>
      <c r="L295" s="37" t="s">
        <v>416</v>
      </c>
      <c r="M295" s="40">
        <v>1</v>
      </c>
      <c r="N295" s="38">
        <v>600</v>
      </c>
      <c r="O295" s="37" t="s">
        <v>127</v>
      </c>
      <c r="P295" s="41">
        <v>3250</v>
      </c>
      <c r="Q295" s="42"/>
      <c r="R295" s="48" t="s">
        <v>341</v>
      </c>
      <c r="S295" s="49">
        <v>0.03</v>
      </c>
      <c r="T295" s="44"/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1950000</v>
      </c>
      <c r="Y295" s="50">
        <f>IF(NOTA[[#This Row],[JUMLAH]]="","",NOTA[[#This Row],[JUMLAH]]*NOTA[[#This Row],[DISC 1]])</f>
        <v>58500</v>
      </c>
      <c r="Z295" s="50">
        <f>IF(NOTA[[#This Row],[JUMLAH]]="","",(NOTA[[#This Row],[JUMLAH]]-NOTA[[#This Row],[DISC 1-]])*NOTA[[#This Row],[DISC 2]])</f>
        <v>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58500</v>
      </c>
      <c r="AC295" s="50">
        <f>IF(NOTA[[#This Row],[JUMLAH]]="","",NOTA[[#This Row],[JUMLAH]]-NOTA[[#This Row],[DISC]])</f>
        <v>1891500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295" s="50">
        <f>IF(OR(NOTA[[#This Row],[QTY]]="",NOTA[[#This Row],[HARGA SATUAN]]="",),"",NOTA[[#This Row],[QTY]]*NOTA[[#This Row],[HARGA SATUAN]])</f>
        <v>1950000</v>
      </c>
      <c r="AI295" s="39">
        <f ca="1">IF(NOTA[ID_H]="","",INDEX(NOTA[TANGGAL],MATCH(,INDIRECT(ADDRESS(ROW(NOTA[TANGGAL]),COLUMN(NOTA[TANGGAL]))&amp;":"&amp;ADDRESS(ROW(),COLUMN(NOTA[TANGGAL]))),-1)))</f>
        <v>45185</v>
      </c>
      <c r="AJ295" s="41" t="str">
        <f ca="1">IF(NOTA[[#This Row],[NAMA BARANG]]="","",INDEX(NOTA[SUPPLIER],MATCH(,INDIRECT(ADDRESS(ROW(NOTA[ID]),COLUMN(NOTA[ID]))&amp;":"&amp;ADDRESS(ROW(),COLUMN(NOTA[ID]))),-1)))</f>
        <v>DUTA BUANA</v>
      </c>
      <c r="AK295" s="41" t="str">
        <f ca="1">IF(NOTA[[#This Row],[ID_H]]="","",IF(NOTA[[#This Row],[FAKTUR]]="",INDIRECT(ADDRESS(ROW()-1,COLUMN())),NOTA[[#This Row],[FAKTUR]]))</f>
        <v>UNTANA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9</v>
      </c>
      <c r="AN295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e">
        <f>IF(NOTA[[#This Row],[CONCAT1]]="","",MATCH(NOTA[[#This Row],[CONCAT1]],[3]!db[NB NOTA_C],0))</f>
        <v>#N/A</v>
      </c>
      <c r="AT295" s="38" t="b">
        <f>IF(NOTA[[#This Row],[QTY/ CTN]]="","",TRUE)</f>
        <v>1</v>
      </c>
      <c r="AU295" s="38" t="str">
        <f ca="1">IF(NOTA[[#This Row],[ID_H]]="","",IF(NOTA[[#This Row],[Column3]]=TRUE,NOTA[[#This Row],[QTY/ CTN]],INDEX([3]!db[QTY/ CTN],NOTA[[#This Row],[//DB]])))</f>
        <v>600 PCS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sticknotetf6545cmix600pcsuntana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47</v>
      </c>
      <c r="E296" s="46"/>
      <c r="F296" s="37"/>
      <c r="G296" s="37"/>
      <c r="H296" s="47"/>
      <c r="I296" s="37"/>
      <c r="J296" s="39"/>
      <c r="K296" s="37"/>
      <c r="L296" s="37" t="s">
        <v>417</v>
      </c>
      <c r="M296" s="40">
        <v>1</v>
      </c>
      <c r="N296" s="38">
        <v>600</v>
      </c>
      <c r="O296" s="37" t="s">
        <v>127</v>
      </c>
      <c r="P296" s="41">
        <v>3250</v>
      </c>
      <c r="Q296" s="42"/>
      <c r="R296" s="48" t="s">
        <v>341</v>
      </c>
      <c r="S296" s="49">
        <v>0.03</v>
      </c>
      <c r="T296" s="44"/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1950000</v>
      </c>
      <c r="Y296" s="50">
        <f>IF(NOTA[[#This Row],[JUMLAH]]="","",NOTA[[#This Row],[JUMLAH]]*NOTA[[#This Row],[DISC 1]])</f>
        <v>58500</v>
      </c>
      <c r="Z296" s="50">
        <f>IF(NOTA[[#This Row],[JUMLAH]]="","",(NOTA[[#This Row],[JUMLAH]]-NOTA[[#This Row],[DISC 1-]])*NOTA[[#This Row],[DISC 2]])</f>
        <v>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58500</v>
      </c>
      <c r="AC296" s="50">
        <f>IF(NOTA[[#This Row],[JUMLAH]]="","",NOTA[[#This Row],[JUMLAH]]-NOTA[[#This Row],[DISC]])</f>
        <v>1891500</v>
      </c>
      <c r="AD296" s="50"/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965340</v>
      </c>
      <c r="AF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31212660</v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296" s="50">
        <f>IF(OR(NOTA[[#This Row],[QTY]]="",NOTA[[#This Row],[HARGA SATUAN]]="",),"",NOTA[[#This Row],[QTY]]*NOTA[[#This Row],[HARGA SATUAN]])</f>
        <v>1950000</v>
      </c>
      <c r="AI296" s="39">
        <f ca="1">IF(NOTA[ID_H]="","",INDEX(NOTA[TANGGAL],MATCH(,INDIRECT(ADDRESS(ROW(NOTA[TANGGAL]),COLUMN(NOTA[TANGGAL]))&amp;":"&amp;ADDRESS(ROW(),COLUMN(NOTA[TANGGAL]))),-1)))</f>
        <v>45185</v>
      </c>
      <c r="AJ296" s="41" t="str">
        <f ca="1">IF(NOTA[[#This Row],[NAMA BARANG]]="","",INDEX(NOTA[SUPPLIER],MATCH(,INDIRECT(ADDRESS(ROW(NOTA[ID]),COLUMN(NOTA[ID]))&amp;":"&amp;ADDRESS(ROW(),COLUMN(NOTA[ID]))),-1)))</f>
        <v>DUTA BUANA</v>
      </c>
      <c r="AK296" s="41" t="str">
        <f ca="1">IF(NOTA[[#This Row],[ID_H]]="","",IF(NOTA[[#This Row],[FAKTUR]]="",INDIRECT(ADDRESS(ROW()-1,COLUMN())),NOTA[[#This Row],[FAKTUR]]))</f>
        <v>UNTANA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9</v>
      </c>
      <c r="AN296" s="38" t="str">
        <f>LOWER(SUBSTITUTE(SUBSTITUTE(SUBSTITUTE(SUBSTITUTE(SUBSTITUTE(SUBSTITUTE(SUBSTITUTE(SUBSTITUTE(SUBSTITUTE(NOTA[NAMA BARANG]," ",),".",""),"-",""),"(",""),")",""),",",""),"/",""),"""",""),"+",""))</f>
        <v>sticknotetf654scm100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sticknotetf654scm10019500000.03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sticknotetf654scm10019500000.03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 t="str">
        <f ca="1">IF(NOTA[[#This Row],[ID_H]]="","",IF(NOTA[[#This Row],[Column3]]=TRUE,NOTA[[#This Row],[QTY/ CTN]],INDEX([3]!db[QTY/ CTN],NOTA[[#This Row],[//DB]])))</f>
        <v>600 PCS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sticknotetf654scm100600pcsuntana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BIN_1609_236-1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 t="s">
        <v>420</v>
      </c>
      <c r="G298" s="37" t="s">
        <v>124</v>
      </c>
      <c r="H298" s="47" t="s">
        <v>421</v>
      </c>
      <c r="I298" s="37"/>
      <c r="J298" s="39">
        <v>45181</v>
      </c>
      <c r="K298" s="37"/>
      <c r="L298" s="37" t="s">
        <v>422</v>
      </c>
      <c r="M298" s="40">
        <v>5</v>
      </c>
      <c r="N298" s="38">
        <v>1350</v>
      </c>
      <c r="O298" s="37" t="s">
        <v>287</v>
      </c>
      <c r="P298" s="41">
        <v>6500</v>
      </c>
      <c r="Q298" s="42"/>
      <c r="R298" s="48" t="s">
        <v>423</v>
      </c>
      <c r="S298" s="49"/>
      <c r="T298" s="44"/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8775000</v>
      </c>
      <c r="Y298" s="50">
        <f>IF(NOTA[[#This Row],[JUMLAH]]="","",NOTA[[#This Row],[JUMLAH]]*NOTA[[#This Row],[DISC 1]])</f>
        <v>0</v>
      </c>
      <c r="Z298" s="50">
        <f>IF(NOTA[[#This Row],[JUMLAH]]="","",(NOTA[[#This Row],[JUMLAH]]-NOTA[[#This Row],[DISC 1-]])*NOTA[[#This Row],[DISC 2]])</f>
        <v>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0</v>
      </c>
      <c r="AC298" s="50">
        <f>IF(NOTA[[#This Row],[JUMLAH]]="","",NOTA[[#This Row],[JUMLAH]]-NOTA[[#This Row],[DISC]])</f>
        <v>8775000</v>
      </c>
      <c r="AD298" s="50"/>
      <c r="AE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8775000</v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H298" s="50">
        <f>IF(OR(NOTA[[#This Row],[QTY]]="",NOTA[[#This Row],[HARGA SATUAN]]="",),"",NOTA[[#This Row],[QTY]]*NOTA[[#This Row],[HARGA SATUAN]])</f>
        <v>8775000</v>
      </c>
      <c r="AI298" s="39">
        <f ca="1">IF(NOTA[ID_H]="","",INDEX(NOTA[TANGGAL],MATCH(,INDIRECT(ADDRESS(ROW(NOTA[TANGGAL]),COLUMN(NOTA[TANGGAL]))&amp;":"&amp;ADDRESS(ROW(),COLUMN(NOTA[TANGGAL]))),-1)))</f>
        <v>45185</v>
      </c>
      <c r="AJ298" s="41" t="str">
        <f ca="1">IF(NOTA[[#This Row],[NAMA BARANG]]="","",INDEX(NOTA[SUPPLIER],MATCH(,INDIRECT(ADDRESS(ROW(NOTA[ID]),COLUMN(NOTA[ID]))&amp;":"&amp;ADDRESS(ROW(),COLUMN(NOTA[ID]))),-1)))</f>
        <v>BINTANG SAUDARA</v>
      </c>
      <c r="AK298" s="41" t="str">
        <f ca="1">IF(NOTA[[#This Row],[ID_H]]="","",IF(NOTA[[#This Row],[FAKTUR]]="",INDIRECT(ADDRESS(ROW()-1,COLUMN())),NOTA[[#This Row],[FAKTUR]]))</f>
        <v>UNTANA</v>
      </c>
      <c r="AL298" s="38">
        <f ca="1">IF(NOTA[[#This Row],[ID]]="","",COUNTIF(NOTA[ID_H],NOTA[[#This Row],[ID_H]]))</f>
        <v>1</v>
      </c>
      <c r="AM298" s="38">
        <f>IF(NOTA[[#This Row],[TGL.NOTA]]="",IF(NOTA[[#This Row],[SUPPLIER_H]]="","",AM297),MONTH(NOTA[[#This Row],[TGL.NOTA]]))</f>
        <v>9</v>
      </c>
      <c r="AN298" s="38" t="str">
        <f>LOWER(SUBSTITUTE(SUBSTITUTE(SUBSTITUTE(SUBSTITUTE(SUBSTITUTE(SUBSTITUTE(SUBSTITUTE(SUBSTITUTE(SUBSTITUTE(NOTA[NAMA BARANG]," ",),".",""),"-",""),"(",""),")",""),",",""),"/",""),"""",""),"+",""))</f>
        <v>kertascrapepotkreasikoalamix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kertascrapepotkreasikoalamix1755000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kertascrapepotkreasikoalamix1755000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SAUDARAUNTANASO202309008223645181kertascrapepotkreasikoalamix</v>
      </c>
      <c r="AR298" s="38" t="e">
        <f>IF(NOTA[[#This Row],[CONCAT4]]="","",_xlfn.IFNA(MATCH(NOTA[[#This Row],[CONCAT4]],[2]!RAW[CONCAT_H],0),FALSE))</f>
        <v>#REF!</v>
      </c>
      <c r="AS298" s="38" t="e">
        <f>IF(NOTA[[#This Row],[CONCAT1]]="","",MATCH(NOTA[[#This Row],[CONCAT1]],[3]!db[NB NOTA_C],0))</f>
        <v>#N/A</v>
      </c>
      <c r="AT298" s="38" t="b">
        <f>IF(NOTA[[#This Row],[QTY/ CTN]]="","",TRUE)</f>
        <v>1</v>
      </c>
      <c r="AU298" s="38" t="str">
        <f ca="1">IF(NOTA[[#This Row],[ID_H]]="","",IF(NOTA[[#This Row],[Column3]]=TRUE,NOTA[[#This Row],[QTY/ CTN]],INDEX([3]!db[QTY/ CTN],NOTA[[#This Row],[//DB]])))</f>
        <v>270 PAK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kertascrapepotkreasikoalamix270pakuntana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customHeight="1" x14ac:dyDescent="0.25">
      <c r="A300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BIN_1609_168-2</v>
      </c>
      <c r="C300" s="38" t="e">
        <f ca="1">IF(NOTA[[#This Row],[ID_P]]="","",MATCH(NOTA[[#This Row],[ID_P]],[1]!B_MSK[N_ID],0))</f>
        <v>#REF!</v>
      </c>
      <c r="D300" s="38">
        <f ca="1">IF(NOTA[[#This Row],[NAMA BARANG]]="","",INDEX(NOTA[ID],MATCH(,INDIRECT(ADDRESS(ROW(NOTA[ID]),COLUMN(NOTA[ID]))&amp;":"&amp;ADDRESS(ROW(),COLUMN(NOTA[ID]))),-1)))</f>
        <v>49</v>
      </c>
      <c r="E300" s="46"/>
      <c r="F300" s="37" t="s">
        <v>420</v>
      </c>
      <c r="G300" s="37" t="s">
        <v>124</v>
      </c>
      <c r="H300" s="47" t="s">
        <v>424</v>
      </c>
      <c r="I300" s="37"/>
      <c r="J300" s="39">
        <v>45177</v>
      </c>
      <c r="K300" s="37"/>
      <c r="L300" s="37" t="s">
        <v>425</v>
      </c>
      <c r="M300" s="40"/>
      <c r="N300" s="38">
        <v>720</v>
      </c>
      <c r="O300" s="37" t="s">
        <v>127</v>
      </c>
      <c r="P300" s="41">
        <v>6500</v>
      </c>
      <c r="Q300" s="42"/>
      <c r="R300" s="48"/>
      <c r="S300" s="49"/>
      <c r="T300" s="44"/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4680000</v>
      </c>
      <c r="Y300" s="50">
        <f>IF(NOTA[[#This Row],[JUMLAH]]="","",NOTA[[#This Row],[JUMLAH]]*NOTA[[#This Row],[DISC 1]])</f>
        <v>0</v>
      </c>
      <c r="Z300" s="50">
        <f>IF(NOTA[[#This Row],[JUMLAH]]="","",(NOTA[[#This Row],[JUMLAH]]-NOTA[[#This Row],[DISC 1-]])*NOTA[[#This Row],[DISC 2]])</f>
        <v>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0</v>
      </c>
      <c r="AC300" s="50">
        <f>IF(NOTA[[#This Row],[JUMLAH]]="","",NOTA[[#This Row],[JUMLAH]]-NOTA[[#This Row],[DISC]])</f>
        <v>4680000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H300" s="50">
        <f>IF(OR(NOTA[[#This Row],[QTY]]="",NOTA[[#This Row],[HARGA SATUAN]]="",),"",NOTA[[#This Row],[QTY]]*NOTA[[#This Row],[HARGA SATUAN]])</f>
        <v>4680000</v>
      </c>
      <c r="AI300" s="39">
        <f ca="1">IF(NOTA[ID_H]="","",INDEX(NOTA[TANGGAL],MATCH(,INDIRECT(ADDRESS(ROW(NOTA[TANGGAL]),COLUMN(NOTA[TANGGAL]))&amp;":"&amp;ADDRESS(ROW(),COLUMN(NOTA[TANGGAL]))),-1)))</f>
        <v>45185</v>
      </c>
      <c r="AJ300" s="41" t="str">
        <f ca="1">IF(NOTA[[#This Row],[NAMA BARANG]]="","",INDEX(NOTA[SUPPLIER],MATCH(,INDIRECT(ADDRESS(ROW(NOTA[ID]),COLUMN(NOTA[ID]))&amp;":"&amp;ADDRESS(ROW(),COLUMN(NOTA[ID]))),-1)))</f>
        <v>BINTANG SAUDARA</v>
      </c>
      <c r="AK300" s="41" t="str">
        <f ca="1">IF(NOTA[[#This Row],[ID_H]]="","",IF(NOTA[[#This Row],[FAKTUR]]="",INDIRECT(ADDRESS(ROW()-1,COLUMN())),NOTA[[#This Row],[FAKTUR]]))</f>
        <v>UNTANA</v>
      </c>
      <c r="AL300" s="38">
        <f ca="1">IF(NOTA[[#This Row],[ID]]="","",COUNTIF(NOTA[ID_H],NOTA[[#This Row],[ID_H]]))</f>
        <v>2</v>
      </c>
      <c r="AM300" s="38">
        <f>IF(NOTA[[#This Row],[TGL.NOTA]]="",IF(NOTA[[#This Row],[SUPPLIER_H]]="","",AM299),MONTH(NOTA[[#This Row],[TGL.NOTA]]))</f>
        <v>9</v>
      </c>
      <c r="AN300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acrylicnt7x10cm4680000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SAUDARAUNTANASO202309008216845177acrylicnt7x10cm</v>
      </c>
      <c r="AR300" s="38" t="e">
        <f>IF(NOTA[[#This Row],[CONCAT4]]="","",_xlfn.IFNA(MATCH(NOTA[[#This Row],[CONCAT4]],[2]!RAW[CONCAT_H],0),FALSE))</f>
        <v>#REF!</v>
      </c>
      <c r="AS300" s="38">
        <f>IF(NOTA[[#This Row],[CONCAT1]]="","",MATCH(NOTA[[#This Row],[CONCAT1]],[3]!db[NB NOTA_C],0))</f>
        <v>28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288 PCS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49</v>
      </c>
      <c r="E301" s="46"/>
      <c r="F301" s="37"/>
      <c r="G301" s="37"/>
      <c r="H301" s="47"/>
      <c r="I301" s="37"/>
      <c r="J301" s="39"/>
      <c r="K301" s="37"/>
      <c r="L301" s="37" t="s">
        <v>426</v>
      </c>
      <c r="M301" s="40">
        <v>2</v>
      </c>
      <c r="N301" s="38">
        <v>80</v>
      </c>
      <c r="O301" s="37" t="s">
        <v>127</v>
      </c>
      <c r="P301" s="41">
        <v>44500</v>
      </c>
      <c r="Q301" s="42"/>
      <c r="R301" s="48" t="s">
        <v>427</v>
      </c>
      <c r="S301" s="49"/>
      <c r="T301" s="44"/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3560000</v>
      </c>
      <c r="Y301" s="50">
        <f>IF(NOTA[[#This Row],[JUMLAH]]="","",NOTA[[#This Row],[JUMLAH]]*NOTA[[#This Row],[DISC 1]])</f>
        <v>0</v>
      </c>
      <c r="Z301" s="50">
        <f>IF(NOTA[[#This Row],[JUMLAH]]="","",(NOTA[[#This Row],[JUMLAH]]-NOTA[[#This Row],[DISC 1-]])*NOTA[[#This Row],[DISC 2]])</f>
        <v>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0</v>
      </c>
      <c r="AC301" s="50">
        <f>IF(NOTA[[#This Row],[JUMLAH]]="","",NOTA[[#This Row],[JUMLAH]]-NOTA[[#This Row],[DISC]])</f>
        <v>3560000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8240000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H301" s="50">
        <f>IF(OR(NOTA[[#This Row],[QTY]]="",NOTA[[#This Row],[HARGA SATUAN]]="",),"",NOTA[[#This Row],[QTY]]*NOTA[[#This Row],[HARGA SATUAN]])</f>
        <v>3560000</v>
      </c>
      <c r="AI301" s="39">
        <f ca="1">IF(NOTA[ID_H]="","",INDEX(NOTA[TANGGAL],MATCH(,INDIRECT(ADDRESS(ROW(NOTA[TANGGAL]),COLUMN(NOTA[TANGGAL]))&amp;":"&amp;ADDRESS(ROW(),COLUMN(NOTA[TANGGAL]))),-1)))</f>
        <v>45185</v>
      </c>
      <c r="AJ301" s="41" t="str">
        <f ca="1">IF(NOTA[[#This Row],[NAMA BARANG]]="","",INDEX(NOTA[SUPPLIER],MATCH(,INDIRECT(ADDRESS(ROW(NOTA[ID]),COLUMN(NOTA[ID]))&amp;":"&amp;ADDRESS(ROW(),COLUMN(NOTA[ID]))),-1)))</f>
        <v>BINTANG SAUDARA</v>
      </c>
      <c r="AK301" s="41" t="str">
        <f ca="1">IF(NOTA[[#This Row],[ID_H]]="","",IF(NOTA[[#This Row],[FAKTUR]]="",INDIRECT(ADDRESS(ROW()-1,COLUMN())),NOTA[[#This Row],[FAKTUR]]))</f>
        <v>UNTANA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9</v>
      </c>
      <c r="AN301" s="38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acrylicsisipankertasa4t30x21cm1780000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acrylicsisipankertasa4t30x21cm1780000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36</v>
      </c>
      <c r="AT301" s="38" t="b">
        <f>IF(NOTA[[#This Row],[QTY/ CTN]]="","",TRUE)</f>
        <v>1</v>
      </c>
      <c r="AU301" s="38" t="str">
        <f ca="1">IF(NOTA[[#This Row],[ID_H]]="","",IF(NOTA[[#This Row],[Column3]]=TRUE,NOTA[[#This Row],[QTY/ CTN]],INDEX([3]!db[QTY/ CTN],NOTA[[#This Row],[//DB]])))</f>
        <v>40 PCS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acrylicsisipankertasa4t30x21cm40pcsuntana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BIN_1609_179-1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50</v>
      </c>
      <c r="E303" s="46"/>
      <c r="F303" s="37" t="s">
        <v>420</v>
      </c>
      <c r="G303" s="37" t="s">
        <v>124</v>
      </c>
      <c r="H303" s="47" t="s">
        <v>428</v>
      </c>
      <c r="I303" s="37"/>
      <c r="J303" s="39">
        <v>45178</v>
      </c>
      <c r="K303" s="37"/>
      <c r="L303" s="37" t="s">
        <v>429</v>
      </c>
      <c r="M303" s="40"/>
      <c r="N303" s="38">
        <v>288</v>
      </c>
      <c r="O303" s="37" t="s">
        <v>127</v>
      </c>
      <c r="P303" s="41">
        <v>6500</v>
      </c>
      <c r="Q303" s="42"/>
      <c r="R303" s="48"/>
      <c r="S303" s="49"/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1872000</v>
      </c>
      <c r="Y303" s="50">
        <f>IF(NOTA[[#This Row],[JUMLAH]]="","",NOTA[[#This Row],[JUMLAH]]*NOTA[[#This Row],[DISC 1]])</f>
        <v>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0</v>
      </c>
      <c r="AC303" s="50">
        <f>IF(NOTA[[#This Row],[JUMLAH]]="","",NOTA[[#This Row],[JUMLAH]]-NOTA[[#This Row],[DISC]])</f>
        <v>1872000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303" s="50">
        <f>IF(OR(NOTA[[#This Row],[QTY]]="",NOTA[[#This Row],[HARGA SATUAN]]="",),"",NOTA[[#This Row],[QTY]]*NOTA[[#This Row],[HARGA SATUAN]])</f>
        <v>1872000</v>
      </c>
      <c r="AI303" s="39">
        <f ca="1">IF(NOTA[ID_H]="","",INDEX(NOTA[TANGGAL],MATCH(,INDIRECT(ADDRESS(ROW(NOTA[TANGGAL]),COLUMN(NOTA[TANGGAL]))&amp;":"&amp;ADDRESS(ROW(),COLUMN(NOTA[TANGGAL]))),-1)))</f>
        <v>45185</v>
      </c>
      <c r="AJ303" s="41" t="str">
        <f ca="1">IF(NOTA[[#This Row],[NAMA BARANG]]="","",INDEX(NOTA[SUPPLIER],MATCH(,INDIRECT(ADDRESS(ROW(NOTA[ID]),COLUMN(NOTA[ID]))&amp;":"&amp;ADDRESS(ROW(),COLUMN(NOTA[ID]))),-1)))</f>
        <v>BINTANG SAUDARA</v>
      </c>
      <c r="AK303" s="41" t="str">
        <f ca="1">IF(NOTA[[#This Row],[ID_H]]="","",IF(NOTA[[#This Row],[FAKTUR]]="",INDIRECT(ADDRESS(ROW()-1,COLUMN())),NOTA[[#This Row],[FAKTUR]]))</f>
        <v>UNTANA</v>
      </c>
      <c r="AL303" s="38">
        <f ca="1">IF(NOTA[[#This Row],[ID]]="","",COUNTIF(NOTA[ID_H],NOTA[[#This Row],[ID_H]]))</f>
        <v>1</v>
      </c>
      <c r="AM303" s="38">
        <f>IF(NOTA[[#This Row],[TGL.NOTA]]="",IF(NOTA[[#This Row],[SUPPLIER_H]]="","",AM302),MONTH(NOTA[[#This Row],[TGL.NOTA]]))</f>
        <v>9</v>
      </c>
      <c r="AN303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acrylicnt7x10cm1872000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SAUDARAUNTANASO202309008217945178acrylicnt7x10cm</v>
      </c>
      <c r="AR303" s="38" t="e">
        <f>IF(NOTA[[#This Row],[CONCAT4]]="","",_xlfn.IFNA(MATCH(NOTA[[#This Row],[CONCAT4]],[2]!RAW[CONCAT_H],0),FALSE))</f>
        <v>#REF!</v>
      </c>
      <c r="AS303" s="38">
        <f>IF(NOTA[[#This Row],[CONCAT1]]="","",MATCH(NOTA[[#This Row],[CONCAT1]],[3]!db[NB NOTA_C],0))</f>
        <v>28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288 PCS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SAM_1809_553-7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51</v>
      </c>
      <c r="E305" s="46">
        <v>45187</v>
      </c>
      <c r="F305" s="37" t="s">
        <v>56</v>
      </c>
      <c r="G305" s="37" t="s">
        <v>23</v>
      </c>
      <c r="H305" s="47" t="s">
        <v>430</v>
      </c>
      <c r="I305" s="37"/>
      <c r="J305" s="39">
        <v>45185</v>
      </c>
      <c r="K305" s="37"/>
      <c r="L305" s="37" t="s">
        <v>431</v>
      </c>
      <c r="M305" s="40">
        <v>2</v>
      </c>
      <c r="N305" s="38">
        <v>1280</v>
      </c>
      <c r="O305" s="37" t="s">
        <v>133</v>
      </c>
      <c r="P305" s="41">
        <v>2400</v>
      </c>
      <c r="Q305" s="42"/>
      <c r="R305" s="48" t="s">
        <v>438</v>
      </c>
      <c r="S305" s="49">
        <v>7.0000000000000007E-2</v>
      </c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3072000</v>
      </c>
      <c r="Y305" s="50">
        <f>IF(NOTA[[#This Row],[JUMLAH]]="","",NOTA[[#This Row],[JUMLAH]]*NOTA[[#This Row],[DISC 1]])</f>
        <v>215040.00000000003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215040.00000000003</v>
      </c>
      <c r="AC305" s="50">
        <f>IF(NOTA[[#This Row],[JUMLAH]]="","",NOTA[[#This Row],[JUMLAH]]-NOTA[[#This Row],[DISC]])</f>
        <v>2856960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5" s="50">
        <f>IF(OR(NOTA[[#This Row],[QTY]]="",NOTA[[#This Row],[HARGA SATUAN]]="",),"",NOTA[[#This Row],[QTY]]*NOTA[[#This Row],[HARGA SATUAN]])</f>
        <v>3072000</v>
      </c>
      <c r="AI305" s="39">
        <f ca="1">IF(NOTA[ID_H]="","",INDEX(NOTA[TANGGAL],MATCH(,INDIRECT(ADDRESS(ROW(NOTA[TANGGAL]),COLUMN(NOTA[TANGGAL]))&amp;":"&amp;ADDRESS(ROW(),COLUMN(NOTA[TANGGAL]))),-1)))</f>
        <v>45187</v>
      </c>
      <c r="AJ305" s="41" t="str">
        <f ca="1">IF(NOTA[[#This Row],[NAMA BARANG]]="","",INDEX(NOTA[SUPPLIER],MATCH(,INDIRECT(ADDRESS(ROW(NOTA[ID]),COLUMN(NOTA[ID]))&amp;":"&amp;ADDRESS(ROW(),COLUMN(NOTA[ID]))),-1)))</f>
        <v>SAMUDERA ANGKASA JAYA</v>
      </c>
      <c r="AK305" s="41" t="str">
        <f ca="1">IF(NOTA[[#This Row],[ID_H]]="","",IF(NOTA[[#This Row],[FAKTUR]]="",INDIRECT(ADDRESS(ROW()-1,COLUMN())),NOTA[[#This Row],[FAKTUR]]))</f>
        <v>ARTO MORO</v>
      </c>
      <c r="AL305" s="38">
        <f ca="1">IF(NOTA[[#This Row],[ID]]="","",COUNTIF(NOTA[ID_H],NOTA[[#This Row],[ID_H]]))</f>
        <v>7</v>
      </c>
      <c r="AM305" s="38">
        <f>IF(NOTA[[#This Row],[TGL.NOTA]]="",IF(NOTA[[#This Row],[SUPPLIER_H]]="","",AM304),MONTH(NOTA[[#This Row],[TGL.NOTA]]))</f>
        <v>9</v>
      </c>
      <c r="AN305" s="38" t="str">
        <f>LOWER(SUBSTITUTE(SUBSTITUTE(SUBSTITUTE(SUBSTITUTE(SUBSTITUTE(SUBSTITUTE(SUBSTITUTE(SUBSTITUTE(SUBSTITUTE(NOTA[NAMA BARANG]," ",),".",""),"-",""),"(",""),")",""),",",""),"/",""),"""",""),"+",""))</f>
        <v>penggarissetzx6116pvc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penggarissetzx6116pvc15360000.07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penggarissetzx6116pvc15360000.07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MOROJL-1655345185penggarissetzx6116pvc</v>
      </c>
      <c r="AR305" s="38" t="e">
        <f>IF(NOTA[[#This Row],[CONCAT4]]="","",_xlfn.IFNA(MATCH(NOTA[[#This Row],[CONCAT4]],[2]!RAW[CONCAT_H],0),FALSE))</f>
        <v>#REF!</v>
      </c>
      <c r="AS305" s="38">
        <f>IF(NOTA[[#This Row],[CONCAT1]]="","",MATCH(NOTA[[#This Row],[CONCAT1]],[3]!db[NB NOTA_C],0))</f>
        <v>2213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640 SET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penggarissetzx6116pvc640setartomoro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51</v>
      </c>
      <c r="E306" s="46"/>
      <c r="F306" s="37"/>
      <c r="G306" s="37"/>
      <c r="H306" s="47"/>
      <c r="I306" s="37"/>
      <c r="J306" s="39"/>
      <c r="K306" s="37"/>
      <c r="L306" s="37" t="s">
        <v>432</v>
      </c>
      <c r="M306" s="40">
        <v>3</v>
      </c>
      <c r="N306" s="38">
        <v>1920</v>
      </c>
      <c r="O306" s="37" t="s">
        <v>133</v>
      </c>
      <c r="P306" s="41">
        <v>2400</v>
      </c>
      <c r="Q306" s="42"/>
      <c r="R306" s="48" t="s">
        <v>438</v>
      </c>
      <c r="S306" s="49">
        <v>7.0000000000000007E-2</v>
      </c>
      <c r="T306" s="44"/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4608000</v>
      </c>
      <c r="Y306" s="50">
        <f>IF(NOTA[[#This Row],[JUMLAH]]="","",NOTA[[#This Row],[JUMLAH]]*NOTA[[#This Row],[DISC 1]])</f>
        <v>322560.00000000006</v>
      </c>
      <c r="Z306" s="50">
        <f>IF(NOTA[[#This Row],[JUMLAH]]="","",(NOTA[[#This Row],[JUMLAH]]-NOTA[[#This Row],[DISC 1-]])*NOTA[[#This Row],[DISC 2]])</f>
        <v>0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322560.00000000006</v>
      </c>
      <c r="AC306" s="50">
        <f>IF(NOTA[[#This Row],[JUMLAH]]="","",NOTA[[#This Row],[JUMLAH]]-NOTA[[#This Row],[DISC]])</f>
        <v>4285440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6" s="50">
        <f>IF(OR(NOTA[[#This Row],[QTY]]="",NOTA[[#This Row],[HARGA SATUAN]]="",),"",NOTA[[#This Row],[QTY]]*NOTA[[#This Row],[HARGA SATUAN]])</f>
        <v>4608000</v>
      </c>
      <c r="AI306" s="39">
        <f ca="1">IF(NOTA[ID_H]="","",INDEX(NOTA[TANGGAL],MATCH(,INDIRECT(ADDRESS(ROW(NOTA[TANGGAL]),COLUMN(NOTA[TANGGAL]))&amp;":"&amp;ADDRESS(ROW(),COLUMN(NOTA[TANGGAL]))),-1)))</f>
        <v>45187</v>
      </c>
      <c r="AJ306" s="41" t="str">
        <f ca="1">IF(NOTA[[#This Row],[NAMA BARANG]]="","",INDEX(NOTA[SUPPLIER],MATCH(,INDIRECT(ADDRESS(ROW(NOTA[ID]),COLUMN(NOTA[ID]))&amp;":"&amp;ADDRESS(ROW(),COLUMN(NOTA[ID]))),-1)))</f>
        <v>SAMUDERA ANGKASA JAYA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9</v>
      </c>
      <c r="AN306" s="38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penggarissetps9810pvc15360000.07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penggarissetps9810pvc15360000.07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2212</v>
      </c>
      <c r="AT306" s="38" t="b">
        <f>IF(NOTA[[#This Row],[QTY/ CTN]]="","",TRUE)</f>
        <v>1</v>
      </c>
      <c r="AU306" s="38" t="str">
        <f ca="1">IF(NOTA[[#This Row],[ID_H]]="","",IF(NOTA[[#This Row],[Column3]]=TRUE,NOTA[[#This Row],[QTY/ CTN]],INDEX([3]!db[QTY/ CTN],NOTA[[#This Row],[//DB]])))</f>
        <v>640 SET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penggarissetps9810pvc640setartomoro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51</v>
      </c>
      <c r="E307" s="46"/>
      <c r="F307" s="37"/>
      <c r="G307" s="37"/>
      <c r="H307" s="47"/>
      <c r="I307" s="37"/>
      <c r="J307" s="39"/>
      <c r="K307" s="37"/>
      <c r="L307" s="37" t="s">
        <v>433</v>
      </c>
      <c r="M307" s="40">
        <v>3</v>
      </c>
      <c r="N307" s="38">
        <v>1920</v>
      </c>
      <c r="O307" s="37" t="s">
        <v>133</v>
      </c>
      <c r="P307" s="41">
        <v>2400</v>
      </c>
      <c r="Q307" s="42"/>
      <c r="R307" s="48" t="s">
        <v>438</v>
      </c>
      <c r="S307" s="49">
        <v>7.0000000000000007E-2</v>
      </c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4608000</v>
      </c>
      <c r="Y307" s="50">
        <f>IF(NOTA[[#This Row],[JUMLAH]]="","",NOTA[[#This Row],[JUMLAH]]*NOTA[[#This Row],[DISC 1]])</f>
        <v>322560.00000000006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322560.00000000006</v>
      </c>
      <c r="AC307" s="50">
        <f>IF(NOTA[[#This Row],[JUMLAH]]="","",NOTA[[#This Row],[JUMLAH]]-NOTA[[#This Row],[DISC]])</f>
        <v>4285440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7" s="50">
        <f>IF(OR(NOTA[[#This Row],[QTY]]="",NOTA[[#This Row],[HARGA SATUAN]]="",),"",NOTA[[#This Row],[QTY]]*NOTA[[#This Row],[HARGA SATUAN]])</f>
        <v>4608000</v>
      </c>
      <c r="AI307" s="39">
        <f ca="1">IF(NOTA[ID_H]="","",INDEX(NOTA[TANGGAL],MATCH(,INDIRECT(ADDRESS(ROW(NOTA[TANGGAL]),COLUMN(NOTA[TANGGAL]))&amp;":"&amp;ADDRESS(ROW(),COLUMN(NOTA[TANGGAL]))),-1)))</f>
        <v>45187</v>
      </c>
      <c r="AJ307" s="41" t="str">
        <f ca="1">IF(NOTA[[#This Row],[NAMA BARANG]]="","",INDEX(NOTA[SUPPLIER],MATCH(,INDIRECT(ADDRESS(ROW(NOTA[ID]),COLUMN(NOTA[ID]))&amp;":"&amp;ADDRESS(ROW(),COLUMN(NOTA[ID]))),-1)))</f>
        <v>SAMUDERA ANGKASA JAYA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9</v>
      </c>
      <c r="AN307" s="38" t="str">
        <f>LOWER(SUBSTITUTE(SUBSTITUTE(SUBSTITUTE(SUBSTITUTE(SUBSTITUTE(SUBSTITUTE(SUBSTITUTE(SUBSTITUTE(SUBSTITUTE(NOTA[NAMA BARANG]," ",),".",""),"-",""),"(",""),")",""),",",""),"/",""),"""",""),"+",""))</f>
        <v>penggarissetzo239pvc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penggarissetzo239pvc15360000.07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penggarissetzo239pvc15360000.07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>
        <f>IF(NOTA[[#This Row],[CONCAT1]]="","",MATCH(NOTA[[#This Row],[CONCAT1]],[3]!db[NB NOTA_C],0))</f>
        <v>2214</v>
      </c>
      <c r="AT307" s="38" t="b">
        <f>IF(NOTA[[#This Row],[QTY/ CTN]]="","",TRUE)</f>
        <v>1</v>
      </c>
      <c r="AU307" s="38" t="str">
        <f ca="1">IF(NOTA[[#This Row],[ID_H]]="","",IF(NOTA[[#This Row],[Column3]]=TRUE,NOTA[[#This Row],[QTY/ CTN]],INDEX([3]!db[QTY/ CTN],NOTA[[#This Row],[//DB]])))</f>
        <v>640 SET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penggarissetzo239pvc640setartomoro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51</v>
      </c>
      <c r="E308" s="46"/>
      <c r="F308" s="37"/>
      <c r="G308" s="37"/>
      <c r="H308" s="47"/>
      <c r="I308" s="37"/>
      <c r="J308" s="39"/>
      <c r="K308" s="37"/>
      <c r="L308" s="37" t="s">
        <v>434</v>
      </c>
      <c r="M308" s="40">
        <v>3</v>
      </c>
      <c r="N308" s="38">
        <v>1920</v>
      </c>
      <c r="O308" s="37" t="s">
        <v>133</v>
      </c>
      <c r="P308" s="41">
        <v>2400</v>
      </c>
      <c r="Q308" s="42"/>
      <c r="R308" s="48" t="s">
        <v>438</v>
      </c>
      <c r="S308" s="49">
        <v>7.0000000000000007E-2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4608000</v>
      </c>
      <c r="Y308" s="50">
        <f>IF(NOTA[[#This Row],[JUMLAH]]="","",NOTA[[#This Row],[JUMLAH]]*NOTA[[#This Row],[DISC 1]])</f>
        <v>322560.00000000006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322560.00000000006</v>
      </c>
      <c r="AC308" s="50">
        <f>IF(NOTA[[#This Row],[JUMLAH]]="","",NOTA[[#This Row],[JUMLAH]]-NOTA[[#This Row],[DISC]])</f>
        <v>4285440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8" s="50">
        <f>IF(OR(NOTA[[#This Row],[QTY]]="",NOTA[[#This Row],[HARGA SATUAN]]="",),"",NOTA[[#This Row],[QTY]]*NOTA[[#This Row],[HARGA SATUAN]])</f>
        <v>4608000</v>
      </c>
      <c r="AI308" s="39">
        <f ca="1">IF(NOTA[ID_H]="","",INDEX(NOTA[TANGGAL],MATCH(,INDIRECT(ADDRESS(ROW(NOTA[TANGGAL]),COLUMN(NOTA[TANGGAL]))&amp;":"&amp;ADDRESS(ROW(),COLUMN(NOTA[TANGGAL]))),-1)))</f>
        <v>45187</v>
      </c>
      <c r="AJ308" s="41" t="str">
        <f ca="1">IF(NOTA[[#This Row],[NAMA BARANG]]="","",INDEX(NOTA[SUPPLIER],MATCH(,INDIRECT(ADDRESS(ROW(NOTA[ID]),COLUMN(NOTA[ID]))&amp;":"&amp;ADDRESS(ROW(),COLUMN(NOTA[ID]))),-1)))</f>
        <v>SAMUDERA ANGKASA JAYA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9</v>
      </c>
      <c r="AN308" s="38" t="str">
        <f>LOWER(SUBSTITUTE(SUBSTITUTE(SUBSTITUTE(SUBSTITUTE(SUBSTITUTE(SUBSTITUTE(SUBSTITUTE(SUBSTITUTE(SUBSTITUTE(NOTA[NAMA BARANG]," ",),".",""),"-",""),"(",""),")",""),",",""),"/",""),"""",""),"+",""))</f>
        <v>penggarissethz5013pvc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penggarissethz5013pvc15360000.07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penggarissethz5013pvc15360000.07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>
        <f>IF(NOTA[[#This Row],[CONCAT1]]="","",MATCH(NOTA[[#This Row],[CONCAT1]],[3]!db[NB NOTA_C],0))</f>
        <v>2215</v>
      </c>
      <c r="AT308" s="38" t="b">
        <f>IF(NOTA[[#This Row],[QTY/ CTN]]="","",TRUE)</f>
        <v>1</v>
      </c>
      <c r="AU308" s="38" t="str">
        <f ca="1">IF(NOTA[[#This Row],[ID_H]]="","",IF(NOTA[[#This Row],[Column3]]=TRUE,NOTA[[#This Row],[QTY/ CTN]],INDEX([3]!db[QTY/ CTN],NOTA[[#This Row],[//DB]])))</f>
        <v>640 SET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penggarissethz5013pvc640setartomoro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51</v>
      </c>
      <c r="E309" s="46"/>
      <c r="F309" s="37"/>
      <c r="G309" s="37"/>
      <c r="H309" s="47"/>
      <c r="I309" s="37"/>
      <c r="J309" s="39"/>
      <c r="K309" s="37"/>
      <c r="L309" s="37" t="s">
        <v>435</v>
      </c>
      <c r="M309" s="40">
        <v>3</v>
      </c>
      <c r="N309" s="38">
        <v>1920</v>
      </c>
      <c r="O309" s="37" t="s">
        <v>133</v>
      </c>
      <c r="P309" s="41">
        <v>2400</v>
      </c>
      <c r="Q309" s="42"/>
      <c r="R309" s="48" t="s">
        <v>438</v>
      </c>
      <c r="S309" s="49">
        <v>7.0000000000000007E-2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4608000</v>
      </c>
      <c r="Y309" s="50">
        <f>IF(NOTA[[#This Row],[JUMLAH]]="","",NOTA[[#This Row],[JUMLAH]]*NOTA[[#This Row],[DISC 1]])</f>
        <v>322560.00000000006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322560.00000000006</v>
      </c>
      <c r="AC309" s="50">
        <f>IF(NOTA[[#This Row],[JUMLAH]]="","",NOTA[[#This Row],[JUMLAH]]-NOTA[[#This Row],[DISC]])</f>
        <v>4285440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9" s="50">
        <f>IF(OR(NOTA[[#This Row],[QTY]]="",NOTA[[#This Row],[HARGA SATUAN]]="",),"",NOTA[[#This Row],[QTY]]*NOTA[[#This Row],[HARGA SATUAN]])</f>
        <v>4608000</v>
      </c>
      <c r="AI309" s="39">
        <f ca="1">IF(NOTA[ID_H]="","",INDEX(NOTA[TANGGAL],MATCH(,INDIRECT(ADDRESS(ROW(NOTA[TANGGAL]),COLUMN(NOTA[TANGGAL]))&amp;":"&amp;ADDRESS(ROW(),COLUMN(NOTA[TANGGAL]))),-1)))</f>
        <v>45187</v>
      </c>
      <c r="AJ309" s="41" t="str">
        <f ca="1">IF(NOTA[[#This Row],[NAMA BARANG]]="","",INDEX(NOTA[SUPPLIER],MATCH(,INDIRECT(ADDRESS(ROW(NOTA[ID]),COLUMN(NOTA[ID]))&amp;":"&amp;ADDRESS(ROW(),COLUMN(NOTA[ID]))),-1)))</f>
        <v>SAMUDERA ANGKASA JAYA</v>
      </c>
      <c r="AK309" s="41" t="str">
        <f ca="1">IF(NOTA[[#This Row],[ID_H]]="","",IF(NOTA[[#This Row],[FAKTUR]]="",INDIRECT(ADDRESS(ROW()-1,COLUMN())),NOTA[[#This Row],[FAKTUR]]))</f>
        <v>ARTO MORO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9</v>
      </c>
      <c r="AN309" s="38" t="str">
        <f>LOWER(SUBSTITUTE(SUBSTITUTE(SUBSTITUTE(SUBSTITUTE(SUBSTITUTE(SUBSTITUTE(SUBSTITUTE(SUBSTITUTE(SUBSTITUTE(NOTA[NAMA BARANG]," ",),".",""),"-",""),"(",""),")",""),",",""),"/",""),"""",""),"+",""))</f>
        <v>penggarissethz5012pvc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penggarissethz5012pvc15360000.07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penggarissethz5012pvc15360000.07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>
        <f>IF(NOTA[[#This Row],[CONCAT1]]="","",MATCH(NOTA[[#This Row],[CONCAT1]],[3]!db[NB NOTA_C],0))</f>
        <v>2216</v>
      </c>
      <c r="AT309" s="38" t="b">
        <f>IF(NOTA[[#This Row],[QTY/ CTN]]="","",TRUE)</f>
        <v>1</v>
      </c>
      <c r="AU309" s="38" t="str">
        <f ca="1">IF(NOTA[[#This Row],[ID_H]]="","",IF(NOTA[[#This Row],[Column3]]=TRUE,NOTA[[#This Row],[QTY/ CTN]],INDEX([3]!db[QTY/ CTN],NOTA[[#This Row],[//DB]])))</f>
        <v>640 SET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penggarissethz5012pvc640setartomoro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51</v>
      </c>
      <c r="E310" s="46"/>
      <c r="F310" s="37"/>
      <c r="G310" s="37"/>
      <c r="H310" s="47"/>
      <c r="I310" s="37"/>
      <c r="J310" s="39"/>
      <c r="K310" s="37"/>
      <c r="L310" s="37" t="s">
        <v>439</v>
      </c>
      <c r="M310" s="40">
        <v>10</v>
      </c>
      <c r="N310" s="38">
        <v>1920</v>
      </c>
      <c r="O310" s="37" t="s">
        <v>139</v>
      </c>
      <c r="P310" s="41">
        <v>10525</v>
      </c>
      <c r="Q310" s="42"/>
      <c r="R310" s="48" t="s">
        <v>437</v>
      </c>
      <c r="S310" s="49">
        <v>7.0000000000000007E-2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20208000</v>
      </c>
      <c r="Y310" s="50">
        <f>IF(NOTA[[#This Row],[JUMLAH]]="","",NOTA[[#This Row],[JUMLAH]]*NOTA[[#This Row],[DISC 1]])</f>
        <v>1414560.0000000002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1414560.0000000002</v>
      </c>
      <c r="AC310" s="50">
        <f>IF(NOTA[[#This Row],[JUMLAH]]="","",NOTA[[#This Row],[JUMLAH]]-NOTA[[#This Row],[DISC]])</f>
        <v>18793440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2020800</v>
      </c>
      <c r="AH310" s="50">
        <f>IF(OR(NOTA[[#This Row],[QTY]]="",NOTA[[#This Row],[HARGA SATUAN]]="",),"",NOTA[[#This Row],[QTY]]*NOTA[[#This Row],[HARGA SATUAN]])</f>
        <v>20208000</v>
      </c>
      <c r="AI310" s="39">
        <f ca="1">IF(NOTA[ID_H]="","",INDEX(NOTA[TANGGAL],MATCH(,INDIRECT(ADDRESS(ROW(NOTA[TANGGAL]),COLUMN(NOTA[TANGGAL]))&amp;":"&amp;ADDRESS(ROW(),COLUMN(NOTA[TANGGAL]))),-1)))</f>
        <v>45187</v>
      </c>
      <c r="AJ310" s="41" t="str">
        <f ca="1">IF(NOTA[[#This Row],[NAMA BARANG]]="","",INDEX(NOTA[SUPPLIER],MATCH(,INDIRECT(ADDRESS(ROW(NOTA[ID]),COLUMN(NOTA[ID]))&amp;":"&amp;ADDRESS(ROW(),COLUMN(NOTA[ID]))),-1)))</f>
        <v>SAMUDERA ANGKASA JAYA</v>
      </c>
      <c r="AK310" s="41" t="str">
        <f ca="1">IF(NOTA[[#This Row],[ID_H]]="","",IF(NOTA[[#This Row],[FAKTUR]]="",INDIRECT(ADDRESS(ROW()-1,COLUMN())),NOTA[[#This Row],[FAKTUR]]))</f>
        <v>ARTO MORO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9</v>
      </c>
      <c r="AN310" s="38" t="str">
        <f>LOWER(SUBSTITUTE(SUBSTITUTE(SUBSTITUTE(SUBSTITUTE(SUBSTITUTE(SUBSTITUTE(SUBSTITUTE(SUBSTITUTE(SUBSTITUTE(NOTA[NAMA BARANG]," ",),".",""),"-",""),"(",""),")",""),",",""),"/",""),"""",""),"+",""))</f>
        <v>gelpenegvmikaeg225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gelpenegvmikaeg22520208000.07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gelpenegvmikaeg22520208000.07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2217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192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gelpenegvmikaeg225192lsnartomoro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51</v>
      </c>
      <c r="E311" s="46"/>
      <c r="F311" s="37"/>
      <c r="G311" s="37"/>
      <c r="H311" s="47"/>
      <c r="I311" s="37"/>
      <c r="J311" s="39"/>
      <c r="K311" s="37"/>
      <c r="L311" s="37" t="s">
        <v>436</v>
      </c>
      <c r="M311" s="40">
        <v>5</v>
      </c>
      <c r="N311" s="38">
        <v>500</v>
      </c>
      <c r="O311" s="37" t="s">
        <v>139</v>
      </c>
      <c r="P311" s="41">
        <v>18500</v>
      </c>
      <c r="Q311" s="42"/>
      <c r="R311" s="48" t="s">
        <v>294</v>
      </c>
      <c r="S311" s="49">
        <v>7.0000000000000007E-2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9250000</v>
      </c>
      <c r="Y311" s="50">
        <f>IF(NOTA[[#This Row],[JUMLAH]]="","",NOTA[[#This Row],[JUMLAH]]*NOTA[[#This Row],[DISC 1]])</f>
        <v>647500.00000000012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647500.00000000012</v>
      </c>
      <c r="AC311" s="50">
        <f>IF(NOTA[[#This Row],[JUMLAH]]="","",NOTA[[#This Row],[JUMLAH]]-NOTA[[#This Row],[DISC]])</f>
        <v>8602500</v>
      </c>
      <c r="AD311" s="50"/>
      <c r="AE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3567340.0000000005</v>
      </c>
      <c r="AF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47394660</v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1850000</v>
      </c>
      <c r="AH311" s="50">
        <f>IF(OR(NOTA[[#This Row],[QTY]]="",NOTA[[#This Row],[HARGA SATUAN]]="",),"",NOTA[[#This Row],[QTY]]*NOTA[[#This Row],[HARGA SATUAN]])</f>
        <v>9250000</v>
      </c>
      <c r="AI311" s="39">
        <f ca="1">IF(NOTA[ID_H]="","",INDEX(NOTA[TANGGAL],MATCH(,INDIRECT(ADDRESS(ROW(NOTA[TANGGAL]),COLUMN(NOTA[TANGGAL]))&amp;":"&amp;ADDRESS(ROW(),COLUMN(NOTA[TANGGAL]))),-1)))</f>
        <v>45187</v>
      </c>
      <c r="AJ311" s="41" t="str">
        <f ca="1">IF(NOTA[[#This Row],[NAMA BARANG]]="","",INDEX(NOTA[SUPPLIER],MATCH(,INDIRECT(ADDRESS(ROW(NOTA[ID]),COLUMN(NOTA[ID]))&amp;":"&amp;ADDRESS(ROW(),COLUMN(NOTA[ID]))),-1)))</f>
        <v>SAMUDERA ANGKASA JAYA</v>
      </c>
      <c r="AK311" s="41" t="str">
        <f ca="1">IF(NOTA[[#This Row],[ID_H]]="","",IF(NOTA[[#This Row],[FAKTUR]]="",INDIRECT(ADDRESS(ROW()-1,COLUMN())),NOTA[[#This Row],[FAKTUR]]))</f>
        <v>ARTO MORO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9</v>
      </c>
      <c r="AN311" s="38" t="str">
        <f>LOWER(SUBSTITUTE(SUBSTITUTE(SUBSTITUTE(SUBSTITUTE(SUBSTITUTE(SUBSTITUTE(SUBSTITUTE(SUBSTITUTE(SUBSTITUTE(NOTA[NAMA BARANG]," ",),".",""),"-",""),"(",""),")",""),",",""),"/",""),"""",""),"+",""))</f>
        <v>highlighterhl52112vanco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highlighterhl52112vanco18500000.07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highlighterhl52112vanco18500000.07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2462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100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highlighterhl52112vanco100lsnartomoro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ATA_1809_347-9</v>
      </c>
      <c r="C313" s="38" t="e">
        <f ca="1">IF(NOTA[[#This Row],[ID_P]]="","",MATCH(NOTA[[#This Row],[ID_P]],[1]!B_MSK[N_ID],0))</f>
        <v>#REF!</v>
      </c>
      <c r="D313" s="38">
        <f ca="1">IF(NOTA[[#This Row],[NAMA BARANG]]="","",INDEX(NOTA[ID],MATCH(,INDIRECT(ADDRESS(ROW(NOTA[ID]),COLUMN(NOTA[ID]))&amp;":"&amp;ADDRESS(ROW(),COLUMN(NOTA[ID]))),-1)))</f>
        <v>52</v>
      </c>
      <c r="E313" s="46">
        <v>45187</v>
      </c>
      <c r="F313" s="37" t="s">
        <v>24</v>
      </c>
      <c r="G313" s="37" t="s">
        <v>23</v>
      </c>
      <c r="H313" s="47" t="s">
        <v>440</v>
      </c>
      <c r="I313" s="37"/>
      <c r="J313" s="39">
        <v>45183</v>
      </c>
      <c r="K313" s="37"/>
      <c r="L313" s="37" t="s">
        <v>448</v>
      </c>
      <c r="M313" s="40">
        <v>1</v>
      </c>
      <c r="N313" s="38">
        <v>144</v>
      </c>
      <c r="O313" s="37" t="s">
        <v>127</v>
      </c>
      <c r="P313" s="41">
        <v>13500</v>
      </c>
      <c r="Q313" s="42"/>
      <c r="R313" s="48" t="s">
        <v>456</v>
      </c>
      <c r="S313" s="49">
        <v>0.125</v>
      </c>
      <c r="T313" s="44">
        <v>0.05</v>
      </c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1944000</v>
      </c>
      <c r="Y313" s="50">
        <f>IF(NOTA[[#This Row],[JUMLAH]]="","",NOTA[[#This Row],[JUMLAH]]*NOTA[[#This Row],[DISC 1]])</f>
        <v>243000</v>
      </c>
      <c r="Z313" s="50">
        <f>IF(NOTA[[#This Row],[JUMLAH]]="","",(NOTA[[#This Row],[JUMLAH]]-NOTA[[#This Row],[DISC 1-]])*NOTA[[#This Row],[DISC 2]])</f>
        <v>85050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328050</v>
      </c>
      <c r="AC313" s="50">
        <f>IF(NOTA[[#This Row],[JUMLAH]]="","",NOTA[[#This Row],[JUMLAH]]-NOTA[[#This Row],[DISC]])</f>
        <v>1615950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13" s="50">
        <f>IF(OR(NOTA[[#This Row],[QTY]]="",NOTA[[#This Row],[HARGA SATUAN]]="",),"",NOTA[[#This Row],[QTY]]*NOTA[[#This Row],[HARGA SATUAN]])</f>
        <v>1944000</v>
      </c>
      <c r="AI313" s="39">
        <f ca="1">IF(NOTA[ID_H]="","",INDEX(NOTA[TANGGAL],MATCH(,INDIRECT(ADDRESS(ROW(NOTA[TANGGAL]),COLUMN(NOTA[TANGGAL]))&amp;":"&amp;ADDRESS(ROW(),COLUMN(NOTA[TANGGAL]))),-1)))</f>
        <v>45187</v>
      </c>
      <c r="AJ313" s="41" t="str">
        <f ca="1">IF(NOTA[[#This Row],[NAMA BARANG]]="","",INDEX(NOTA[SUPPLIER],MATCH(,INDIRECT(ADDRESS(ROW(NOTA[ID]),COLUMN(NOTA[ID]))&amp;":"&amp;ADDRESS(ROW(),COLUMN(NOTA[ID]))),-1)))</f>
        <v>ATALI MAKMUR</v>
      </c>
      <c r="AK313" s="41" t="str">
        <f ca="1">IF(NOTA[[#This Row],[ID_H]]="","",IF(NOTA[[#This Row],[FAKTUR]]="",INDIRECT(ADDRESS(ROW()-1,COLUMN())),NOTA[[#This Row],[FAKTUR]]))</f>
        <v>ARTO MORO</v>
      </c>
      <c r="AL313" s="38">
        <f ca="1">IF(NOTA[[#This Row],[ID]]="","",COUNTIF(NOTA[ID_H],NOTA[[#This Row],[ID_H]]))</f>
        <v>9</v>
      </c>
      <c r="AM313" s="38">
        <f>IF(NOTA[[#This Row],[TGL.NOTA]]="",IF(NOTA[[#This Row],[SUPPLIER_H]]="","",AM312),MONTH(NOTA[[#This Row],[TGL.NOTA]]))</f>
        <v>9</v>
      </c>
      <c r="AN313" s="38" t="str">
        <f>LOWER(SUBSTITUTE(SUBSTITUTE(SUBSTITUTE(SUBSTITUTE(SUBSTITUTE(SUBSTITUTE(SUBSTITUTE(SUBSTITUTE(SUBSTITUTE(NOTA[NAMA BARANG]," ",),".",""),"-",""),"(",""),")",""),",",""),"/",""),"""",""),"+",""))</f>
        <v>cuttera300sgjk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cuttera300sgjk19440000.1250.05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cuttera300sgjk19440000.1250.05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MOROSA23091634745183cuttera300sgjk</v>
      </c>
      <c r="AR313" s="38" t="e">
        <f>IF(NOTA[[#This Row],[CONCAT4]]="","",_xlfn.IFNA(MATCH(NOTA[[#This Row],[CONCAT4]],[2]!RAW[CONCAT_H],0),FALSE))</f>
        <v>#REF!</v>
      </c>
      <c r="AS313" s="38">
        <f>IF(NOTA[[#This Row],[CONCAT1]]="","",MATCH(NOTA[[#This Row],[CONCAT1]],[3]!db[NB NOTA_C],0))</f>
        <v>680</v>
      </c>
      <c r="AT313" s="38" t="b">
        <f>IF(NOTA[[#This Row],[QTY/ CTN]]="","",TRUE)</f>
        <v>1</v>
      </c>
      <c r="AU313" s="38" t="str">
        <f ca="1">IF(NOTA[[#This Row],[ID_H]]="","",IF(NOTA[[#This Row],[Column3]]=TRUE,NOTA[[#This Row],[QTY/ CTN]],INDEX([3]!db[QTY/ CTN],NOTA[[#This Row],[//DB]])))</f>
        <v>12 BOX (12 PCS)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cuttera300sgjk12box12pcsartomoro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52</v>
      </c>
      <c r="E314" s="46"/>
      <c r="F314" s="37"/>
      <c r="G314" s="37"/>
      <c r="H314" s="47"/>
      <c r="I314" s="37"/>
      <c r="J314" s="39"/>
      <c r="K314" s="37"/>
      <c r="L314" s="37" t="s">
        <v>388</v>
      </c>
      <c r="M314" s="40">
        <v>2</v>
      </c>
      <c r="N314" s="38">
        <v>288</v>
      </c>
      <c r="O314" s="37" t="s">
        <v>139</v>
      </c>
      <c r="P314" s="41">
        <v>14100</v>
      </c>
      <c r="Q314" s="42"/>
      <c r="R314" s="48"/>
      <c r="S314" s="49">
        <v>0.125</v>
      </c>
      <c r="T314" s="44">
        <v>0.05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4060800</v>
      </c>
      <c r="Y314" s="50">
        <f>IF(NOTA[[#This Row],[JUMLAH]]="","",NOTA[[#This Row],[JUMLAH]]*NOTA[[#This Row],[DISC 1]])</f>
        <v>507600</v>
      </c>
      <c r="Z314" s="50">
        <f>IF(NOTA[[#This Row],[JUMLAH]]="","",(NOTA[[#This Row],[JUMLAH]]-NOTA[[#This Row],[DISC 1-]])*NOTA[[#This Row],[DISC 2]])</f>
        <v>177660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685260</v>
      </c>
      <c r="AC314" s="50">
        <f>IF(NOTA[[#This Row],[JUMLAH]]="","",NOTA[[#This Row],[JUMLAH]]-NOTA[[#This Row],[DISC]])</f>
        <v>3375540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314" s="50">
        <f>IF(OR(NOTA[[#This Row],[QTY]]="",NOTA[[#This Row],[HARGA SATUAN]]="",),"",NOTA[[#This Row],[QTY]]*NOTA[[#This Row],[HARGA SATUAN]])</f>
        <v>4060800</v>
      </c>
      <c r="AI314" s="39">
        <f ca="1">IF(NOTA[ID_H]="","",INDEX(NOTA[TANGGAL],MATCH(,INDIRECT(ADDRESS(ROW(NOTA[TANGGAL]),COLUMN(NOTA[TANGGAL]))&amp;":"&amp;ADDRESS(ROW(),COLUMN(NOTA[TANGGAL]))),-1)))</f>
        <v>45187</v>
      </c>
      <c r="AJ314" s="41" t="str">
        <f ca="1">IF(NOTA[[#This Row],[NAMA BARANG]]="","",INDEX(NOTA[SUPPLIER],MATCH(,INDIRECT(ADDRESS(ROW(NOTA[ID]),COLUMN(NOTA[ID]))&amp;":"&amp;ADDRESS(ROW(),COLUMN(NOTA[ID]))),-1)))</f>
        <v>ATALI MAKMUR</v>
      </c>
      <c r="AK314" s="41" t="str">
        <f ca="1">IF(NOTA[[#This Row],[ID_H]]="","",IF(NOTA[[#This Row],[FAKTUR]]="",INDIRECT(ADDRESS(ROW()-1,COLUMN())),NOTA[[#This Row],[FAKTUR]]))</f>
        <v>ARTO MORO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9</v>
      </c>
      <c r="AN31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911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144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52</v>
      </c>
      <c r="E315" s="46"/>
      <c r="F315" s="37"/>
      <c r="G315" s="37"/>
      <c r="H315" s="47"/>
      <c r="I315" s="37"/>
      <c r="J315" s="39"/>
      <c r="K315" s="37"/>
      <c r="L315" s="37" t="s">
        <v>441</v>
      </c>
      <c r="M315" s="40">
        <v>2</v>
      </c>
      <c r="N315" s="38">
        <v>40</v>
      </c>
      <c r="O315" s="37" t="s">
        <v>139</v>
      </c>
      <c r="P315" s="41">
        <v>85200</v>
      </c>
      <c r="Q315" s="42"/>
      <c r="R315" s="48"/>
      <c r="S315" s="49">
        <v>0.125</v>
      </c>
      <c r="T315" s="44">
        <v>0.05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3408000</v>
      </c>
      <c r="Y315" s="50">
        <f>IF(NOTA[[#This Row],[JUMLAH]]="","",NOTA[[#This Row],[JUMLAH]]*NOTA[[#This Row],[DISC 1]])</f>
        <v>426000</v>
      </c>
      <c r="Z315" s="50">
        <f>IF(NOTA[[#This Row],[JUMLAH]]="","",(NOTA[[#This Row],[JUMLAH]]-NOTA[[#This Row],[DISC 1-]])*NOTA[[#This Row],[DISC 2]])</f>
        <v>149100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575100</v>
      </c>
      <c r="AC315" s="50">
        <f>IF(NOTA[[#This Row],[JUMLAH]]="","",NOTA[[#This Row],[JUMLAH]]-NOTA[[#This Row],[DISC]])</f>
        <v>2832900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15" s="50">
        <f>IF(OR(NOTA[[#This Row],[QTY]]="",NOTA[[#This Row],[HARGA SATUAN]]="",),"",NOTA[[#This Row],[QTY]]*NOTA[[#This Row],[HARGA SATUAN]])</f>
        <v>3408000</v>
      </c>
      <c r="AI315" s="39">
        <f ca="1">IF(NOTA[ID_H]="","",INDEX(NOTA[TANGGAL],MATCH(,INDIRECT(ADDRESS(ROW(NOTA[TANGGAL]),COLUMN(NOTA[TANGGAL]))&amp;":"&amp;ADDRESS(ROW(),COLUMN(NOTA[TANGGAL]))),-1)))</f>
        <v>45187</v>
      </c>
      <c r="AJ315" s="41" t="str">
        <f ca="1">IF(NOTA[[#This Row],[NAMA BARANG]]="","",INDEX(NOTA[SUPPLIER],MATCH(,INDIRECT(ADDRESS(ROW(NOTA[ID]),COLUMN(NOTA[ID]))&amp;":"&amp;ADDRESS(ROW(),COLUMN(NOTA[ID]))),-1)))</f>
        <v>ATALI MAKMUR</v>
      </c>
      <c r="AK315" s="41" t="str">
        <f ca="1">IF(NOTA[[#This Row],[ID_H]]="","",IF(NOTA[[#This Row],[FAKTUR]]="",INDIRECT(ADDRESS(ROW()-1,COLUMN())),NOTA[[#This Row],[FAKTUR]]))</f>
        <v>ARTO MORO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9</v>
      </c>
      <c r="AN31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2474</v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>20 LSN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52</v>
      </c>
      <c r="E316" s="46"/>
      <c r="F316" s="37"/>
      <c r="G316" s="37"/>
      <c r="H316" s="47"/>
      <c r="I316" s="37"/>
      <c r="J316" s="39"/>
      <c r="K316" s="37"/>
      <c r="L316" s="37" t="s">
        <v>442</v>
      </c>
      <c r="M316" s="40">
        <v>1</v>
      </c>
      <c r="N316" s="38">
        <v>10</v>
      </c>
      <c r="O316" s="37" t="s">
        <v>287</v>
      </c>
      <c r="P316" s="41">
        <v>89000</v>
      </c>
      <c r="Q316" s="42"/>
      <c r="R316" s="48"/>
      <c r="S316" s="49">
        <v>0.125</v>
      </c>
      <c r="T316" s="44">
        <v>0.05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890000</v>
      </c>
      <c r="Y316" s="50">
        <f>IF(NOTA[[#This Row],[JUMLAH]]="","",NOTA[[#This Row],[JUMLAH]]*NOTA[[#This Row],[DISC 1]])</f>
        <v>111250</v>
      </c>
      <c r="Z316" s="50">
        <f>IF(NOTA[[#This Row],[JUMLAH]]="","",(NOTA[[#This Row],[JUMLAH]]-NOTA[[#This Row],[DISC 1-]])*NOTA[[#This Row],[DISC 2]])</f>
        <v>38937.5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150187.5</v>
      </c>
      <c r="AC316" s="50">
        <f>IF(NOTA[[#This Row],[JUMLAH]]="","",NOTA[[#This Row],[JUMLAH]]-NOTA[[#This Row],[DISC]])</f>
        <v>739812.5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H316" s="50">
        <f>IF(OR(NOTA[[#This Row],[QTY]]="",NOTA[[#This Row],[HARGA SATUAN]]="",),"",NOTA[[#This Row],[QTY]]*NOTA[[#This Row],[HARGA SATUAN]])</f>
        <v>890000</v>
      </c>
      <c r="AI316" s="39">
        <f ca="1">IF(NOTA[ID_H]="","",INDEX(NOTA[TANGGAL],MATCH(,INDIRECT(ADDRESS(ROW(NOTA[TANGGAL]),COLUMN(NOTA[TANGGAL]))&amp;":"&amp;ADDRESS(ROW(),COLUMN(NOTA[TANGGAL]))),-1)))</f>
        <v>45187</v>
      </c>
      <c r="AJ316" s="41" t="str">
        <f ca="1">IF(NOTA[[#This Row],[NAMA BARANG]]="","",INDEX(NOTA[SUPPLIER],MATCH(,INDIRECT(ADDRESS(ROW(NOTA[ID]),COLUMN(NOTA[ID]))&amp;":"&amp;ADDRESS(ROW(),COLUMN(NOTA[ID]))),-1)))</f>
        <v>ATALI MAKMUR</v>
      </c>
      <c r="AK316" s="41" t="str">
        <f ca="1">IF(NOTA[[#This Row],[ID_H]]="","",IF(NOTA[[#This Row],[FAKTUR]]="",INDIRECT(ADDRESS(ROW()-1,COLUMN())),NOTA[[#This Row],[FAKTUR]]))</f>
        <v>ARTO MORO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9</v>
      </c>
      <c r="AN316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1638</v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>10 PAK (100 PCS)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52</v>
      </c>
      <c r="E317" s="46"/>
      <c r="F317" s="37"/>
      <c r="G317" s="37"/>
      <c r="H317" s="47"/>
      <c r="I317" s="37"/>
      <c r="J317" s="39"/>
      <c r="K317" s="37"/>
      <c r="L317" s="37" t="s">
        <v>443</v>
      </c>
      <c r="M317" s="40">
        <v>1</v>
      </c>
      <c r="N317" s="38">
        <v>40</v>
      </c>
      <c r="O317" s="37" t="s">
        <v>139</v>
      </c>
      <c r="P317" s="41">
        <v>49200</v>
      </c>
      <c r="Q317" s="42"/>
      <c r="R317" s="48"/>
      <c r="S317" s="49">
        <v>0.125</v>
      </c>
      <c r="T317" s="44">
        <v>0.05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1968000</v>
      </c>
      <c r="Y317" s="50">
        <f>IF(NOTA[[#This Row],[JUMLAH]]="","",NOTA[[#This Row],[JUMLAH]]*NOTA[[#This Row],[DISC 1]])</f>
        <v>246000</v>
      </c>
      <c r="Z317" s="50">
        <f>IF(NOTA[[#This Row],[JUMLAH]]="","",(NOTA[[#This Row],[JUMLAH]]-NOTA[[#This Row],[DISC 1-]])*NOTA[[#This Row],[DISC 2]])</f>
        <v>86100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332100</v>
      </c>
      <c r="AC317" s="50">
        <f>IF(NOTA[[#This Row],[JUMLAH]]="","",NOTA[[#This Row],[JUMLAH]]-NOTA[[#This Row],[DISC]])</f>
        <v>1635900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317" s="50">
        <f>IF(OR(NOTA[[#This Row],[QTY]]="",NOTA[[#This Row],[HARGA SATUAN]]="",),"",NOTA[[#This Row],[QTY]]*NOTA[[#This Row],[HARGA SATUAN]])</f>
        <v>1968000</v>
      </c>
      <c r="AI317" s="39">
        <f ca="1">IF(NOTA[ID_H]="","",INDEX(NOTA[TANGGAL],MATCH(,INDIRECT(ADDRESS(ROW(NOTA[TANGGAL]),COLUMN(NOTA[TANGGAL]))&amp;":"&amp;ADDRESS(ROW(),COLUMN(NOTA[TANGGAL]))),-1)))</f>
        <v>45187</v>
      </c>
      <c r="AJ317" s="41" t="str">
        <f ca="1">IF(NOTA[[#This Row],[NAMA BARANG]]="","",INDEX(NOTA[SUPPLIER],MATCH(,INDIRECT(ADDRESS(ROW(NOTA[ID]),COLUMN(NOTA[ID]))&amp;":"&amp;ADDRESS(ROW(),COLUMN(NOTA[ID]))),-1)))</f>
        <v>ATALI MAKMUR</v>
      </c>
      <c r="AK317" s="41" t="str">
        <f ca="1">IF(NOTA[[#This Row],[ID_H]]="","",IF(NOTA[[#This Row],[FAKTUR]]="",INDIRECT(ADDRESS(ROW()-1,COLUMN())),NOTA[[#This Row],[FAKTUR]]))</f>
        <v>ARTO MORO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9</v>
      </c>
      <c r="AN317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686</v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>40 LSN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52</v>
      </c>
      <c r="E318" s="46"/>
      <c r="F318" s="37"/>
      <c r="G318" s="37"/>
      <c r="H318" s="47"/>
      <c r="I318" s="37"/>
      <c r="J318" s="39"/>
      <c r="K318" s="37"/>
      <c r="L318" s="37" t="s">
        <v>444</v>
      </c>
      <c r="M318" s="40">
        <v>2</v>
      </c>
      <c r="N318" s="38">
        <v>40</v>
      </c>
      <c r="O318" s="37" t="s">
        <v>213</v>
      </c>
      <c r="P318" s="41">
        <v>67800</v>
      </c>
      <c r="Q318" s="42"/>
      <c r="R318" s="48"/>
      <c r="S318" s="49">
        <v>0.125</v>
      </c>
      <c r="T318" s="44">
        <v>0.05</v>
      </c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2712000</v>
      </c>
      <c r="Y318" s="50">
        <f>IF(NOTA[[#This Row],[JUMLAH]]="","",NOTA[[#This Row],[JUMLAH]]*NOTA[[#This Row],[DISC 1]])</f>
        <v>339000</v>
      </c>
      <c r="Z318" s="50">
        <f>IF(NOTA[[#This Row],[JUMLAH]]="","",(NOTA[[#This Row],[JUMLAH]]-NOTA[[#This Row],[DISC 1-]])*NOTA[[#This Row],[DISC 2]])</f>
        <v>118650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457650</v>
      </c>
      <c r="AC318" s="50">
        <f>IF(NOTA[[#This Row],[JUMLAH]]="","",NOTA[[#This Row],[JUMLAH]]-NOTA[[#This Row],[DISC]])</f>
        <v>2254350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18" s="50">
        <f>IF(OR(NOTA[[#This Row],[QTY]]="",NOTA[[#This Row],[HARGA SATUAN]]="",),"",NOTA[[#This Row],[QTY]]*NOTA[[#This Row],[HARGA SATUAN]])</f>
        <v>2712000</v>
      </c>
      <c r="AI318" s="39">
        <f ca="1">IF(NOTA[ID_H]="","",INDEX(NOTA[TANGGAL],MATCH(,INDIRECT(ADDRESS(ROW(NOTA[TANGGAL]),COLUMN(NOTA[TANGGAL]))&amp;":"&amp;ADDRESS(ROW(),COLUMN(NOTA[TANGGAL]))),-1)))</f>
        <v>45187</v>
      </c>
      <c r="AJ318" s="41" t="str">
        <f ca="1">IF(NOTA[[#This Row],[NAMA BARANG]]="","",INDEX(NOTA[SUPPLIER],MATCH(,INDIRECT(ADDRESS(ROW(NOTA[ID]),COLUMN(NOTA[ID]))&amp;":"&amp;ADDRESS(ROW(),COLUMN(NOTA[ID]))),-1)))</f>
        <v>ATALI MAKMUR</v>
      </c>
      <c r="AK318" s="41" t="str">
        <f ca="1">IF(NOTA[[#This Row],[ID_H]]="","",IF(NOTA[[#This Row],[FAKTUR]]="",INDIRECT(ADDRESS(ROW()-1,COLUMN())),NOTA[[#This Row],[FAKTUR]]))</f>
        <v>ARTO MORO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9</v>
      </c>
      <c r="AN318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251</v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>20 GRS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445</v>
      </c>
      <c r="M319" s="40"/>
      <c r="N319" s="38">
        <v>12</v>
      </c>
      <c r="O319" s="37" t="s">
        <v>139</v>
      </c>
      <c r="P319" s="41">
        <v>13200</v>
      </c>
      <c r="Q319" s="42"/>
      <c r="R319" s="48"/>
      <c r="S319" s="49">
        <v>0.1</v>
      </c>
      <c r="T319" s="44">
        <v>0.05</v>
      </c>
      <c r="U319" s="44"/>
      <c r="V319" s="50"/>
      <c r="W319" s="45" t="s">
        <v>418</v>
      </c>
      <c r="X319" s="50">
        <f>IF(NOTA[[#This Row],[HARGA/ CTN]]="",NOTA[[#This Row],[JUMLAH_H]],NOTA[[#This Row],[HARGA/ CTN]]*IF(NOTA[[#This Row],[C]]="",0,NOTA[[#This Row],[C]]))</f>
        <v>158400</v>
      </c>
      <c r="Y319" s="50">
        <f>IF(NOTA[[#This Row],[JUMLAH]]="","",NOTA[[#This Row],[JUMLAH]]*NOTA[[#This Row],[DISC 1]])</f>
        <v>15840</v>
      </c>
      <c r="Z319" s="50">
        <f>IF(NOTA[[#This Row],[JUMLAH]]="","",(NOTA[[#This Row],[JUMLAH]]-NOTA[[#This Row],[DISC 1-]])*NOTA[[#This Row],[DISC 2]])</f>
        <v>7128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22968</v>
      </c>
      <c r="AC319" s="50">
        <f>IF(NOTA[[#This Row],[JUMLAH]]="","",NOTA[[#This Row],[JUMLAH]]-NOTA[[#This Row],[DISC]])</f>
        <v>135432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19" s="50">
        <f>IF(OR(NOTA[[#This Row],[QTY]]="",NOTA[[#This Row],[HARGA SATUAN]]="",),"",NOTA[[#This Row],[QTY]]*NOTA[[#This Row],[HARGA SATUAN]])</f>
        <v>158400</v>
      </c>
      <c r="AI319" s="39">
        <f ca="1">IF(NOTA[ID_H]="","",INDEX(NOTA[TANGGAL],MATCH(,INDIRECT(ADDRESS(ROW(NOTA[TANGGAL]),COLUMN(NOTA[TANGGAL]))&amp;":"&amp;ADDRESS(ROW(),COLUMN(NOTA[TANGGAL]))),-1)))</f>
        <v>45187</v>
      </c>
      <c r="AJ319" s="41" t="str">
        <f ca="1">IF(NOTA[[#This Row],[NAMA BARANG]]="","",INDEX(NOTA[SUPPLIER],MATCH(,INDIRECT(ADDRESS(ROW(NOTA[ID]),COLUMN(NOTA[ID]))&amp;":"&amp;ADDRESS(ROW(),COLUMN(NOTA[ID]))),-1)))</f>
        <v>ATALI MAKMUR</v>
      </c>
      <c r="AK319" s="41" t="str">
        <f ca="1">IF(NOTA[[#This Row],[ID_H]]="","",IF(NOTA[[#This Row],[FAKTUR]]="",INDIRECT(ADDRESS(ROW()-1,COLUMN())),NOTA[[#This Row],[FAKTUR]]))</f>
        <v>ARTO MORO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9</v>
      </c>
      <c r="AN319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ballpenbp34912vokustransblackjk1584000.10.05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>
        <f>IF(NOTA[[#This Row],[CONCAT1]]="","",MATCH(NOTA[[#This Row],[CONCAT1]],[3]!db[NB NOTA_C],0))</f>
        <v>102</v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>144 LSN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/>
      <c r="L320" s="37" t="s">
        <v>447</v>
      </c>
      <c r="M320" s="40"/>
      <c r="N320" s="38">
        <v>36</v>
      </c>
      <c r="O320" s="37" t="s">
        <v>127</v>
      </c>
      <c r="P320" s="41">
        <v>20700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745200</v>
      </c>
      <c r="Y320" s="50">
        <f>IF(NOTA[[#This Row],[JUMLAH]]="","",NOTA[[#This Row],[JUMLAH]]*NOTA[[#This Row],[DISC 1]])</f>
        <v>93150</v>
      </c>
      <c r="Z320" s="50">
        <f>IF(NOTA[[#This Row],[JUMLAH]]="","",(NOTA[[#This Row],[JUMLAH]]-NOTA[[#This Row],[DISC 1-]])*NOTA[[#This Row],[DISC 2]])</f>
        <v>32602.5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125752.5</v>
      </c>
      <c r="AC320" s="50">
        <f>IF(NOTA[[#This Row],[JUMLAH]]="","",NOTA[[#This Row],[JUMLAH]]-NOTA[[#This Row],[DISC]])</f>
        <v>619447.5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320" s="50">
        <f>IF(OR(NOTA[[#This Row],[QTY]]="",NOTA[[#This Row],[HARGA SATUAN]]="",),"",NOTA[[#This Row],[QTY]]*NOTA[[#This Row],[HARGA SATUAN]])</f>
        <v>745200</v>
      </c>
      <c r="AI320" s="39">
        <f ca="1">IF(NOTA[ID_H]="","",INDEX(NOTA[TANGGAL],MATCH(,INDIRECT(ADDRESS(ROW(NOTA[TANGGAL]),COLUMN(NOTA[TANGGAL]))&amp;":"&amp;ADDRESS(ROW(),COLUMN(NOTA[TANGGAL]))),-1)))</f>
        <v>45187</v>
      </c>
      <c r="AJ320" s="41" t="str">
        <f ca="1">IF(NOTA[[#This Row],[NAMA BARANG]]="","",INDEX(NOTA[SUPPLIER],MATCH(,INDIRECT(ADDRESS(ROW(NOTA[ID]),COLUMN(NOTA[ID]))&amp;":"&amp;ADDRESS(ROW(),COLUMN(NOTA[ID]))),-1)))</f>
        <v>ATALI MAKMUR</v>
      </c>
      <c r="AK320" s="41" t="str">
        <f ca="1">IF(NOTA[[#This Row],[ID_H]]="","",IF(NOTA[[#This Row],[FAKTUR]]="",INDIRECT(ADDRESS(ROW()-1,COLUMN())),NOTA[[#This Row],[FAKTUR]]))</f>
        <v>ARTO MORO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9</v>
      </c>
      <c r="AN32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>
        <f>IF(NOTA[[#This Row],[CONCAT1]]="","",MATCH(NOTA[[#This Row],[CONCAT1]],[3]!db[NB NOTA_C],0))</f>
        <v>233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>72 PCS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52</v>
      </c>
      <c r="E321" s="46"/>
      <c r="F321" s="37"/>
      <c r="G321" s="37"/>
      <c r="H321" s="47"/>
      <c r="I321" s="37"/>
      <c r="J321" s="39"/>
      <c r="K321" s="37"/>
      <c r="L321" s="37" t="s">
        <v>446</v>
      </c>
      <c r="M321" s="40"/>
      <c r="N321" s="38">
        <v>36</v>
      </c>
      <c r="O321" s="37" t="s">
        <v>127</v>
      </c>
      <c r="P321" s="41">
        <v>20700</v>
      </c>
      <c r="Q321" s="42"/>
      <c r="R321" s="48"/>
      <c r="S321" s="49">
        <v>0.125</v>
      </c>
      <c r="T321" s="44">
        <v>0.05</v>
      </c>
      <c r="U321" s="44"/>
      <c r="V321" s="50">
        <v>135432</v>
      </c>
      <c r="W321" s="45"/>
      <c r="X321" s="50">
        <f>IF(NOTA[[#This Row],[HARGA/ CTN]]="",NOTA[[#This Row],[JUMLAH_H]],NOTA[[#This Row],[HARGA/ CTN]]*IF(NOTA[[#This Row],[C]]="",0,NOTA[[#This Row],[C]]))</f>
        <v>745200</v>
      </c>
      <c r="Y321" s="50">
        <f>IF(NOTA[[#This Row],[JUMLAH]]="","",NOTA[[#This Row],[JUMLAH]]*NOTA[[#This Row],[DISC 1]])</f>
        <v>93150</v>
      </c>
      <c r="Z321" s="50">
        <f>IF(NOTA[[#This Row],[JUMLAH]]="","",(NOTA[[#This Row],[JUMLAH]]-NOTA[[#This Row],[DISC 1-]])*NOTA[[#This Row],[DISC 2]])</f>
        <v>32602.5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125752.5</v>
      </c>
      <c r="AC321" s="50">
        <f>IF(NOTA[[#This Row],[JUMLAH]]="","",NOTA[[#This Row],[JUMLAH]]-NOTA[[#This Row],[DISC]])</f>
        <v>619447.5</v>
      </c>
      <c r="AD321" s="50"/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2938252.5</v>
      </c>
      <c r="AF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13693347.5</v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321" s="50">
        <f>IF(OR(NOTA[[#This Row],[QTY]]="",NOTA[[#This Row],[HARGA SATUAN]]="",),"",NOTA[[#This Row],[QTY]]*NOTA[[#This Row],[HARGA SATUAN]])</f>
        <v>745200</v>
      </c>
      <c r="AI321" s="39">
        <f ca="1">IF(NOTA[ID_H]="","",INDEX(NOTA[TANGGAL],MATCH(,INDIRECT(ADDRESS(ROW(NOTA[TANGGAL]),COLUMN(NOTA[TANGGAL]))&amp;":"&amp;ADDRESS(ROW(),COLUMN(NOTA[TANGGAL]))),-1)))</f>
        <v>45187</v>
      </c>
      <c r="AJ321" s="41" t="str">
        <f ca="1">IF(NOTA[[#This Row],[NAMA BARANG]]="","",INDEX(NOTA[SUPPLIER],MATCH(,INDIRECT(ADDRESS(ROW(NOTA[ID]),COLUMN(NOTA[ID]))&amp;":"&amp;ADDRESS(ROW(),COLUMN(NOTA[ID]))),-1)))</f>
        <v>ATALI MAKMUR</v>
      </c>
      <c r="AK321" s="41" t="str">
        <f ca="1">IF(NOTA[[#This Row],[ID_H]]="","",IF(NOTA[[#This Row],[FAKTUR]]="",INDIRECT(ADDRESS(ROW()-1,COLUMN())),NOTA[[#This Row],[FAKTUR]]))</f>
        <v>ARTO MORO</v>
      </c>
      <c r="AL321" s="38" t="str">
        <f ca="1">IF(NOTA[[#This Row],[ID]]="","",COUNTIF(NOTA[ID_H],NOTA[[#This Row],[ID_H]]))</f>
        <v/>
      </c>
      <c r="AM321" s="38">
        <f ca="1">IF(NOTA[[#This Row],[TGL.NOTA]]="",IF(NOTA[[#This Row],[SUPPLIER_H]]="","",AM320),MONTH(NOTA[[#This Row],[TGL.NOTA]]))</f>
        <v>9</v>
      </c>
      <c r="AN321" s="38" t="str">
        <f>LOWER(SUBSTITUTE(SUBSTITUTE(SUBSTITUTE(SUBSTITUTE(SUBSTITUTE(SUBSTITUTE(SUBSTITUTE(SUBSTITUTE(SUBSTITUTE(NOTA[NAMA BARANG]," ",),".",""),"-",""),"(",""),")",""),",",""),"/",""),"""",""),"+",""))</f>
        <v>binderb5tsimm133imagejku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binderb5tsimm133imagejku7452000.1250.05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binderb5tsimm133imagejku207000.1250.05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>
        <f>IF(NOTA[[#This Row],[CONCAT1]]="","",MATCH(NOTA[[#This Row],[CONCAT1]],[3]!db[NB NOTA_C],0))</f>
        <v>242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>72 PCS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binderb5tsimm133imagejku72pcsartomoro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ATA_1809_381-8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53</v>
      </c>
      <c r="E323" s="46">
        <v>45187</v>
      </c>
      <c r="F323" s="37" t="s">
        <v>24</v>
      </c>
      <c r="G323" s="37" t="s">
        <v>23</v>
      </c>
      <c r="H323" s="47" t="s">
        <v>449</v>
      </c>
      <c r="I323" s="37"/>
      <c r="J323" s="39">
        <v>45183</v>
      </c>
      <c r="K323" s="37"/>
      <c r="L323" s="37" t="s">
        <v>450</v>
      </c>
      <c r="M323" s="40">
        <v>1</v>
      </c>
      <c r="N323" s="38">
        <v>200</v>
      </c>
      <c r="O323" s="37" t="s">
        <v>184</v>
      </c>
      <c r="P323" s="41">
        <v>4400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880000</v>
      </c>
      <c r="Y323" s="50">
        <f>IF(NOTA[[#This Row],[JUMLAH]]="","",NOTA[[#This Row],[JUMLAH]]*NOTA[[#This Row],[DISC 1]])</f>
        <v>110000</v>
      </c>
      <c r="Z323" s="50">
        <f>IF(NOTA[[#This Row],[JUMLAH]]="","",(NOTA[[#This Row],[JUMLAH]]-NOTA[[#This Row],[DISC 1-]])*NOTA[[#This Row],[DISC 2]])</f>
        <v>38500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148500</v>
      </c>
      <c r="AC323" s="50">
        <f>IF(NOTA[[#This Row],[JUMLAH]]="","",NOTA[[#This Row],[JUMLAH]]-NOTA[[#This Row],[DISC]])</f>
        <v>731500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323" s="50">
        <f>IF(OR(NOTA[[#This Row],[QTY]]="",NOTA[[#This Row],[HARGA SATUAN]]="",),"",NOTA[[#This Row],[QTY]]*NOTA[[#This Row],[HARGA SATUAN]])</f>
        <v>880000</v>
      </c>
      <c r="AI323" s="39">
        <f ca="1">IF(NOTA[ID_H]="","",INDEX(NOTA[TANGGAL],MATCH(,INDIRECT(ADDRESS(ROW(NOTA[TANGGAL]),COLUMN(NOTA[TANGGAL]))&amp;":"&amp;ADDRESS(ROW(),COLUMN(NOTA[TANGGAL]))),-1)))</f>
        <v>45187</v>
      </c>
      <c r="AJ323" s="41" t="str">
        <f ca="1">IF(NOTA[[#This Row],[NAMA BARANG]]="","",INDEX(NOTA[SUPPLIER],MATCH(,INDIRECT(ADDRESS(ROW(NOTA[ID]),COLUMN(NOTA[ID]))&amp;":"&amp;ADDRESS(ROW(),COLUMN(NOTA[ID]))),-1)))</f>
        <v>ATALI MAKMUR</v>
      </c>
      <c r="AK323" s="41" t="str">
        <f ca="1">IF(NOTA[[#This Row],[ID_H]]="","",IF(NOTA[[#This Row],[FAKTUR]]="",INDIRECT(ADDRESS(ROW()-1,COLUMN())),NOTA[[#This Row],[FAKTUR]]))</f>
        <v>ARTO MORO</v>
      </c>
      <c r="AL323" s="38">
        <f ca="1">IF(NOTA[[#This Row],[ID]]="","",COUNTIF(NOTA[ID_H],NOTA[[#This Row],[ID_H]]))</f>
        <v>8</v>
      </c>
      <c r="AM323" s="38">
        <f>IF(NOTA[[#This Row],[TGL.NOTA]]="",IF(NOTA[[#This Row],[SUPPLIER_H]]="","",AM322),MONTH(NOTA[[#This Row],[TGL.NOTA]]))</f>
        <v>9</v>
      </c>
      <c r="AN323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MOROSA23091638145183paperclipjumbono5jk</v>
      </c>
      <c r="AR323" s="38" t="e">
        <f>IF(NOTA[[#This Row],[CONCAT4]]="","",_xlfn.IFNA(MATCH(NOTA[[#This Row],[CONCAT4]],[2]!RAW[CONCAT_H],0),FALSE))</f>
        <v>#REF!</v>
      </c>
      <c r="AS323" s="38">
        <f>IF(NOTA[[#This Row],[CONCAT1]]="","",MATCH(NOTA[[#This Row],[CONCAT1]],[3]!db[NB NOTA_C],0))</f>
        <v>1998</v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>200 BOX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53</v>
      </c>
      <c r="E324" s="46"/>
      <c r="F324" s="37"/>
      <c r="G324" s="37"/>
      <c r="H324" s="47"/>
      <c r="I324" s="37"/>
      <c r="J324" s="39"/>
      <c r="K324" s="37"/>
      <c r="L324" s="37" t="s">
        <v>451</v>
      </c>
      <c r="M324" s="40">
        <v>1</v>
      </c>
      <c r="N324" s="38">
        <v>50</v>
      </c>
      <c r="O324" s="37" t="s">
        <v>184</v>
      </c>
      <c r="P324" s="41">
        <v>28300</v>
      </c>
      <c r="Q324" s="42"/>
      <c r="R324" s="48"/>
      <c r="S324" s="49">
        <v>0.125</v>
      </c>
      <c r="T324" s="44">
        <v>0.05</v>
      </c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1415000</v>
      </c>
      <c r="Y324" s="50">
        <f>IF(NOTA[[#This Row],[JUMLAH]]="","",NOTA[[#This Row],[JUMLAH]]*NOTA[[#This Row],[DISC 1]])</f>
        <v>176875</v>
      </c>
      <c r="Z324" s="50">
        <f>IF(NOTA[[#This Row],[JUMLAH]]="","",(NOTA[[#This Row],[JUMLAH]]-NOTA[[#This Row],[DISC 1-]])*NOTA[[#This Row],[DISC 2]])</f>
        <v>61906.25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238781.25</v>
      </c>
      <c r="AC324" s="50">
        <f>IF(NOTA[[#This Row],[JUMLAH]]="","",NOTA[[#This Row],[JUMLAH]]-NOTA[[#This Row],[DISC]])</f>
        <v>1176218.75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324" s="50">
        <f>IF(OR(NOTA[[#This Row],[QTY]]="",NOTA[[#This Row],[HARGA SATUAN]]="",),"",NOTA[[#This Row],[QTY]]*NOTA[[#This Row],[HARGA SATUAN]])</f>
        <v>1415000</v>
      </c>
      <c r="AI324" s="39">
        <f ca="1">IF(NOTA[ID_H]="","",INDEX(NOTA[TANGGAL],MATCH(,INDIRECT(ADDRESS(ROW(NOTA[TANGGAL]),COLUMN(NOTA[TANGGAL]))&amp;":"&amp;ADDRESS(ROW(),COLUMN(NOTA[TANGGAL]))),-1)))</f>
        <v>45187</v>
      </c>
      <c r="AJ324" s="41" t="str">
        <f ca="1">IF(NOTA[[#This Row],[NAMA BARANG]]="","",INDEX(NOTA[SUPPLIER],MATCH(,INDIRECT(ADDRESS(ROW(NOTA[ID]),COLUMN(NOTA[ID]))&amp;":"&amp;ADDRESS(ROW(),COLUMN(NOTA[ID]))),-1)))</f>
        <v>ATALI MAKMUR</v>
      </c>
      <c r="AK324" s="41" t="str">
        <f ca="1">IF(NOTA[[#This Row],[ID_H]]="","",IF(NOTA[[#This Row],[FAKTUR]]="",INDIRECT(ADDRESS(ROW()-1,COLUMN())),NOTA[[#This Row],[FAKTUR]]))</f>
        <v>ARTO MORO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9</v>
      </c>
      <c r="AN324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836</v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>50 BOX (40 PCS)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53</v>
      </c>
      <c r="E325" s="46"/>
      <c r="F325" s="37"/>
      <c r="G325" s="37"/>
      <c r="H325" s="47"/>
      <c r="I325" s="37"/>
      <c r="J325" s="39"/>
      <c r="K325" s="37"/>
      <c r="L325" s="37" t="s">
        <v>452</v>
      </c>
      <c r="M325" s="40">
        <v>2</v>
      </c>
      <c r="N325" s="38">
        <v>96</v>
      </c>
      <c r="O325" s="37" t="s">
        <v>184</v>
      </c>
      <c r="P325" s="41">
        <v>31200</v>
      </c>
      <c r="Q325" s="42"/>
      <c r="R325" s="48"/>
      <c r="S325" s="49">
        <v>0.125</v>
      </c>
      <c r="T325" s="44">
        <v>0.05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2995200</v>
      </c>
      <c r="Y325" s="50">
        <f>IF(NOTA[[#This Row],[JUMLAH]]="","",NOTA[[#This Row],[JUMLAH]]*NOTA[[#This Row],[DISC 1]])</f>
        <v>374400</v>
      </c>
      <c r="Z325" s="50">
        <f>IF(NOTA[[#This Row],[JUMLAH]]="","",(NOTA[[#This Row],[JUMLAH]]-NOTA[[#This Row],[DISC 1-]])*NOTA[[#This Row],[DISC 2]])</f>
        <v>131040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505440</v>
      </c>
      <c r="AC325" s="50">
        <f>IF(NOTA[[#This Row],[JUMLAH]]="","",NOTA[[#This Row],[JUMLAH]]-NOTA[[#This Row],[DISC]])</f>
        <v>2489760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325" s="50">
        <f>IF(OR(NOTA[[#This Row],[QTY]]="",NOTA[[#This Row],[HARGA SATUAN]]="",),"",NOTA[[#This Row],[QTY]]*NOTA[[#This Row],[HARGA SATUAN]])</f>
        <v>2995200</v>
      </c>
      <c r="AI325" s="39">
        <f ca="1">IF(NOTA[ID_H]="","",INDEX(NOTA[TANGGAL],MATCH(,INDIRECT(ADDRESS(ROW(NOTA[TANGGAL]),COLUMN(NOTA[TANGGAL]))&amp;":"&amp;ADDRESS(ROW(),COLUMN(NOTA[TANGGAL]))),-1)))</f>
        <v>45187</v>
      </c>
      <c r="AJ325" s="41" t="str">
        <f ca="1">IF(NOTA[[#This Row],[NAMA BARANG]]="","",INDEX(NOTA[SUPPLIER],MATCH(,INDIRECT(ADDRESS(ROW(NOTA[ID]),COLUMN(NOTA[ID]))&amp;":"&amp;ADDRESS(ROW(),COLUMN(NOTA[ID]))),-1)))</f>
        <v>ATALI MAKMUR</v>
      </c>
      <c r="AK325" s="41" t="str">
        <f ca="1">IF(NOTA[[#This Row],[ID_H]]="","",IF(NOTA[[#This Row],[FAKTUR]]="",INDIRECT(ADDRESS(ROW()-1,COLUMN())),NOTA[[#This Row],[FAKTUR]]))</f>
        <v>ARTO MORO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9</v>
      </c>
      <c r="AN325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2345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48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53</v>
      </c>
      <c r="E326" s="46"/>
      <c r="F326" s="37"/>
      <c r="G326" s="37"/>
      <c r="H326" s="47"/>
      <c r="I326" s="37"/>
      <c r="J326" s="39"/>
      <c r="K326" s="37"/>
      <c r="L326" s="37" t="s">
        <v>246</v>
      </c>
      <c r="M326" s="40">
        <v>2</v>
      </c>
      <c r="N326" s="38">
        <v>48</v>
      </c>
      <c r="O326" s="37" t="s">
        <v>133</v>
      </c>
      <c r="P326" s="41">
        <v>58900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2827200</v>
      </c>
      <c r="Y326" s="50">
        <f>IF(NOTA[[#This Row],[JUMLAH]]="","",NOTA[[#This Row],[JUMLAH]]*NOTA[[#This Row],[DISC 1]])</f>
        <v>353400</v>
      </c>
      <c r="Z326" s="50">
        <f>IF(NOTA[[#This Row],[JUMLAH]]="","",(NOTA[[#This Row],[JUMLAH]]-NOTA[[#This Row],[DISC 1-]])*NOTA[[#This Row],[DISC 2]])</f>
        <v>123690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477090</v>
      </c>
      <c r="AC326" s="50">
        <f>IF(NOTA[[#This Row],[JUMLAH]]="","",NOTA[[#This Row],[JUMLAH]]-NOTA[[#This Row],[DISC]])</f>
        <v>2350110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26" s="50">
        <f>IF(OR(NOTA[[#This Row],[QTY]]="",NOTA[[#This Row],[HARGA SATUAN]]="",),"",NOTA[[#This Row],[QTY]]*NOTA[[#This Row],[HARGA SATUAN]])</f>
        <v>2827200</v>
      </c>
      <c r="AI326" s="39">
        <f ca="1">IF(NOTA[ID_H]="","",INDEX(NOTA[TANGGAL],MATCH(,INDIRECT(ADDRESS(ROW(NOTA[TANGGAL]),COLUMN(NOTA[TANGGAL]))&amp;":"&amp;ADDRESS(ROW(),COLUMN(NOTA[TANGGAL]))),-1)))</f>
        <v>45187</v>
      </c>
      <c r="AJ326" s="41" t="str">
        <f ca="1">IF(NOTA[[#This Row],[NAMA BARANG]]="","",INDEX(NOTA[SUPPLIER],MATCH(,INDIRECT(ADDRESS(ROW(NOTA[ID]),COLUMN(NOTA[ID]))&amp;":"&amp;ADDRESS(ROW(),COLUMN(NOTA[ID]))),-1)))</f>
        <v>ATALI MAKMUR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9</v>
      </c>
      <c r="AN326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1901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>4 BOX (6 SET)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53</v>
      </c>
      <c r="E327" s="46"/>
      <c r="F327" s="37"/>
      <c r="G327" s="37"/>
      <c r="H327" s="47"/>
      <c r="I327" s="37"/>
      <c r="J327" s="39"/>
      <c r="K327" s="37"/>
      <c r="L327" s="37" t="s">
        <v>238</v>
      </c>
      <c r="M327" s="40">
        <v>2</v>
      </c>
      <c r="N327" s="38">
        <v>48</v>
      </c>
      <c r="O327" s="37" t="s">
        <v>133</v>
      </c>
      <c r="P327" s="41">
        <v>66900</v>
      </c>
      <c r="Q327" s="42"/>
      <c r="R327" s="48"/>
      <c r="S327" s="49">
        <v>0.125</v>
      </c>
      <c r="T327" s="44">
        <v>0.05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3211200</v>
      </c>
      <c r="Y327" s="50">
        <f>IF(NOTA[[#This Row],[JUMLAH]]="","",NOTA[[#This Row],[JUMLAH]]*NOTA[[#This Row],[DISC 1]])</f>
        <v>401400</v>
      </c>
      <c r="Z327" s="50">
        <f>IF(NOTA[[#This Row],[JUMLAH]]="","",(NOTA[[#This Row],[JUMLAH]]-NOTA[[#This Row],[DISC 1-]])*NOTA[[#This Row],[DISC 2]])</f>
        <v>140490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541890</v>
      </c>
      <c r="AC327" s="50">
        <f>IF(NOTA[[#This Row],[JUMLAH]]="","",NOTA[[#This Row],[JUMLAH]]-NOTA[[#This Row],[DISC]])</f>
        <v>2669310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27" s="50">
        <f>IF(OR(NOTA[[#This Row],[QTY]]="",NOTA[[#This Row],[HARGA SATUAN]]="",),"",NOTA[[#This Row],[QTY]]*NOTA[[#This Row],[HARGA SATUAN]])</f>
        <v>3211200</v>
      </c>
      <c r="AI327" s="39">
        <f ca="1">IF(NOTA[ID_H]="","",INDEX(NOTA[TANGGAL],MATCH(,INDIRECT(ADDRESS(ROW(NOTA[TANGGAL]),COLUMN(NOTA[TANGGAL]))&amp;":"&amp;ADDRESS(ROW(),COLUMN(NOTA[TANGGAL]))),-1)))</f>
        <v>45187</v>
      </c>
      <c r="AJ327" s="41" t="str">
        <f ca="1">IF(NOTA[[#This Row],[NAMA BARANG]]="","",INDEX(NOTA[SUPPLIER],MATCH(,INDIRECT(ADDRESS(ROW(NOTA[ID]),COLUMN(NOTA[ID]))&amp;":"&amp;ADDRESS(ROW(),COLUMN(NOTA[ID]))),-1)))</f>
        <v>ATALI MAKMUR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9</v>
      </c>
      <c r="AN32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>
        <f>IF(NOTA[[#This Row],[CONCAT1]]="","",MATCH(NOTA[[#This Row],[CONCAT1]],[3]!db[NB NOTA_C],0))</f>
        <v>1902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>4 BOX (6 SET)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53</v>
      </c>
      <c r="E328" s="46"/>
      <c r="F328" s="37"/>
      <c r="G328" s="37"/>
      <c r="H328" s="47"/>
      <c r="I328" s="37"/>
      <c r="J328" s="39"/>
      <c r="K328" s="37"/>
      <c r="L328" s="37" t="s">
        <v>455</v>
      </c>
      <c r="M328" s="40">
        <v>1</v>
      </c>
      <c r="N328" s="38">
        <v>144</v>
      </c>
      <c r="O328" s="37" t="s">
        <v>139</v>
      </c>
      <c r="P328" s="41">
        <v>40800</v>
      </c>
      <c r="Q328" s="42"/>
      <c r="R328" s="48"/>
      <c r="S328" s="49">
        <v>0.125</v>
      </c>
      <c r="T328" s="44">
        <v>0.05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5875200</v>
      </c>
      <c r="Y328" s="50">
        <f>IF(NOTA[[#This Row],[JUMLAH]]="","",NOTA[[#This Row],[JUMLAH]]*NOTA[[#This Row],[DISC 1]])</f>
        <v>734400</v>
      </c>
      <c r="Z328" s="50">
        <f>IF(NOTA[[#This Row],[JUMLAH]]="","",(NOTA[[#This Row],[JUMLAH]]-NOTA[[#This Row],[DISC 1-]])*NOTA[[#This Row],[DISC 2]])</f>
        <v>257040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991440</v>
      </c>
      <c r="AC328" s="50">
        <f>IF(NOTA[[#This Row],[JUMLAH]]="","",NOTA[[#This Row],[JUMLAH]]-NOTA[[#This Row],[DISC]])</f>
        <v>4883760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H328" s="50">
        <f>IF(OR(NOTA[[#This Row],[QTY]]="",NOTA[[#This Row],[HARGA SATUAN]]="",),"",NOTA[[#This Row],[QTY]]*NOTA[[#This Row],[HARGA SATUAN]])</f>
        <v>5875200</v>
      </c>
      <c r="AI328" s="39">
        <f ca="1">IF(NOTA[ID_H]="","",INDEX(NOTA[TANGGAL],MATCH(,INDIRECT(ADDRESS(ROW(NOTA[TANGGAL]),COLUMN(NOTA[TANGGAL]))&amp;":"&amp;ADDRESS(ROW(),COLUMN(NOTA[TANGGAL]))),-1)))</f>
        <v>45187</v>
      </c>
      <c r="AJ328" s="41" t="str">
        <f ca="1">IF(NOTA[[#This Row],[NAMA BARANG]]="","",INDEX(NOTA[SUPPLIER],MATCH(,INDIRECT(ADDRESS(ROW(NOTA[ID]),COLUMN(NOTA[ID]))&amp;":"&amp;ADDRESS(ROW(),COLUMN(NOTA[ID]))),-1)))</f>
        <v>ATALI MAKMUR</v>
      </c>
      <c r="AK328" s="41" t="str">
        <f ca="1">IF(NOTA[[#This Row],[ID_H]]="","",IF(NOTA[[#This Row],[FAKTUR]]="",INDIRECT(ADDRESS(ROW()-1,COLUMN())),NOTA[[#This Row],[FAKTUR]]))</f>
        <v>ARTO MORO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9</v>
      </c>
      <c r="AN328" s="38" t="str">
        <f>LOWER(SUBSTITUTE(SUBSTITUTE(SUBSTITUTE(SUBSTITUTE(SUBSTITUTE(SUBSTITUTE(SUBSTITUTE(SUBSTITUTE(SUBSTITUTE(NOTA[NAMA BARANG]," ",),".",""),"-",""),"(",""),")",""),",",""),"/",""),"""",""),"+",""))</f>
        <v>mechpencilmp19jk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mechpencilmp19jk58752000.1250.05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mechpencilmp19jk58752000.1250.05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1802</v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>144 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mechpencilmp19jk144lsnartomoro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53</v>
      </c>
      <c r="E329" s="46"/>
      <c r="F329" s="37"/>
      <c r="G329" s="37"/>
      <c r="H329" s="47"/>
      <c r="I329" s="37"/>
      <c r="J329" s="39"/>
      <c r="K329" s="37"/>
      <c r="L329" s="37" t="s">
        <v>454</v>
      </c>
      <c r="M329" s="40">
        <v>2</v>
      </c>
      <c r="N329" s="38">
        <v>288</v>
      </c>
      <c r="O329" s="37" t="s">
        <v>133</v>
      </c>
      <c r="P329" s="41">
        <v>10600</v>
      </c>
      <c r="Q329" s="42"/>
      <c r="R329" s="48"/>
      <c r="S329" s="49">
        <v>0.125</v>
      </c>
      <c r="T329" s="44">
        <v>0.05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3052800</v>
      </c>
      <c r="Y329" s="50">
        <f>IF(NOTA[[#This Row],[JUMLAH]]="","",NOTA[[#This Row],[JUMLAH]]*NOTA[[#This Row],[DISC 1]])</f>
        <v>381600</v>
      </c>
      <c r="Z329" s="50">
        <f>IF(NOTA[[#This Row],[JUMLAH]]="","",(NOTA[[#This Row],[JUMLAH]]-NOTA[[#This Row],[DISC 1-]])*NOTA[[#This Row],[DISC 2]])</f>
        <v>133560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515160</v>
      </c>
      <c r="AC329" s="50">
        <f>IF(NOTA[[#This Row],[JUMLAH]]="","",NOTA[[#This Row],[JUMLAH]]-NOTA[[#This Row],[DISC]])</f>
        <v>2537640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9" s="50">
        <f>IF(OR(NOTA[[#This Row],[QTY]]="",NOTA[[#This Row],[HARGA SATUAN]]="",),"",NOTA[[#This Row],[QTY]]*NOTA[[#This Row],[HARGA SATUAN]])</f>
        <v>3052800</v>
      </c>
      <c r="AI329" s="39">
        <f ca="1">IF(NOTA[ID_H]="","",INDEX(NOTA[TANGGAL],MATCH(,INDIRECT(ADDRESS(ROW(NOTA[TANGGAL]),COLUMN(NOTA[TANGGAL]))&amp;":"&amp;ADDRESS(ROW(),COLUMN(NOTA[TANGGAL]))),-1)))</f>
        <v>45187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9</v>
      </c>
      <c r="AN32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593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>12 LSN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53</v>
      </c>
      <c r="E330" s="46"/>
      <c r="F330" s="37"/>
      <c r="G330" s="37"/>
      <c r="H330" s="47"/>
      <c r="I330" s="37"/>
      <c r="J330" s="39"/>
      <c r="K330" s="37"/>
      <c r="L330" s="37" t="s">
        <v>453</v>
      </c>
      <c r="M330" s="40">
        <v>2</v>
      </c>
      <c r="N330" s="38">
        <v>144</v>
      </c>
      <c r="O330" s="37" t="s">
        <v>133</v>
      </c>
      <c r="P330" s="41">
        <v>21200</v>
      </c>
      <c r="Q330" s="42"/>
      <c r="R330" s="48"/>
      <c r="S330" s="49">
        <v>0.125</v>
      </c>
      <c r="T330" s="44">
        <v>0.05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3052800</v>
      </c>
      <c r="Y330" s="50">
        <f>IF(NOTA[[#This Row],[JUMLAH]]="","",NOTA[[#This Row],[JUMLAH]]*NOTA[[#This Row],[DISC 1]])</f>
        <v>381600</v>
      </c>
      <c r="Z330" s="50">
        <f>IF(NOTA[[#This Row],[JUMLAH]]="","",(NOTA[[#This Row],[JUMLAH]]-NOTA[[#This Row],[DISC 1-]])*NOTA[[#This Row],[DISC 2]])</f>
        <v>133560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515160</v>
      </c>
      <c r="AC330" s="50">
        <f>IF(NOTA[[#This Row],[JUMLAH]]="","",NOTA[[#This Row],[JUMLAH]]-NOTA[[#This Row],[DISC]])</f>
        <v>2537640</v>
      </c>
      <c r="AD330" s="50"/>
      <c r="AE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3933461.25</v>
      </c>
      <c r="AF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19375938.75</v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0" s="50">
        <f>IF(OR(NOTA[[#This Row],[QTY]]="",NOTA[[#This Row],[HARGA SATUAN]]="",),"",NOTA[[#This Row],[QTY]]*NOTA[[#This Row],[HARGA SATUAN]])</f>
        <v>3052800</v>
      </c>
      <c r="AI330" s="39">
        <f ca="1">IF(NOTA[ID_H]="","",INDEX(NOTA[TANGGAL],MATCH(,INDIRECT(ADDRESS(ROW(NOTA[TANGGAL]),COLUMN(NOTA[TANGGAL]))&amp;":"&amp;ADDRESS(ROW(),COLUMN(NOTA[TANGGAL]))),-1)))</f>
        <v>45187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9</v>
      </c>
      <c r="AN33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595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12 BOX (6 SET)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customHeight="1" x14ac:dyDescent="0.25">
      <c r="A33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KEN_1809_481-7</v>
      </c>
      <c r="C332" s="38" t="e">
        <f ca="1">IF(NOTA[[#This Row],[ID_P]]="","",MATCH(NOTA[[#This Row],[ID_P]],[1]!B_MSK[N_ID],0))</f>
        <v>#REF!</v>
      </c>
      <c r="D332" s="38">
        <f ca="1">IF(NOTA[[#This Row],[NAMA BARANG]]="","",INDEX(NOTA[ID],MATCH(,INDIRECT(ADDRESS(ROW(NOTA[ID]),COLUMN(NOTA[ID]))&amp;":"&amp;ADDRESS(ROW(),COLUMN(NOTA[ID]))),-1)))</f>
        <v>54</v>
      </c>
      <c r="E332" s="46">
        <v>45187</v>
      </c>
      <c r="F332" s="37" t="s">
        <v>22</v>
      </c>
      <c r="G332" s="37" t="s">
        <v>23</v>
      </c>
      <c r="H332" s="47" t="s">
        <v>457</v>
      </c>
      <c r="I332" s="37"/>
      <c r="J332" s="39">
        <v>45185</v>
      </c>
      <c r="K332" s="37"/>
      <c r="L332" s="37" t="s">
        <v>461</v>
      </c>
      <c r="M332" s="40">
        <v>1</v>
      </c>
      <c r="O332" s="37"/>
      <c r="P332" s="41"/>
      <c r="Q332" s="42">
        <v>975000</v>
      </c>
      <c r="R332" s="48"/>
      <c r="S332" s="49">
        <v>0.17</v>
      </c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975000</v>
      </c>
      <c r="Y332" s="50">
        <f>IF(NOTA[[#This Row],[JUMLAH]]="","",NOTA[[#This Row],[JUMLAH]]*NOTA[[#This Row],[DISC 1]])</f>
        <v>165750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165750</v>
      </c>
      <c r="AC332" s="50">
        <f>IF(NOTA[[#This Row],[JUMLAH]]="","",NOTA[[#This Row],[JUMLAH]]-NOTA[[#This Row],[DISC]])</f>
        <v>809250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32" s="50" t="str">
        <f>IF(OR(NOTA[[#This Row],[QTY]]="",NOTA[[#This Row],[HARGA SATUAN]]="",),"",NOTA[[#This Row],[QTY]]*NOTA[[#This Row],[HARGA SATUAN]])</f>
        <v/>
      </c>
      <c r="AI332" s="39">
        <f ca="1">IF(NOTA[ID_H]="","",INDEX(NOTA[TANGGAL],MATCH(,INDIRECT(ADDRESS(ROW(NOTA[TANGGAL]),COLUMN(NOTA[TANGGAL]))&amp;":"&amp;ADDRESS(ROW(),COLUMN(NOTA[TANGGAL]))),-1)))</f>
        <v>45187</v>
      </c>
      <c r="AJ332" s="41" t="str">
        <f ca="1">IF(NOTA[[#This Row],[NAMA BARANG]]="","",INDEX(NOTA[SUPPLIER],MATCH(,INDIRECT(ADDRESS(ROW(NOTA[ID]),COLUMN(NOTA[ID]))&amp;":"&amp;ADDRESS(ROW(),COLUMN(NOTA[ID]))),-1)))</f>
        <v>KENKO SINAR INDONESIA</v>
      </c>
      <c r="AK332" s="41" t="str">
        <f ca="1">IF(NOTA[[#This Row],[ID_H]]="","",IF(NOTA[[#This Row],[FAKTUR]]="",INDIRECT(ADDRESS(ROW()-1,COLUMN())),NOTA[[#This Row],[FAKTUR]]))</f>
        <v>ARTO MORO</v>
      </c>
      <c r="AL332" s="38">
        <f ca="1">IF(NOTA[[#This Row],[ID]]="","",COUNTIF(NOTA[ID_H],NOTA[[#This Row],[ID_H]]))</f>
        <v>7</v>
      </c>
      <c r="AM332" s="38">
        <f>IF(NOTA[[#This Row],[TGL.NOTA]]="",IF(NOTA[[#This Row],[SUPPLIER_H]]="","",AM331),MONTH(NOTA[[#This Row],[TGL.NOTA]]))</f>
        <v>9</v>
      </c>
      <c r="AN332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MORO2309148145185kenkobukutamubt3224btkbatik</v>
      </c>
      <c r="AR332" s="38" t="e">
        <f>IF(NOTA[[#This Row],[CONCAT4]]="","",_xlfn.IFNA(MATCH(NOTA[[#This Row],[CONCAT4]],[2]!RAW[CONCAT_H],0),FALSE))</f>
        <v>#REF!</v>
      </c>
      <c r="AS332" s="38">
        <f>IF(NOTA[[#This Row],[CONCAT1]]="","",MATCH(NOTA[[#This Row],[CONCAT1]],[3]!db[NB NOTA_C],0))</f>
        <v>1312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5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/>
      <c r="L333" s="37" t="s">
        <v>107</v>
      </c>
      <c r="M333" s="40">
        <v>1</v>
      </c>
      <c r="O333" s="37"/>
      <c r="P333" s="41"/>
      <c r="Q333" s="42">
        <v>900000</v>
      </c>
      <c r="R333" s="48"/>
      <c r="S333" s="49">
        <v>0.17</v>
      </c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900000</v>
      </c>
      <c r="Y333" s="50">
        <f>IF(NOTA[[#This Row],[JUMLAH]]="","",NOTA[[#This Row],[JUMLAH]]*NOTA[[#This Row],[DISC 1]])</f>
        <v>153000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153000</v>
      </c>
      <c r="AC333" s="50">
        <f>IF(NOTA[[#This Row],[JUMLAH]]="","",NOTA[[#This Row],[JUMLAH]]-NOTA[[#This Row],[DISC]])</f>
        <v>747000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33" s="50" t="str">
        <f>IF(OR(NOTA[[#This Row],[QTY]]="",NOTA[[#This Row],[HARGA SATUAN]]="",),"",NOTA[[#This Row],[QTY]]*NOTA[[#This Row],[HARGA SATUAN]])</f>
        <v/>
      </c>
      <c r="AI333" s="39">
        <f ca="1">IF(NOTA[ID_H]="","",INDEX(NOTA[TANGGAL],MATCH(,INDIRECT(ADDRESS(ROW(NOTA[TANGGAL]),COLUMN(NOTA[TANGGAL]))&amp;":"&amp;ADDRESS(ROW(),COLUMN(NOTA[TANGGAL]))),-1)))</f>
        <v>45187</v>
      </c>
      <c r="AJ333" s="41" t="str">
        <f ca="1">IF(NOTA[[#This Row],[NAMA BARANG]]="","",INDEX(NOTA[SUPPLIER],MATCH(,INDIRECT(ADDRESS(ROW(NOTA[ID]),COLUMN(NOTA[ID]))&amp;":"&amp;ADDRESS(ROW(),COLUMN(NOTA[ID]))),-1)))</f>
        <v>KENKO SINAR INDONESIA</v>
      </c>
      <c r="AK333" s="41" t="str">
        <f ca="1">IF(NOTA[[#This Row],[ID_H]]="","",IF(NOTA[[#This Row],[FAKTUR]]="",INDIRECT(ADDRESS(ROW()-1,COLUMN())),NOTA[[#This Row],[FAKTUR]]))</f>
        <v>ARTO MORO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9</v>
      </c>
      <c r="AN33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1289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>5 GRS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/>
      <c r="L334" s="37" t="s">
        <v>458</v>
      </c>
      <c r="M334" s="40">
        <v>1</v>
      </c>
      <c r="O334" s="37"/>
      <c r="P334" s="41"/>
      <c r="Q334" s="42">
        <v>2160000</v>
      </c>
      <c r="R334" s="48"/>
      <c r="S334" s="49">
        <v>0.17</v>
      </c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2160000</v>
      </c>
      <c r="Y334" s="50">
        <f>IF(NOTA[[#This Row],[JUMLAH]]="","",NOTA[[#This Row],[JUMLAH]]*NOTA[[#This Row],[DISC 1]])</f>
        <v>367200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367200</v>
      </c>
      <c r="AC334" s="50">
        <f>IF(NOTA[[#This Row],[JUMLAH]]="","",NOTA[[#This Row],[JUMLAH]]-NOTA[[#This Row],[DISC]])</f>
        <v>1792800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34" s="50" t="str">
        <f>IF(OR(NOTA[[#This Row],[QTY]]="",NOTA[[#This Row],[HARGA SATUAN]]="",),"",NOTA[[#This Row],[QTY]]*NOTA[[#This Row],[HARGA SATUAN]])</f>
        <v/>
      </c>
      <c r="AI334" s="39">
        <f ca="1">IF(NOTA[ID_H]="","",INDEX(NOTA[TANGGAL],MATCH(,INDIRECT(ADDRESS(ROW(NOTA[TANGGAL]),COLUMN(NOTA[TANGGAL]))&amp;":"&amp;ADDRESS(ROW(),COLUMN(NOTA[TANGGAL]))),-1)))</f>
        <v>45187</v>
      </c>
      <c r="AJ334" s="41" t="str">
        <f ca="1">IF(NOTA[[#This Row],[NAMA BARANG]]="","",INDEX(NOTA[SUPPLIER],MATCH(,INDIRECT(ADDRESS(ROW(NOTA[ID]),COLUMN(NOTA[ID]))&amp;":"&amp;ADDRESS(ROW(),COLUMN(NOTA[ID]))),-1)))</f>
        <v>KENKO SINAR INDONESIA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9</v>
      </c>
      <c r="AN334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1505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20 GRS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/>
      <c r="L335" s="37" t="s">
        <v>459</v>
      </c>
      <c r="M335" s="40">
        <v>1</v>
      </c>
      <c r="O335" s="37"/>
      <c r="P335" s="41"/>
      <c r="Q335" s="42">
        <v>2112000</v>
      </c>
      <c r="R335" s="48"/>
      <c r="S335" s="49">
        <v>0.17</v>
      </c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2112000</v>
      </c>
      <c r="Y335" s="50">
        <f>IF(NOTA[[#This Row],[JUMLAH]]="","",NOTA[[#This Row],[JUMLAH]]*NOTA[[#This Row],[DISC 1]])</f>
        <v>359040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359040</v>
      </c>
      <c r="AC335" s="50">
        <f>IF(NOTA[[#This Row],[JUMLAH]]="","",NOTA[[#This Row],[JUMLAH]]-NOTA[[#This Row],[DISC]])</f>
        <v>1752960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35" s="50" t="str">
        <f>IF(OR(NOTA[[#This Row],[QTY]]="",NOTA[[#This Row],[HARGA SATUAN]]="",),"",NOTA[[#This Row],[QTY]]*NOTA[[#This Row],[HARGA SATUAN]])</f>
        <v/>
      </c>
      <c r="AI335" s="39">
        <f ca="1">IF(NOTA[ID_H]="","",INDEX(NOTA[TANGGAL],MATCH(,INDIRECT(ADDRESS(ROW(NOTA[TANGGAL]),COLUMN(NOTA[TANGGAL]))&amp;":"&amp;ADDRESS(ROW(),COLUMN(NOTA[TANGGAL]))),-1)))</f>
        <v>45187</v>
      </c>
      <c r="AJ335" s="41" t="str">
        <f ca="1">IF(NOTA[[#This Row],[NAMA BARANG]]="","",INDEX(NOTA[SUPPLIER],MATCH(,INDIRECT(ADDRESS(ROW(NOTA[ID]),COLUMN(NOTA[ID]))&amp;":"&amp;ADDRESS(ROW(),COLUMN(NOTA[ID]))),-1)))</f>
        <v>KENKO SINAR INDONESIA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9</v>
      </c>
      <c r="AN335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1497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>20 GRS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/>
      <c r="L336" s="37" t="s">
        <v>463</v>
      </c>
      <c r="M336" s="40">
        <v>2</v>
      </c>
      <c r="O336" s="37"/>
      <c r="P336" s="41"/>
      <c r="Q336" s="42">
        <v>2208000</v>
      </c>
      <c r="R336" s="48"/>
      <c r="S336" s="49">
        <v>0.17</v>
      </c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4416000</v>
      </c>
      <c r="Y336" s="50">
        <f>IF(NOTA[[#This Row],[JUMLAH]]="","",NOTA[[#This Row],[JUMLAH]]*NOTA[[#This Row],[DISC 1]])</f>
        <v>750720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750720</v>
      </c>
      <c r="AC336" s="50">
        <f>IF(NOTA[[#This Row],[JUMLAH]]="","",NOTA[[#This Row],[JUMLAH]]-NOTA[[#This Row],[DISC]])</f>
        <v>3665280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336" s="50" t="str">
        <f>IF(OR(NOTA[[#This Row],[QTY]]="",NOTA[[#This Row],[HARGA SATUAN]]="",),"",NOTA[[#This Row],[QTY]]*NOTA[[#This Row],[HARGA SATUAN]])</f>
        <v/>
      </c>
      <c r="AI336" s="39">
        <f ca="1">IF(NOTA[ID_H]="","",INDEX(NOTA[TANGGAL],MATCH(,INDIRECT(ADDRESS(ROW(NOTA[TANGGAL]),COLUMN(NOTA[TANGGAL]))&amp;":"&amp;ADDRESS(ROW(),COLUMN(NOTA[TANGGAL]))),-1)))</f>
        <v>45187</v>
      </c>
      <c r="AJ336" s="41" t="str">
        <f ca="1">IF(NOTA[[#This Row],[NAMA BARANG]]="","",INDEX(NOTA[SUPPLIER],MATCH(,INDIRECT(ADDRESS(ROW(NOTA[ID]),COLUMN(NOTA[ID]))&amp;":"&amp;ADDRESS(ROW(),COLUMN(NOTA[ID]))),-1)))</f>
        <v>KENKO SINAR INDONESIA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9</v>
      </c>
      <c r="AN33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1501</v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>20 GRS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/>
      <c r="L337" s="37" t="s">
        <v>460</v>
      </c>
      <c r="M337" s="40">
        <v>2</v>
      </c>
      <c r="O337" s="37"/>
      <c r="P337" s="41"/>
      <c r="Q337" s="42">
        <v>2208000</v>
      </c>
      <c r="R337" s="48"/>
      <c r="S337" s="49">
        <v>0.17</v>
      </c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4416000</v>
      </c>
      <c r="Y337" s="50">
        <f>IF(NOTA[[#This Row],[JUMLAH]]="","",NOTA[[#This Row],[JUMLAH]]*NOTA[[#This Row],[DISC 1]])</f>
        <v>750720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750720</v>
      </c>
      <c r="AC337" s="50">
        <f>IF(NOTA[[#This Row],[JUMLAH]]="","",NOTA[[#This Row],[JUMLAH]]-NOTA[[#This Row],[DISC]])</f>
        <v>3665280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337" s="50" t="str">
        <f>IF(OR(NOTA[[#This Row],[QTY]]="",NOTA[[#This Row],[HARGA SATUAN]]="",),"",NOTA[[#This Row],[QTY]]*NOTA[[#This Row],[HARGA SATUAN]])</f>
        <v/>
      </c>
      <c r="AI337" s="39">
        <f ca="1">IF(NOTA[ID_H]="","",INDEX(NOTA[TANGGAL],MATCH(,INDIRECT(ADDRESS(ROW(NOTA[TANGGAL]),COLUMN(NOTA[TANGGAL]))&amp;":"&amp;ADDRESS(ROW(),COLUMN(NOTA[TANGGAL]))),-1)))</f>
        <v>45187</v>
      </c>
      <c r="AJ337" s="41" t="str">
        <f ca="1">IF(NOTA[[#This Row],[NAMA BARANG]]="","",INDEX(NOTA[SUPPLIER],MATCH(,INDIRECT(ADDRESS(ROW(NOTA[ID]),COLUMN(NOTA[ID]))&amp;":"&amp;ADDRESS(ROW(),COLUMN(NOTA[ID]))),-1)))</f>
        <v>KENKO SINAR INDONESIA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9</v>
      </c>
      <c r="AN33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1502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>20 GRS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462</v>
      </c>
      <c r="M338" s="40">
        <v>2</v>
      </c>
      <c r="O338" s="37"/>
      <c r="P338" s="41"/>
      <c r="Q338" s="42">
        <v>2952000</v>
      </c>
      <c r="R338" s="48"/>
      <c r="S338" s="49">
        <v>0.17</v>
      </c>
      <c r="T338" s="44"/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5904000</v>
      </c>
      <c r="Y338" s="50">
        <f>IF(NOTA[[#This Row],[JUMLAH]]="","",NOTA[[#This Row],[JUMLAH]]*NOTA[[#This Row],[DISC 1]])</f>
        <v>1003680.0000000001</v>
      </c>
      <c r="Z338" s="50">
        <f>IF(NOTA[[#This Row],[JUMLAH]]="","",(NOTA[[#This Row],[JUMLAH]]-NOTA[[#This Row],[DISC 1-]])*NOTA[[#This Row],[DISC 2]])</f>
        <v>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1003680.0000000001</v>
      </c>
      <c r="AC338" s="50">
        <f>IF(NOTA[[#This Row],[JUMLAH]]="","",NOTA[[#This Row],[JUMLAH]]-NOTA[[#This Row],[DISC]])</f>
        <v>4900320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3550110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17332890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38" s="50" t="str">
        <f>IF(OR(NOTA[[#This Row],[QTY]]="",NOTA[[#This Row],[HARGA SATUAN]]="",),"",NOTA[[#This Row],[QTY]]*NOTA[[#This Row],[HARGA SATUAN]])</f>
        <v/>
      </c>
      <c r="AI338" s="39">
        <f ca="1">IF(NOTA[ID_H]="","",INDEX(NOTA[TANGGAL],MATCH(,INDIRECT(ADDRESS(ROW(NOTA[TANGGAL]),COLUMN(NOTA[TANGGAL]))&amp;":"&amp;ADDRESS(ROW(),COLUMN(NOTA[TANGGAL]))),-1)))</f>
        <v>45187</v>
      </c>
      <c r="AJ338" s="41" t="str">
        <f ca="1">IF(NOTA[[#This Row],[NAMA BARANG]]="","",INDEX(NOTA[SUPPLIER],MATCH(,INDIRECT(ADDRESS(ROW(NOTA[ID]),COLUMN(NOTA[ID]))&amp;":"&amp;ADDRESS(ROW(),COLUMN(NOTA[ID]))),-1)))</f>
        <v>KENKO SINAR INDONESIA</v>
      </c>
      <c r="AK338" s="41" t="str">
        <f ca="1">IF(NOTA[[#This Row],[ID_H]]="","",IF(NOTA[[#This Row],[FAKTUR]]="",INDIRECT(ADDRESS(ROW()-1,COLUMN())),NOTA[[#This Row],[FAKTUR]]))</f>
        <v>ARTO MORO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9</v>
      </c>
      <c r="AN338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>
        <f>IF(NOTA[[#This Row],[CONCAT1]]="","",MATCH(NOTA[[#This Row],[CONCAT1]],[3]!db[NB NOTA_C],0))</f>
        <v>1387</v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>20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338" s="38" t="e">
        <f ca="1">IF(NOTA[[#This Row],[ID_H]]="","",MATCH(NOTA[[#This Row],[NB NOTA_C_QTY]],[4]!db[NB NOTA_C_QTY+F],0))</f>
        <v>#REF!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ATA_1809_502-3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45187</v>
      </c>
      <c r="F340" s="37" t="s">
        <v>24</v>
      </c>
      <c r="G340" s="37" t="s">
        <v>23</v>
      </c>
      <c r="H340" s="47" t="s">
        <v>464</v>
      </c>
      <c r="I340" s="37"/>
      <c r="J340" s="39">
        <v>45184</v>
      </c>
      <c r="K340" s="37"/>
      <c r="L340" s="37" t="s">
        <v>467</v>
      </c>
      <c r="M340" s="40">
        <v>4</v>
      </c>
      <c r="N340" s="38">
        <v>192</v>
      </c>
      <c r="O340" s="37" t="s">
        <v>139</v>
      </c>
      <c r="P340" s="41">
        <v>36000</v>
      </c>
      <c r="Q340" s="42"/>
      <c r="R340" s="48"/>
      <c r="S340" s="49">
        <v>0.125</v>
      </c>
      <c r="T340" s="44">
        <v>0.05</v>
      </c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6912000</v>
      </c>
      <c r="Y340" s="50">
        <f>IF(NOTA[[#This Row],[JUMLAH]]="","",NOTA[[#This Row],[JUMLAH]]*NOTA[[#This Row],[DISC 1]])</f>
        <v>864000</v>
      </c>
      <c r="Z340" s="50">
        <f>IF(NOTA[[#This Row],[JUMLAH]]="","",(NOTA[[#This Row],[JUMLAH]]-NOTA[[#This Row],[DISC 1-]])*NOTA[[#This Row],[DISC 2]])</f>
        <v>302400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1166400</v>
      </c>
      <c r="AC340" s="50">
        <f>IF(NOTA[[#This Row],[JUMLAH]]="","",NOTA[[#This Row],[JUMLAH]]-NOTA[[#This Row],[DISC]])</f>
        <v>5745600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40" s="50">
        <f>IF(OR(NOTA[[#This Row],[QTY]]="",NOTA[[#This Row],[HARGA SATUAN]]="",),"",NOTA[[#This Row],[QTY]]*NOTA[[#This Row],[HARGA SATUAN]])</f>
        <v>6912000</v>
      </c>
      <c r="AI340" s="39">
        <f ca="1">IF(NOTA[ID_H]="","",INDEX(NOTA[TANGGAL],MATCH(,INDIRECT(ADDRESS(ROW(NOTA[TANGGAL]),COLUMN(NOTA[TANGGAL]))&amp;":"&amp;ADDRESS(ROW(),COLUMN(NOTA[TANGGAL]))),-1)))</f>
        <v>45187</v>
      </c>
      <c r="AJ340" s="41" t="str">
        <f ca="1">IF(NOTA[[#This Row],[NAMA BARANG]]="","",INDEX(NOTA[SUPPLIER],MATCH(,INDIRECT(ADDRESS(ROW(NOTA[ID]),COLUMN(NOTA[ID]))&amp;":"&amp;ADDRESS(ROW(),COLUMN(NOTA[ID]))),-1)))</f>
        <v>ATALI MAKMUR</v>
      </c>
      <c r="AK340" s="41" t="str">
        <f ca="1">IF(NOTA[[#This Row],[ID_H]]="","",IF(NOTA[[#This Row],[FAKTUR]]="",INDIRECT(ADDRESS(ROW()-1,COLUMN())),NOTA[[#This Row],[FAKTUR]]))</f>
        <v>ARTO MORO</v>
      </c>
      <c r="AL340" s="38">
        <f ca="1">IF(NOTA[[#This Row],[ID]]="","",COUNTIF(NOTA[ID_H],NOTA[[#This Row],[ID_H]]))</f>
        <v>3</v>
      </c>
      <c r="AM340" s="38">
        <f>IF(NOTA[[#This Row],[TGL.NOTA]]="",IF(NOTA[[#This Row],[SUPPLIER_H]]="","",AM339),MONTH(NOTA[[#This Row],[TGL.NOTA]]))</f>
        <v>9</v>
      </c>
      <c r="AN340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MOROSA23091650245184correctionfluidjk01jk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624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>48 LSN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/>
      <c r="L341" s="37" t="s">
        <v>465</v>
      </c>
      <c r="M341" s="40"/>
      <c r="N341" s="38">
        <v>24</v>
      </c>
      <c r="O341" s="37" t="s">
        <v>139</v>
      </c>
      <c r="P341" s="41">
        <v>13200</v>
      </c>
      <c r="Q341" s="42"/>
      <c r="R341" s="48"/>
      <c r="S341" s="49">
        <v>0.1</v>
      </c>
      <c r="T341" s="44">
        <v>0.05</v>
      </c>
      <c r="U341" s="44"/>
      <c r="V341" s="50"/>
      <c r="W341" s="45" t="s">
        <v>418</v>
      </c>
      <c r="X341" s="50">
        <f>IF(NOTA[[#This Row],[HARGA/ CTN]]="",NOTA[[#This Row],[JUMLAH_H]],NOTA[[#This Row],[HARGA/ CTN]]*IF(NOTA[[#This Row],[C]]="",0,NOTA[[#This Row],[C]]))</f>
        <v>316800</v>
      </c>
      <c r="Y341" s="50">
        <f>IF(NOTA[[#This Row],[JUMLAH]]="","",NOTA[[#This Row],[JUMLAH]]*NOTA[[#This Row],[DISC 1]])</f>
        <v>31680</v>
      </c>
      <c r="Z341" s="50">
        <f>IF(NOTA[[#This Row],[JUMLAH]]="","",(NOTA[[#This Row],[JUMLAH]]-NOTA[[#This Row],[DISC 1-]])*NOTA[[#This Row],[DISC 2]])</f>
        <v>14256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45936</v>
      </c>
      <c r="AC341" s="50">
        <f>IF(NOTA[[#This Row],[JUMLAH]]="","",NOTA[[#This Row],[JUMLAH]]-NOTA[[#This Row],[DISC]])</f>
        <v>270864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341" s="50">
        <f>IF(OR(NOTA[[#This Row],[QTY]]="",NOTA[[#This Row],[HARGA SATUAN]]="",),"",NOTA[[#This Row],[QTY]]*NOTA[[#This Row],[HARGA SATUAN]])</f>
        <v>316800</v>
      </c>
      <c r="AI341" s="39">
        <f ca="1">IF(NOTA[ID_H]="","",INDEX(NOTA[TANGGAL],MATCH(,INDIRECT(ADDRESS(ROW(NOTA[TANGGAL]),COLUMN(NOTA[TANGGAL]))&amp;":"&amp;ADDRESS(ROW(),COLUMN(NOTA[TANGGAL]))),-1)))</f>
        <v>45187</v>
      </c>
      <c r="AJ341" s="41" t="str">
        <f ca="1">IF(NOTA[[#This Row],[NAMA BARANG]]="","",INDEX(NOTA[SUPPLIER],MATCH(,INDIRECT(ADDRESS(ROW(NOTA[ID]),COLUMN(NOTA[ID]))&amp;":"&amp;ADDRESS(ROW(),COLUMN(NOTA[ID]))),-1)))</f>
        <v>ATALI MAKMUR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9</v>
      </c>
      <c r="AN341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ballpenbp34912vokustransblackjk3168000.10.05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102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>144 LSN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/>
      <c r="L342" s="37" t="s">
        <v>466</v>
      </c>
      <c r="M342" s="40">
        <v>3</v>
      </c>
      <c r="N342" s="38">
        <v>360</v>
      </c>
      <c r="O342" s="37" t="s">
        <v>127</v>
      </c>
      <c r="P342" s="41">
        <v>18700</v>
      </c>
      <c r="Q342" s="42"/>
      <c r="R342" s="48"/>
      <c r="S342" s="49">
        <v>0.125</v>
      </c>
      <c r="T342" s="44">
        <v>0.05</v>
      </c>
      <c r="U342" s="44"/>
      <c r="V342" s="50">
        <v>270864</v>
      </c>
      <c r="W342" s="45"/>
      <c r="X342" s="50">
        <f>IF(NOTA[[#This Row],[HARGA/ CTN]]="",NOTA[[#This Row],[JUMLAH_H]],NOTA[[#This Row],[HARGA/ CTN]]*IF(NOTA[[#This Row],[C]]="",0,NOTA[[#This Row],[C]]))</f>
        <v>6732000</v>
      </c>
      <c r="Y342" s="50">
        <f>IF(NOTA[[#This Row],[JUMLAH]]="","",NOTA[[#This Row],[JUMLAH]]*NOTA[[#This Row],[DISC 1]])</f>
        <v>841500</v>
      </c>
      <c r="Z342" s="50">
        <f>IF(NOTA[[#This Row],[JUMLAH]]="","",(NOTA[[#This Row],[JUMLAH]]-NOTA[[#This Row],[DISC 1-]])*NOTA[[#This Row],[DISC 2]])</f>
        <v>294525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1136025</v>
      </c>
      <c r="AC342" s="50">
        <f>IF(NOTA[[#This Row],[JUMLAH]]="","",NOTA[[#This Row],[JUMLAH]]-NOTA[[#This Row],[DISC]])</f>
        <v>5595975</v>
      </c>
      <c r="AD342" s="50"/>
      <c r="AE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2619225</v>
      </c>
      <c r="AF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11341575</v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342" s="50">
        <f>IF(OR(NOTA[[#This Row],[QTY]]="",NOTA[[#This Row],[HARGA SATUAN]]="",),"",NOTA[[#This Row],[QTY]]*NOTA[[#This Row],[HARGA SATUAN]])</f>
        <v>6732000</v>
      </c>
      <c r="AI342" s="39">
        <f ca="1">IF(NOTA[ID_H]="","",INDEX(NOTA[TANGGAL],MATCH(,INDIRECT(ADDRESS(ROW(NOTA[TANGGAL]),COLUMN(NOTA[TANGGAL]))&amp;":"&amp;ADDRESS(ROW(),COLUMN(NOTA[TANGGAL]))),-1)))</f>
        <v>45187</v>
      </c>
      <c r="AJ342" s="41" t="str">
        <f ca="1">IF(NOTA[[#This Row],[NAMA BARANG]]="","",INDEX(NOTA[SUPPLIER],MATCH(,INDIRECT(ADDRESS(ROW(NOTA[ID]),COLUMN(NOTA[ID]))&amp;":"&amp;ADDRESS(ROW(),COLUMN(NOTA[ID]))),-1)))</f>
        <v>ATALI MAKMUR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9</v>
      </c>
      <c r="AN3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2480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>20 BOX (6 PCS)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customHeight="1" x14ac:dyDescent="0.25">
      <c r="A34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ATA_1809_446-2</v>
      </c>
      <c r="C344" s="38" t="e">
        <f ca="1">IF(NOTA[[#This Row],[ID_P]]="","",MATCH(NOTA[[#This Row],[ID_P]],[1]!B_MSK[N_ID],0))</f>
        <v>#REF!</v>
      </c>
      <c r="D344" s="38">
        <f ca="1">IF(NOTA[[#This Row],[NAMA BARANG]]="","",INDEX(NOTA[ID],MATCH(,INDIRECT(ADDRESS(ROW(NOTA[ID]),COLUMN(NOTA[ID]))&amp;":"&amp;ADDRESS(ROW(),COLUMN(NOTA[ID]))),-1)))</f>
        <v>56</v>
      </c>
      <c r="E344" s="46">
        <v>45187</v>
      </c>
      <c r="F344" s="37" t="s">
        <v>24</v>
      </c>
      <c r="G344" s="37" t="s">
        <v>23</v>
      </c>
      <c r="H344" s="47" t="s">
        <v>468</v>
      </c>
      <c r="I344" s="37"/>
      <c r="J344" s="39">
        <v>45184</v>
      </c>
      <c r="K344" s="37"/>
      <c r="L344" s="37" t="s">
        <v>469</v>
      </c>
      <c r="M344" s="40">
        <v>3</v>
      </c>
      <c r="N344" s="38">
        <v>2160</v>
      </c>
      <c r="O344" s="37" t="s">
        <v>127</v>
      </c>
      <c r="P344" s="41">
        <v>4800</v>
      </c>
      <c r="Q344" s="42"/>
      <c r="R344" s="48"/>
      <c r="S344" s="49">
        <v>0.125</v>
      </c>
      <c r="T344" s="44">
        <v>0.05</v>
      </c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10368000</v>
      </c>
      <c r="Y344" s="50">
        <f>IF(NOTA[[#This Row],[JUMLAH]]="","",NOTA[[#This Row],[JUMLAH]]*NOTA[[#This Row],[DISC 1]])</f>
        <v>1296000</v>
      </c>
      <c r="Z344" s="50">
        <f>IF(NOTA[[#This Row],[JUMLAH]]="","",(NOTA[[#This Row],[JUMLAH]]-NOTA[[#This Row],[DISC 1-]])*NOTA[[#This Row],[DISC 2]])</f>
        <v>453600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1749600</v>
      </c>
      <c r="AC344" s="50">
        <f>IF(NOTA[[#This Row],[JUMLAH]]="","",NOTA[[#This Row],[JUMLAH]]-NOTA[[#This Row],[DISC]])</f>
        <v>8618400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44" s="50">
        <f>IF(OR(NOTA[[#This Row],[QTY]]="",NOTA[[#This Row],[HARGA SATUAN]]="",),"",NOTA[[#This Row],[QTY]]*NOTA[[#This Row],[HARGA SATUAN]])</f>
        <v>10368000</v>
      </c>
      <c r="AI344" s="39">
        <f ca="1">IF(NOTA[ID_H]="","",INDEX(NOTA[TANGGAL],MATCH(,INDIRECT(ADDRESS(ROW(NOTA[TANGGAL]),COLUMN(NOTA[TANGGAL]))&amp;":"&amp;ADDRESS(ROW(),COLUMN(NOTA[TANGGAL]))),-1)))</f>
        <v>45187</v>
      </c>
      <c r="AJ344" s="41" t="str">
        <f ca="1">IF(NOTA[[#This Row],[NAMA BARANG]]="","",INDEX(NOTA[SUPPLIER],MATCH(,INDIRECT(ADDRESS(ROW(NOTA[ID]),COLUMN(NOTA[ID]))&amp;":"&amp;ADDRESS(ROW(),COLUMN(NOTA[ID]))),-1)))</f>
        <v>ATALI MAKMUR</v>
      </c>
      <c r="AK344" s="41" t="str">
        <f ca="1">IF(NOTA[[#This Row],[ID_H]]="","",IF(NOTA[[#This Row],[FAKTUR]]="",INDIRECT(ADDRESS(ROW()-1,COLUMN())),NOTA[[#This Row],[FAKTUR]]))</f>
        <v>ARTO MORO</v>
      </c>
      <c r="AL344" s="38">
        <f ca="1">IF(NOTA[[#This Row],[ID]]="","",COUNTIF(NOTA[ID_H],NOTA[[#This Row],[ID_H]]))</f>
        <v>2</v>
      </c>
      <c r="AM344" s="38">
        <f>IF(NOTA[[#This Row],[TGL.NOTA]]="",IF(NOTA[[#This Row],[SUPPLIER_H]]="","",AM343),MONTH(NOTA[[#This Row],[TGL.NOTA]]))</f>
        <v>9</v>
      </c>
      <c r="AN34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MOROSA23091644645184correctiontapect522jk</v>
      </c>
      <c r="AR344" s="38" t="e">
        <f>IF(NOTA[[#This Row],[CONCAT4]]="","",_xlfn.IFNA(MATCH(NOTA[[#This Row],[CONCAT4]],[2]!RAW[CONCAT_H],0),FALSE))</f>
        <v>#REF!</v>
      </c>
      <c r="AS344" s="38">
        <f>IF(NOTA[[#This Row],[CONCAT1]]="","",MATCH(NOTA[[#This Row],[CONCAT1]],[3]!db[NB NOTA_C],0))</f>
        <v>633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60 LSN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56</v>
      </c>
      <c r="E345" s="46"/>
      <c r="F345" s="37"/>
      <c r="G345" s="37"/>
      <c r="H345" s="47"/>
      <c r="I345" s="37"/>
      <c r="J345" s="39"/>
      <c r="K345" s="37"/>
      <c r="L345" s="37" t="s">
        <v>450</v>
      </c>
      <c r="M345" s="40">
        <v>1</v>
      </c>
      <c r="N345" s="38">
        <v>200</v>
      </c>
      <c r="O345" s="37" t="s">
        <v>184</v>
      </c>
      <c r="P345" s="41">
        <v>4400</v>
      </c>
      <c r="Q345" s="42"/>
      <c r="R345" s="48"/>
      <c r="S345" s="49">
        <v>0.125</v>
      </c>
      <c r="T345" s="44">
        <v>0.05</v>
      </c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880000</v>
      </c>
      <c r="Y345" s="50">
        <f>IF(NOTA[[#This Row],[JUMLAH]]="","",NOTA[[#This Row],[JUMLAH]]*NOTA[[#This Row],[DISC 1]])</f>
        <v>110000</v>
      </c>
      <c r="Z345" s="50">
        <f>IF(NOTA[[#This Row],[JUMLAH]]="","",(NOTA[[#This Row],[JUMLAH]]-NOTA[[#This Row],[DISC 1-]])*NOTA[[#This Row],[DISC 2]])</f>
        <v>38500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148500</v>
      </c>
      <c r="AC345" s="50">
        <f>IF(NOTA[[#This Row],[JUMLAH]]="","",NOTA[[#This Row],[JUMLAH]]-NOTA[[#This Row],[DISC]])</f>
        <v>731500</v>
      </c>
      <c r="AD345" s="50"/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1898100</v>
      </c>
      <c r="AF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9349900</v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345" s="50">
        <f>IF(OR(NOTA[[#This Row],[QTY]]="",NOTA[[#This Row],[HARGA SATUAN]]="",),"",NOTA[[#This Row],[QTY]]*NOTA[[#This Row],[HARGA SATUAN]])</f>
        <v>880000</v>
      </c>
      <c r="AI345" s="39">
        <f ca="1">IF(NOTA[ID_H]="","",INDEX(NOTA[TANGGAL],MATCH(,INDIRECT(ADDRESS(ROW(NOTA[TANGGAL]),COLUMN(NOTA[TANGGAL]))&amp;":"&amp;ADDRESS(ROW(),COLUMN(NOTA[TANGGAL]))),-1)))</f>
        <v>45187</v>
      </c>
      <c r="AJ345" s="41" t="str">
        <f ca="1">IF(NOTA[[#This Row],[NAMA BARANG]]="","",INDEX(NOTA[SUPPLIER],MATCH(,INDIRECT(ADDRESS(ROW(NOTA[ID]),COLUMN(NOTA[ID]))&amp;":"&amp;ADDRESS(ROW(),COLUMN(NOTA[ID]))),-1)))</f>
        <v>ATALI MAKMUR</v>
      </c>
      <c r="AK345" s="41" t="str">
        <f ca="1">IF(NOTA[[#This Row],[ID_H]]="","",IF(NOTA[[#This Row],[FAKTUR]]="",INDIRECT(ADDRESS(ROW()-1,COLUMN())),NOTA[[#This Row],[FAKTUR]]))</f>
        <v>ARTO MORO</v>
      </c>
      <c r="AL345" s="38" t="str">
        <f ca="1">IF(NOTA[[#This Row],[ID]]="","",COUNTIF(NOTA[ID_H],NOTA[[#This Row],[ID_H]]))</f>
        <v/>
      </c>
      <c r="AM345" s="38">
        <f ca="1">IF(NOTA[[#This Row],[TGL.NOTA]]="",IF(NOTA[[#This Row],[SUPPLIER_H]]="","",AM344),MONTH(NOTA[[#This Row],[TGL.NOTA]]))</f>
        <v>9</v>
      </c>
      <c r="AN345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1998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200 BOX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ATA_1809_500-11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57</v>
      </c>
      <c r="E347" s="46">
        <v>45187</v>
      </c>
      <c r="F347" s="37" t="s">
        <v>24</v>
      </c>
      <c r="G347" s="37" t="s">
        <v>23</v>
      </c>
      <c r="H347" s="47" t="s">
        <v>470</v>
      </c>
      <c r="I347" s="37"/>
      <c r="J347" s="39">
        <v>45184</v>
      </c>
      <c r="K347" s="37"/>
      <c r="L347" s="37" t="s">
        <v>471</v>
      </c>
      <c r="M347" s="40">
        <v>1</v>
      </c>
      <c r="N347" s="38">
        <v>50</v>
      </c>
      <c r="O347" s="37" t="s">
        <v>184</v>
      </c>
      <c r="P347" s="41">
        <v>34100</v>
      </c>
      <c r="Q347" s="42"/>
      <c r="R347" s="48"/>
      <c r="S347" s="49">
        <v>0.125</v>
      </c>
      <c r="T347" s="44">
        <v>0.05</v>
      </c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1705000</v>
      </c>
      <c r="Y347" s="50">
        <f>IF(NOTA[[#This Row],[JUMLAH]]="","",NOTA[[#This Row],[JUMLAH]]*NOTA[[#This Row],[DISC 1]])</f>
        <v>213125</v>
      </c>
      <c r="Z347" s="50">
        <f>IF(NOTA[[#This Row],[JUMLAH]]="","",(NOTA[[#This Row],[JUMLAH]]-NOTA[[#This Row],[DISC 1-]])*NOTA[[#This Row],[DISC 2]])</f>
        <v>74593.75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287718.75</v>
      </c>
      <c r="AC347" s="50">
        <f>IF(NOTA[[#This Row],[JUMLAH]]="","",NOTA[[#This Row],[JUMLAH]]-NOTA[[#This Row],[DISC]])</f>
        <v>1417281.25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347" s="50">
        <f>IF(OR(NOTA[[#This Row],[QTY]]="",NOTA[[#This Row],[HARGA SATUAN]]="",),"",NOTA[[#This Row],[QTY]]*NOTA[[#This Row],[HARGA SATUAN]])</f>
        <v>1705000</v>
      </c>
      <c r="AI347" s="39">
        <f ca="1">IF(NOTA[ID_H]="","",INDEX(NOTA[TANGGAL],MATCH(,INDIRECT(ADDRESS(ROW(NOTA[TANGGAL]),COLUMN(NOTA[TANGGAL]))&amp;":"&amp;ADDRESS(ROW(),COLUMN(NOTA[TANGGAL]))),-1)))</f>
        <v>45187</v>
      </c>
      <c r="AJ347" s="41" t="str">
        <f ca="1">IF(NOTA[[#This Row],[NAMA BARANG]]="","",INDEX(NOTA[SUPPLIER],MATCH(,INDIRECT(ADDRESS(ROW(NOTA[ID]),COLUMN(NOTA[ID]))&amp;":"&amp;ADDRESS(ROW(),COLUMN(NOTA[ID]))),-1)))</f>
        <v>ATALI MAKMUR</v>
      </c>
      <c r="AK347" s="41" t="str">
        <f ca="1">IF(NOTA[[#This Row],[ID_H]]="","",IF(NOTA[[#This Row],[FAKTUR]]="",INDIRECT(ADDRESS(ROW()-1,COLUMN())),NOTA[[#This Row],[FAKTUR]]))</f>
        <v>ARTO MORO</v>
      </c>
      <c r="AL347" s="38">
        <f ca="1">IF(NOTA[[#This Row],[ID]]="","",COUNTIF(NOTA[ID_H],NOTA[[#This Row],[ID_H]]))</f>
        <v>11</v>
      </c>
      <c r="AM347" s="38">
        <f>IF(NOTA[[#This Row],[TGL.NOTA]]="",IF(NOTA[[#This Row],[SUPPLIER_H]]="","",AM346),MONTH(NOTA[[#This Row],[TGL.NOTA]]))</f>
        <v>9</v>
      </c>
      <c r="AN347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MOROSA23091650045184eraser526b20jk</v>
      </c>
      <c r="AR347" s="38" t="e">
        <f>IF(NOTA[[#This Row],[CONCAT4]]="","",_xlfn.IFNA(MATCH(NOTA[[#This Row],[CONCAT4]],[2]!RAW[CONCAT_H],0),FALSE))</f>
        <v>#REF!</v>
      </c>
      <c r="AS347" s="38">
        <f>IF(NOTA[[#This Row],[CONCAT1]]="","",MATCH(NOTA[[#This Row],[CONCAT1]],[3]!db[NB NOTA_C],0))</f>
        <v>833</v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>50 BOX (20 PCS)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57</v>
      </c>
      <c r="E348" s="46"/>
      <c r="F348" s="37"/>
      <c r="G348" s="37"/>
      <c r="H348" s="47"/>
      <c r="I348" s="37"/>
      <c r="J348" s="39"/>
      <c r="K348" s="37"/>
      <c r="L348" s="37" t="s">
        <v>391</v>
      </c>
      <c r="M348" s="40">
        <v>1</v>
      </c>
      <c r="N348" s="38">
        <v>144</v>
      </c>
      <c r="O348" s="37" t="s">
        <v>127</v>
      </c>
      <c r="P348" s="41">
        <v>4350</v>
      </c>
      <c r="Q348" s="42"/>
      <c r="R348" s="48"/>
      <c r="S348" s="49">
        <v>0.125</v>
      </c>
      <c r="T348" s="44">
        <v>0.05</v>
      </c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626400</v>
      </c>
      <c r="Y348" s="50">
        <f>IF(NOTA[[#This Row],[JUMLAH]]="","",NOTA[[#This Row],[JUMLAH]]*NOTA[[#This Row],[DISC 1]])</f>
        <v>78300</v>
      </c>
      <c r="Z348" s="50">
        <f>IF(NOTA[[#This Row],[JUMLAH]]="","",(NOTA[[#This Row],[JUMLAH]]-NOTA[[#This Row],[DISC 1-]])*NOTA[[#This Row],[DISC 2]])</f>
        <v>27405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105705</v>
      </c>
      <c r="AC348" s="50">
        <f>IF(NOTA[[#This Row],[JUMLAH]]="","",NOTA[[#This Row],[JUMLAH]]-NOTA[[#This Row],[DISC]])</f>
        <v>520695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48" s="50">
        <f>IF(OR(NOTA[[#This Row],[QTY]]="",NOTA[[#This Row],[HARGA SATUAN]]="",),"",NOTA[[#This Row],[QTY]]*NOTA[[#This Row],[HARGA SATUAN]])</f>
        <v>626400</v>
      </c>
      <c r="AI348" s="39">
        <f ca="1">IF(NOTA[ID_H]="","",INDEX(NOTA[TANGGAL],MATCH(,INDIRECT(ADDRESS(ROW(NOTA[TANGGAL]),COLUMN(NOTA[TANGGAL]))&amp;":"&amp;ADDRESS(ROW(),COLUMN(NOTA[TANGGAL]))),-1)))</f>
        <v>45187</v>
      </c>
      <c r="AJ348" s="41" t="str">
        <f ca="1">IF(NOTA[[#This Row],[NAMA BARANG]]="","",INDEX(NOTA[SUPPLIER],MATCH(,INDIRECT(ADDRESS(ROW(NOTA[ID]),COLUMN(NOTA[ID]))&amp;":"&amp;ADDRESS(ROW(),COLUMN(NOTA[ID]))),-1)))</f>
        <v>ATALI MAKMUR</v>
      </c>
      <c r="AK348" s="41" t="str">
        <f ca="1">IF(NOTA[[#This Row],[ID_H]]="","",IF(NOTA[[#This Row],[FAKTUR]]="",INDIRECT(ADDRESS(ROW()-1,COLUMN())),NOTA[[#This Row],[FAKTUR]]))</f>
        <v>ARTO MORO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9</v>
      </c>
      <c r="AN34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2396</v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>12 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57</v>
      </c>
      <c r="E349" s="46"/>
      <c r="F349" s="37"/>
      <c r="G349" s="37"/>
      <c r="H349" s="47"/>
      <c r="I349" s="37"/>
      <c r="J349" s="39"/>
      <c r="K349" s="37"/>
      <c r="L349" s="37" t="s">
        <v>472</v>
      </c>
      <c r="M349" s="40">
        <v>1</v>
      </c>
      <c r="N349" s="38">
        <v>144</v>
      </c>
      <c r="O349" s="37" t="s">
        <v>127</v>
      </c>
      <c r="P349" s="41">
        <v>6500</v>
      </c>
      <c r="Q349" s="42"/>
      <c r="R349" s="48"/>
      <c r="S349" s="49">
        <v>0.125</v>
      </c>
      <c r="T349" s="44">
        <v>0.05</v>
      </c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936000</v>
      </c>
      <c r="Y349" s="50">
        <f>IF(NOTA[[#This Row],[JUMLAH]]="","",NOTA[[#This Row],[JUMLAH]]*NOTA[[#This Row],[DISC 1]])</f>
        <v>117000</v>
      </c>
      <c r="Z349" s="50">
        <f>IF(NOTA[[#This Row],[JUMLAH]]="","",(NOTA[[#This Row],[JUMLAH]]-NOTA[[#This Row],[DISC 1-]])*NOTA[[#This Row],[DISC 2]])</f>
        <v>40950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157950</v>
      </c>
      <c r="AC349" s="50">
        <f>IF(NOTA[[#This Row],[JUMLAH]]="","",NOTA[[#This Row],[JUMLAH]]-NOTA[[#This Row],[DISC]])</f>
        <v>778050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49" s="50">
        <f>IF(OR(NOTA[[#This Row],[QTY]]="",NOTA[[#This Row],[HARGA SATUAN]]="",),"",NOTA[[#This Row],[QTY]]*NOTA[[#This Row],[HARGA SATUAN]])</f>
        <v>936000</v>
      </c>
      <c r="AI349" s="39">
        <f ca="1">IF(NOTA[ID_H]="","",INDEX(NOTA[TANGGAL],MATCH(,INDIRECT(ADDRESS(ROW(NOTA[TANGGAL]),COLUMN(NOTA[TANGGAL]))&amp;":"&amp;ADDRESS(ROW(),COLUMN(NOTA[TANGGAL]))),-1)))</f>
        <v>45187</v>
      </c>
      <c r="AJ349" s="41" t="str">
        <f ca="1">IF(NOTA[[#This Row],[NAMA BARANG]]="","",INDEX(NOTA[SUPPLIER],MATCH(,INDIRECT(ADDRESS(ROW(NOTA[ID]),COLUMN(NOTA[ID]))&amp;":"&amp;ADDRESS(ROW(),COLUMN(NOTA[ID]))),-1)))</f>
        <v>ATALI MAKMUR</v>
      </c>
      <c r="AK349" s="41" t="str">
        <f ca="1">IF(NOTA[[#This Row],[ID_H]]="","",IF(NOTA[[#This Row],[FAKTUR]]="",INDIRECT(ADDRESS(ROW()-1,COLUMN())),NOTA[[#This Row],[FAKTUR]]))</f>
        <v>ARTO MORO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9</v>
      </c>
      <c r="AN349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2397</v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>12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57</v>
      </c>
      <c r="E350" s="46"/>
      <c r="F350" s="37"/>
      <c r="G350" s="37"/>
      <c r="H350" s="47"/>
      <c r="I350" s="37"/>
      <c r="J350" s="39"/>
      <c r="K350" s="37"/>
      <c r="L350" s="37" t="s">
        <v>473</v>
      </c>
      <c r="M350" s="40">
        <v>1</v>
      </c>
      <c r="N350" s="38">
        <v>24</v>
      </c>
      <c r="O350" s="37" t="s">
        <v>139</v>
      </c>
      <c r="P350" s="41">
        <v>162000</v>
      </c>
      <c r="Q350" s="42"/>
      <c r="R350" s="48"/>
      <c r="S350" s="49">
        <v>0.125</v>
      </c>
      <c r="T350" s="44">
        <v>0.05</v>
      </c>
      <c r="U350" s="44"/>
      <c r="V350" s="50"/>
      <c r="W350" s="45"/>
      <c r="X350" s="50">
        <f>IF(NOTA[[#This Row],[HARGA/ CTN]]="",NOTA[[#This Row],[JUMLAH_H]],NOTA[[#This Row],[HARGA/ CTN]]*IF(NOTA[[#This Row],[C]]="",0,NOTA[[#This Row],[C]]))</f>
        <v>3888000</v>
      </c>
      <c r="Y350" s="50">
        <f>IF(NOTA[[#This Row],[JUMLAH]]="","",NOTA[[#This Row],[JUMLAH]]*NOTA[[#This Row],[DISC 1]])</f>
        <v>486000</v>
      </c>
      <c r="Z350" s="50">
        <f>IF(NOTA[[#This Row],[JUMLAH]]="","",(NOTA[[#This Row],[JUMLAH]]-NOTA[[#This Row],[DISC 1-]])*NOTA[[#This Row],[DISC 2]])</f>
        <v>170100</v>
      </c>
      <c r="AA350" s="50">
        <f>IF(NOTA[[#This Row],[JUMLAH]]="","",(NOTA[[#This Row],[JUMLAH]]-NOTA[[#This Row],[DISC 1-]]-NOTA[[#This Row],[DISC 2-]])*NOTA[[#This Row],[DISC 3]])</f>
        <v>0</v>
      </c>
      <c r="AB350" s="50">
        <f>IF(NOTA[[#This Row],[JUMLAH]]="","",NOTA[[#This Row],[DISC 1-]]+NOTA[[#This Row],[DISC 2-]]+NOTA[[#This Row],[DISC 3-]])</f>
        <v>656100</v>
      </c>
      <c r="AC350" s="50">
        <f>IF(NOTA[[#This Row],[JUMLAH]]="","",NOTA[[#This Row],[JUMLAH]]-NOTA[[#This Row],[DISC]])</f>
        <v>3231900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0" s="50">
        <f>IF(OR(NOTA[[#This Row],[QTY]]="",NOTA[[#This Row],[HARGA SATUAN]]="",),"",NOTA[[#This Row],[QTY]]*NOTA[[#This Row],[HARGA SATUAN]])</f>
        <v>3888000</v>
      </c>
      <c r="AI350" s="39">
        <f ca="1">IF(NOTA[ID_H]="","",INDEX(NOTA[TANGGAL],MATCH(,INDIRECT(ADDRESS(ROW(NOTA[TANGGAL]),COLUMN(NOTA[TANGGAL]))&amp;":"&amp;ADDRESS(ROW(),COLUMN(NOTA[TANGGAL]))),-1)))</f>
        <v>45187</v>
      </c>
      <c r="AJ350" s="41" t="str">
        <f ca="1">IF(NOTA[[#This Row],[NAMA BARANG]]="","",INDEX(NOTA[SUPPLIER],MATCH(,INDIRECT(ADDRESS(ROW(NOTA[ID]),COLUMN(NOTA[ID]))&amp;":"&amp;ADDRESS(ROW(),COLUMN(NOTA[ID]))),-1)))</f>
        <v>ATALI MAKMUR</v>
      </c>
      <c r="AK350" s="41" t="str">
        <f ca="1">IF(NOTA[[#This Row],[ID_H]]="","",IF(NOTA[[#This Row],[FAKTUR]]="",INDIRECT(ADDRESS(ROW()-1,COLUMN())),NOTA[[#This Row],[FAKTUR]]))</f>
        <v>ARTO MORO</v>
      </c>
      <c r="AL350" s="38" t="str">
        <f ca="1">IF(NOTA[[#This Row],[ID]]="","",COUNTIF(NOTA[ID_H],NOTA[[#This Row],[ID_H]]))</f>
        <v/>
      </c>
      <c r="AM350" s="38">
        <f ca="1">IF(NOTA[[#This Row],[TGL.NOTA]]="",IF(NOTA[[#This Row],[SUPPLIER_H]]="","",AM349),MONTH(NOTA[[#This Row],[TGL.NOTA]]))</f>
        <v>9</v>
      </c>
      <c r="AN350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>
        <f>IF(NOTA[[#This Row],[CONCAT1]]="","",MATCH(NOTA[[#This Row],[CONCAT1]],[3]!db[NB NOTA_C],0))</f>
        <v>693</v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>24 LSN</v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350" s="38" t="e">
        <f ca="1">IF(NOTA[[#This Row],[ID_H]]="","",MATCH(NOTA[[#This Row],[NB NOTA_C_QTY]],[4]!db[NB NOTA_C_QTY+F],0))</f>
        <v>#REF!</v>
      </c>
      <c r="AX350" s="53">
        <f ca="1">IF(NOTA[[#This Row],[NB NOTA_C_QTY]]="","",ROW()-2)</f>
        <v>348</v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57</v>
      </c>
      <c r="E351" s="46"/>
      <c r="F351" s="37"/>
      <c r="G351" s="37"/>
      <c r="H351" s="47"/>
      <c r="I351" s="37"/>
      <c r="J351" s="39"/>
      <c r="K351" s="37"/>
      <c r="L351" s="37" t="s">
        <v>443</v>
      </c>
      <c r="M351" s="40"/>
      <c r="N351" s="38">
        <v>24</v>
      </c>
      <c r="O351" s="37" t="s">
        <v>139</v>
      </c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45187</v>
      </c>
      <c r="AJ351" s="41" t="str">
        <f ca="1">IF(NOTA[[#This Row],[NAMA BARANG]]="","",INDEX(NOTA[SUPPLIER],MATCH(,INDIRECT(ADDRESS(ROW(NOTA[ID]),COLUMN(NOTA[ID]))&amp;":"&amp;ADDRESS(ROW(),COLUMN(NOTA[ID]))),-1)))</f>
        <v>ATALI MAKMUR</v>
      </c>
      <c r="AK351" s="41" t="str">
        <f ca="1">IF(NOTA[[#This Row],[ID_H]]="","",IF(NOTA[[#This Row],[FAKTUR]]="",INDIRECT(ADDRESS(ROW()-1,COLUMN())),NOTA[[#This Row],[FAKTUR]]))</f>
        <v>ARTO MORO</v>
      </c>
      <c r="AL351" s="38" t="str">
        <f ca="1">IF(NOTA[[#This Row],[ID]]="","",COUNTIF(NOTA[ID_H],NOTA[[#This Row],[ID_H]]))</f>
        <v/>
      </c>
      <c r="AM351" s="38">
        <f ca="1">IF(NOTA[[#This Row],[TGL.NOTA]]="",IF(NOTA[[#This Row],[SUPPLIER_H]]="","",AM350),MONTH(NOTA[[#This Row],[TGL.NOTA]]))</f>
        <v>9</v>
      </c>
      <c r="AN351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cutterbladel150mmhjk0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cutterbladel150mmhjk0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>
        <f>IF(NOTA[[#This Row],[CONCAT1]]="","",MATCH(NOTA[[#This Row],[CONCAT1]],[3]!db[NB NOTA_C],0))</f>
        <v>686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40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57</v>
      </c>
      <c r="E352" s="46"/>
      <c r="F352" s="37"/>
      <c r="G352" s="37"/>
      <c r="H352" s="47"/>
      <c r="I352" s="37"/>
      <c r="J352" s="39"/>
      <c r="K352" s="37"/>
      <c r="L352" s="37" t="s">
        <v>241</v>
      </c>
      <c r="M352" s="40">
        <v>6</v>
      </c>
      <c r="N352" s="38">
        <v>4320</v>
      </c>
      <c r="O352" s="37" t="s">
        <v>127</v>
      </c>
      <c r="P352" s="41">
        <v>4800</v>
      </c>
      <c r="Q352" s="42"/>
      <c r="R352" s="48"/>
      <c r="S352" s="49">
        <v>0.125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20736000</v>
      </c>
      <c r="Y352" s="50">
        <f>IF(NOTA[[#This Row],[JUMLAH]]="","",NOTA[[#This Row],[JUMLAH]]*NOTA[[#This Row],[DISC 1]])</f>
        <v>2592000</v>
      </c>
      <c r="Z352" s="50">
        <f>IF(NOTA[[#This Row],[JUMLAH]]="","",(NOTA[[#This Row],[JUMLAH]]-NOTA[[#This Row],[DISC 1-]])*NOTA[[#This Row],[DISC 2]])</f>
        <v>907200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3499200</v>
      </c>
      <c r="AC352" s="50">
        <f>IF(NOTA[[#This Row],[JUMLAH]]="","",NOTA[[#This Row],[JUMLAH]]-NOTA[[#This Row],[DISC]])</f>
        <v>17236800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52" s="50">
        <f>IF(OR(NOTA[[#This Row],[QTY]]="",NOTA[[#This Row],[HARGA SATUAN]]="",),"",NOTA[[#This Row],[QTY]]*NOTA[[#This Row],[HARGA SATUAN]])</f>
        <v>20736000</v>
      </c>
      <c r="AI352" s="39">
        <f ca="1">IF(NOTA[ID_H]="","",INDEX(NOTA[TANGGAL],MATCH(,INDIRECT(ADDRESS(ROW(NOTA[TANGGAL]),COLUMN(NOTA[TANGGAL]))&amp;":"&amp;ADDRESS(ROW(),COLUMN(NOTA[TANGGAL]))),-1)))</f>
        <v>45187</v>
      </c>
      <c r="AJ352" s="41" t="str">
        <f ca="1">IF(NOTA[[#This Row],[NAMA BARANG]]="","",INDEX(NOTA[SUPPLIER],MATCH(,INDIRECT(ADDRESS(ROW(NOTA[ID]),COLUMN(NOTA[ID]))&amp;":"&amp;ADDRESS(ROW(),COLUMN(NOTA[ID]))),-1)))</f>
        <v>ATALI MAKMUR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9</v>
      </c>
      <c r="AN3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633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60 LSN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57</v>
      </c>
      <c r="E353" s="46"/>
      <c r="F353" s="37"/>
      <c r="G353" s="37"/>
      <c r="H353" s="47"/>
      <c r="I353" s="37"/>
      <c r="J353" s="39"/>
      <c r="K353" s="37"/>
      <c r="L353" s="37" t="s">
        <v>474</v>
      </c>
      <c r="M353" s="40">
        <v>1</v>
      </c>
      <c r="N353" s="38">
        <v>48</v>
      </c>
      <c r="O353" s="37" t="s">
        <v>133</v>
      </c>
      <c r="P353" s="41">
        <v>29600</v>
      </c>
      <c r="Q353" s="42"/>
      <c r="R353" s="48"/>
      <c r="S353" s="49">
        <v>0.125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1420800</v>
      </c>
      <c r="Y353" s="50">
        <f>IF(NOTA[[#This Row],[JUMLAH]]="","",NOTA[[#This Row],[JUMLAH]]*NOTA[[#This Row],[DISC 1]])</f>
        <v>177600</v>
      </c>
      <c r="Z353" s="50">
        <f>IF(NOTA[[#This Row],[JUMLAH]]="","",(NOTA[[#This Row],[JUMLAH]]-NOTA[[#This Row],[DISC 1-]])*NOTA[[#This Row],[DISC 2]])</f>
        <v>62160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239760</v>
      </c>
      <c r="AC353" s="50">
        <f>IF(NOTA[[#This Row],[JUMLAH]]="","",NOTA[[#This Row],[JUMLAH]]-NOTA[[#This Row],[DISC]])</f>
        <v>1181040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53" s="50">
        <f>IF(OR(NOTA[[#This Row],[QTY]]="",NOTA[[#This Row],[HARGA SATUAN]]="",),"",NOTA[[#This Row],[QTY]]*NOTA[[#This Row],[HARGA SATUAN]])</f>
        <v>1420800</v>
      </c>
      <c r="AI353" s="39">
        <f ca="1">IF(NOTA[ID_H]="","",INDEX(NOTA[TANGGAL],MATCH(,INDIRECT(ADDRESS(ROW(NOTA[TANGGAL]),COLUMN(NOTA[TANGGAL]))&amp;":"&amp;ADDRESS(ROW(),COLUMN(NOTA[TANGGAL]))),-1)))</f>
        <v>45187</v>
      </c>
      <c r="AJ353" s="41" t="str">
        <f ca="1">IF(NOTA[[#This Row],[NAMA BARANG]]="","",INDEX(NOTA[SUPPLIER],MATCH(,INDIRECT(ADDRESS(ROW(NOTA[ID]),COLUMN(NOTA[ID]))&amp;":"&amp;ADDRESS(ROW(),COLUMN(NOTA[ID]))),-1)))</f>
        <v>ATALI MAKMUR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9</v>
      </c>
      <c r="AN35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1899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8 BOX (6 SET)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57</v>
      </c>
      <c r="E354" s="46"/>
      <c r="F354" s="37"/>
      <c r="G354" s="37"/>
      <c r="H354" s="47"/>
      <c r="I354" s="37"/>
      <c r="J354" s="39"/>
      <c r="K354" s="37"/>
      <c r="L354" s="37" t="s">
        <v>399</v>
      </c>
      <c r="M354" s="40">
        <v>1</v>
      </c>
      <c r="N354" s="38">
        <v>36</v>
      </c>
      <c r="O354" s="37" t="s">
        <v>133</v>
      </c>
      <c r="P354" s="41">
        <v>41500</v>
      </c>
      <c r="Q354" s="42"/>
      <c r="R354" s="48"/>
      <c r="S354" s="49">
        <v>0.125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1494000</v>
      </c>
      <c r="Y354" s="50">
        <f>IF(NOTA[[#This Row],[JUMLAH]]="","",NOTA[[#This Row],[JUMLAH]]*NOTA[[#This Row],[DISC 1]])</f>
        <v>186750</v>
      </c>
      <c r="Z354" s="50">
        <f>IF(NOTA[[#This Row],[JUMLAH]]="","",(NOTA[[#This Row],[JUMLAH]]-NOTA[[#This Row],[DISC 1-]])*NOTA[[#This Row],[DISC 2]])</f>
        <v>65362.5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252112.5</v>
      </c>
      <c r="AC354" s="50">
        <f>IF(NOTA[[#This Row],[JUMLAH]]="","",NOTA[[#This Row],[JUMLAH]]-NOTA[[#This Row],[DISC]])</f>
        <v>1241887.5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54" s="50">
        <f>IF(OR(NOTA[[#This Row],[QTY]]="",NOTA[[#This Row],[HARGA SATUAN]]="",),"",NOTA[[#This Row],[QTY]]*NOTA[[#This Row],[HARGA SATUAN]])</f>
        <v>1494000</v>
      </c>
      <c r="AI354" s="39">
        <f ca="1">IF(NOTA[ID_H]="","",INDEX(NOTA[TANGGAL],MATCH(,INDIRECT(ADDRESS(ROW(NOTA[TANGGAL]),COLUMN(NOTA[TANGGAL]))&amp;":"&amp;ADDRESS(ROW(),COLUMN(NOTA[TANGGAL]))),-1)))</f>
        <v>45187</v>
      </c>
      <c r="AJ354" s="41" t="str">
        <f ca="1">IF(NOTA[[#This Row],[NAMA BARANG]]="","",INDEX(NOTA[SUPPLIER],MATCH(,INDIRECT(ADDRESS(ROW(NOTA[ID]),COLUMN(NOTA[ID]))&amp;":"&amp;ADDRESS(ROW(),COLUMN(NOTA[ID]))),-1)))</f>
        <v>ATALI MAKMUR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9</v>
      </c>
      <c r="AN35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1900</v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>6 BOX (6 SET)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57</v>
      </c>
      <c r="E355" s="46"/>
      <c r="F355" s="37"/>
      <c r="G355" s="37"/>
      <c r="H355" s="47"/>
      <c r="I355" s="37"/>
      <c r="J355" s="39"/>
      <c r="K355" s="37"/>
      <c r="L355" s="37" t="s">
        <v>441</v>
      </c>
      <c r="M355" s="40">
        <v>1</v>
      </c>
      <c r="N355" s="38">
        <v>20</v>
      </c>
      <c r="O355" s="37" t="s">
        <v>139</v>
      </c>
      <c r="P355" s="41">
        <v>85200</v>
      </c>
      <c r="Q355" s="42"/>
      <c r="R355" s="48"/>
      <c r="S355" s="49">
        <v>0.125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1704000</v>
      </c>
      <c r="Y355" s="50">
        <f>IF(NOTA[[#This Row],[JUMLAH]]="","",NOTA[[#This Row],[JUMLAH]]*NOTA[[#This Row],[DISC 1]])</f>
        <v>213000</v>
      </c>
      <c r="Z355" s="50">
        <f>IF(NOTA[[#This Row],[JUMLAH]]="","",(NOTA[[#This Row],[JUMLAH]]-NOTA[[#This Row],[DISC 1-]])*NOTA[[#This Row],[DISC 2]])</f>
        <v>74550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287550</v>
      </c>
      <c r="AC355" s="50">
        <f>IF(NOTA[[#This Row],[JUMLAH]]="","",NOTA[[#This Row],[JUMLAH]]-NOTA[[#This Row],[DISC]])</f>
        <v>1416450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55" s="50">
        <f>IF(OR(NOTA[[#This Row],[QTY]]="",NOTA[[#This Row],[HARGA SATUAN]]="",),"",NOTA[[#This Row],[QTY]]*NOTA[[#This Row],[HARGA SATUAN]])</f>
        <v>1704000</v>
      </c>
      <c r="AI355" s="39">
        <f ca="1">IF(NOTA[ID_H]="","",INDEX(NOTA[TANGGAL],MATCH(,INDIRECT(ADDRESS(ROW(NOTA[TANGGAL]),COLUMN(NOTA[TANGGAL]))&amp;":"&amp;ADDRESS(ROW(),COLUMN(NOTA[TANGGAL]))),-1)))</f>
        <v>45187</v>
      </c>
      <c r="AJ355" s="41" t="str">
        <f ca="1">IF(NOTA[[#This Row],[NAMA BARANG]]="","",INDEX(NOTA[SUPPLIER],MATCH(,INDIRECT(ADDRESS(ROW(NOTA[ID]),COLUMN(NOTA[ID]))&amp;":"&amp;ADDRESS(ROW(),COLUMN(NOTA[ID]))),-1)))</f>
        <v>ATALI MAKMUR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9</v>
      </c>
      <c r="AN35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>
        <f>IF(NOTA[[#This Row],[CONCAT1]]="","",MATCH(NOTA[[#This Row],[CONCAT1]],[3]!db[NB NOTA_C],0))</f>
        <v>2474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20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57</v>
      </c>
      <c r="E356" s="46"/>
      <c r="F356" s="37"/>
      <c r="G356" s="37"/>
      <c r="H356" s="47"/>
      <c r="I356" s="37"/>
      <c r="J356" s="39"/>
      <c r="K356" s="37"/>
      <c r="L356" s="37" t="s">
        <v>221</v>
      </c>
      <c r="M356" s="40">
        <v>2</v>
      </c>
      <c r="N356" s="38">
        <v>60</v>
      </c>
      <c r="O356" s="37" t="s">
        <v>213</v>
      </c>
      <c r="P356" s="41">
        <v>104400</v>
      </c>
      <c r="Q356" s="42"/>
      <c r="R356" s="48" t="s">
        <v>475</v>
      </c>
      <c r="S356" s="49">
        <v>0.125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6264000</v>
      </c>
      <c r="Y356" s="50">
        <f>IF(NOTA[[#This Row],[JUMLAH]]="","",NOTA[[#This Row],[JUMLAH]]*NOTA[[#This Row],[DISC 1]])</f>
        <v>783000</v>
      </c>
      <c r="Z356" s="50">
        <f>IF(NOTA[[#This Row],[JUMLAH]]="","",(NOTA[[#This Row],[JUMLAH]]-NOTA[[#This Row],[DISC 1-]])*NOTA[[#This Row],[DISC 2]])</f>
        <v>274050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1057050</v>
      </c>
      <c r="AC356" s="50">
        <f>IF(NOTA[[#This Row],[JUMLAH]]="","",NOTA[[#This Row],[JUMLAH]]-NOTA[[#This Row],[DISC]])</f>
        <v>5206950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56" s="50">
        <f>IF(OR(NOTA[[#This Row],[QTY]]="",NOTA[[#This Row],[HARGA SATUAN]]="",),"",NOTA[[#This Row],[QTY]]*NOTA[[#This Row],[HARGA SATUAN]])</f>
        <v>6264000</v>
      </c>
      <c r="AI356" s="39">
        <f ca="1">IF(NOTA[ID_H]="","",INDEX(NOTA[TANGGAL],MATCH(,INDIRECT(ADDRESS(ROW(NOTA[TANGGAL]),COLUMN(NOTA[TANGGAL]))&amp;":"&amp;ADDRESS(ROW(),COLUMN(NOTA[TANGGAL]))),-1)))</f>
        <v>45187</v>
      </c>
      <c r="AJ356" s="41" t="str">
        <f ca="1">IF(NOTA[[#This Row],[NAMA BARANG]]="","",INDEX(NOTA[SUPPLIER],MATCH(,INDIRECT(ADDRESS(ROW(NOTA[ID]),COLUMN(NOTA[ID]))&amp;":"&amp;ADDRESS(ROW(),COLUMN(NOTA[ID]))),-1)))</f>
        <v>ATALI MAKMUR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9</v>
      </c>
      <c r="AN356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2175</v>
      </c>
      <c r="AT356" s="38" t="b">
        <f>IF(NOTA[[#This Row],[QTY/ CTN]]="","",TRUE)</f>
        <v>1</v>
      </c>
      <c r="AU356" s="38" t="str">
        <f ca="1">IF(NOTA[[#This Row],[ID_H]]="","",IF(NOTA[[#This Row],[Column3]]=TRUE,NOTA[[#This Row],[QTY/ CTN]],INDEX([3]!db[QTY/ CTN],NOTA[[#This Row],[//DB]])))</f>
        <v xml:space="preserve">30 GRS 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57</v>
      </c>
      <c r="E357" s="46"/>
      <c r="F357" s="37"/>
      <c r="G357" s="37"/>
      <c r="H357" s="47"/>
      <c r="I357" s="37"/>
      <c r="J357" s="39"/>
      <c r="K357" s="37"/>
      <c r="L357" s="37" t="s">
        <v>476</v>
      </c>
      <c r="M357" s="40">
        <v>1</v>
      </c>
      <c r="N357" s="38">
        <v>72</v>
      </c>
      <c r="O357" s="37" t="s">
        <v>139</v>
      </c>
      <c r="P357" s="41">
        <v>37200</v>
      </c>
      <c r="Q357" s="42"/>
      <c r="R357" s="48"/>
      <c r="S357" s="49">
        <v>0.125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2678400</v>
      </c>
      <c r="Y357" s="50">
        <f>IF(NOTA[[#This Row],[JUMLAH]]="","",NOTA[[#This Row],[JUMLAH]]*NOTA[[#This Row],[DISC 1]])</f>
        <v>334800</v>
      </c>
      <c r="Z357" s="50">
        <f>IF(NOTA[[#This Row],[JUMLAH]]="","",(NOTA[[#This Row],[JUMLAH]]-NOTA[[#This Row],[DISC 1-]])*NOTA[[#This Row],[DISC 2]])</f>
        <v>117180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451980</v>
      </c>
      <c r="AC357" s="50">
        <f>IF(NOTA[[#This Row],[JUMLAH]]="","",NOTA[[#This Row],[JUMLAH]]-NOTA[[#This Row],[DISC]])</f>
        <v>2226420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6995126.25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34457473.75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57" s="50">
        <f>IF(OR(NOTA[[#This Row],[QTY]]="",NOTA[[#This Row],[HARGA SATUAN]]="",),"",NOTA[[#This Row],[QTY]]*NOTA[[#This Row],[HARGA SATUAN]])</f>
        <v>2678400</v>
      </c>
      <c r="AI357" s="39">
        <f ca="1">IF(NOTA[ID_H]="","",INDEX(NOTA[TANGGAL],MATCH(,INDIRECT(ADDRESS(ROW(NOTA[TANGGAL]),COLUMN(NOTA[TANGGAL]))&amp;":"&amp;ADDRESS(ROW(),COLUMN(NOTA[TANGGAL]))),-1)))</f>
        <v>45187</v>
      </c>
      <c r="AJ357" s="41" t="str">
        <f ca="1">IF(NOTA[[#This Row],[NAMA BARANG]]="","",INDEX(NOTA[SUPPLIER],MATCH(,INDIRECT(ADDRESS(ROW(NOTA[ID]),COLUMN(NOTA[ID]))&amp;":"&amp;ADDRESS(ROW(),COLUMN(NOTA[ID]))),-1)))</f>
        <v>ATALI MAKMUR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9</v>
      </c>
      <c r="AN35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2172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12 BOX (72 PCS)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ATA_1809_501-12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58</v>
      </c>
      <c r="E359" s="46">
        <v>45187</v>
      </c>
      <c r="F359" s="37" t="s">
        <v>24</v>
      </c>
      <c r="G359" s="37" t="s">
        <v>23</v>
      </c>
      <c r="H359" s="47" t="s">
        <v>477</v>
      </c>
      <c r="I359" s="37"/>
      <c r="J359" s="39">
        <v>45184</v>
      </c>
      <c r="K359" s="37"/>
      <c r="L359" s="37" t="s">
        <v>478</v>
      </c>
      <c r="M359" s="40">
        <v>1</v>
      </c>
      <c r="N359" s="38">
        <v>144</v>
      </c>
      <c r="O359" s="37" t="s">
        <v>139</v>
      </c>
      <c r="P359" s="41">
        <v>12600</v>
      </c>
      <c r="Q359" s="42"/>
      <c r="R359" s="48"/>
      <c r="S359" s="49">
        <v>0.125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1814400</v>
      </c>
      <c r="Y359" s="50">
        <f>IF(NOTA[[#This Row],[JUMLAH]]="","",NOTA[[#This Row],[JUMLAH]]*NOTA[[#This Row],[DISC 1]])</f>
        <v>226800</v>
      </c>
      <c r="Z359" s="50">
        <f>IF(NOTA[[#This Row],[JUMLAH]]="","",(NOTA[[#This Row],[JUMLAH]]-NOTA[[#This Row],[DISC 1-]])*NOTA[[#This Row],[DISC 2]])</f>
        <v>79380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306180</v>
      </c>
      <c r="AC359" s="50">
        <f>IF(NOTA[[#This Row],[JUMLAH]]="","",NOTA[[#This Row],[JUMLAH]]-NOTA[[#This Row],[DISC]])</f>
        <v>1508220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359" s="50">
        <f>IF(OR(NOTA[[#This Row],[QTY]]="",NOTA[[#This Row],[HARGA SATUAN]]="",),"",NOTA[[#This Row],[QTY]]*NOTA[[#This Row],[HARGA SATUAN]])</f>
        <v>1814400</v>
      </c>
      <c r="AI359" s="39">
        <f ca="1">IF(NOTA[ID_H]="","",INDEX(NOTA[TANGGAL],MATCH(,INDIRECT(ADDRESS(ROW(NOTA[TANGGAL]),COLUMN(NOTA[TANGGAL]))&amp;":"&amp;ADDRESS(ROW(),COLUMN(NOTA[TANGGAL]))),-1)))</f>
        <v>45187</v>
      </c>
      <c r="AJ359" s="41" t="str">
        <f ca="1">IF(NOTA[[#This Row],[NAMA BARANG]]="","",INDEX(NOTA[SUPPLIER],MATCH(,INDIRECT(ADDRESS(ROW(NOTA[ID]),COLUMN(NOTA[ID]))&amp;":"&amp;ADDRESS(ROW(),COLUMN(NOTA[ID]))),-1)))</f>
        <v>ATALI MAKMUR</v>
      </c>
      <c r="AK359" s="41" t="str">
        <f ca="1">IF(NOTA[[#This Row],[ID_H]]="","",IF(NOTA[[#This Row],[FAKTUR]]="",INDIRECT(ADDRESS(ROW()-1,COLUMN())),NOTA[[#This Row],[FAKTUR]]))</f>
        <v>ARTO MORO</v>
      </c>
      <c r="AL359" s="38">
        <f ca="1">IF(NOTA[[#This Row],[ID]]="","",COUNTIF(NOTA[ID_H],NOTA[[#This Row],[ID_H]]))</f>
        <v>12</v>
      </c>
      <c r="AM359" s="38">
        <f>IF(NOTA[[#This Row],[TGL.NOTA]]="",IF(NOTA[[#This Row],[SUPPLIER_H]]="","",AM358),MONTH(NOTA[[#This Row],[TGL.NOTA]]))</f>
        <v>9</v>
      </c>
      <c r="AN359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MOROSA23091650145184ballpenbp338vocusblackjk</v>
      </c>
      <c r="AR359" s="38" t="e">
        <f>IF(NOTA[[#This Row],[CONCAT4]]="","",_xlfn.IFNA(MATCH(NOTA[[#This Row],[CONCAT4]],[2]!RAW[CONCAT_H],0),FALSE))</f>
        <v>#REF!</v>
      </c>
      <c r="AS359" s="38">
        <f>IF(NOTA[[#This Row],[CONCAT1]]="","",MATCH(NOTA[[#This Row],[CONCAT1]],[3]!db[NB NOTA_C],0))</f>
        <v>97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144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58</v>
      </c>
      <c r="E360" s="46"/>
      <c r="F360" s="37"/>
      <c r="G360" s="37"/>
      <c r="H360" s="47"/>
      <c r="I360" s="37"/>
      <c r="J360" s="39"/>
      <c r="K360" s="37"/>
      <c r="L360" s="37" t="s">
        <v>479</v>
      </c>
      <c r="M360" s="40">
        <v>1</v>
      </c>
      <c r="N360" s="38">
        <v>144</v>
      </c>
      <c r="O360" s="37" t="s">
        <v>133</v>
      </c>
      <c r="P360" s="41">
        <v>13800</v>
      </c>
      <c r="Q360" s="42"/>
      <c r="R360" s="48"/>
      <c r="S360" s="49">
        <v>0.125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1987200</v>
      </c>
      <c r="Y360" s="50">
        <f>IF(NOTA[[#This Row],[JUMLAH]]="","",NOTA[[#This Row],[JUMLAH]]*NOTA[[#This Row],[DISC 1]])</f>
        <v>248400</v>
      </c>
      <c r="Z360" s="50">
        <f>IF(NOTA[[#This Row],[JUMLAH]]="","",(NOTA[[#This Row],[JUMLAH]]-NOTA[[#This Row],[DISC 1-]])*NOTA[[#This Row],[DISC 2]])</f>
        <v>86940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335340</v>
      </c>
      <c r="AC360" s="50">
        <f>IF(NOTA[[#This Row],[JUMLAH]]="","",NOTA[[#This Row],[JUMLAH]]-NOTA[[#This Row],[DISC]])</f>
        <v>1651860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60" s="50">
        <f>IF(OR(NOTA[[#This Row],[QTY]]="",NOTA[[#This Row],[HARGA SATUAN]]="",),"",NOTA[[#This Row],[QTY]]*NOTA[[#This Row],[HARGA SATUAN]])</f>
        <v>1987200</v>
      </c>
      <c r="AI360" s="39">
        <f ca="1">IF(NOTA[ID_H]="","",INDEX(NOTA[TANGGAL],MATCH(,INDIRECT(ADDRESS(ROW(NOTA[TANGGAL]),COLUMN(NOTA[TANGGAL]))&amp;":"&amp;ADDRESS(ROW(),COLUMN(NOTA[TANGGAL]))),-1)))</f>
        <v>45187</v>
      </c>
      <c r="AJ360" s="41" t="str">
        <f ca="1">IF(NOTA[[#This Row],[NAMA BARANG]]="","",INDEX(NOTA[SUPPLIER],MATCH(,INDIRECT(ADDRESS(ROW(NOTA[ID]),COLUMN(NOTA[ID]))&amp;":"&amp;ADDRESS(ROW(),COLUMN(NOTA[ID]))),-1)))</f>
        <v>ATALI MAKMUR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9</v>
      </c>
      <c r="AN360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600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58</v>
      </c>
      <c r="E361" s="46"/>
      <c r="F361" s="37"/>
      <c r="G361" s="37"/>
      <c r="H361" s="47"/>
      <c r="I361" s="37"/>
      <c r="J361" s="39"/>
      <c r="K361" s="37"/>
      <c r="L361" s="37" t="s">
        <v>454</v>
      </c>
      <c r="M361" s="40">
        <v>1</v>
      </c>
      <c r="N361" s="38">
        <v>144</v>
      </c>
      <c r="O361" s="37" t="s">
        <v>133</v>
      </c>
      <c r="P361" s="41">
        <v>10600</v>
      </c>
      <c r="Q361" s="42"/>
      <c r="R361" s="48"/>
      <c r="S361" s="49">
        <v>0.125</v>
      </c>
      <c r="T361" s="44">
        <v>0.05</v>
      </c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1526400</v>
      </c>
      <c r="Y361" s="50">
        <f>IF(NOTA[[#This Row],[JUMLAH]]="","",NOTA[[#This Row],[JUMLAH]]*NOTA[[#This Row],[DISC 1]])</f>
        <v>190800</v>
      </c>
      <c r="Z361" s="50">
        <f>IF(NOTA[[#This Row],[JUMLAH]]="","",(NOTA[[#This Row],[JUMLAH]]-NOTA[[#This Row],[DISC 1-]])*NOTA[[#This Row],[DISC 2]])</f>
        <v>66780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257580</v>
      </c>
      <c r="AC361" s="50">
        <f>IF(NOTA[[#This Row],[JUMLAH]]="","",NOTA[[#This Row],[JUMLAH]]-NOTA[[#This Row],[DISC]])</f>
        <v>1268820</v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61" s="50">
        <f>IF(OR(NOTA[[#This Row],[QTY]]="",NOTA[[#This Row],[HARGA SATUAN]]="",),"",NOTA[[#This Row],[QTY]]*NOTA[[#This Row],[HARGA SATUAN]])</f>
        <v>1526400</v>
      </c>
      <c r="AI361" s="39">
        <f ca="1">IF(NOTA[ID_H]="","",INDEX(NOTA[TANGGAL],MATCH(,INDIRECT(ADDRESS(ROW(NOTA[TANGGAL]),COLUMN(NOTA[TANGGAL]))&amp;":"&amp;ADDRESS(ROW(),COLUMN(NOTA[TANGGAL]))),-1)))</f>
        <v>45187</v>
      </c>
      <c r="AJ361" s="41" t="str">
        <f ca="1">IF(NOTA[[#This Row],[NAMA BARANG]]="","",INDEX(NOTA[SUPPLIER],MATCH(,INDIRECT(ADDRESS(ROW(NOTA[ID]),COLUMN(NOTA[ID]))&amp;":"&amp;ADDRESS(ROW(),COLUMN(NOTA[ID]))),-1)))</f>
        <v>ATALI MAKMUR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9</v>
      </c>
      <c r="AN361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593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12 LSN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58</v>
      </c>
      <c r="E362" s="46"/>
      <c r="F362" s="37"/>
      <c r="G362" s="37"/>
      <c r="H362" s="47"/>
      <c r="I362" s="37"/>
      <c r="J362" s="39"/>
      <c r="K362" s="37"/>
      <c r="L362" s="37" t="s">
        <v>453</v>
      </c>
      <c r="M362" s="40">
        <v>4</v>
      </c>
      <c r="N362" s="38">
        <v>288</v>
      </c>
      <c r="O362" s="37" t="s">
        <v>133</v>
      </c>
      <c r="P362" s="41">
        <v>21200</v>
      </c>
      <c r="Q362" s="42"/>
      <c r="R362" s="48"/>
      <c r="S362" s="49">
        <v>0.125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6105600</v>
      </c>
      <c r="Y362" s="50">
        <f>IF(NOTA[[#This Row],[JUMLAH]]="","",NOTA[[#This Row],[JUMLAH]]*NOTA[[#This Row],[DISC 1]])</f>
        <v>763200</v>
      </c>
      <c r="Z362" s="50">
        <f>IF(NOTA[[#This Row],[JUMLAH]]="","",(NOTA[[#This Row],[JUMLAH]]-NOTA[[#This Row],[DISC 1-]])*NOTA[[#This Row],[DISC 2]])</f>
        <v>267120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1030320</v>
      </c>
      <c r="AC362" s="50">
        <f>IF(NOTA[[#This Row],[JUMLAH]]="","",NOTA[[#This Row],[JUMLAH]]-NOTA[[#This Row],[DISC]])</f>
        <v>5075280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62" s="50">
        <f>IF(OR(NOTA[[#This Row],[QTY]]="",NOTA[[#This Row],[HARGA SATUAN]]="",),"",NOTA[[#This Row],[QTY]]*NOTA[[#This Row],[HARGA SATUAN]])</f>
        <v>6105600</v>
      </c>
      <c r="AI362" s="39">
        <f ca="1">IF(NOTA[ID_H]="","",INDEX(NOTA[TANGGAL],MATCH(,INDIRECT(ADDRESS(ROW(NOTA[TANGGAL]),COLUMN(NOTA[TANGGAL]))&amp;":"&amp;ADDRESS(ROW(),COLUMN(NOTA[TANGGAL]))),-1)))</f>
        <v>45187</v>
      </c>
      <c r="AJ362" s="41" t="str">
        <f ca="1">IF(NOTA[[#This Row],[NAMA BARANG]]="","",INDEX(NOTA[SUPPLIER],MATCH(,INDIRECT(ADDRESS(ROW(NOTA[ID]),COLUMN(NOTA[ID]))&amp;":"&amp;ADDRESS(ROW(),COLUMN(NOTA[ID]))),-1)))</f>
        <v>ATALI MAKMUR</v>
      </c>
      <c r="AK362" s="41" t="str">
        <f ca="1">IF(NOTA[[#This Row],[ID_H]]="","",IF(NOTA[[#This Row],[FAKTUR]]="",INDIRECT(ADDRESS(ROW()-1,COLUMN())),NOTA[[#This Row],[FAKTUR]]))</f>
        <v>ARTO MORO</v>
      </c>
      <c r="AL362" s="38" t="str">
        <f ca="1">IF(NOTA[[#This Row],[ID]]="","",COUNTIF(NOTA[ID_H],NOTA[[#This Row],[ID_H]]))</f>
        <v/>
      </c>
      <c r="AM362" s="38">
        <f ca="1">IF(NOTA[[#This Row],[TGL.NOTA]]="",IF(NOTA[[#This Row],[SUPPLIER_H]]="","",AM361),MONTH(NOTA[[#This Row],[TGL.NOTA]]))</f>
        <v>9</v>
      </c>
      <c r="AN362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>
        <f>IF(NOTA[[#This Row],[CONCAT1]]="","",MATCH(NOTA[[#This Row],[CONCAT1]],[3]!db[NB NOTA_C],0))</f>
        <v>595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12 BOX (6 SET)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58</v>
      </c>
      <c r="E363" s="46"/>
      <c r="F363" s="37"/>
      <c r="G363" s="37"/>
      <c r="H363" s="47"/>
      <c r="I363" s="37"/>
      <c r="J363" s="39"/>
      <c r="K363" s="37"/>
      <c r="L363" s="37" t="s">
        <v>480</v>
      </c>
      <c r="M363" s="40">
        <v>1</v>
      </c>
      <c r="N363" s="38">
        <v>720</v>
      </c>
      <c r="O363" s="37" t="s">
        <v>127</v>
      </c>
      <c r="P363" s="41">
        <v>4600</v>
      </c>
      <c r="Q363" s="42"/>
      <c r="R363" s="48"/>
      <c r="S363" s="49">
        <v>0.125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3312000</v>
      </c>
      <c r="Y363" s="50">
        <f>IF(NOTA[[#This Row],[JUMLAH]]="","",NOTA[[#This Row],[JUMLAH]]*NOTA[[#This Row],[DISC 1]])</f>
        <v>414000</v>
      </c>
      <c r="Z363" s="50">
        <f>IF(NOTA[[#This Row],[JUMLAH]]="","",(NOTA[[#This Row],[JUMLAH]]-NOTA[[#This Row],[DISC 1-]])*NOTA[[#This Row],[DISC 2]])</f>
        <v>144900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558900</v>
      </c>
      <c r="AC363" s="50">
        <f>IF(NOTA[[#This Row],[JUMLAH]]="","",NOTA[[#This Row],[JUMLAH]]-NOTA[[#This Row],[DISC]])</f>
        <v>2753100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363" s="50">
        <f>IF(OR(NOTA[[#This Row],[QTY]]="",NOTA[[#This Row],[HARGA SATUAN]]="",),"",NOTA[[#This Row],[QTY]]*NOTA[[#This Row],[HARGA SATUAN]])</f>
        <v>3312000</v>
      </c>
      <c r="AI363" s="39">
        <f ca="1">IF(NOTA[ID_H]="","",INDEX(NOTA[TANGGAL],MATCH(,INDIRECT(ADDRESS(ROW(NOTA[TANGGAL]),COLUMN(NOTA[TANGGAL]))&amp;":"&amp;ADDRESS(ROW(),COLUMN(NOTA[TANGGAL]))),-1)))</f>
        <v>45187</v>
      </c>
      <c r="AJ363" s="41" t="str">
        <f ca="1">IF(NOTA[[#This Row],[NAMA BARANG]]="","",INDEX(NOTA[SUPPLIER],MATCH(,INDIRECT(ADDRESS(ROW(NOTA[ID]),COLUMN(NOTA[ID]))&amp;":"&amp;ADDRESS(ROW(),COLUMN(NOTA[ID]))),-1)))</f>
        <v>ATALI MAKMUR</v>
      </c>
      <c r="AK363" s="41" t="str">
        <f ca="1">IF(NOTA[[#This Row],[ID_H]]="","",IF(NOTA[[#This Row],[FAKTUR]]="",INDIRECT(ADDRESS(ROW()-1,COLUMN())),NOTA[[#This Row],[FAKTUR]]))</f>
        <v>ARTO MORO</v>
      </c>
      <c r="AL363" s="38" t="str">
        <f ca="1">IF(NOTA[[#This Row],[ID]]="","",COUNTIF(NOTA[ID_H],NOTA[[#This Row],[ID_H]]))</f>
        <v/>
      </c>
      <c r="AM363" s="38">
        <f ca="1">IF(NOTA[[#This Row],[TGL.NOTA]]="",IF(NOTA[[#This Row],[SUPPLIER_H]]="","",AM362),MONTH(NOTA[[#This Row],[TGL.NOTA]]))</f>
        <v>9</v>
      </c>
      <c r="AN36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>
        <f>IF(NOTA[[#This Row],[CONCAT1]]="","",MATCH(NOTA[[#This Row],[CONCAT1]],[3]!db[NB NOTA_C],0))</f>
        <v>628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60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58</v>
      </c>
      <c r="E364" s="46"/>
      <c r="F364" s="37"/>
      <c r="G364" s="37"/>
      <c r="H364" s="47"/>
      <c r="I364" s="37"/>
      <c r="J364" s="39"/>
      <c r="K364" s="37"/>
      <c r="L364" s="37" t="s">
        <v>481</v>
      </c>
      <c r="M364" s="40">
        <v>2</v>
      </c>
      <c r="N364" s="38">
        <v>864</v>
      </c>
      <c r="O364" s="37" t="s">
        <v>127</v>
      </c>
      <c r="P364" s="41">
        <v>4400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3801600</v>
      </c>
      <c r="Y364" s="50">
        <f>IF(NOTA[[#This Row],[JUMLAH]]="","",NOTA[[#This Row],[JUMLAH]]*NOTA[[#This Row],[DISC 1]])</f>
        <v>475200</v>
      </c>
      <c r="Z364" s="50">
        <f>IF(NOTA[[#This Row],[JUMLAH]]="","",(NOTA[[#This Row],[JUMLAH]]-NOTA[[#This Row],[DISC 1-]])*NOTA[[#This Row],[DISC 2]])</f>
        <v>166320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641520</v>
      </c>
      <c r="AC364" s="50">
        <f>IF(NOTA[[#This Row],[JUMLAH]]="","",NOTA[[#This Row],[JUMLAH]]-NOTA[[#This Row],[DISC]])</f>
        <v>3160080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364" s="50">
        <f>IF(OR(NOTA[[#This Row],[QTY]]="",NOTA[[#This Row],[HARGA SATUAN]]="",),"",NOTA[[#This Row],[QTY]]*NOTA[[#This Row],[HARGA SATUAN]])</f>
        <v>3801600</v>
      </c>
      <c r="AI364" s="39">
        <f ca="1">IF(NOTA[ID_H]="","",INDEX(NOTA[TANGGAL],MATCH(,INDIRECT(ADDRESS(ROW(NOTA[TANGGAL]),COLUMN(NOTA[TANGGAL]))&amp;":"&amp;ADDRESS(ROW(),COLUMN(NOTA[TANGGAL]))),-1)))</f>
        <v>45187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9</v>
      </c>
      <c r="AN36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>
        <f>IF(NOTA[[#This Row],[CONCAT1]]="","",MATCH(NOTA[[#This Row],[CONCAT1]],[3]!db[NB NOTA_C],0))</f>
        <v>1146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36 LSN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58</v>
      </c>
      <c r="E365" s="46"/>
      <c r="F365" s="37"/>
      <c r="G365" s="37"/>
      <c r="H365" s="47"/>
      <c r="I365" s="37"/>
      <c r="J365" s="39"/>
      <c r="K365" s="37"/>
      <c r="L365" s="37" t="s">
        <v>387</v>
      </c>
      <c r="M365" s="40">
        <v>5</v>
      </c>
      <c r="N365" s="38">
        <v>250</v>
      </c>
      <c r="O365" s="37" t="s">
        <v>184</v>
      </c>
      <c r="P365" s="41">
        <v>28300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7075000</v>
      </c>
      <c r="Y365" s="50">
        <f>IF(NOTA[[#This Row],[JUMLAH]]="","",NOTA[[#This Row],[JUMLAH]]*NOTA[[#This Row],[DISC 1]])</f>
        <v>884375</v>
      </c>
      <c r="Z365" s="50">
        <f>IF(NOTA[[#This Row],[JUMLAH]]="","",(NOTA[[#This Row],[JUMLAH]]-NOTA[[#This Row],[DISC 1-]])*NOTA[[#This Row],[DISC 2]])</f>
        <v>309531.25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1193906.25</v>
      </c>
      <c r="AC365" s="50">
        <f>IF(NOTA[[#This Row],[JUMLAH]]="","",NOTA[[#This Row],[JUMLAH]]-NOTA[[#This Row],[DISC]])</f>
        <v>5881093.75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365" s="50">
        <f>IF(OR(NOTA[[#This Row],[QTY]]="",NOTA[[#This Row],[HARGA SATUAN]]="",),"",NOTA[[#This Row],[QTY]]*NOTA[[#This Row],[HARGA SATUAN]])</f>
        <v>7075000</v>
      </c>
      <c r="AI365" s="39">
        <f ca="1">IF(NOTA[ID_H]="","",INDEX(NOTA[TANGGAL],MATCH(,INDIRECT(ADDRESS(ROW(NOTA[TANGGAL]),COLUMN(NOTA[TANGGAL]))&amp;":"&amp;ADDRESS(ROW(),COLUMN(NOTA[TANGGAL]))),-1)))</f>
        <v>45187</v>
      </c>
      <c r="AJ365" s="41" t="str">
        <f ca="1">IF(NOTA[[#This Row],[NAMA BARANG]]="","",INDEX(NOTA[SUPPLIER],MATCH(,INDIRECT(ADDRESS(ROW(NOTA[ID]),COLUMN(NOTA[ID]))&amp;":"&amp;ADDRESS(ROW(),COLUMN(NOTA[ID]))),-1)))</f>
        <v>ATALI MAKMUR</v>
      </c>
      <c r="AK365" s="41" t="str">
        <f ca="1">IF(NOTA[[#This Row],[ID_H]]="","",IF(NOTA[[#This Row],[FAKTUR]]="",INDIRECT(ADDRESS(ROW()-1,COLUMN())),NOTA[[#This Row],[FAKTUR]]))</f>
        <v>ARTO MORO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9</v>
      </c>
      <c r="AN36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>
        <f>IF(NOTA[[#This Row],[CONCAT1]]="","",MATCH(NOTA[[#This Row],[CONCAT1]],[3]!db[NB NOTA_C],0))</f>
        <v>836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50 BOX (40 PCS)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58</v>
      </c>
      <c r="E366" s="46"/>
      <c r="F366" s="37"/>
      <c r="G366" s="37"/>
      <c r="H366" s="47"/>
      <c r="I366" s="37"/>
      <c r="J366" s="39"/>
      <c r="K366" s="37"/>
      <c r="L366" s="37" t="s">
        <v>482</v>
      </c>
      <c r="M366" s="40">
        <v>5</v>
      </c>
      <c r="N366" s="38">
        <v>250</v>
      </c>
      <c r="O366" s="37" t="s">
        <v>184</v>
      </c>
      <c r="P366" s="41">
        <v>28300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7075000</v>
      </c>
      <c r="Y366" s="50">
        <f>IF(NOTA[[#This Row],[JUMLAH]]="","",NOTA[[#This Row],[JUMLAH]]*NOTA[[#This Row],[DISC 1]])</f>
        <v>884375</v>
      </c>
      <c r="Z366" s="50">
        <f>IF(NOTA[[#This Row],[JUMLAH]]="","",(NOTA[[#This Row],[JUMLAH]]-NOTA[[#This Row],[DISC 1-]])*NOTA[[#This Row],[DISC 2]])</f>
        <v>309531.25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1193906.25</v>
      </c>
      <c r="AC366" s="50">
        <f>IF(NOTA[[#This Row],[JUMLAH]]="","",NOTA[[#This Row],[JUMLAH]]-NOTA[[#This Row],[DISC]])</f>
        <v>5881093.75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366" s="50">
        <f>IF(OR(NOTA[[#This Row],[QTY]]="",NOTA[[#This Row],[HARGA SATUAN]]="",),"",NOTA[[#This Row],[QTY]]*NOTA[[#This Row],[HARGA SATUAN]])</f>
        <v>7075000</v>
      </c>
      <c r="AI366" s="39">
        <f ca="1">IF(NOTA[ID_H]="","",INDEX(NOTA[TANGGAL],MATCH(,INDIRECT(ADDRESS(ROW(NOTA[TANGGAL]),COLUMN(NOTA[TANGGAL]))&amp;":"&amp;ADDRESS(ROW(),COLUMN(NOTA[TANGGAL]))),-1)))</f>
        <v>45187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9</v>
      </c>
      <c r="AN3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>
        <f>IF(NOTA[[#This Row],[CONCAT1]]="","",MATCH(NOTA[[#This Row],[CONCAT1]],[3]!db[NB NOTA_C],0))</f>
        <v>834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50 BOX (40 PCS)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58</v>
      </c>
      <c r="E367" s="46"/>
      <c r="F367" s="37"/>
      <c r="G367" s="37"/>
      <c r="H367" s="47"/>
      <c r="I367" s="37"/>
      <c r="J367" s="39"/>
      <c r="K367" s="37"/>
      <c r="L367" s="37" t="s">
        <v>483</v>
      </c>
      <c r="M367" s="40">
        <v>4</v>
      </c>
      <c r="N367" s="38">
        <v>200</v>
      </c>
      <c r="O367" s="37" t="s">
        <v>184</v>
      </c>
      <c r="P367" s="41">
        <v>32000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6400000</v>
      </c>
      <c r="Y367" s="50">
        <f>IF(NOTA[[#This Row],[JUMLAH]]="","",NOTA[[#This Row],[JUMLAH]]*NOTA[[#This Row],[DISC 1]])</f>
        <v>800000</v>
      </c>
      <c r="Z367" s="50">
        <f>IF(NOTA[[#This Row],[JUMLAH]]="","",(NOTA[[#This Row],[JUMLAH]]-NOTA[[#This Row],[DISC 1-]])*NOTA[[#This Row],[DISC 2]])</f>
        <v>280000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1080000</v>
      </c>
      <c r="AC367" s="50">
        <f>IF(NOTA[[#This Row],[JUMLAH]]="","",NOTA[[#This Row],[JUMLAH]]-NOTA[[#This Row],[DISC]])</f>
        <v>5320000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367" s="50">
        <f>IF(OR(NOTA[[#This Row],[QTY]]="",NOTA[[#This Row],[HARGA SATUAN]]="",),"",NOTA[[#This Row],[QTY]]*NOTA[[#This Row],[HARGA SATUAN]])</f>
        <v>6400000</v>
      </c>
      <c r="AI367" s="39">
        <f ca="1">IF(NOTA[ID_H]="","",INDEX(NOTA[TANGGAL],MATCH(,INDIRECT(ADDRESS(ROW(NOTA[TANGGAL]),COLUMN(NOTA[TANGGAL]))&amp;":"&amp;ADDRESS(ROW(),COLUMN(NOTA[TANGGAL]))),-1)))</f>
        <v>45187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9</v>
      </c>
      <c r="AN367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843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50 BOX (30 PCS)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58</v>
      </c>
      <c r="E368" s="46"/>
      <c r="F368" s="37"/>
      <c r="G368" s="37"/>
      <c r="H368" s="47"/>
      <c r="I368" s="37"/>
      <c r="J368" s="39"/>
      <c r="K368" s="37"/>
      <c r="L368" s="37" t="s">
        <v>484</v>
      </c>
      <c r="M368" s="40">
        <v>3</v>
      </c>
      <c r="N368" s="38">
        <v>150</v>
      </c>
      <c r="O368" s="37" t="s">
        <v>184</v>
      </c>
      <c r="P368" s="41">
        <v>34100</v>
      </c>
      <c r="Q368" s="42"/>
      <c r="R368" s="48"/>
      <c r="S368" s="49">
        <v>0.125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5115000</v>
      </c>
      <c r="Y368" s="50">
        <f>IF(NOTA[[#This Row],[JUMLAH]]="","",NOTA[[#This Row],[JUMLAH]]*NOTA[[#This Row],[DISC 1]])</f>
        <v>639375</v>
      </c>
      <c r="Z368" s="50">
        <f>IF(NOTA[[#This Row],[JUMLAH]]="","",(NOTA[[#This Row],[JUMLAH]]-NOTA[[#This Row],[DISC 1-]])*NOTA[[#This Row],[DISC 2]])</f>
        <v>223781.25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863156.25</v>
      </c>
      <c r="AC368" s="50">
        <f>IF(NOTA[[#This Row],[JUMLAH]]="","",NOTA[[#This Row],[JUMLAH]]-NOTA[[#This Row],[DISC]])</f>
        <v>4251843.75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368" s="50">
        <f>IF(OR(NOTA[[#This Row],[QTY]]="",NOTA[[#This Row],[HARGA SATUAN]]="",),"",NOTA[[#This Row],[QTY]]*NOTA[[#This Row],[HARGA SATUAN]])</f>
        <v>5115000</v>
      </c>
      <c r="AI368" s="39">
        <f ca="1">IF(NOTA[ID_H]="","",INDEX(NOTA[TANGGAL],MATCH(,INDIRECT(ADDRESS(ROW(NOTA[TANGGAL]),COLUMN(NOTA[TANGGAL]))&amp;":"&amp;ADDRESS(ROW(),COLUMN(NOTA[TANGGAL]))),-1)))</f>
        <v>45187</v>
      </c>
      <c r="AJ368" s="41" t="str">
        <f ca="1">IF(NOTA[[#This Row],[NAMA BARANG]]="","",INDEX(NOTA[SUPPLIER],MATCH(,INDIRECT(ADDRESS(ROW(NOTA[ID]),COLUMN(NOTA[ID]))&amp;":"&amp;ADDRESS(ROW(),COLUMN(NOTA[ID]))),-1)))</f>
        <v>ATALI MAKMUR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9</v>
      </c>
      <c r="AN368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844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50 BOX (20 PCS)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58</v>
      </c>
      <c r="E369" s="46"/>
      <c r="F369" s="37"/>
      <c r="G369" s="37"/>
      <c r="H369" s="47"/>
      <c r="I369" s="37"/>
      <c r="J369" s="39"/>
      <c r="K369" s="37"/>
      <c r="L369" s="37" t="s">
        <v>226</v>
      </c>
      <c r="M369" s="40">
        <v>6</v>
      </c>
      <c r="N369" s="38">
        <v>144</v>
      </c>
      <c r="O369" s="37" t="s">
        <v>127</v>
      </c>
      <c r="P369" s="41">
        <v>19000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2736000</v>
      </c>
      <c r="Y369" s="50">
        <f>IF(NOTA[[#This Row],[JUMLAH]]="","",NOTA[[#This Row],[JUMLAH]]*NOTA[[#This Row],[DISC 1]])</f>
        <v>342000</v>
      </c>
      <c r="Z369" s="50">
        <f>IF(NOTA[[#This Row],[JUMLAH]]="","",(NOTA[[#This Row],[JUMLAH]]-NOTA[[#This Row],[DISC 1-]])*NOTA[[#This Row],[DISC 2]])</f>
        <v>119700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461700</v>
      </c>
      <c r="AC369" s="50">
        <f>IF(NOTA[[#This Row],[JUMLAH]]="","",NOTA[[#This Row],[JUMLAH]]-NOTA[[#This Row],[DISC]])</f>
        <v>2274300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9" s="50">
        <f>IF(OR(NOTA[[#This Row],[QTY]]="",NOTA[[#This Row],[HARGA SATUAN]]="",),"",NOTA[[#This Row],[QTY]]*NOTA[[#This Row],[HARGA SATUAN]])</f>
        <v>2736000</v>
      </c>
      <c r="AI369" s="39">
        <f ca="1">IF(NOTA[ID_H]="","",INDEX(NOTA[TANGGAL],MATCH(,INDIRECT(ADDRESS(ROW(NOTA[TANGGAL]),COLUMN(NOTA[TANGGAL]))&amp;":"&amp;ADDRESS(ROW(),COLUMN(NOTA[TANGGAL]))),-1)))</f>
        <v>45187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9</v>
      </c>
      <c r="AN369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2530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24 PCS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58</v>
      </c>
      <c r="E370" s="46"/>
      <c r="F370" s="37"/>
      <c r="G370" s="37"/>
      <c r="H370" s="47"/>
      <c r="I370" s="37"/>
      <c r="J370" s="39"/>
      <c r="K370" s="37"/>
      <c r="L370" s="37" t="s">
        <v>385</v>
      </c>
      <c r="M370" s="40">
        <v>1</v>
      </c>
      <c r="N370" s="38">
        <v>240</v>
      </c>
      <c r="O370" s="37" t="s">
        <v>133</v>
      </c>
      <c r="P370" s="41">
        <v>8800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2112000</v>
      </c>
      <c r="Y370" s="50">
        <f>IF(NOTA[[#This Row],[JUMLAH]]="","",NOTA[[#This Row],[JUMLAH]]*NOTA[[#This Row],[DISC 1]])</f>
        <v>264000</v>
      </c>
      <c r="Z370" s="50">
        <f>IF(NOTA[[#This Row],[JUMLAH]]="","",(NOTA[[#This Row],[JUMLAH]]-NOTA[[#This Row],[DISC 1-]])*NOTA[[#This Row],[DISC 2]])</f>
        <v>92400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356400</v>
      </c>
      <c r="AC370" s="50">
        <f>IF(NOTA[[#This Row],[JUMLAH]]="","",NOTA[[#This Row],[JUMLAH]]-NOTA[[#This Row],[DISC]])</f>
        <v>1755600</v>
      </c>
      <c r="AD370" s="50"/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8278908.75</v>
      </c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40781291.25</v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70" s="50">
        <f>IF(OR(NOTA[[#This Row],[QTY]]="",NOTA[[#This Row],[HARGA SATUAN]]="",),"",NOTA[[#This Row],[QTY]]*NOTA[[#This Row],[HARGA SATUAN]])</f>
        <v>2112000</v>
      </c>
      <c r="AI370" s="39">
        <f ca="1">IF(NOTA[ID_H]="","",INDEX(NOTA[TANGGAL],MATCH(,INDIRECT(ADDRESS(ROW(NOTA[TANGGAL]),COLUMN(NOTA[TANGGAL]))&amp;":"&amp;ADDRESS(ROW(),COLUMN(NOTA[TANGGAL]))),-1)))</f>
        <v>45187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9</v>
      </c>
      <c r="AN370" s="38" t="str">
        <f>LOWER(SUBSTITUTE(SUBSTITUTE(SUBSTITUTE(SUBSTITUTE(SUBSTITUTE(SUBSTITUTE(SUBSTITUTE(SUBSTITUTE(SUBSTITUTE(NOTA[NAMA BARANG]," ",),".",""),"-",""),"(",""),")",""),",",""),"/",""),"""",""),"+",""))</f>
        <v>brushbr1jk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395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10 BOX (24 SET)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MSI_2009_149-10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59</v>
      </c>
      <c r="E372" s="46">
        <v>45189</v>
      </c>
      <c r="F372" s="37" t="s">
        <v>485</v>
      </c>
      <c r="G372" s="37" t="s">
        <v>124</v>
      </c>
      <c r="H372" s="47" t="s">
        <v>486</v>
      </c>
      <c r="I372" s="37"/>
      <c r="J372" s="39">
        <v>45177</v>
      </c>
      <c r="K372" s="37"/>
      <c r="L372" s="37" t="s">
        <v>487</v>
      </c>
      <c r="M372" s="40">
        <v>10</v>
      </c>
      <c r="N372" s="38">
        <v>1440</v>
      </c>
      <c r="O372" s="37" t="s">
        <v>139</v>
      </c>
      <c r="P372" s="41">
        <v>9000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12960000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12960000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2" s="50">
        <f>IF(OR(NOTA[[#This Row],[QTY]]="",NOTA[[#This Row],[HARGA SATUAN]]="",),"",NOTA[[#This Row],[QTY]]*NOTA[[#This Row],[HARGA SATUAN]])</f>
        <v>12960000</v>
      </c>
      <c r="AI372" s="39">
        <f ca="1">IF(NOTA[ID_H]="","",INDEX(NOTA[TANGGAL],MATCH(,INDIRECT(ADDRESS(ROW(NOTA[TANGGAL]),COLUMN(NOTA[TANGGAL]))&amp;":"&amp;ADDRESS(ROW(),COLUMN(NOTA[TANGGAL]))),-1)))</f>
        <v>45189</v>
      </c>
      <c r="AJ372" s="41" t="str">
        <f ca="1">IF(NOTA[[#This Row],[NAMA BARANG]]="","",INDEX(NOTA[SUPPLIER],MATCH(,INDIRECT(ADDRESS(ROW(NOTA[ID]),COLUMN(NOTA[ID]))&amp;":"&amp;ADDRESS(ROW(),COLUMN(NOTA[ID]))),-1)))</f>
        <v>MSI</v>
      </c>
      <c r="AK372" s="41" t="str">
        <f ca="1">IF(NOTA[[#This Row],[ID_H]]="","",IF(NOTA[[#This Row],[FAKTUR]]="",INDIRECT(ADDRESS(ROW()-1,COLUMN())),NOTA[[#This Row],[FAKTUR]]))</f>
        <v>UNTANA</v>
      </c>
      <c r="AL372" s="38">
        <f ca="1">IF(NOTA[[#This Row],[ID]]="","",COUNTIF(NOTA[ID_H],NOTA[[#This Row],[ID_H]]))</f>
        <v>10</v>
      </c>
      <c r="AM372" s="38">
        <f>IF(NOTA[[#This Row],[TGL.NOTA]]="",IF(NOTA[[#This Row],[SUPPLIER_H]]="","",AM371),MONTH(NOTA[[#This Row],[TGL.NOTA]]))</f>
        <v>9</v>
      </c>
      <c r="AN372" s="38" t="str">
        <f>LOWER(SUBSTITUTE(SUBSTITUTE(SUBSTITUTE(SUBSTITUTE(SUBSTITUTE(SUBSTITUTE(SUBSTITUTE(SUBSTITUTE(SUBSTITUTE(NOTA[NAMA BARANG]," ",),".",""),"-",""),"(",""),")",""),",",""),"/",""),"""",""),"+",""))</f>
        <v>gelpenvtr238justiceleague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gelpenvtr238justiceleague1296000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gelpenvtr238justiceleague1296000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MSIUNTANA23/IX/14945177gelpenvtr238justiceleague</v>
      </c>
      <c r="AR372" s="38" t="e">
        <f>IF(NOTA[[#This Row],[CONCAT4]]="","",_xlfn.IFNA(MATCH(NOTA[[#This Row],[CONCAT4]],[2]!RAW[CONCAT_H],0),FALSE))</f>
        <v>#REF!</v>
      </c>
      <c r="AS372" s="38" t="e">
        <f>IF(NOTA[[#This Row],[CONCAT1]]="","",MATCH(NOTA[[#This Row],[CONCAT1]],[3]!db[NB NOTA_C],0))</f>
        <v>#N/A</v>
      </c>
      <c r="AT372" s="38" t="str">
        <f>IF(NOTA[[#This Row],[QTY/ CTN]]="","",TRUE)</f>
        <v/>
      </c>
      <c r="AU372" s="38" t="e">
        <f ca="1">IF(NOTA[[#This Row],[ID_H]]="","",IF(NOTA[[#This Row],[Column3]]=TRUE,NOTA[[#This Row],[QTY/ CTN]],INDEX([3]!db[QTY/ CTN],NOTA[[#This Row],[//DB]])))</f>
        <v>#N/A</v>
      </c>
      <c r="AV3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2" s="38" t="e">
        <f ca="1">IF(NOTA[[#This Row],[ID_H]]="","",MATCH(NOTA[[#This Row],[NB NOTA_C_QTY]],[4]!db[NB NOTA_C_QTY+F],0))</f>
        <v>#N/A</v>
      </c>
      <c r="AX372" s="53" t="e">
        <f ca="1">IF(NOTA[[#This Row],[NB NOTA_C_QTY]]="","",ROW()-2)</f>
        <v>#N/A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59</v>
      </c>
      <c r="E373" s="46"/>
      <c r="F373" s="37"/>
      <c r="G373" s="37"/>
      <c r="H373" s="47"/>
      <c r="I373" s="37"/>
      <c r="J373" s="39"/>
      <c r="K373" s="37"/>
      <c r="L373" s="37" t="s">
        <v>488</v>
      </c>
      <c r="M373" s="40">
        <v>10</v>
      </c>
      <c r="N373" s="38">
        <v>1440</v>
      </c>
      <c r="O373" s="37" t="s">
        <v>139</v>
      </c>
      <c r="P373" s="41">
        <v>9000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12960000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12960000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3" s="50">
        <f>IF(OR(NOTA[[#This Row],[QTY]]="",NOTA[[#This Row],[HARGA SATUAN]]="",),"",NOTA[[#This Row],[QTY]]*NOTA[[#This Row],[HARGA SATUAN]])</f>
        <v>12960000</v>
      </c>
      <c r="AI373" s="39">
        <f ca="1">IF(NOTA[ID_H]="","",INDEX(NOTA[TANGGAL],MATCH(,INDIRECT(ADDRESS(ROW(NOTA[TANGGAL]),COLUMN(NOTA[TANGGAL]))&amp;":"&amp;ADDRESS(ROW(),COLUMN(NOTA[TANGGAL]))),-1)))</f>
        <v>45189</v>
      </c>
      <c r="AJ373" s="41" t="str">
        <f ca="1">IF(NOTA[[#This Row],[NAMA BARANG]]="","",INDEX(NOTA[SUPPLIER],MATCH(,INDIRECT(ADDRESS(ROW(NOTA[ID]),COLUMN(NOTA[ID]))&amp;":"&amp;ADDRESS(ROW(),COLUMN(NOTA[ID]))),-1)))</f>
        <v>MSI</v>
      </c>
      <c r="AK373" s="41" t="str">
        <f ca="1">IF(NOTA[[#This Row],[ID_H]]="","",IF(NOTA[[#This Row],[FAKTUR]]="",INDIRECT(ADDRESS(ROW()-1,COLUMN())),NOTA[[#This Row],[FAKTUR]]))</f>
        <v>UNTANA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9</v>
      </c>
      <c r="AN373" s="38" t="str">
        <f>LOWER(SUBSTITUTE(SUBSTITUTE(SUBSTITUTE(SUBSTITUTE(SUBSTITUTE(SUBSTITUTE(SUBSTITUTE(SUBSTITUTE(SUBSTITUTE(NOTA[NAMA BARANG]," ",),".",""),"-",""),"(",""),")",""),",",""),"/",""),"""",""),"+",""))</f>
        <v>gelpenvtr238popgirls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gelpenvtr238popgirls1296000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gelpenvtr238popgirls1296000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e">
        <f>IF(NOTA[[#This Row],[CONCAT1]]="","",MATCH(NOTA[[#This Row],[CONCAT1]],[3]!db[NB NOTA_C],0))</f>
        <v>#N/A</v>
      </c>
      <c r="AT373" s="38" t="str">
        <f>IF(NOTA[[#This Row],[QTY/ CTN]]="","",TRUE)</f>
        <v/>
      </c>
      <c r="AU373" s="38" t="e">
        <f ca="1">IF(NOTA[[#This Row],[ID_H]]="","",IF(NOTA[[#This Row],[Column3]]=TRUE,NOTA[[#This Row],[QTY/ CTN]],INDEX([3]!db[QTY/ CTN],NOTA[[#This Row],[//DB]])))</f>
        <v>#N/A</v>
      </c>
      <c r="AV3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3" s="38" t="e">
        <f ca="1">IF(NOTA[[#This Row],[ID_H]]="","",MATCH(NOTA[[#This Row],[NB NOTA_C_QTY]],[4]!db[NB NOTA_C_QTY+F],0))</f>
        <v>#N/A</v>
      </c>
      <c r="AX373" s="53" t="e">
        <f ca="1">IF(NOTA[[#This Row],[NB NOTA_C_QTY]]="","",ROW()-2)</f>
        <v>#N/A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59</v>
      </c>
      <c r="E374" s="46"/>
      <c r="F374" s="37"/>
      <c r="G374" s="37"/>
      <c r="H374" s="47"/>
      <c r="I374" s="37"/>
      <c r="J374" s="39"/>
      <c r="K374" s="37"/>
      <c r="L374" s="37" t="s">
        <v>489</v>
      </c>
      <c r="M374" s="40">
        <v>10</v>
      </c>
      <c r="N374" s="38">
        <v>1440</v>
      </c>
      <c r="O374" s="37" t="s">
        <v>139</v>
      </c>
      <c r="P374" s="41">
        <v>9000</v>
      </c>
      <c r="Q374" s="42"/>
      <c r="R374" s="48"/>
      <c r="S374" s="49"/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12960000</v>
      </c>
      <c r="Y374" s="50">
        <f>IF(NOTA[[#This Row],[JUMLAH]]="","",NOTA[[#This Row],[JUMLAH]]*NOTA[[#This Row],[DISC 1]])</f>
        <v>0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0</v>
      </c>
      <c r="AC374" s="50">
        <f>IF(NOTA[[#This Row],[JUMLAH]]="","",NOTA[[#This Row],[JUMLAH]]-NOTA[[#This Row],[DISC]])</f>
        <v>12960000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4" s="50">
        <f>IF(OR(NOTA[[#This Row],[QTY]]="",NOTA[[#This Row],[HARGA SATUAN]]="",),"",NOTA[[#This Row],[QTY]]*NOTA[[#This Row],[HARGA SATUAN]])</f>
        <v>12960000</v>
      </c>
      <c r="AI374" s="39">
        <f ca="1">IF(NOTA[ID_H]="","",INDEX(NOTA[TANGGAL],MATCH(,INDIRECT(ADDRESS(ROW(NOTA[TANGGAL]),COLUMN(NOTA[TANGGAL]))&amp;":"&amp;ADDRESS(ROW(),COLUMN(NOTA[TANGGAL]))),-1)))</f>
        <v>45189</v>
      </c>
      <c r="AJ374" s="41" t="str">
        <f ca="1">IF(NOTA[[#This Row],[NAMA BARANG]]="","",INDEX(NOTA[SUPPLIER],MATCH(,INDIRECT(ADDRESS(ROW(NOTA[ID]),COLUMN(NOTA[ID]))&amp;":"&amp;ADDRESS(ROW(),COLUMN(NOTA[ID]))),-1)))</f>
        <v>MSI</v>
      </c>
      <c r="AK374" s="41" t="str">
        <f ca="1">IF(NOTA[[#This Row],[ID_H]]="","",IF(NOTA[[#This Row],[FAKTUR]]="",INDIRECT(ADDRESS(ROW()-1,COLUMN())),NOTA[[#This Row],[FAKTUR]]))</f>
        <v>UNTANA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9</v>
      </c>
      <c r="AN374" s="38" t="str">
        <f>LOWER(SUBSTITUTE(SUBSTITUTE(SUBSTITUTE(SUBSTITUTE(SUBSTITUTE(SUBSTITUTE(SUBSTITUTE(SUBSTITUTE(SUBSTITUTE(NOTA[NAMA BARANG]," ",),".",""),"-",""),"(",""),")",""),",",""),"/",""),"""",""),"+",""))</f>
        <v>gelpenvtr239austronaut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gelpenvtr239austronaut1296000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gelpenvtr239austronaut1296000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e">
        <f>IF(NOTA[[#This Row],[CONCAT1]]="","",MATCH(NOTA[[#This Row],[CONCAT1]],[3]!db[NB NOTA_C],0))</f>
        <v>#N/A</v>
      </c>
      <c r="AT374" s="38" t="str">
        <f>IF(NOTA[[#This Row],[QTY/ CTN]]="","",TRUE)</f>
        <v/>
      </c>
      <c r="AU374" s="38" t="e">
        <f ca="1">IF(NOTA[[#This Row],[ID_H]]="","",IF(NOTA[[#This Row],[Column3]]=TRUE,NOTA[[#This Row],[QTY/ CTN]],INDEX([3]!db[QTY/ CTN],NOTA[[#This Row],[//DB]])))</f>
        <v>#N/A</v>
      </c>
      <c r="AV3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4" s="38" t="e">
        <f ca="1">IF(NOTA[[#This Row],[ID_H]]="","",MATCH(NOTA[[#This Row],[NB NOTA_C_QTY]],[4]!db[NB NOTA_C_QTY+F],0))</f>
        <v>#N/A</v>
      </c>
      <c r="AX374" s="53" t="e">
        <f ca="1">IF(NOTA[[#This Row],[NB NOTA_C_QTY]]="","",ROW()-2)</f>
        <v>#N/A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59</v>
      </c>
      <c r="E375" s="46"/>
      <c r="F375" s="37"/>
      <c r="G375" s="37"/>
      <c r="H375" s="47"/>
      <c r="I375" s="37"/>
      <c r="J375" s="39"/>
      <c r="K375" s="37"/>
      <c r="L375" s="37" t="s">
        <v>490</v>
      </c>
      <c r="M375" s="40">
        <v>10</v>
      </c>
      <c r="N375" s="38">
        <v>1440</v>
      </c>
      <c r="O375" s="37" t="s">
        <v>139</v>
      </c>
      <c r="P375" s="41">
        <v>9000</v>
      </c>
      <c r="Q375" s="42"/>
      <c r="R375" s="48"/>
      <c r="S375" s="49"/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12960000</v>
      </c>
      <c r="Y375" s="50">
        <f>IF(NOTA[[#This Row],[JUMLAH]]="","",NOTA[[#This Row],[JUMLAH]]*NOTA[[#This Row],[DISC 1]])</f>
        <v>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0</v>
      </c>
      <c r="AC375" s="50">
        <f>IF(NOTA[[#This Row],[JUMLAH]]="","",NOTA[[#This Row],[JUMLAH]]-NOTA[[#This Row],[DISC]])</f>
        <v>12960000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5" s="50">
        <f>IF(OR(NOTA[[#This Row],[QTY]]="",NOTA[[#This Row],[HARGA SATUAN]]="",),"",NOTA[[#This Row],[QTY]]*NOTA[[#This Row],[HARGA SATUAN]])</f>
        <v>12960000</v>
      </c>
      <c r="AI375" s="39">
        <f ca="1">IF(NOTA[ID_H]="","",INDEX(NOTA[TANGGAL],MATCH(,INDIRECT(ADDRESS(ROW(NOTA[TANGGAL]),COLUMN(NOTA[TANGGAL]))&amp;":"&amp;ADDRESS(ROW(),COLUMN(NOTA[TANGGAL]))),-1)))</f>
        <v>45189</v>
      </c>
      <c r="AJ375" s="41" t="str">
        <f ca="1">IF(NOTA[[#This Row],[NAMA BARANG]]="","",INDEX(NOTA[SUPPLIER],MATCH(,INDIRECT(ADDRESS(ROW(NOTA[ID]),COLUMN(NOTA[ID]))&amp;":"&amp;ADDRESS(ROW(),COLUMN(NOTA[ID]))),-1)))</f>
        <v>MSI</v>
      </c>
      <c r="AK375" s="41" t="str">
        <f ca="1">IF(NOTA[[#This Row],[ID_H]]="","",IF(NOTA[[#This Row],[FAKTUR]]="",INDIRECT(ADDRESS(ROW()-1,COLUMN())),NOTA[[#This Row],[FAKTUR]]))</f>
        <v>UNTANA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9</v>
      </c>
      <c r="AN375" s="38" t="str">
        <f>LOWER(SUBSTITUTE(SUBSTITUTE(SUBSTITUTE(SUBSTITUTE(SUBSTITUTE(SUBSTITUTE(SUBSTITUTE(SUBSTITUTE(SUBSTITUTE(NOTA[NAMA BARANG]," ",),".",""),"-",""),"(",""),")",""),",",""),"/",""),"""",""),"+",""))</f>
        <v>gelpenvtr231rescuebots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gelpenvtr231rescuebots1296000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gelpenvtr231rescuebots1296000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e">
        <f>IF(NOTA[[#This Row],[CONCAT1]]="","",MATCH(NOTA[[#This Row],[CONCAT1]],[3]!db[NB NOTA_C],0))</f>
        <v>#N/A</v>
      </c>
      <c r="AT375" s="38" t="str">
        <f>IF(NOTA[[#This Row],[QTY/ CTN]]="","",TRUE)</f>
        <v/>
      </c>
      <c r="AU375" s="38" t="e">
        <f ca="1">IF(NOTA[[#This Row],[ID_H]]="","",IF(NOTA[[#This Row],[Column3]]=TRUE,NOTA[[#This Row],[QTY/ CTN]],INDEX([3]!db[QTY/ CTN],NOTA[[#This Row],[//DB]])))</f>
        <v>#N/A</v>
      </c>
      <c r="AV3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5" s="38" t="e">
        <f ca="1">IF(NOTA[[#This Row],[ID_H]]="","",MATCH(NOTA[[#This Row],[NB NOTA_C_QTY]],[4]!db[NB NOTA_C_QTY+F],0))</f>
        <v>#N/A</v>
      </c>
      <c r="AX375" s="53" t="e">
        <f ca="1">IF(NOTA[[#This Row],[NB NOTA_C_QTY]]="","",ROW()-2)</f>
        <v>#N/A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59</v>
      </c>
      <c r="E376" s="46"/>
      <c r="F376" s="37"/>
      <c r="G376" s="37"/>
      <c r="H376" s="47"/>
      <c r="I376" s="37"/>
      <c r="J376" s="39"/>
      <c r="K376" s="37"/>
      <c r="L376" s="37" t="s">
        <v>491</v>
      </c>
      <c r="M376" s="40">
        <v>10</v>
      </c>
      <c r="N376" s="38">
        <v>1440</v>
      </c>
      <c r="O376" s="37" t="s">
        <v>139</v>
      </c>
      <c r="P376" s="41">
        <v>9000</v>
      </c>
      <c r="Q376" s="42"/>
      <c r="R376" s="48"/>
      <c r="S376" s="49"/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12960000</v>
      </c>
      <c r="Y376" s="50">
        <f>IF(NOTA[[#This Row],[JUMLAH]]="","",NOTA[[#This Row],[JUMLAH]]*NOTA[[#This Row],[DISC 1]])</f>
        <v>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0</v>
      </c>
      <c r="AC376" s="50">
        <f>IF(NOTA[[#This Row],[JUMLAH]]="","",NOTA[[#This Row],[JUMLAH]]-NOTA[[#This Row],[DISC]])</f>
        <v>12960000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6" s="50">
        <f>IF(OR(NOTA[[#This Row],[QTY]]="",NOTA[[#This Row],[HARGA SATUAN]]="",),"",NOTA[[#This Row],[QTY]]*NOTA[[#This Row],[HARGA SATUAN]])</f>
        <v>12960000</v>
      </c>
      <c r="AI376" s="39">
        <f ca="1">IF(NOTA[ID_H]="","",INDEX(NOTA[TANGGAL],MATCH(,INDIRECT(ADDRESS(ROW(NOTA[TANGGAL]),COLUMN(NOTA[TANGGAL]))&amp;":"&amp;ADDRESS(ROW(),COLUMN(NOTA[TANGGAL]))),-1)))</f>
        <v>45189</v>
      </c>
      <c r="AJ376" s="41" t="str">
        <f ca="1">IF(NOTA[[#This Row],[NAMA BARANG]]="","",INDEX(NOTA[SUPPLIER],MATCH(,INDIRECT(ADDRESS(ROW(NOTA[ID]),COLUMN(NOTA[ID]))&amp;":"&amp;ADDRESS(ROW(),COLUMN(NOTA[ID]))),-1)))</f>
        <v>MSI</v>
      </c>
      <c r="AK376" s="41" t="str">
        <f ca="1">IF(NOTA[[#This Row],[ID_H]]="","",IF(NOTA[[#This Row],[FAKTUR]]="",INDIRECT(ADDRESS(ROW()-1,COLUMN())),NOTA[[#This Row],[FAKTUR]]))</f>
        <v>UNTANA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9</v>
      </c>
      <c r="AN376" s="38" t="str">
        <f>LOWER(SUBSTITUTE(SUBSTITUTE(SUBSTITUTE(SUBSTITUTE(SUBSTITUTE(SUBSTITUTE(SUBSTITUTE(SUBSTITUTE(SUBSTITUTE(NOTA[NAMA BARANG]," ",),".",""),"-",""),"(",""),")",""),",",""),"/",""),"""",""),"+",""))</f>
        <v>gelpenvtr235mymelody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gelpenvtr235mymelody1296000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gelpenvtr235mymelody1296000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e">
        <f>IF(NOTA[[#This Row],[CONCAT1]]="","",MATCH(NOTA[[#This Row],[CONCAT1]],[3]!db[NB NOTA_C],0))</f>
        <v>#N/A</v>
      </c>
      <c r="AT376" s="38" t="str">
        <f>IF(NOTA[[#This Row],[QTY/ CTN]]="","",TRUE)</f>
        <v/>
      </c>
      <c r="AU376" s="38" t="e">
        <f ca="1">IF(NOTA[[#This Row],[ID_H]]="","",IF(NOTA[[#This Row],[Column3]]=TRUE,NOTA[[#This Row],[QTY/ CTN]],INDEX([3]!db[QTY/ CTN],NOTA[[#This Row],[//DB]])))</f>
        <v>#N/A</v>
      </c>
      <c r="AV3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6" s="38" t="e">
        <f ca="1">IF(NOTA[[#This Row],[ID_H]]="","",MATCH(NOTA[[#This Row],[NB NOTA_C_QTY]],[4]!db[NB NOTA_C_QTY+F],0))</f>
        <v>#N/A</v>
      </c>
      <c r="AX376" s="53" t="e">
        <f ca="1">IF(NOTA[[#This Row],[NB NOTA_C_QTY]]="","",ROW()-2)</f>
        <v>#N/A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59</v>
      </c>
      <c r="E377" s="46"/>
      <c r="F377" s="37"/>
      <c r="G377" s="37"/>
      <c r="H377" s="47"/>
      <c r="I377" s="37"/>
      <c r="J377" s="39"/>
      <c r="K377" s="37"/>
      <c r="L377" s="37" t="s">
        <v>492</v>
      </c>
      <c r="M377" s="40">
        <v>10</v>
      </c>
      <c r="N377" s="38">
        <v>1440</v>
      </c>
      <c r="O377" s="37" t="s">
        <v>139</v>
      </c>
      <c r="P377" s="41">
        <v>9000</v>
      </c>
      <c r="Q377" s="42"/>
      <c r="R377" s="48"/>
      <c r="S377" s="49"/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12960000</v>
      </c>
      <c r="Y377" s="50">
        <f>IF(NOTA[[#This Row],[JUMLAH]]="","",NOTA[[#This Row],[JUMLAH]]*NOTA[[#This Row],[DISC 1]])</f>
        <v>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0</v>
      </c>
      <c r="AC377" s="50">
        <f>IF(NOTA[[#This Row],[JUMLAH]]="","",NOTA[[#This Row],[JUMLAH]]-NOTA[[#This Row],[DISC]])</f>
        <v>12960000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7" s="50">
        <f>IF(OR(NOTA[[#This Row],[QTY]]="",NOTA[[#This Row],[HARGA SATUAN]]="",),"",NOTA[[#This Row],[QTY]]*NOTA[[#This Row],[HARGA SATUAN]])</f>
        <v>12960000</v>
      </c>
      <c r="AI377" s="39">
        <f ca="1">IF(NOTA[ID_H]="","",INDEX(NOTA[TANGGAL],MATCH(,INDIRECT(ADDRESS(ROW(NOTA[TANGGAL]),COLUMN(NOTA[TANGGAL]))&amp;":"&amp;ADDRESS(ROW(),COLUMN(NOTA[TANGGAL]))),-1)))</f>
        <v>45189</v>
      </c>
      <c r="AJ377" s="41" t="str">
        <f ca="1">IF(NOTA[[#This Row],[NAMA BARANG]]="","",INDEX(NOTA[SUPPLIER],MATCH(,INDIRECT(ADDRESS(ROW(NOTA[ID]),COLUMN(NOTA[ID]))&amp;":"&amp;ADDRESS(ROW(),COLUMN(NOTA[ID]))),-1)))</f>
        <v>MSI</v>
      </c>
      <c r="AK377" s="41" t="str">
        <f ca="1">IF(NOTA[[#This Row],[ID_H]]="","",IF(NOTA[[#This Row],[FAKTUR]]="",INDIRECT(ADDRESS(ROW()-1,COLUMN())),NOTA[[#This Row],[FAKTUR]]))</f>
        <v>UNTANA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9</v>
      </c>
      <c r="AN377" s="38" t="str">
        <f>LOWER(SUBSTITUTE(SUBSTITUTE(SUBSTITUTE(SUBSTITUTE(SUBSTITUTE(SUBSTITUTE(SUBSTITUTE(SUBSTITUTE(SUBSTITUTE(NOTA[NAMA BARANG]," ",),".",""),"-",""),"(",""),")",""),",",""),"/",""),"""",""),"+",""))</f>
        <v>gelpenvtr236powerheroes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gelpenvtr236powerheroes1296000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gelpenvtr236powerheroes1296000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e">
        <f>IF(NOTA[[#This Row],[CONCAT1]]="","",MATCH(NOTA[[#This Row],[CONCAT1]],[3]!db[NB NOTA_C],0))</f>
        <v>#N/A</v>
      </c>
      <c r="AT377" s="38" t="str">
        <f>IF(NOTA[[#This Row],[QTY/ CTN]]="","",TRUE)</f>
        <v/>
      </c>
      <c r="AU377" s="38" t="e">
        <f ca="1">IF(NOTA[[#This Row],[ID_H]]="","",IF(NOTA[[#This Row],[Column3]]=TRUE,NOTA[[#This Row],[QTY/ CTN]],INDEX([3]!db[QTY/ CTN],NOTA[[#This Row],[//DB]])))</f>
        <v>#N/A</v>
      </c>
      <c r="AV3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7" s="38" t="e">
        <f ca="1">IF(NOTA[[#This Row],[ID_H]]="","",MATCH(NOTA[[#This Row],[NB NOTA_C_QTY]],[4]!db[NB NOTA_C_QTY+F],0))</f>
        <v>#N/A</v>
      </c>
      <c r="AX377" s="53" t="e">
        <f ca="1">IF(NOTA[[#This Row],[NB NOTA_C_QTY]]="","",ROW()-2)</f>
        <v>#N/A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59</v>
      </c>
      <c r="E378" s="46"/>
      <c r="F378" s="37"/>
      <c r="G378" s="37"/>
      <c r="H378" s="47"/>
      <c r="I378" s="37"/>
      <c r="J378" s="39"/>
      <c r="K378" s="37"/>
      <c r="L378" s="37" t="s">
        <v>493</v>
      </c>
      <c r="M378" s="40">
        <v>10</v>
      </c>
      <c r="N378" s="38">
        <v>1440</v>
      </c>
      <c r="O378" s="37" t="s">
        <v>139</v>
      </c>
      <c r="P378" s="41">
        <v>9000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12960000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12960000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8" s="50">
        <f>IF(OR(NOTA[[#This Row],[QTY]]="",NOTA[[#This Row],[HARGA SATUAN]]="",),"",NOTA[[#This Row],[QTY]]*NOTA[[#This Row],[HARGA SATUAN]])</f>
        <v>12960000</v>
      </c>
      <c r="AI378" s="39">
        <f ca="1">IF(NOTA[ID_H]="","",INDEX(NOTA[TANGGAL],MATCH(,INDIRECT(ADDRESS(ROW(NOTA[TANGGAL]),COLUMN(NOTA[TANGGAL]))&amp;":"&amp;ADDRESS(ROW(),COLUMN(NOTA[TANGGAL]))),-1)))</f>
        <v>45189</v>
      </c>
      <c r="AJ378" s="41" t="str">
        <f ca="1">IF(NOTA[[#This Row],[NAMA BARANG]]="","",INDEX(NOTA[SUPPLIER],MATCH(,INDIRECT(ADDRESS(ROW(NOTA[ID]),COLUMN(NOTA[ID]))&amp;":"&amp;ADDRESS(ROW(),COLUMN(NOTA[ID]))),-1)))</f>
        <v>MSI</v>
      </c>
      <c r="AK378" s="41" t="str">
        <f ca="1">IF(NOTA[[#This Row],[ID_H]]="","",IF(NOTA[[#This Row],[FAKTUR]]="",INDIRECT(ADDRESS(ROW()-1,COLUMN())),NOTA[[#This Row],[FAKTUR]]))</f>
        <v>UNTANA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9</v>
      </c>
      <c r="AN378" s="38" t="str">
        <f>LOWER(SUBSTITUTE(SUBSTITUTE(SUBSTITUTE(SUBSTITUTE(SUBSTITUTE(SUBSTITUTE(SUBSTITUTE(SUBSTITUTE(SUBSTITUTE(NOTA[NAMA BARANG]," ",),".",""),"-",""),"(",""),")",""),",",""),"/",""),"""",""),"+",""))</f>
        <v>gelpenvtr225littleprincess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gelpenvtr225littleprincess1296000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gelpenvtr225littleprincess1296000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e">
        <f>IF(NOTA[[#This Row],[CONCAT1]]="","",MATCH(NOTA[[#This Row],[CONCAT1]],[3]!db[NB NOTA_C],0))</f>
        <v>#N/A</v>
      </c>
      <c r="AT378" s="38" t="str">
        <f>IF(NOTA[[#This Row],[QTY/ CTN]]="","",TRUE)</f>
        <v/>
      </c>
      <c r="AU378" s="38" t="e">
        <f ca="1">IF(NOTA[[#This Row],[ID_H]]="","",IF(NOTA[[#This Row],[Column3]]=TRUE,NOTA[[#This Row],[QTY/ CTN]],INDEX([3]!db[QTY/ CTN],NOTA[[#This Row],[//DB]])))</f>
        <v>#N/A</v>
      </c>
      <c r="AV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8" s="38" t="e">
        <f ca="1">IF(NOTA[[#This Row],[ID_H]]="","",MATCH(NOTA[[#This Row],[NB NOTA_C_QTY]],[4]!db[NB NOTA_C_QTY+F],0))</f>
        <v>#N/A</v>
      </c>
      <c r="AX378" s="53" t="e">
        <f ca="1">IF(NOTA[[#This Row],[NB NOTA_C_QTY]]="","",ROW()-2)</f>
        <v>#N/A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59</v>
      </c>
      <c r="E379" s="46"/>
      <c r="F379" s="37"/>
      <c r="G379" s="37"/>
      <c r="H379" s="47"/>
      <c r="I379" s="37"/>
      <c r="J379" s="39"/>
      <c r="K379" s="37"/>
      <c r="L379" s="37" t="s">
        <v>494</v>
      </c>
      <c r="M379" s="40">
        <v>10</v>
      </c>
      <c r="N379" s="38">
        <v>1440</v>
      </c>
      <c r="O379" s="37" t="s">
        <v>139</v>
      </c>
      <c r="P379" s="41">
        <v>9000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12960000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12960000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9" s="50">
        <f>IF(OR(NOTA[[#This Row],[QTY]]="",NOTA[[#This Row],[HARGA SATUAN]]="",),"",NOTA[[#This Row],[QTY]]*NOTA[[#This Row],[HARGA SATUAN]])</f>
        <v>12960000</v>
      </c>
      <c r="AI379" s="39">
        <f ca="1">IF(NOTA[ID_H]="","",INDEX(NOTA[TANGGAL],MATCH(,INDIRECT(ADDRESS(ROW(NOTA[TANGGAL]),COLUMN(NOTA[TANGGAL]))&amp;":"&amp;ADDRESS(ROW(),COLUMN(NOTA[TANGGAL]))),-1)))</f>
        <v>45189</v>
      </c>
      <c r="AJ379" s="41" t="str">
        <f ca="1">IF(NOTA[[#This Row],[NAMA BARANG]]="","",INDEX(NOTA[SUPPLIER],MATCH(,INDIRECT(ADDRESS(ROW(NOTA[ID]),COLUMN(NOTA[ID]))&amp;":"&amp;ADDRESS(ROW(),COLUMN(NOTA[ID]))),-1)))</f>
        <v>MSI</v>
      </c>
      <c r="AK379" s="41" t="str">
        <f ca="1">IF(NOTA[[#This Row],[ID_H]]="","",IF(NOTA[[#This Row],[FAKTUR]]="",INDIRECT(ADDRESS(ROW()-1,COLUMN())),NOTA[[#This Row],[FAKTUR]]))</f>
        <v>UNTANA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9</v>
      </c>
      <c r="AN379" s="38" t="str">
        <f>LOWER(SUBSTITUTE(SUBSTITUTE(SUBSTITUTE(SUBSTITUTE(SUBSTITUTE(SUBSTITUTE(SUBSTITUTE(SUBSTITUTE(SUBSTITUTE(NOTA[NAMA BARANG]," ",),".",""),"-",""),"(",""),")",""),",",""),"/",""),"""",""),"+",""))</f>
        <v>gelpenvtr216doraemon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gelpenvtr216doraemon1296000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gelpenvtr216doraemon1296000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e">
        <f>IF(NOTA[[#This Row],[CONCAT1]]="","",MATCH(NOTA[[#This Row],[CONCAT1]],[3]!db[NB NOTA_C],0))</f>
        <v>#N/A</v>
      </c>
      <c r="AT379" s="38" t="str">
        <f>IF(NOTA[[#This Row],[QTY/ CTN]]="","",TRUE)</f>
        <v/>
      </c>
      <c r="AU379" s="38" t="e">
        <f ca="1">IF(NOTA[[#This Row],[ID_H]]="","",IF(NOTA[[#This Row],[Column3]]=TRUE,NOTA[[#This Row],[QTY/ CTN]],INDEX([3]!db[QTY/ CTN],NOTA[[#This Row],[//DB]])))</f>
        <v>#N/A</v>
      </c>
      <c r="AV37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9" s="38" t="e">
        <f ca="1">IF(NOTA[[#This Row],[ID_H]]="","",MATCH(NOTA[[#This Row],[NB NOTA_C_QTY]],[4]!db[NB NOTA_C_QTY+F],0))</f>
        <v>#N/A</v>
      </c>
      <c r="AX379" s="53" t="e">
        <f ca="1">IF(NOTA[[#This Row],[NB NOTA_C_QTY]]="","",ROW()-2)</f>
        <v>#N/A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59</v>
      </c>
      <c r="E380" s="46"/>
      <c r="F380" s="37"/>
      <c r="G380" s="37"/>
      <c r="H380" s="47"/>
      <c r="I380" s="37"/>
      <c r="J380" s="39"/>
      <c r="K380" s="37"/>
      <c r="L380" s="37" t="s">
        <v>495</v>
      </c>
      <c r="M380" s="40">
        <v>10</v>
      </c>
      <c r="N380" s="38">
        <v>1440</v>
      </c>
      <c r="O380" s="37" t="s">
        <v>139</v>
      </c>
      <c r="P380" s="41">
        <v>9000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12960000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12960000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80" s="50">
        <f>IF(OR(NOTA[[#This Row],[QTY]]="",NOTA[[#This Row],[HARGA SATUAN]]="",),"",NOTA[[#This Row],[QTY]]*NOTA[[#This Row],[HARGA SATUAN]])</f>
        <v>12960000</v>
      </c>
      <c r="AI380" s="39">
        <f ca="1">IF(NOTA[ID_H]="","",INDEX(NOTA[TANGGAL],MATCH(,INDIRECT(ADDRESS(ROW(NOTA[TANGGAL]),COLUMN(NOTA[TANGGAL]))&amp;":"&amp;ADDRESS(ROW(),COLUMN(NOTA[TANGGAL]))),-1)))</f>
        <v>45189</v>
      </c>
      <c r="AJ380" s="41" t="str">
        <f ca="1">IF(NOTA[[#This Row],[NAMA BARANG]]="","",INDEX(NOTA[SUPPLIER],MATCH(,INDIRECT(ADDRESS(ROW(NOTA[ID]),COLUMN(NOTA[ID]))&amp;":"&amp;ADDRESS(ROW(),COLUMN(NOTA[ID]))),-1)))</f>
        <v>MSI</v>
      </c>
      <c r="AK380" s="41" t="str">
        <f ca="1">IF(NOTA[[#This Row],[ID_H]]="","",IF(NOTA[[#This Row],[FAKTUR]]="",INDIRECT(ADDRESS(ROW()-1,COLUMN())),NOTA[[#This Row],[FAKTUR]]))</f>
        <v>UNTANA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9</v>
      </c>
      <c r="AN380" s="38" t="str">
        <f>LOWER(SUBSTITUTE(SUBSTITUTE(SUBSTITUTE(SUBSTITUTE(SUBSTITUTE(SUBSTITUTE(SUBSTITUTE(SUBSTITUTE(SUBSTITUTE(NOTA[NAMA BARANG]," ",),".",""),"-",""),"(",""),")",""),",",""),"/",""),"""",""),"+",""))</f>
        <v>gelpenvtr217hellokitty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gelpenvtr217hellokitty1296000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gelpenvtr217hellokitty1296000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e">
        <f>IF(NOTA[[#This Row],[CONCAT1]]="","",MATCH(NOTA[[#This Row],[CONCAT1]],[3]!db[NB NOTA_C],0))</f>
        <v>#N/A</v>
      </c>
      <c r="AT380" s="38" t="str">
        <f>IF(NOTA[[#This Row],[QTY/ CTN]]="","",TRUE)</f>
        <v/>
      </c>
      <c r="AU380" s="38" t="e">
        <f ca="1">IF(NOTA[[#This Row],[ID_H]]="","",IF(NOTA[[#This Row],[Column3]]=TRUE,NOTA[[#This Row],[QTY/ CTN]],INDEX([3]!db[QTY/ CTN],NOTA[[#This Row],[//DB]])))</f>
        <v>#N/A</v>
      </c>
      <c r="AV3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0" s="38" t="e">
        <f ca="1">IF(NOTA[[#This Row],[ID_H]]="","",MATCH(NOTA[[#This Row],[NB NOTA_C_QTY]],[4]!db[NB NOTA_C_QTY+F],0))</f>
        <v>#N/A</v>
      </c>
      <c r="AX380" s="53" t="e">
        <f ca="1">IF(NOTA[[#This Row],[NB NOTA_C_QTY]]="","",ROW()-2)</f>
        <v>#N/A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59</v>
      </c>
      <c r="E381" s="46"/>
      <c r="F381" s="37"/>
      <c r="G381" s="37"/>
      <c r="H381" s="47"/>
      <c r="I381" s="37"/>
      <c r="J381" s="39"/>
      <c r="K381" s="37"/>
      <c r="L381" s="37" t="s">
        <v>496</v>
      </c>
      <c r="M381" s="40">
        <v>10</v>
      </c>
      <c r="N381" s="38">
        <v>1440</v>
      </c>
      <c r="O381" s="37" t="s">
        <v>139</v>
      </c>
      <c r="P381" s="41">
        <v>9000</v>
      </c>
      <c r="Q381" s="42"/>
      <c r="R381" s="48"/>
      <c r="S381" s="49"/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12960000</v>
      </c>
      <c r="Y381" s="50">
        <f>IF(NOTA[[#This Row],[JUMLAH]]="","",NOTA[[#This Row],[JUMLAH]]*NOTA[[#This Row],[DISC 1]])</f>
        <v>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0</v>
      </c>
      <c r="AC381" s="50">
        <f>IF(NOTA[[#This Row],[JUMLAH]]="","",NOTA[[#This Row],[JUMLAH]]-NOTA[[#This Row],[DISC]])</f>
        <v>12960000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129600000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81" s="50">
        <f>IF(OR(NOTA[[#This Row],[QTY]]="",NOTA[[#This Row],[HARGA SATUAN]]="",),"",NOTA[[#This Row],[QTY]]*NOTA[[#This Row],[HARGA SATUAN]])</f>
        <v>12960000</v>
      </c>
      <c r="AI381" s="39">
        <f ca="1">IF(NOTA[ID_H]="","",INDEX(NOTA[TANGGAL],MATCH(,INDIRECT(ADDRESS(ROW(NOTA[TANGGAL]),COLUMN(NOTA[TANGGAL]))&amp;":"&amp;ADDRESS(ROW(),COLUMN(NOTA[TANGGAL]))),-1)))</f>
        <v>45189</v>
      </c>
      <c r="AJ381" s="41" t="str">
        <f ca="1">IF(NOTA[[#This Row],[NAMA BARANG]]="","",INDEX(NOTA[SUPPLIER],MATCH(,INDIRECT(ADDRESS(ROW(NOTA[ID]),COLUMN(NOTA[ID]))&amp;":"&amp;ADDRESS(ROW(),COLUMN(NOTA[ID]))),-1)))</f>
        <v>MSI</v>
      </c>
      <c r="AK381" s="41" t="str">
        <f ca="1">IF(NOTA[[#This Row],[ID_H]]="","",IF(NOTA[[#This Row],[FAKTUR]]="",INDIRECT(ADDRESS(ROW()-1,COLUMN())),NOTA[[#This Row],[FAKTUR]]))</f>
        <v>UNTANA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9</v>
      </c>
      <c r="AN381" s="38" t="str">
        <f>LOWER(SUBSTITUTE(SUBSTITUTE(SUBSTITUTE(SUBSTITUTE(SUBSTITUTE(SUBSTITUTE(SUBSTITUTE(SUBSTITUTE(SUBSTITUTE(NOTA[NAMA BARANG]," ",),".",""),"-",""),"(",""),")",""),",",""),"/",""),"""",""),"+",""))</f>
        <v>gelpenvtr222superheroadventure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gelpenvtr222superheroadventure1296000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gelpenvtr222superheroadventure1296000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e">
        <f>IF(NOTA[[#This Row],[CONCAT1]]="","",MATCH(NOTA[[#This Row],[CONCAT1]],[3]!db[NB NOTA_C],0))</f>
        <v>#N/A</v>
      </c>
      <c r="AT381" s="38" t="str">
        <f>IF(NOTA[[#This Row],[QTY/ CTN]]="","",TRUE)</f>
        <v/>
      </c>
      <c r="AU381" s="38" t="e">
        <f ca="1">IF(NOTA[[#This Row],[ID_H]]="","",IF(NOTA[[#This Row],[Column3]]=TRUE,NOTA[[#This Row],[QTY/ CTN]],INDEX([3]!db[QTY/ CTN],NOTA[[#This Row],[//DB]])))</f>
        <v>#N/A</v>
      </c>
      <c r="AV3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1" s="38" t="e">
        <f ca="1">IF(NOTA[[#This Row],[ID_H]]="","",MATCH(NOTA[[#This Row],[NB NOTA_C_QTY]],[4]!db[NB NOTA_C_QTY+F],0))</f>
        <v>#N/A</v>
      </c>
      <c r="AX381" s="53" t="e">
        <f ca="1">IF(NOTA[[#This Row],[NB NOTA_C_QTY]]="","",ROW()-2)</f>
        <v>#N/A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SUR_2009_510-1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60</v>
      </c>
      <c r="E383" s="46">
        <v>45189</v>
      </c>
      <c r="F383" s="37" t="s">
        <v>497</v>
      </c>
      <c r="G383" s="37" t="s">
        <v>124</v>
      </c>
      <c r="H383" s="47" t="s">
        <v>498</v>
      </c>
      <c r="I383" s="37"/>
      <c r="J383" s="39">
        <v>45187</v>
      </c>
      <c r="K383" s="37"/>
      <c r="L383" s="37" t="s">
        <v>499</v>
      </c>
      <c r="M383" s="40">
        <v>30</v>
      </c>
      <c r="N383" s="38">
        <f>120*30</f>
        <v>3600</v>
      </c>
      <c r="O383" s="37" t="s">
        <v>127</v>
      </c>
      <c r="P383" s="41">
        <v>10000</v>
      </c>
      <c r="Q383" s="42"/>
      <c r="R383" s="48">
        <v>120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36000000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36000000</v>
      </c>
      <c r="AD383" s="50"/>
      <c r="AE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83" s="50">
        <f>IF(OR(NOTA[[#This Row],[QTY]]="",NOTA[[#This Row],[HARGA SATUAN]]="",),"",NOTA[[#This Row],[QTY]]*NOTA[[#This Row],[HARGA SATUAN]])</f>
        <v>36000000</v>
      </c>
      <c r="AI383" s="39">
        <f ca="1">IF(NOTA[ID_H]="","",INDEX(NOTA[TANGGAL],MATCH(,INDIRECT(ADDRESS(ROW(NOTA[TANGGAL]),COLUMN(NOTA[TANGGAL]))&amp;":"&amp;ADDRESS(ROW(),COLUMN(NOTA[TANGGAL]))),-1)))</f>
        <v>45189</v>
      </c>
      <c r="AJ383" s="41" t="str">
        <f ca="1">IF(NOTA[[#This Row],[NAMA BARANG]]="","",INDEX(NOTA[SUPPLIER],MATCH(,INDIRECT(ADDRESS(ROW(NOTA[ID]),COLUMN(NOTA[ID]))&amp;":"&amp;ADDRESS(ROW(),COLUMN(NOTA[ID]))),-1)))</f>
        <v>SURYA PRATAMA</v>
      </c>
      <c r="AK383" s="41" t="str">
        <f ca="1">IF(NOTA[[#This Row],[ID_H]]="","",IF(NOTA[[#This Row],[FAKTUR]]="",INDIRECT(ADDRESS(ROW()-1,COLUMN())),NOTA[[#This Row],[FAKTUR]]))</f>
        <v>UNTANA</v>
      </c>
      <c r="AL383" s="38">
        <f ca="1">IF(NOTA[[#This Row],[ID]]="","",COUNTIF(NOTA[ID_H],NOTA[[#This Row],[ID_H]]))</f>
        <v>1</v>
      </c>
      <c r="AM383" s="38">
        <f>IF(NOTA[[#This Row],[TGL.NOTA]]="",IF(NOTA[[#This Row],[SUPPLIER_H]]="","",AM382),MONTH(NOTA[[#This Row],[TGL.NOTA]]))</f>
        <v>9</v>
      </c>
      <c r="AN383" s="38" t="str">
        <f>LOWER(SUBSTITUTE(SUBSTITUTE(SUBSTITUTE(SUBSTITUTE(SUBSTITUTE(SUBSTITUTE(SUBSTITUTE(SUBSTITUTE(SUBSTITUTE(NOTA[NAMA BARANG]," ",),".",""),"-",""),"(",""),")",""),",",""),"/",""),"""",""),"+",""))</f>
        <v>taskarung40*45*20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taskarung40*45*201200000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taskarung40*45*201200000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PRATAMAUNTANAF23/00051045187taskarung40*45*20</v>
      </c>
      <c r="AR383" s="38" t="e">
        <f>IF(NOTA[[#This Row],[CONCAT4]]="","",_xlfn.IFNA(MATCH(NOTA[[#This Row],[CONCAT4]],[2]!RAW[CONCAT_H],0),FALSE))</f>
        <v>#REF!</v>
      </c>
      <c r="AS383" s="38" t="e">
        <f>IF(NOTA[[#This Row],[CONCAT1]]="","",MATCH(NOTA[[#This Row],[CONCAT1]],[3]!db[NB NOTA_C],0))</f>
        <v>#N/A</v>
      </c>
      <c r="AT383" s="38" t="b">
        <f>IF(NOTA[[#This Row],[QTY/ CTN]]="","",TRUE)</f>
        <v>1</v>
      </c>
      <c r="AU383" s="38">
        <f ca="1">IF(NOTA[[#This Row],[ID_H]]="","",IF(NOTA[[#This Row],[Column3]]=TRUE,NOTA[[#This Row],[QTY/ CTN]],INDEX([3]!db[QTY/ CTN],NOTA[[#This Row],[//DB]])))</f>
        <v>120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taskarung40*45*20120untana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HAN_2009_183-2</v>
      </c>
      <c r="C385" s="38" t="e">
        <f ca="1">IF(NOTA[[#This Row],[ID_P]]="","",MATCH(NOTA[[#This Row],[ID_P]],[1]!B_MSK[N_ID],0))</f>
        <v>#REF!</v>
      </c>
      <c r="D385" s="38">
        <f ca="1">IF(NOTA[[#This Row],[NAMA BARANG]]="","",INDEX(NOTA[ID],MATCH(,INDIRECT(ADDRESS(ROW(NOTA[ID]),COLUMN(NOTA[ID]))&amp;":"&amp;ADDRESS(ROW(),COLUMN(NOTA[ID]))),-1)))</f>
        <v>61</v>
      </c>
      <c r="E385" s="46">
        <v>45189</v>
      </c>
      <c r="F385" s="37" t="s">
        <v>123</v>
      </c>
      <c r="G385" s="37" t="s">
        <v>124</v>
      </c>
      <c r="H385" s="47" t="s">
        <v>500</v>
      </c>
      <c r="I385" s="37"/>
      <c r="J385" s="39">
        <v>45189</v>
      </c>
      <c r="K385" s="37"/>
      <c r="L385" s="37" t="s">
        <v>501</v>
      </c>
      <c r="M385" s="40"/>
      <c r="N385" s="38">
        <v>4</v>
      </c>
      <c r="O385" s="37" t="s">
        <v>139</v>
      </c>
      <c r="P385" s="41">
        <v>13000</v>
      </c>
      <c r="Q385" s="42"/>
      <c r="R385" s="48"/>
      <c r="S385" s="49"/>
      <c r="T385" s="44"/>
      <c r="U385" s="44"/>
      <c r="V385" s="50"/>
      <c r="W385" s="45" t="s">
        <v>502</v>
      </c>
      <c r="X385" s="50">
        <f>IF(NOTA[[#This Row],[HARGA/ CTN]]="",NOTA[[#This Row],[JUMLAH_H]],NOTA[[#This Row],[HARGA/ CTN]]*IF(NOTA[[#This Row],[C]]="",0,NOTA[[#This Row],[C]]))</f>
        <v>52000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52000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385" s="50">
        <f>IF(OR(NOTA[[#This Row],[QTY]]="",NOTA[[#This Row],[HARGA SATUAN]]="",),"",NOTA[[#This Row],[QTY]]*NOTA[[#This Row],[HARGA SATUAN]])</f>
        <v>52000</v>
      </c>
      <c r="AI385" s="39">
        <f ca="1">IF(NOTA[ID_H]="","",INDEX(NOTA[TANGGAL],MATCH(,INDIRECT(ADDRESS(ROW(NOTA[TANGGAL]),COLUMN(NOTA[TANGGAL]))&amp;":"&amp;ADDRESS(ROW(),COLUMN(NOTA[TANGGAL]))),-1)))</f>
        <v>45189</v>
      </c>
      <c r="AJ385" s="41" t="str">
        <f ca="1">IF(NOTA[[#This Row],[NAMA BARANG]]="","",INDEX(NOTA[SUPPLIER],MATCH(,INDIRECT(ADDRESS(ROW(NOTA[ID]),COLUMN(NOTA[ID]))&amp;":"&amp;ADDRESS(ROW(),COLUMN(NOTA[ID]))),-1)))</f>
        <v>HANSA</v>
      </c>
      <c r="AK385" s="41" t="str">
        <f ca="1">IF(NOTA[[#This Row],[ID_H]]="","",IF(NOTA[[#This Row],[FAKTUR]]="",INDIRECT(ADDRESS(ROW()-1,COLUMN())),NOTA[[#This Row],[FAKTUR]]))</f>
        <v>UNTANA</v>
      </c>
      <c r="AL385" s="38">
        <f ca="1">IF(NOTA[[#This Row],[ID]]="","",COUNTIF(NOTA[ID_H],NOTA[[#This Row],[ID_H]]))</f>
        <v>2</v>
      </c>
      <c r="AM385" s="38">
        <f>IF(NOTA[[#This Row],[TGL.NOTA]]="",IF(NOTA[[#This Row],[SUPPLIER_H]]="","",AM384),MONTH(NOTA[[#This Row],[TGL.NOTA]]))</f>
        <v>9</v>
      </c>
      <c r="AN385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HANSAUNTANAHN09202318345189lilinangkashintoeng</v>
      </c>
      <c r="AR385" s="38" t="e">
        <f>IF(NOTA[[#This Row],[CONCAT4]]="","",_xlfn.IFNA(MATCH(NOTA[[#This Row],[CONCAT4]],[2]!RAW[CONCAT_H],0),FALSE))</f>
        <v>#REF!</v>
      </c>
      <c r="AS385" s="38">
        <f>IF(NOTA[[#This Row],[CONCAT1]]="","",MATCH(NOTA[[#This Row],[CONCAT1]],[3]!db[NB NOTA_C],0))</f>
        <v>1657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100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61</v>
      </c>
      <c r="E386" s="46"/>
      <c r="F386" s="37"/>
      <c r="G386" s="37"/>
      <c r="H386" s="47"/>
      <c r="I386" s="37"/>
      <c r="J386" s="39"/>
      <c r="K386" s="37"/>
      <c r="L386" s="37" t="s">
        <v>501</v>
      </c>
      <c r="M386" s="40"/>
      <c r="N386" s="38">
        <v>4</v>
      </c>
      <c r="O386" s="37" t="s">
        <v>139</v>
      </c>
      <c r="P386" s="41">
        <v>13000</v>
      </c>
      <c r="Q386" s="42"/>
      <c r="R386" s="48"/>
      <c r="S386" s="49"/>
      <c r="T386" s="44"/>
      <c r="U386" s="44"/>
      <c r="V386" s="50"/>
      <c r="W386" s="45" t="s">
        <v>503</v>
      </c>
      <c r="X386" s="50">
        <f>IF(NOTA[[#This Row],[HARGA/ CTN]]="",NOTA[[#This Row],[JUMLAH_H]],NOTA[[#This Row],[HARGA/ CTN]]*IF(NOTA[[#This Row],[C]]="",0,NOTA[[#This Row],[C]]))</f>
        <v>52000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52000</v>
      </c>
      <c r="AD386" s="50"/>
      <c r="AE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386" s="50">
        <f>IF(OR(NOTA[[#This Row],[QTY]]="",NOTA[[#This Row],[HARGA SATUAN]]="",),"",NOTA[[#This Row],[QTY]]*NOTA[[#This Row],[HARGA SATUAN]])</f>
        <v>52000</v>
      </c>
      <c r="AI386" s="39">
        <f ca="1">IF(NOTA[ID_H]="","",INDEX(NOTA[TANGGAL],MATCH(,INDIRECT(ADDRESS(ROW(NOTA[TANGGAL]),COLUMN(NOTA[TANGGAL]))&amp;":"&amp;ADDRESS(ROW(),COLUMN(NOTA[TANGGAL]))),-1)))</f>
        <v>45189</v>
      </c>
      <c r="AJ386" s="41" t="str">
        <f ca="1">IF(NOTA[[#This Row],[NAMA BARANG]]="","",INDEX(NOTA[SUPPLIER],MATCH(,INDIRECT(ADDRESS(ROW(NOTA[ID]),COLUMN(NOTA[ID]))&amp;":"&amp;ADDRESS(ROW(),COLUMN(NOTA[ID]))),-1)))</f>
        <v>HANSA</v>
      </c>
      <c r="AK386" s="41" t="str">
        <f ca="1">IF(NOTA[[#This Row],[ID_H]]="","",IF(NOTA[[#This Row],[FAKTUR]]="",INDIRECT(ADDRESS(ROW()-1,COLUMN())),NOTA[[#This Row],[FAKTUR]]))</f>
        <v>UNTANA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9</v>
      </c>
      <c r="AN38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1657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100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customHeight="1" x14ac:dyDescent="0.25">
      <c r="A388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COM_1909_920-2</v>
      </c>
      <c r="C388" s="38" t="e">
        <f ca="1">IF(NOTA[[#This Row],[ID_P]]="","",MATCH(NOTA[[#This Row],[ID_P]],[1]!B_MSK[N_ID],0))</f>
        <v>#REF!</v>
      </c>
      <c r="D388" s="38">
        <f ca="1">IF(NOTA[[#This Row],[NAMA BARANG]]="","",INDEX(NOTA[ID],MATCH(,INDIRECT(ADDRESS(ROW(NOTA[ID]),COLUMN(NOTA[ID]))&amp;":"&amp;ADDRESS(ROW(),COLUMN(NOTA[ID]))),-1)))</f>
        <v>62</v>
      </c>
      <c r="E388" s="46">
        <v>45188</v>
      </c>
      <c r="F388" s="37" t="s">
        <v>504</v>
      </c>
      <c r="G388" s="37" t="s">
        <v>124</v>
      </c>
      <c r="H388" s="47" t="s">
        <v>505</v>
      </c>
      <c r="I388" s="37"/>
      <c r="J388" s="39">
        <v>45188</v>
      </c>
      <c r="K388" s="37"/>
      <c r="L388" s="37" t="s">
        <v>506</v>
      </c>
      <c r="M388" s="40"/>
      <c r="N388" s="38">
        <v>8</v>
      </c>
      <c r="O388" s="37" t="s">
        <v>139</v>
      </c>
      <c r="P388" s="41">
        <v>213000</v>
      </c>
      <c r="Q388" s="42"/>
      <c r="R388" s="48"/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1704000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1704000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88" s="50">
        <f>IF(OR(NOTA[[#This Row],[QTY]]="",NOTA[[#This Row],[HARGA SATUAN]]="",),"",NOTA[[#This Row],[QTY]]*NOTA[[#This Row],[HARGA SATUAN]])</f>
        <v>1704000</v>
      </c>
      <c r="AI388" s="39">
        <f ca="1">IF(NOTA[ID_H]="","",INDEX(NOTA[TANGGAL],MATCH(,INDIRECT(ADDRESS(ROW(NOTA[TANGGAL]),COLUMN(NOTA[TANGGAL]))&amp;":"&amp;ADDRESS(ROW(),COLUMN(NOTA[TANGGAL]))),-1)))</f>
        <v>45188</v>
      </c>
      <c r="AJ388" s="41" t="str">
        <f ca="1">IF(NOTA[[#This Row],[NAMA BARANG]]="","",INDEX(NOTA[SUPPLIER],MATCH(,INDIRECT(ADDRESS(ROW(NOTA[ID]),COLUMN(NOTA[ID]))&amp;":"&amp;ADDRESS(ROW(),COLUMN(NOTA[ID]))),-1)))</f>
        <v>COMBI STATIOERY</v>
      </c>
      <c r="AK388" s="41" t="str">
        <f ca="1">IF(NOTA[[#This Row],[ID_H]]="","",IF(NOTA[[#This Row],[FAKTUR]]="",INDIRECT(ADDRESS(ROW()-1,COLUMN())),NOTA[[#This Row],[FAKTUR]]))</f>
        <v>UNTANA</v>
      </c>
      <c r="AL388" s="38">
        <f ca="1">IF(NOTA[[#This Row],[ID]]="","",COUNTIF(NOTA[ID_H],NOTA[[#This Row],[ID_H]]))</f>
        <v>2</v>
      </c>
      <c r="AM388" s="38">
        <f>IF(NOTA[[#This Row],[TGL.NOTA]]="",IF(NOTA[[#This Row],[SUPPLIER_H]]="","",AM387),MONTH(NOTA[[#This Row],[TGL.NOTA]]))</f>
        <v>9</v>
      </c>
      <c r="AN388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docritautenticdk5121704000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STATIOERYUNTANA092045188docritautenticdk512</v>
      </c>
      <c r="AR388" s="38" t="e">
        <f>IF(NOTA[[#This Row],[CONCAT4]]="","",_xlfn.IFNA(MATCH(NOTA[[#This Row],[CONCAT4]],[2]!RAW[CONCAT_H],0),FALSE))</f>
        <v>#REF!</v>
      </c>
      <c r="AS388" s="38" t="e">
        <f>IF(NOTA[[#This Row],[CONCAT1]]="","",MATCH(NOTA[[#This Row],[CONCAT1]],[3]!db[NB NOTA_C],0))</f>
        <v>#N/A</v>
      </c>
      <c r="AT388" s="38" t="str">
        <f>IF(NOTA[[#This Row],[QTY/ CTN]]="","",TRUE)</f>
        <v/>
      </c>
      <c r="AU388" s="38" t="e">
        <f ca="1">IF(NOTA[[#This Row],[ID_H]]="","",IF(NOTA[[#This Row],[Column3]]=TRUE,NOTA[[#This Row],[QTY/ CTN]],INDEX([3]!db[QTY/ CTN],NOTA[[#This Row],[//DB]])))</f>
        <v>#N/A</v>
      </c>
      <c r="AV3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8" s="38" t="e">
        <f ca="1">IF(NOTA[[#This Row],[ID_H]]="","",MATCH(NOTA[[#This Row],[NB NOTA_C_QTY]],[4]!db[NB NOTA_C_QTY+F],0))</f>
        <v>#N/A</v>
      </c>
      <c r="AX388" s="53" t="e">
        <f ca="1">IF(NOTA[[#This Row],[NB NOTA_C_QTY]]="","",ROW()-2)</f>
        <v>#N/A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62</v>
      </c>
      <c r="E389" s="46"/>
      <c r="F389" s="37"/>
      <c r="G389" s="37"/>
      <c r="H389" s="47"/>
      <c r="I389" s="37"/>
      <c r="J389" s="39"/>
      <c r="K389" s="37"/>
      <c r="L389" s="37" t="s">
        <v>507</v>
      </c>
      <c r="M389" s="40"/>
      <c r="N389" s="38">
        <v>10</v>
      </c>
      <c r="O389" s="37" t="s">
        <v>139</v>
      </c>
      <c r="P389" s="41">
        <v>260000</v>
      </c>
      <c r="Q389" s="42"/>
      <c r="R389" s="48"/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2600000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2600000</v>
      </c>
      <c r="AD389" s="50"/>
      <c r="AE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4304000</v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H389" s="50">
        <f>IF(OR(NOTA[[#This Row],[QTY]]="",NOTA[[#This Row],[HARGA SATUAN]]="",),"",NOTA[[#This Row],[QTY]]*NOTA[[#This Row],[HARGA SATUAN]])</f>
        <v>2600000</v>
      </c>
      <c r="AI389" s="39">
        <f ca="1">IF(NOTA[ID_H]="","",INDEX(NOTA[TANGGAL],MATCH(,INDIRECT(ADDRESS(ROW(NOTA[TANGGAL]),COLUMN(NOTA[TANGGAL]))&amp;":"&amp;ADDRESS(ROW(),COLUMN(NOTA[TANGGAL]))),-1)))</f>
        <v>45188</v>
      </c>
      <c r="AJ389" s="41" t="str">
        <f ca="1">IF(NOTA[[#This Row],[NAMA BARANG]]="","",INDEX(NOTA[SUPPLIER],MATCH(,INDIRECT(ADDRESS(ROW(NOTA[ID]),COLUMN(NOTA[ID]))&amp;":"&amp;ADDRESS(ROW(),COLUMN(NOTA[ID]))),-1)))</f>
        <v>COMBI STATIOERY</v>
      </c>
      <c r="AK389" s="41" t="str">
        <f ca="1">IF(NOTA[[#This Row],[ID_H]]="","",IF(NOTA[[#This Row],[FAKTUR]]="",INDIRECT(ADDRESS(ROW()-1,COLUMN())),NOTA[[#This Row],[FAKTUR]]))</f>
        <v>UNTANA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9</v>
      </c>
      <c r="AN389" s="38" t="str">
        <f>LOWER(SUBSTITUTE(SUBSTITUTE(SUBSTITUTE(SUBSTITUTE(SUBSTITUTE(SUBSTITUTE(SUBSTITUTE(SUBSTITUTE(SUBSTITUTE(NOTA[NAMA BARANG]," ",),".",""),"-",""),"(",""),")",""),",",""),"/",""),"""",""),"+",""))</f>
        <v>docritoptima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docritoptima2600000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745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5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SUR_1909_270-2</v>
      </c>
      <c r="C391" s="38" t="e">
        <f ca="1">IF(NOTA[[#This Row],[ID_P]]="","",MATCH(NOTA[[#This Row],[ID_P]],[1]!B_MSK[N_ID],0))</f>
        <v>#REF!</v>
      </c>
      <c r="D391" s="38">
        <f ca="1">IF(NOTA[[#This Row],[NAMA BARANG]]="","",INDEX(NOTA[ID],MATCH(,INDIRECT(ADDRESS(ROW(NOTA[ID]),COLUMN(NOTA[ID]))&amp;":"&amp;ADDRESS(ROW(),COLUMN(NOTA[ID]))),-1)))</f>
        <v>63</v>
      </c>
      <c r="E391" s="46">
        <v>45188</v>
      </c>
      <c r="F391" s="37" t="s">
        <v>497</v>
      </c>
      <c r="G391" s="37" t="s">
        <v>124</v>
      </c>
      <c r="H391" s="47" t="s">
        <v>508</v>
      </c>
      <c r="I391" s="37"/>
      <c r="J391" s="39">
        <v>45185</v>
      </c>
      <c r="K391" s="37"/>
      <c r="L391" s="37" t="s">
        <v>509</v>
      </c>
      <c r="M391" s="40">
        <v>40</v>
      </c>
      <c r="N391" s="38">
        <f>200*40</f>
        <v>8000</v>
      </c>
      <c r="O391" s="37" t="s">
        <v>127</v>
      </c>
      <c r="P391" s="41">
        <v>3000</v>
      </c>
      <c r="Q391" s="42"/>
      <c r="R391" s="48" t="s">
        <v>510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24000000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24000000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391" s="50">
        <f>IF(OR(NOTA[[#This Row],[QTY]]="",NOTA[[#This Row],[HARGA SATUAN]]="",),"",NOTA[[#This Row],[QTY]]*NOTA[[#This Row],[HARGA SATUAN]])</f>
        <v>24000000</v>
      </c>
      <c r="AI391" s="39">
        <f ca="1">IF(NOTA[ID_H]="","",INDEX(NOTA[TANGGAL],MATCH(,INDIRECT(ADDRESS(ROW(NOTA[TANGGAL]),COLUMN(NOTA[TANGGAL]))&amp;":"&amp;ADDRESS(ROW(),COLUMN(NOTA[TANGGAL]))),-1)))</f>
        <v>45188</v>
      </c>
      <c r="AJ391" s="41" t="str">
        <f ca="1">IF(NOTA[[#This Row],[NAMA BARANG]]="","",INDEX(NOTA[SUPPLIER],MATCH(,INDIRECT(ADDRESS(ROW(NOTA[ID]),COLUMN(NOTA[ID]))&amp;":"&amp;ADDRESS(ROW(),COLUMN(NOTA[ID]))),-1)))</f>
        <v>SURYA PRATAMA</v>
      </c>
      <c r="AK391" s="41" t="str">
        <f ca="1">IF(NOTA[[#This Row],[ID_H]]="","",IF(NOTA[[#This Row],[FAKTUR]]="",INDIRECT(ADDRESS(ROW()-1,COLUMN())),NOTA[[#This Row],[FAKTUR]]))</f>
        <v>UNTANA</v>
      </c>
      <c r="AL391" s="38">
        <f ca="1">IF(NOTA[[#This Row],[ID]]="","",COUNTIF(NOTA[ID_H],NOTA[[#This Row],[ID_H]]))</f>
        <v>2</v>
      </c>
      <c r="AM391" s="38">
        <f>IF(NOTA[[#This Row],[TGL.NOTA]]="",IF(NOTA[[#This Row],[SUPPLIER_H]]="","",AM390),MONTH(NOTA[[#This Row],[TGL.NOTA]]))</f>
        <v>9</v>
      </c>
      <c r="AN391" s="38" t="str">
        <f>LOWER(SUBSTITUTE(SUBSTITUTE(SUBSTITUTE(SUBSTITUTE(SUBSTITUTE(SUBSTITUTE(SUBSTITUTE(SUBSTITUTE(SUBSTITUTE(NOTA[NAMA BARANG]," ",),".",""),"-",""),"(",""),")",""),",",""),"/",""),"""",""),"+",""))</f>
        <v>isolasigambarfancy15*2m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isolasigambarfancy15*2m600000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isolasigambarfancy15*2m600000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PRATAMAUNTANAF23/P00027045185isolasigambarfancy15*2m</v>
      </c>
      <c r="AR391" s="38" t="e">
        <f>IF(NOTA[[#This Row],[CONCAT4]]="","",_xlfn.IFNA(MATCH(NOTA[[#This Row],[CONCAT4]],[2]!RAW[CONCAT_H],0),FALSE))</f>
        <v>#REF!</v>
      </c>
      <c r="AS391" s="38" t="e">
        <f>IF(NOTA[[#This Row],[CONCAT1]]="","",MATCH(NOTA[[#This Row],[CONCAT1]],[3]!db[NB NOTA_C],0))</f>
        <v>#N/A</v>
      </c>
      <c r="AT391" s="38" t="b">
        <f>IF(NOTA[[#This Row],[QTY/ CTN]]="","",TRUE)</f>
        <v>1</v>
      </c>
      <c r="AU391" s="38" t="str">
        <f ca="1">IF(NOTA[[#This Row],[ID_H]]="","",IF(NOTA[[#This Row],[Column3]]=TRUE,NOTA[[#This Row],[QTY/ CTN]],INDEX([3]!db[QTY/ CTN],NOTA[[#This Row],[//DB]])))</f>
        <v>200 PCS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isolasigambarfancy15*2m200pcsuntana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/>
      <c r="L392" s="37" t="s">
        <v>511</v>
      </c>
      <c r="M392" s="40">
        <v>20</v>
      </c>
      <c r="N392" s="38">
        <f>144*20</f>
        <v>2880</v>
      </c>
      <c r="O392" s="37" t="s">
        <v>127</v>
      </c>
      <c r="P392" s="41">
        <v>9500</v>
      </c>
      <c r="Q392" s="42"/>
      <c r="R392" s="48" t="s">
        <v>512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27360000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27360000</v>
      </c>
      <c r="AD392" s="50"/>
      <c r="AE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51360000</v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392" s="50">
        <f>IF(OR(NOTA[[#This Row],[QTY]]="",NOTA[[#This Row],[HARGA SATUAN]]="",),"",NOTA[[#This Row],[QTY]]*NOTA[[#This Row],[HARGA SATUAN]])</f>
        <v>27360000</v>
      </c>
      <c r="AI392" s="39">
        <f ca="1">IF(NOTA[ID_H]="","",INDEX(NOTA[TANGGAL],MATCH(,INDIRECT(ADDRESS(ROW(NOTA[TANGGAL]),COLUMN(NOTA[TANGGAL]))&amp;":"&amp;ADDRESS(ROW(),COLUMN(NOTA[TANGGAL]))),-1)))</f>
        <v>45188</v>
      </c>
      <c r="AJ392" s="41" t="str">
        <f ca="1">IF(NOTA[[#This Row],[NAMA BARANG]]="","",INDEX(NOTA[SUPPLIER],MATCH(,INDIRECT(ADDRESS(ROW(NOTA[ID]),COLUMN(NOTA[ID]))&amp;":"&amp;ADDRESS(ROW(),COLUMN(NOTA[ID]))),-1)))</f>
        <v>SURYA PRATAMA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9</v>
      </c>
      <c r="AN392" s="38" t="str">
        <f>LOWER(SUBSTITUTE(SUBSTITUTE(SUBSTITUTE(SUBSTITUTE(SUBSTITUTE(SUBSTITUTE(SUBSTITUTE(SUBSTITUTE(SUBSTITUTE(NOTA[NAMA BARANG]," ",),".",""),"-",""),"(",""),")",""),",",""),"/",""),"""",""),"+",""))</f>
        <v>magicboardtk901rumahkecil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magicboardtk901rumahkecil1368000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magicboardtk901rumahkecil1368000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e">
        <f>IF(NOTA[[#This Row],[CONCAT1]]="","",MATCH(NOTA[[#This Row],[CONCAT1]],[3]!db[NB NOTA_C],0))</f>
        <v>#N/A</v>
      </c>
      <c r="AT392" s="38" t="b">
        <f>IF(NOTA[[#This Row],[QTY/ CTN]]="","",TRUE)</f>
        <v>1</v>
      </c>
      <c r="AU392" s="38" t="str">
        <f ca="1">IF(NOTA[[#This Row],[ID_H]]="","",IF(NOTA[[#This Row],[Column3]]=TRUE,NOTA[[#This Row],[QTY/ CTN]],INDEX([3]!db[QTY/ CTN],NOTA[[#This Row],[//DB]])))</f>
        <v>144 PCS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magicboardtk901rumahkecil144pcsuntana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64</v>
      </c>
      <c r="E394" s="46">
        <v>45187</v>
      </c>
      <c r="F394" s="37" t="s">
        <v>291</v>
      </c>
      <c r="G394" s="37" t="s">
        <v>124</v>
      </c>
      <c r="H394" s="47" t="s">
        <v>513</v>
      </c>
      <c r="I394" s="37"/>
      <c r="J394" s="39">
        <v>45183</v>
      </c>
      <c r="K394" s="37"/>
      <c r="L394" s="37" t="s">
        <v>514</v>
      </c>
      <c r="M394" s="40"/>
      <c r="N394" s="38">
        <v>200</v>
      </c>
      <c r="O394" s="37" t="s">
        <v>139</v>
      </c>
      <c r="P394" s="41">
        <v>21380</v>
      </c>
      <c r="Q394" s="42"/>
      <c r="R394" s="48"/>
      <c r="S394" s="49">
        <v>0.2</v>
      </c>
      <c r="T394" s="44">
        <v>0.04</v>
      </c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4276000</v>
      </c>
      <c r="Y394" s="50">
        <f>IF(NOTA[[#This Row],[JUMLAH]]="","",NOTA[[#This Row],[JUMLAH]]*NOTA[[#This Row],[DISC 1]])</f>
        <v>855200</v>
      </c>
      <c r="Z394" s="50">
        <f>IF(NOTA[[#This Row],[JUMLAH]]="","",(NOTA[[#This Row],[JUMLAH]]-NOTA[[#This Row],[DISC 1-]])*NOTA[[#This Row],[DISC 2]])</f>
        <v>136832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992032</v>
      </c>
      <c r="AC394" s="50">
        <f>IF(NOTA[[#This Row],[JUMLAH]]="","",NOTA[[#This Row],[JUMLAH]]-NOTA[[#This Row],[DISC]])</f>
        <v>3283968</v>
      </c>
      <c r="AD394" s="50"/>
      <c r="AE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H394" s="50">
        <f>IF(OR(NOTA[[#This Row],[QTY]]="",NOTA[[#This Row],[HARGA SATUAN]]="",),"",NOTA[[#This Row],[QTY]]*NOTA[[#This Row],[HARGA SATUAN]])</f>
        <v>4276000</v>
      </c>
      <c r="AI394" s="39">
        <f ca="1">IF(NOTA[ID_H]="","",INDEX(NOTA[TANGGAL],MATCH(,INDIRECT(ADDRESS(ROW(NOTA[TANGGAL]),COLUMN(NOTA[TANGGAL]))&amp;":"&amp;ADDRESS(ROW(),COLUMN(NOTA[TANGGAL]))),-1)))</f>
        <v>45187</v>
      </c>
      <c r="AJ394" s="41" t="str">
        <f ca="1">IF(NOTA[[#This Row],[NAMA BARANG]]="","",INDEX(NOTA[SUPPLIER],MATCH(,INDIRECT(ADDRESS(ROW(NOTA[ID]),COLUMN(NOTA[ID]))&amp;":"&amp;ADDRESS(ROW(),COLUMN(NOTA[ID]))),-1)))</f>
        <v>PPW</v>
      </c>
      <c r="AK394" s="41" t="str">
        <f ca="1">IF(NOTA[[#This Row],[ID_H]]="","",IF(NOTA[[#This Row],[FAKTUR]]="",INDIRECT(ADDRESS(ROW()-1,COLUMN())),NOTA[[#This Row],[FAKTUR]]))</f>
        <v>UNTANA</v>
      </c>
      <c r="AL394" s="38">
        <f ca="1">IF(NOTA[[#This Row],[ID]]="","",COUNTIF(NOTA[ID_H],NOTA[[#This Row],[ID_H]]))</f>
        <v>1</v>
      </c>
      <c r="AM394" s="38">
        <f>IF(NOTA[[#This Row],[TGL.NOTA]]="",IF(NOTA[[#This Row],[SUPPLIER_H]]="","",AM393),MONTH(NOTA[[#This Row],[TGL.NOTA]]))</f>
        <v>9</v>
      </c>
      <c r="AN394" s="38" t="str">
        <f>LOWER(SUBSTITUTE(SUBSTITUTE(SUBSTITUTE(SUBSTITUTE(SUBSTITUTE(SUBSTITUTE(SUBSTITUTE(SUBSTITUTE(SUBSTITUTE(NOTA[NAMA BARANG]," ",),".",""),"-",""),"(",""),")",""),",",""),"/",""),"""",""),"+",""))</f>
        <v>bt20cm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PPWUNTANA0188/HW/IX/2345183bt20cm</v>
      </c>
      <c r="AR394" s="38" t="e">
        <f>IF(NOTA[[#This Row],[CONCAT4]]="","",_xlfn.IFNA(MATCH(NOTA[[#This Row],[CONCAT4]],[2]!RAW[CONCAT_H],0),FALSE))</f>
        <v>#REF!</v>
      </c>
      <c r="AS394" s="38">
        <f>IF(NOTA[[#This Row],[CONCAT1]]="","",MATCH(NOTA[[#This Row],[CONCAT1]],[3]!db[NB NOTA_C],0))</f>
        <v>420</v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>100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6" s="38" t="e">
        <f ca="1">IF(NOTA[[#This Row],[ID_P]]="","",MATCH(NOTA[[#This Row],[ID_P]],[1]!B_MSK[N_ID],0))</f>
        <v>#REF!</v>
      </c>
      <c r="D396" s="38">
        <f ca="1">IF(NOTA[[#This Row],[NAMA BARANG]]="","",INDEX(NOTA[ID],MATCH(,INDIRECT(ADDRESS(ROW(NOTA[ID]),COLUMN(NOTA[ID]))&amp;":"&amp;ADDRESS(ROW(),COLUMN(NOTA[ID]))),-1)))</f>
        <v>65</v>
      </c>
      <c r="E396" s="46"/>
      <c r="F396" s="37" t="s">
        <v>291</v>
      </c>
      <c r="G396" s="37" t="s">
        <v>124</v>
      </c>
      <c r="H396" s="47" t="s">
        <v>515</v>
      </c>
      <c r="I396" s="37"/>
      <c r="J396" s="39">
        <v>45183</v>
      </c>
      <c r="K396" s="37"/>
      <c r="L396" s="37" t="s">
        <v>293</v>
      </c>
      <c r="M396" s="40"/>
      <c r="N396" s="38">
        <v>500</v>
      </c>
      <c r="O396" s="37" t="s">
        <v>139</v>
      </c>
      <c r="P396" s="41">
        <v>26780</v>
      </c>
      <c r="Q396" s="42"/>
      <c r="R396" s="48"/>
      <c r="S396" s="49">
        <v>0.2</v>
      </c>
      <c r="T396" s="44">
        <v>0.04</v>
      </c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13390000</v>
      </c>
      <c r="Y396" s="50">
        <f>IF(NOTA[[#This Row],[JUMLAH]]="","",NOTA[[#This Row],[JUMLAH]]*NOTA[[#This Row],[DISC 1]])</f>
        <v>2678000</v>
      </c>
      <c r="Z396" s="50">
        <f>IF(NOTA[[#This Row],[JUMLAH]]="","",(NOTA[[#This Row],[JUMLAH]]-NOTA[[#This Row],[DISC 1-]])*NOTA[[#This Row],[DISC 2]])</f>
        <v>428480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3106480</v>
      </c>
      <c r="AC396" s="50">
        <f>IF(NOTA[[#This Row],[JUMLAH]]="","",NOTA[[#This Row],[JUMLAH]]-NOTA[[#This Row],[DISC]])</f>
        <v>10283520</v>
      </c>
      <c r="AD396" s="50"/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H396" s="50">
        <f>IF(OR(NOTA[[#This Row],[QTY]]="",NOTA[[#This Row],[HARGA SATUAN]]="",),"",NOTA[[#This Row],[QTY]]*NOTA[[#This Row],[HARGA SATUAN]])</f>
        <v>13390000</v>
      </c>
      <c r="AI396" s="39">
        <f ca="1">IF(NOTA[ID_H]="","",INDEX(NOTA[TANGGAL],MATCH(,INDIRECT(ADDRESS(ROW(NOTA[TANGGAL]),COLUMN(NOTA[TANGGAL]))&amp;":"&amp;ADDRESS(ROW(),COLUMN(NOTA[TANGGAL]))),-1)))</f>
        <v>45187</v>
      </c>
      <c r="AJ396" s="41" t="str">
        <f ca="1">IF(NOTA[[#This Row],[NAMA BARANG]]="","",INDEX(NOTA[SUPPLIER],MATCH(,INDIRECT(ADDRESS(ROW(NOTA[ID]),COLUMN(NOTA[ID]))&amp;":"&amp;ADDRESS(ROW(),COLUMN(NOTA[ID]))),-1)))</f>
        <v>PPW</v>
      </c>
      <c r="AK396" s="41" t="str">
        <f ca="1">IF(NOTA[[#This Row],[ID_H]]="","",IF(NOTA[[#This Row],[FAKTUR]]="",INDIRECT(ADDRESS(ROW()-1,COLUMN())),NOTA[[#This Row],[FAKTUR]]))</f>
        <v>UNTANA</v>
      </c>
      <c r="AL396" s="38">
        <f ca="1">IF(NOTA[[#This Row],[ID]]="","",COUNTIF(NOTA[ID_H],NOTA[[#This Row],[ID_H]]))</f>
        <v>1</v>
      </c>
      <c r="AM396" s="38">
        <f>IF(NOTA[[#This Row],[TGL.NOTA]]="",IF(NOTA[[#This Row],[SUPPLIER_H]]="","",AM395),MONTH(NOTA[[#This Row],[TGL.NOTA]]))</f>
        <v>9</v>
      </c>
      <c r="AN396" s="38" t="str">
        <f>LOWER(SUBSTITUTE(SUBSTITUTE(SUBSTITUTE(SUBSTITUTE(SUBSTITUTE(SUBSTITUTE(SUBSTITUTE(SUBSTITUTE(SUBSTITUTE(NOTA[NAMA BARANG]," ",),".",""),"-",""),"(",""),")",""),",",""),"/",""),"""",""),"+",""))</f>
        <v>bt30cm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PPWUNTANA0177/HW/IX/2345183bt30cm</v>
      </c>
      <c r="AR396" s="38" t="e">
        <f>IF(NOTA[[#This Row],[CONCAT4]]="","",_xlfn.IFNA(MATCH(NOTA[[#This Row],[CONCAT4]],[2]!RAW[CONCAT_H],0),FALSE))</f>
        <v>#REF!</v>
      </c>
      <c r="AS396" s="38">
        <f>IF(NOTA[[#This Row],[CONCAT1]]="","",MATCH(NOTA[[#This Row],[CONCAT1]],[3]!db[NB NOTA_C],0))</f>
        <v>421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100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66</v>
      </c>
      <c r="E398" s="46"/>
      <c r="F398" s="37" t="s">
        <v>291</v>
      </c>
      <c r="G398" s="37" t="s">
        <v>124</v>
      </c>
      <c r="H398" s="47" t="s">
        <v>516</v>
      </c>
      <c r="I398" s="37"/>
      <c r="J398" s="39">
        <v>45181</v>
      </c>
      <c r="K398" s="37"/>
      <c r="L398" s="37" t="s">
        <v>517</v>
      </c>
      <c r="M398" s="40"/>
      <c r="N398" s="38">
        <v>16</v>
      </c>
      <c r="O398" s="37" t="s">
        <v>139</v>
      </c>
      <c r="P398" s="41">
        <v>236880</v>
      </c>
      <c r="Q398" s="42"/>
      <c r="R398" s="48"/>
      <c r="S398" s="49">
        <v>0.2</v>
      </c>
      <c r="T398" s="44">
        <v>0.04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3790080</v>
      </c>
      <c r="Y398" s="50">
        <f>IF(NOTA[[#This Row],[JUMLAH]]="","",NOTA[[#This Row],[JUMLAH]]*NOTA[[#This Row],[DISC 1]])</f>
        <v>758016</v>
      </c>
      <c r="Z398" s="50">
        <f>IF(NOTA[[#This Row],[JUMLAH]]="","",(NOTA[[#This Row],[JUMLAH]]-NOTA[[#This Row],[DISC 1-]])*NOTA[[#This Row],[DISC 2]])</f>
        <v>121282.56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879298.56000000006</v>
      </c>
      <c r="AC398" s="50">
        <f>IF(NOTA[[#This Row],[JUMLAH]]="","",NOTA[[#This Row],[JUMLAH]]-NOTA[[#This Row],[DISC]])</f>
        <v>2910781.4399999999</v>
      </c>
      <c r="AD398" s="50"/>
      <c r="AE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F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H398" s="50">
        <f>IF(OR(NOTA[[#This Row],[QTY]]="",NOTA[[#This Row],[HARGA SATUAN]]="",),"",NOTA[[#This Row],[QTY]]*NOTA[[#This Row],[HARGA SATUAN]])</f>
        <v>3790080</v>
      </c>
      <c r="AI398" s="39">
        <f ca="1">IF(NOTA[ID_H]="","",INDEX(NOTA[TANGGAL],MATCH(,INDIRECT(ADDRESS(ROW(NOTA[TANGGAL]),COLUMN(NOTA[TANGGAL]))&amp;":"&amp;ADDRESS(ROW(),COLUMN(NOTA[TANGGAL]))),-1)))</f>
        <v>45187</v>
      </c>
      <c r="AJ398" s="41" t="str">
        <f ca="1">IF(NOTA[[#This Row],[NAMA BARANG]]="","",INDEX(NOTA[SUPPLIER],MATCH(,INDIRECT(ADDRESS(ROW(NOTA[ID]),COLUMN(NOTA[ID]))&amp;":"&amp;ADDRESS(ROW(),COLUMN(NOTA[ID]))),-1)))</f>
        <v>PPW</v>
      </c>
      <c r="AK398" s="41" t="str">
        <f ca="1">IF(NOTA[[#This Row],[ID_H]]="","",IF(NOTA[[#This Row],[FAKTUR]]="",INDIRECT(ADDRESS(ROW()-1,COLUMN())),NOTA[[#This Row],[FAKTUR]]))</f>
        <v>UNTANA</v>
      </c>
      <c r="AL398" s="38">
        <f ca="1">IF(NOTA[[#This Row],[ID]]="","",COUNTIF(NOTA[ID_H],NOTA[[#This Row],[ID_H]]))</f>
        <v>1</v>
      </c>
      <c r="AM398" s="38">
        <f>IF(NOTA[[#This Row],[TGL.NOTA]]="",IF(NOTA[[#This Row],[SUPPLIER_H]]="","",AM397),MONTH(NOTA[[#This Row],[TGL.NOTA]]))</f>
        <v>9</v>
      </c>
      <c r="AN398" s="38" t="str">
        <f>LOWER(SUBSTITUTE(SUBSTITUTE(SUBSTITUTE(SUBSTITUTE(SUBSTITUTE(SUBSTITUTE(SUBSTITUTE(SUBSTITUTE(SUBSTITUTE(NOTA[NAMA BARANG]," ",),".",""),"-",""),"(",""),")",""),",",""),"/",""),"""",""),"+",""))</f>
        <v>segitigabtno12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segitigabtno122368800.20.04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PPWUNTANA0140/HW/IX/2345181segitigabtno12</v>
      </c>
      <c r="AR398" s="38" t="e">
        <f>IF(NOTA[[#This Row],[CONCAT4]]="","",_xlfn.IFNA(MATCH(NOTA[[#This Row],[CONCAT4]],[2]!RAW[CONCAT_H],0),FALSE))</f>
        <v>#REF!</v>
      </c>
      <c r="AS398" s="38">
        <f>IF(NOTA[[#This Row],[CONCAT1]]="","",MATCH(NOTA[[#This Row],[CONCAT1]],[3]!db[NB NOTA_C],0))</f>
        <v>2414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16 LSN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segitigabtno1216lsnuntana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SAM_2009_554-8</v>
      </c>
      <c r="C400" s="38" t="e">
        <f ca="1">IF(NOTA[[#This Row],[ID_P]]="","",MATCH(NOTA[[#This Row],[ID_P]],[1]!B_MSK[N_ID],0))</f>
        <v>#REF!</v>
      </c>
      <c r="D400" s="38">
        <f ca="1">IF(NOTA[[#This Row],[NAMA BARANG]]="","",INDEX(NOTA[ID],MATCH(,INDIRECT(ADDRESS(ROW(NOTA[ID]),COLUMN(NOTA[ID]))&amp;":"&amp;ADDRESS(ROW(),COLUMN(NOTA[ID]))),-1)))</f>
        <v>67</v>
      </c>
      <c r="E400" s="46">
        <v>45189</v>
      </c>
      <c r="F400" s="37" t="s">
        <v>56</v>
      </c>
      <c r="G400" s="37" t="s">
        <v>23</v>
      </c>
      <c r="H400" s="47" t="s">
        <v>518</v>
      </c>
      <c r="I400" s="37"/>
      <c r="J400" s="39">
        <v>45185</v>
      </c>
      <c r="K400" s="37"/>
      <c r="L400" s="37" t="s">
        <v>520</v>
      </c>
      <c r="M400" s="40">
        <v>3</v>
      </c>
      <c r="N400" s="38">
        <v>480</v>
      </c>
      <c r="O400" s="37" t="s">
        <v>127</v>
      </c>
      <c r="P400" s="41">
        <v>10000</v>
      </c>
      <c r="Q400" s="42"/>
      <c r="R400" s="48" t="s">
        <v>519</v>
      </c>
      <c r="S400" s="49">
        <v>7.0000000000000007E-2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4800000</v>
      </c>
      <c r="Y400" s="50">
        <f>IF(NOTA[[#This Row],[JUMLAH]]="","",NOTA[[#This Row],[JUMLAH]]*NOTA[[#This Row],[DISC 1]])</f>
        <v>336000.00000000006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336000.00000000006</v>
      </c>
      <c r="AC400" s="50">
        <f>IF(NOTA[[#This Row],[JUMLAH]]="","",NOTA[[#This Row],[JUMLAH]]-NOTA[[#This Row],[DISC]])</f>
        <v>4464000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00" s="50">
        <f>IF(OR(NOTA[[#This Row],[QTY]]="",NOTA[[#This Row],[HARGA SATUAN]]="",),"",NOTA[[#This Row],[QTY]]*NOTA[[#This Row],[HARGA SATUAN]])</f>
        <v>4800000</v>
      </c>
      <c r="AI400" s="39">
        <f ca="1">IF(NOTA[ID_H]="","",INDEX(NOTA[TANGGAL],MATCH(,INDIRECT(ADDRESS(ROW(NOTA[TANGGAL]),COLUMN(NOTA[TANGGAL]))&amp;":"&amp;ADDRESS(ROW(),COLUMN(NOTA[TANGGAL]))),-1)))</f>
        <v>45189</v>
      </c>
      <c r="AJ400" s="41" t="str">
        <f ca="1">IF(NOTA[[#This Row],[NAMA BARANG]]="","",INDEX(NOTA[SUPPLIER],MATCH(,INDIRECT(ADDRESS(ROW(NOTA[ID]),COLUMN(NOTA[ID]))&amp;":"&amp;ADDRESS(ROW(),COLUMN(NOTA[ID]))),-1)))</f>
        <v>SAMUDERA ANGKASA JAYA</v>
      </c>
      <c r="AK400" s="41" t="str">
        <f ca="1">IF(NOTA[[#This Row],[ID_H]]="","",IF(NOTA[[#This Row],[FAKTUR]]="",INDIRECT(ADDRESS(ROW()-1,COLUMN())),NOTA[[#This Row],[FAKTUR]]))</f>
        <v>ARTO MORO</v>
      </c>
      <c r="AL400" s="38">
        <f ca="1">IF(NOTA[[#This Row],[ID]]="","",COUNTIF(NOTA[ID_H],NOTA[[#This Row],[ID_H]]))</f>
        <v>8</v>
      </c>
      <c r="AM400" s="38">
        <f>IF(NOTA[[#This Row],[TGL.NOTA]]="",IF(NOTA[[#This Row],[SUPPLIER_H]]="","",AM399),MONTH(NOTA[[#This Row],[TGL.NOTA]]))</f>
        <v>9</v>
      </c>
      <c r="AN400" s="38" t="str">
        <f>LOWER(SUBSTITUTE(SUBSTITUTE(SUBSTITUTE(SUBSTITUTE(SUBSTITUTE(SUBSTITUTE(SUBSTITUTE(SUBSTITUTE(SUBSTITUTE(NOTA[NAMA BARANG]," ",),".",""),"-",""),"(",""),")",""),",",""),"/",""),"""",""),"+",""))</f>
        <v>bukuspiral0161980la5pvc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bukuspiral0161980la5pvc16000000.07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bukuspiral0161980la5pvc16000000.07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MOROJL-1655445185bukuspiral0161980la5pvc</v>
      </c>
      <c r="AR400" s="38" t="e">
        <f>IF(NOTA[[#This Row],[CONCAT4]]="","",_xlfn.IFNA(MATCH(NOTA[[#This Row],[CONCAT4]],[2]!RAW[CONCAT_H],0),FALSE))</f>
        <v>#REF!</v>
      </c>
      <c r="AS400" s="38">
        <f>IF(NOTA[[#This Row],[CONCAT1]]="","",MATCH(NOTA[[#This Row],[CONCAT1]],[3]!db[NB NOTA_C],0))</f>
        <v>2774</v>
      </c>
      <c r="AT400" s="38" t="b">
        <f>IF(NOTA[[#This Row],[QTY/ CTN]]="","",TRUE)</f>
        <v>1</v>
      </c>
      <c r="AU400" s="38" t="str">
        <f ca="1">IF(NOTA[[#This Row],[ID_H]]="","",IF(NOTA[[#This Row],[Column3]]=TRUE,NOTA[[#This Row],[QTY/ CTN]],INDEX([3]!db[QTY/ CTN],NOTA[[#This Row],[//DB]])))</f>
        <v>160 PCS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bukuspiral0161980la5pvc160pcsartomoro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67</v>
      </c>
      <c r="E401" s="46"/>
      <c r="F401" s="37"/>
      <c r="G401" s="37"/>
      <c r="H401" s="47"/>
      <c r="I401" s="37"/>
      <c r="J401" s="39"/>
      <c r="K401" s="37"/>
      <c r="L401" s="37" t="s">
        <v>521</v>
      </c>
      <c r="M401" s="40">
        <v>3</v>
      </c>
      <c r="N401" s="38">
        <v>480</v>
      </c>
      <c r="O401" s="37" t="s">
        <v>127</v>
      </c>
      <c r="P401" s="41">
        <v>10000</v>
      </c>
      <c r="Q401" s="42"/>
      <c r="R401" s="48" t="s">
        <v>519</v>
      </c>
      <c r="S401" s="49">
        <v>7.0000000000000007E-2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4800000</v>
      </c>
      <c r="Y401" s="50">
        <f>IF(NOTA[[#This Row],[JUMLAH]]="","",NOTA[[#This Row],[JUMLAH]]*NOTA[[#This Row],[DISC 1]])</f>
        <v>336000.00000000006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336000.00000000006</v>
      </c>
      <c r="AC401" s="50">
        <f>IF(NOTA[[#This Row],[JUMLAH]]="","",NOTA[[#This Row],[JUMLAH]]-NOTA[[#This Row],[DISC]])</f>
        <v>4464000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01" s="50">
        <f>IF(OR(NOTA[[#This Row],[QTY]]="",NOTA[[#This Row],[HARGA SATUAN]]="",),"",NOTA[[#This Row],[QTY]]*NOTA[[#This Row],[HARGA SATUAN]])</f>
        <v>4800000</v>
      </c>
      <c r="AI401" s="39">
        <f ca="1">IF(NOTA[ID_H]="","",INDEX(NOTA[TANGGAL],MATCH(,INDIRECT(ADDRESS(ROW(NOTA[TANGGAL]),COLUMN(NOTA[TANGGAL]))&amp;":"&amp;ADDRESS(ROW(),COLUMN(NOTA[TANGGAL]))),-1)))</f>
        <v>45189</v>
      </c>
      <c r="AJ401" s="41" t="str">
        <f ca="1">IF(NOTA[[#This Row],[NAMA BARANG]]="","",INDEX(NOTA[SUPPLIER],MATCH(,INDIRECT(ADDRESS(ROW(NOTA[ID]),COLUMN(NOTA[ID]))&amp;":"&amp;ADDRESS(ROW(),COLUMN(NOTA[ID]))),-1)))</f>
        <v>SAMUDERA ANGKASA JAYA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9</v>
      </c>
      <c r="AN401" s="38" t="str">
        <f>LOWER(SUBSTITUTE(SUBSTITUTE(SUBSTITUTE(SUBSTITUTE(SUBSTITUTE(SUBSTITUTE(SUBSTITUTE(SUBSTITUTE(SUBSTITUTE(NOTA[NAMA BARANG]," ",),".",""),"-",""),"(",""),")",""),",",""),"/",""),"""",""),"+",""))</f>
        <v>bukuspiral0162180la5pvc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bukuspiral0162180la5pvc16000000.07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bukuspiral0162180la5pvc16000000.07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2776</v>
      </c>
      <c r="AT401" s="38" t="b">
        <f>IF(NOTA[[#This Row],[QTY/ CTN]]="","",TRUE)</f>
        <v>1</v>
      </c>
      <c r="AU401" s="38" t="str">
        <f ca="1">IF(NOTA[[#This Row],[ID_H]]="","",IF(NOTA[[#This Row],[Column3]]=TRUE,NOTA[[#This Row],[QTY/ CTN]],INDEX([3]!db[QTY/ CTN],NOTA[[#This Row],[//DB]])))</f>
        <v>160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bukuspiral0162180la5pvc160pcsartomoro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67</v>
      </c>
      <c r="E402" s="46"/>
      <c r="F402" s="37"/>
      <c r="G402" s="37"/>
      <c r="H402" s="47"/>
      <c r="I402" s="37"/>
      <c r="J402" s="39"/>
      <c r="K402" s="37"/>
      <c r="L402" s="37" t="s">
        <v>522</v>
      </c>
      <c r="M402" s="40">
        <v>5</v>
      </c>
      <c r="N402" s="38">
        <v>720</v>
      </c>
      <c r="O402" s="37" t="s">
        <v>139</v>
      </c>
      <c r="P402" s="41">
        <v>8500</v>
      </c>
      <c r="Q402" s="42"/>
      <c r="R402" s="48" t="s">
        <v>217</v>
      </c>
      <c r="S402" s="49">
        <v>7.0000000000000007E-2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6120000</v>
      </c>
      <c r="Y402" s="50">
        <f>IF(NOTA[[#This Row],[JUMLAH]]="","",NOTA[[#This Row],[JUMLAH]]*NOTA[[#This Row],[DISC 1]])</f>
        <v>428400.00000000006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428400.00000000006</v>
      </c>
      <c r="AC402" s="50">
        <f>IF(NOTA[[#This Row],[JUMLAH]]="","",NOTA[[#This Row],[JUMLAH]]-NOTA[[#This Row],[DISC]])</f>
        <v>5691600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402" s="50">
        <f>IF(OR(NOTA[[#This Row],[QTY]]="",NOTA[[#This Row],[HARGA SATUAN]]="",),"",NOTA[[#This Row],[QTY]]*NOTA[[#This Row],[HARGA SATUAN]])</f>
        <v>6120000</v>
      </c>
      <c r="AI402" s="39">
        <f ca="1">IF(NOTA[ID_H]="","",INDEX(NOTA[TANGGAL],MATCH(,INDIRECT(ADDRESS(ROW(NOTA[TANGGAL]),COLUMN(NOTA[TANGGAL]))&amp;":"&amp;ADDRESS(ROW(),COLUMN(NOTA[TANGGAL]))),-1)))</f>
        <v>45189</v>
      </c>
      <c r="AJ402" s="41" t="str">
        <f ca="1">IF(NOTA[[#This Row],[NAMA BARANG]]="","",INDEX(NOTA[SUPPLIER],MATCH(,INDIRECT(ADDRESS(ROW(NOTA[ID]),COLUMN(NOTA[ID]))&amp;":"&amp;ADDRESS(ROW(),COLUMN(NOTA[ID]))),-1)))</f>
        <v>SAMUDERA ANGKASA JAYA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9</v>
      </c>
      <c r="AN402" s="38" t="str">
        <f>LOWER(SUBSTITUTE(SUBSTITUTE(SUBSTITUTE(SUBSTITUTE(SUBSTITUTE(SUBSTITUTE(SUBSTITUTE(SUBSTITUTE(SUBSTITUTE(NOTA[NAMA BARANG]," ",),".",""),"-",""),"(",""),")",""),",",""),"/",""),"""",""),"+",""))</f>
        <v>gelpenipenvc8100vanco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gelpenipenvc8100vanco12240000.07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gelpenipenvc8100vanco12240000.07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2777</v>
      </c>
      <c r="AT402" s="38" t="b">
        <f>IF(NOTA[[#This Row],[QTY/ CTN]]="","",TRUE)</f>
        <v>1</v>
      </c>
      <c r="AU402" s="38" t="str">
        <f ca="1">IF(NOTA[[#This Row],[ID_H]]="","",IF(NOTA[[#This Row],[Column3]]=TRUE,NOTA[[#This Row],[QTY/ CTN]],INDEX([3]!db[QTY/ CTN],NOTA[[#This Row],[//DB]])))</f>
        <v>144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gelpenipenvc8100vanco144lsnartomoro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67</v>
      </c>
      <c r="E403" s="46"/>
      <c r="F403" s="37"/>
      <c r="G403" s="37"/>
      <c r="H403" s="47"/>
      <c r="I403" s="37"/>
      <c r="J403" s="39"/>
      <c r="K403" s="37"/>
      <c r="L403" s="37" t="s">
        <v>523</v>
      </c>
      <c r="M403" s="40">
        <v>5</v>
      </c>
      <c r="N403" s="38">
        <v>720</v>
      </c>
      <c r="O403" s="37" t="s">
        <v>139</v>
      </c>
      <c r="P403" s="41">
        <v>21000</v>
      </c>
      <c r="Q403" s="42"/>
      <c r="R403" s="48" t="s">
        <v>217</v>
      </c>
      <c r="S403" s="49">
        <v>7.0000000000000007E-2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15120000</v>
      </c>
      <c r="Y403" s="50">
        <f>IF(NOTA[[#This Row],[JUMLAH]]="","",NOTA[[#This Row],[JUMLAH]]*NOTA[[#This Row],[DISC 1]])</f>
        <v>1058400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1058400</v>
      </c>
      <c r="AC403" s="50">
        <f>IF(NOTA[[#This Row],[JUMLAH]]="","",NOTA[[#This Row],[JUMLAH]]-NOTA[[#This Row],[DISC]])</f>
        <v>14061600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3" s="50">
        <f>IF(OR(NOTA[[#This Row],[QTY]]="",NOTA[[#This Row],[HARGA SATUAN]]="",),"",NOTA[[#This Row],[QTY]]*NOTA[[#This Row],[HARGA SATUAN]])</f>
        <v>15120000</v>
      </c>
      <c r="AI403" s="39">
        <f ca="1">IF(NOTA[ID_H]="","",INDEX(NOTA[TANGGAL],MATCH(,INDIRECT(ADDRESS(ROW(NOTA[TANGGAL]),COLUMN(NOTA[TANGGAL]))&amp;":"&amp;ADDRESS(ROW(),COLUMN(NOTA[TANGGAL]))),-1)))</f>
        <v>45189</v>
      </c>
      <c r="AJ403" s="41" t="str">
        <f ca="1">IF(NOTA[[#This Row],[NAMA BARANG]]="","",INDEX(NOTA[SUPPLIER],MATCH(,INDIRECT(ADDRESS(ROW(NOTA[ID]),COLUMN(NOTA[ID]))&amp;":"&amp;ADDRESS(ROW(),COLUMN(NOTA[ID]))),-1)))</f>
        <v>SAMUDERA ANGKASA JAYA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9</v>
      </c>
      <c r="AN403" s="38" t="str">
        <f>LOWER(SUBSTITUTE(SUBSTITUTE(SUBSTITUTE(SUBSTITUTE(SUBSTITUTE(SUBSTITUTE(SUBSTITUTE(SUBSTITUTE(SUBSTITUTE(NOTA[NAMA BARANG]," ",),".",""),"-",""),"(",""),")",""),",",""),"/",""),"""",""),"+",""))</f>
        <v>pen4wvc6201vanco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pen4wvc6201vanco30240000.07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pen4wvc6201vanco30240000.07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2778</v>
      </c>
      <c r="AT403" s="38" t="b">
        <f>IF(NOTA[[#This Row],[QTY/ CTN]]="","",TRUE)</f>
        <v>1</v>
      </c>
      <c r="AU403" s="38" t="str">
        <f ca="1">IF(NOTA[[#This Row],[ID_H]]="","",IF(NOTA[[#This Row],[Column3]]=TRUE,NOTA[[#This Row],[QTY/ CTN]],INDEX([3]!db[QTY/ CTN],NOTA[[#This Row],[//DB]])))</f>
        <v>144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pen4wvc6201vanco144lsnartomoro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67</v>
      </c>
      <c r="E404" s="46"/>
      <c r="F404" s="37"/>
      <c r="G404" s="37"/>
      <c r="H404" s="47"/>
      <c r="I404" s="37"/>
      <c r="J404" s="39"/>
      <c r="K404" s="37"/>
      <c r="L404" s="37" t="s">
        <v>524</v>
      </c>
      <c r="M404" s="40">
        <v>1</v>
      </c>
      <c r="N404" s="38">
        <v>256</v>
      </c>
      <c r="O404" s="37" t="s">
        <v>133</v>
      </c>
      <c r="P404" s="41">
        <v>14500</v>
      </c>
      <c r="Q404" s="42"/>
      <c r="R404" s="48" t="s">
        <v>525</v>
      </c>
      <c r="S404" s="49">
        <v>7.0000000000000007E-2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3712000</v>
      </c>
      <c r="Y404" s="50">
        <f>IF(NOTA[[#This Row],[JUMLAH]]="","",NOTA[[#This Row],[JUMLAH]]*NOTA[[#This Row],[DISC 1]])</f>
        <v>259840.00000000003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259840.00000000003</v>
      </c>
      <c r="AC404" s="50">
        <f>IF(NOTA[[#This Row],[JUMLAH]]="","",NOTA[[#This Row],[JUMLAH]]-NOTA[[#This Row],[DISC]])</f>
        <v>3452160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3712000</v>
      </c>
      <c r="AH404" s="50">
        <f>IF(OR(NOTA[[#This Row],[QTY]]="",NOTA[[#This Row],[HARGA SATUAN]]="",),"",NOTA[[#This Row],[QTY]]*NOTA[[#This Row],[HARGA SATUAN]])</f>
        <v>3712000</v>
      </c>
      <c r="AI404" s="39">
        <f ca="1">IF(NOTA[ID_H]="","",INDEX(NOTA[TANGGAL],MATCH(,INDIRECT(ADDRESS(ROW(NOTA[TANGGAL]),COLUMN(NOTA[TANGGAL]))&amp;":"&amp;ADDRESS(ROW(),COLUMN(NOTA[TANGGAL]))),-1)))</f>
        <v>45189</v>
      </c>
      <c r="AJ404" s="41" t="str">
        <f ca="1">IF(NOTA[[#This Row],[NAMA BARANG]]="","",INDEX(NOTA[SUPPLIER],MATCH(,INDIRECT(ADDRESS(ROW(NOTA[ID]),COLUMN(NOTA[ID]))&amp;":"&amp;ADDRESS(ROW(),COLUMN(NOTA[ID]))),-1)))</f>
        <v>SAMUDERA ANGKASA JAYA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9</v>
      </c>
      <c r="AN404" s="38" t="str">
        <f>LOWER(SUBSTITUTE(SUBSTITUTE(SUBSTITUTE(SUBSTITUTE(SUBSTITUTE(SUBSTITUTE(SUBSTITUTE(SUBSTITUTE(SUBSTITUTE(NOTA[NAMA BARANG]," ",),".",""),"-",""),"(",""),")",""),",",""),"/",""),"""",""),"+",""))</f>
        <v>gelpenklikgp961299wpvc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gelpenklikgp961299wpvc37120000.07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gelpenklikgp961299wpvc37120000.07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2779</v>
      </c>
      <c r="AT404" s="38" t="b">
        <f>IF(NOTA[[#This Row],[QTY/ CTN]]="","",TRUE)</f>
        <v>1</v>
      </c>
      <c r="AU404" s="38" t="str">
        <f ca="1">IF(NOTA[[#This Row],[ID_H]]="","",IF(NOTA[[#This Row],[Column3]]=TRUE,NOTA[[#This Row],[QTY/ CTN]],INDEX([3]!db[QTY/ CTN],NOTA[[#This Row],[//DB]])))</f>
        <v>256 SET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gelpenklikgp961299wpvc256setartomoro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67</v>
      </c>
      <c r="E405" s="46"/>
      <c r="F405" s="37"/>
      <c r="G405" s="37"/>
      <c r="H405" s="47"/>
      <c r="I405" s="37"/>
      <c r="J405" s="39"/>
      <c r="K405" s="37"/>
      <c r="L405" s="37" t="s">
        <v>529</v>
      </c>
      <c r="M405" s="40">
        <v>3</v>
      </c>
      <c r="N405" s="38">
        <v>288</v>
      </c>
      <c r="O405" s="37" t="s">
        <v>127</v>
      </c>
      <c r="P405" s="41">
        <v>16500</v>
      </c>
      <c r="Q405" s="42"/>
      <c r="R405" s="48" t="s">
        <v>526</v>
      </c>
      <c r="S405" s="49">
        <v>7.0000000000000007E-2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4752000</v>
      </c>
      <c r="Y405" s="50">
        <f>IF(NOTA[[#This Row],[JUMLAH]]="","",NOTA[[#This Row],[JUMLAH]]*NOTA[[#This Row],[DISC 1]])</f>
        <v>332640.00000000006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332640.00000000006</v>
      </c>
      <c r="AC405" s="50">
        <f>IF(NOTA[[#This Row],[JUMLAH]]="","",NOTA[[#This Row],[JUMLAH]]-NOTA[[#This Row],[DISC]])</f>
        <v>4419360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5" s="50">
        <f>IF(OR(NOTA[[#This Row],[QTY]]="",NOTA[[#This Row],[HARGA SATUAN]]="",),"",NOTA[[#This Row],[QTY]]*NOTA[[#This Row],[HARGA SATUAN]])</f>
        <v>4752000</v>
      </c>
      <c r="AI405" s="39">
        <f ca="1">IF(NOTA[ID_H]="","",INDEX(NOTA[TANGGAL],MATCH(,INDIRECT(ADDRESS(ROW(NOTA[TANGGAL]),COLUMN(NOTA[TANGGAL]))&amp;":"&amp;ADDRESS(ROW(),COLUMN(NOTA[TANGGAL]))),-1)))</f>
        <v>45189</v>
      </c>
      <c r="AJ405" s="41" t="str">
        <f ca="1">IF(NOTA[[#This Row],[NAMA BARANG]]="","",INDEX(NOTA[SUPPLIER],MATCH(,INDIRECT(ADDRESS(ROW(NOTA[ID]),COLUMN(NOTA[ID]))&amp;":"&amp;ADDRESS(ROW(),COLUMN(NOTA[ID]))),-1)))</f>
        <v>SAMUDERA ANGKASA JAYA</v>
      </c>
      <c r="AK405" s="41" t="str">
        <f ca="1">IF(NOTA[[#This Row],[ID_H]]="","",IF(NOTA[[#This Row],[FAKTUR]]="",INDIRECT(ADDRESS(ROW()-1,COLUMN())),NOTA[[#This Row],[FAKTUR]]))</f>
        <v>ARTO MORO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9</v>
      </c>
      <c r="AN405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bkkancing32k100822a515840000.07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bkkancing32k100822a515840000.07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>
        <f>IF(NOTA[[#This Row],[CONCAT1]]="","",MATCH(NOTA[[#This Row],[CONCAT1]],[3]!db[NB NOTA_C],0))</f>
        <v>2781</v>
      </c>
      <c r="AT405" s="38" t="b">
        <f>IF(NOTA[[#This Row],[QTY/ CTN]]="","",TRUE)</f>
        <v>1</v>
      </c>
      <c r="AU405" s="38" t="str">
        <f ca="1">IF(NOTA[[#This Row],[ID_H]]="","",IF(NOTA[[#This Row],[Column3]]=TRUE,NOTA[[#This Row],[QTY/ CTN]],INDEX([3]!db[QTY/ CTN],NOTA[[#This Row],[//DB]])))</f>
        <v>96 PCS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67</v>
      </c>
      <c r="E406" s="46"/>
      <c r="F406" s="37"/>
      <c r="G406" s="37"/>
      <c r="H406" s="47"/>
      <c r="I406" s="37"/>
      <c r="J406" s="39"/>
      <c r="K406" s="37"/>
      <c r="L406" s="37" t="s">
        <v>527</v>
      </c>
      <c r="M406" s="40">
        <v>3</v>
      </c>
      <c r="N406" s="38">
        <v>288</v>
      </c>
      <c r="O406" s="37" t="s">
        <v>127</v>
      </c>
      <c r="P406" s="41">
        <v>16500</v>
      </c>
      <c r="Q406" s="42"/>
      <c r="R406" s="48" t="s">
        <v>526</v>
      </c>
      <c r="S406" s="49">
        <v>7.0000000000000007E-2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4752000</v>
      </c>
      <c r="Y406" s="50">
        <f>IF(NOTA[[#This Row],[JUMLAH]]="","",NOTA[[#This Row],[JUMLAH]]*NOTA[[#This Row],[DISC 1]])</f>
        <v>332640.00000000006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332640.00000000006</v>
      </c>
      <c r="AC406" s="50">
        <f>IF(NOTA[[#This Row],[JUMLAH]]="","",NOTA[[#This Row],[JUMLAH]]-NOTA[[#This Row],[DISC]])</f>
        <v>4419360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6" s="50">
        <f>IF(OR(NOTA[[#This Row],[QTY]]="",NOTA[[#This Row],[HARGA SATUAN]]="",),"",NOTA[[#This Row],[QTY]]*NOTA[[#This Row],[HARGA SATUAN]])</f>
        <v>4752000</v>
      </c>
      <c r="AI406" s="39">
        <f ca="1">IF(NOTA[ID_H]="","",INDEX(NOTA[TANGGAL],MATCH(,INDIRECT(ADDRESS(ROW(NOTA[TANGGAL]),COLUMN(NOTA[TANGGAL]))&amp;":"&amp;ADDRESS(ROW(),COLUMN(NOTA[TANGGAL]))),-1)))</f>
        <v>45189</v>
      </c>
      <c r="AJ406" s="41" t="str">
        <f ca="1">IF(NOTA[[#This Row],[NAMA BARANG]]="","",INDEX(NOTA[SUPPLIER],MATCH(,INDIRECT(ADDRESS(ROW(NOTA[ID]),COLUMN(NOTA[ID]))&amp;":"&amp;ADDRESS(ROW(),COLUMN(NOTA[ID]))),-1)))</f>
        <v>SAMUDERA ANGKASA JAYA</v>
      </c>
      <c r="AK406" s="41" t="str">
        <f ca="1">IF(NOTA[[#This Row],[ID_H]]="","",IF(NOTA[[#This Row],[FAKTUR]]="",INDIRECT(ADDRESS(ROW()-1,COLUMN())),NOTA[[#This Row],[FAKTUR]]))</f>
        <v>ARTO MORO</v>
      </c>
      <c r="AL406" s="38" t="str">
        <f ca="1">IF(NOTA[[#This Row],[ID]]="","",COUNTIF(NOTA[ID_H],NOTA[[#This Row],[ID_H]]))</f>
        <v/>
      </c>
      <c r="AM406" s="38">
        <f ca="1">IF(NOTA[[#This Row],[TGL.NOTA]]="",IF(NOTA[[#This Row],[SUPPLIER_H]]="","",AM405),MONTH(NOTA[[#This Row],[TGL.NOTA]]))</f>
        <v>9</v>
      </c>
      <c r="AN406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bkkancing32k100821a515840000.07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bkkancing32k100821a515840000.07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>
        <f>IF(NOTA[[#This Row],[CONCAT1]]="","",MATCH(NOTA[[#This Row],[CONCAT1]],[3]!db[NB NOTA_C],0))</f>
        <v>2780</v>
      </c>
      <c r="AT406" s="38" t="b">
        <f>IF(NOTA[[#This Row],[QTY/ CTN]]="","",TRUE)</f>
        <v>1</v>
      </c>
      <c r="AU406" s="38" t="str">
        <f ca="1">IF(NOTA[[#This Row],[ID_H]]="","",IF(NOTA[[#This Row],[Column3]]=TRUE,NOTA[[#This Row],[QTY/ CTN]],INDEX([3]!db[QTY/ CTN],NOTA[[#This Row],[//DB]])))</f>
        <v>96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67</v>
      </c>
      <c r="E407" s="46"/>
      <c r="F407" s="37"/>
      <c r="G407" s="37"/>
      <c r="H407" s="47"/>
      <c r="I407" s="37"/>
      <c r="J407" s="39"/>
      <c r="K407" s="37"/>
      <c r="L407" s="37" t="s">
        <v>528</v>
      </c>
      <c r="M407" s="40">
        <v>3</v>
      </c>
      <c r="N407" s="38">
        <v>480</v>
      </c>
      <c r="O407" s="37" t="s">
        <v>127</v>
      </c>
      <c r="P407" s="41">
        <v>10000</v>
      </c>
      <c r="Q407" s="42"/>
      <c r="R407" s="48" t="s">
        <v>519</v>
      </c>
      <c r="S407" s="49">
        <v>7.0000000000000007E-2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4800000</v>
      </c>
      <c r="Y407" s="50">
        <f>IF(NOTA[[#This Row],[JUMLAH]]="","",NOTA[[#This Row],[JUMLAH]]*NOTA[[#This Row],[DISC 1]])</f>
        <v>336000.00000000006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336000.00000000006</v>
      </c>
      <c r="AC407" s="50">
        <f>IF(NOTA[[#This Row],[JUMLAH]]="","",NOTA[[#This Row],[JUMLAH]]-NOTA[[#This Row],[DISC]])</f>
        <v>4464000</v>
      </c>
      <c r="AD407" s="50"/>
      <c r="AE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3419920</v>
      </c>
      <c r="AF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45436080</v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07" s="50">
        <f>IF(OR(NOTA[[#This Row],[QTY]]="",NOTA[[#This Row],[HARGA SATUAN]]="",),"",NOTA[[#This Row],[QTY]]*NOTA[[#This Row],[HARGA SATUAN]])</f>
        <v>4800000</v>
      </c>
      <c r="AI407" s="39">
        <f ca="1">IF(NOTA[ID_H]="","",INDEX(NOTA[TANGGAL],MATCH(,INDIRECT(ADDRESS(ROW(NOTA[TANGGAL]),COLUMN(NOTA[TANGGAL]))&amp;":"&amp;ADDRESS(ROW(),COLUMN(NOTA[TANGGAL]))),-1)))</f>
        <v>45189</v>
      </c>
      <c r="AJ407" s="41" t="str">
        <f ca="1">IF(NOTA[[#This Row],[NAMA BARANG]]="","",INDEX(NOTA[SUPPLIER],MATCH(,INDIRECT(ADDRESS(ROW(NOTA[ID]),COLUMN(NOTA[ID]))&amp;":"&amp;ADDRESS(ROW(),COLUMN(NOTA[ID]))),-1)))</f>
        <v>SAMUDERA ANGKASA JAYA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9</v>
      </c>
      <c r="AN407" s="38" t="str">
        <f>LOWER(SUBSTITUTE(SUBSTITUTE(SUBSTITUTE(SUBSTITUTE(SUBSTITUTE(SUBSTITUTE(SUBSTITUTE(SUBSTITUTE(SUBSTITUTE(NOTA[NAMA BARANG]," ",),".",""),"-",""),"(",""),")",""),",",""),"/",""),"""",""),"+",""))</f>
        <v>bukuspiral0162080la5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bukuspiral0162080la516000000.07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bukuspiral0162080la516000000.07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2775</v>
      </c>
      <c r="AT407" s="38" t="b">
        <f>IF(NOTA[[#This Row],[QTY/ CTN]]="","",TRUE)</f>
        <v>1</v>
      </c>
      <c r="AU407" s="38" t="str">
        <f ca="1">IF(NOTA[[#This Row],[ID_H]]="","",IF(NOTA[[#This Row],[Column3]]=TRUE,NOTA[[#This Row],[QTY/ CTN]],INDEX([3]!db[QTY/ CTN],NOTA[[#This Row],[//DB]])))</f>
        <v>160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bukuspiral0162080la5160pcsartomoro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BIN_2109_317-1</v>
      </c>
      <c r="C409" s="38" t="e">
        <f ca="1">IF(NOTA[[#This Row],[ID_P]]="","",MATCH(NOTA[[#This Row],[ID_P]],[1]!B_MSK[N_ID],0))</f>
        <v>#REF!</v>
      </c>
      <c r="D409" s="38">
        <f ca="1">IF(NOTA[[#This Row],[NAMA BARANG]]="","",INDEX(NOTA[ID],MATCH(,INDIRECT(ADDRESS(ROW(NOTA[ID]),COLUMN(NOTA[ID]))&amp;":"&amp;ADDRESS(ROW(),COLUMN(NOTA[ID]))),-1)))</f>
        <v>68</v>
      </c>
      <c r="E409" s="46">
        <v>45190</v>
      </c>
      <c r="F409" s="37" t="s">
        <v>420</v>
      </c>
      <c r="G409" s="37" t="s">
        <v>124</v>
      </c>
      <c r="H409" s="47" t="s">
        <v>530</v>
      </c>
      <c r="I409" s="37"/>
      <c r="J409" s="39">
        <v>45185</v>
      </c>
      <c r="K409" s="37"/>
      <c r="L409" s="37" t="s">
        <v>531</v>
      </c>
      <c r="M409" s="40">
        <v>2</v>
      </c>
      <c r="N409" s="38">
        <v>144</v>
      </c>
      <c r="O409" s="37" t="s">
        <v>127</v>
      </c>
      <c r="P409" s="41">
        <v>17500</v>
      </c>
      <c r="Q409" s="42"/>
      <c r="R409" s="48" t="s">
        <v>218</v>
      </c>
      <c r="S409" s="49">
        <v>0.05</v>
      </c>
      <c r="T409" s="44">
        <v>0.05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2520000</v>
      </c>
      <c r="Y409" s="50">
        <f>IF(NOTA[[#This Row],[JUMLAH]]="","",NOTA[[#This Row],[JUMLAH]]*NOTA[[#This Row],[DISC 1]])</f>
        <v>126000</v>
      </c>
      <c r="Z409" s="50">
        <f>IF(NOTA[[#This Row],[JUMLAH]]="","",(NOTA[[#This Row],[JUMLAH]]-NOTA[[#This Row],[DISC 1-]])*NOTA[[#This Row],[DISC 2]])</f>
        <v>119700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245700</v>
      </c>
      <c r="AC409" s="50">
        <f>IF(NOTA[[#This Row],[JUMLAH]]="","",NOTA[[#This Row],[JUMLAH]]-NOTA[[#This Row],[DISC]])</f>
        <v>2274300</v>
      </c>
      <c r="AD409" s="50"/>
      <c r="AE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245700</v>
      </c>
      <c r="AF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2274300</v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H409" s="50">
        <f>IF(OR(NOTA[[#This Row],[QTY]]="",NOTA[[#This Row],[HARGA SATUAN]]="",),"",NOTA[[#This Row],[QTY]]*NOTA[[#This Row],[HARGA SATUAN]])</f>
        <v>2520000</v>
      </c>
      <c r="AI409" s="39">
        <f ca="1">IF(NOTA[ID_H]="","",INDEX(NOTA[TANGGAL],MATCH(,INDIRECT(ADDRESS(ROW(NOTA[TANGGAL]),COLUMN(NOTA[TANGGAL]))&amp;":"&amp;ADDRESS(ROW(),COLUMN(NOTA[TANGGAL]))),-1)))</f>
        <v>45190</v>
      </c>
      <c r="AJ409" s="41" t="str">
        <f ca="1">IF(NOTA[[#This Row],[NAMA BARANG]]="","",INDEX(NOTA[SUPPLIER],MATCH(,INDIRECT(ADDRESS(ROW(NOTA[ID]),COLUMN(NOTA[ID]))&amp;":"&amp;ADDRESS(ROW(),COLUMN(NOTA[ID]))),-1)))</f>
        <v>BINTANG SAUDARA</v>
      </c>
      <c r="AK409" s="41" t="str">
        <f ca="1">IF(NOTA[[#This Row],[ID_H]]="","",IF(NOTA[[#This Row],[FAKTUR]]="",INDIRECT(ADDRESS(ROW()-1,COLUMN())),NOTA[[#This Row],[FAKTUR]]))</f>
        <v>UNTANA</v>
      </c>
      <c r="AL409" s="38">
        <f ca="1">IF(NOTA[[#This Row],[ID]]="","",COUNTIF(NOTA[ID_H],NOTA[[#This Row],[ID_H]]))</f>
        <v>1</v>
      </c>
      <c r="AM409" s="38">
        <f>IF(NOTA[[#This Row],[TGL.NOTA]]="",IF(NOTA[[#This Row],[SUPPLIER_H]]="","",AM408),MONTH(NOTA[[#This Row],[TGL.NOTA]]))</f>
        <v>9</v>
      </c>
      <c r="AN409" s="38" t="str">
        <f>LOWER(SUBSTITUTE(SUBSTITUTE(SUBSTITUTE(SUBSTITUTE(SUBSTITUTE(SUBSTITUTE(SUBSTITUTE(SUBSTITUTE(SUBSTITUTE(NOTA[NAMA BARANG]," ",),".",""),"-",""),"(",""),")",""),",",""),"/",""),"""",""),"+",""))</f>
        <v>bindernotea5abstrakbn1726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bindernotea5abstrakbn172612600000.050.05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bindernotea5abstrakbn172612600000.050.05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SAUDARAUNTANASO202309008231745185bindernotea5abstrakbn1726</v>
      </c>
      <c r="AR409" s="38" t="e">
        <f>IF(NOTA[[#This Row],[CONCAT4]]="","",_xlfn.IFNA(MATCH(NOTA[[#This Row],[CONCAT4]],[2]!RAW[CONCAT_H],0),FALSE))</f>
        <v>#REF!</v>
      </c>
      <c r="AS409" s="38" t="e">
        <f>IF(NOTA[[#This Row],[CONCAT1]]="","",MATCH(NOTA[[#This Row],[CONCAT1]],[3]!db[NB NOTA_C],0))</f>
        <v>#N/A</v>
      </c>
      <c r="AT409" s="38" t="b">
        <f>IF(NOTA[[#This Row],[QTY/ CTN]]="","",TRUE)</f>
        <v>1</v>
      </c>
      <c r="AU409" s="38" t="str">
        <f ca="1">IF(NOTA[[#This Row],[ID_H]]="","",IF(NOTA[[#This Row],[Column3]]=TRUE,NOTA[[#This Row],[QTY/ CTN]],INDEX([3]!db[QTY/ CTN],NOTA[[#This Row],[//DB]])))</f>
        <v>72 PCS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bindernotea5abstrakbn172672pcsuntana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DBS_2109_223-1</v>
      </c>
      <c r="C411" s="38" t="e">
        <f ca="1">IF(NOTA[[#This Row],[ID_P]]="","",MATCH(NOTA[[#This Row],[ID_P]],[1]!B_MSK[N_ID],0))</f>
        <v>#REF!</v>
      </c>
      <c r="D411" s="38">
        <f ca="1">IF(NOTA[[#This Row],[NAMA BARANG]]="","",INDEX(NOTA[ID],MATCH(,INDIRECT(ADDRESS(ROW(NOTA[ID]),COLUMN(NOTA[ID]))&amp;":"&amp;ADDRESS(ROW(),COLUMN(NOTA[ID]))),-1)))</f>
        <v>69</v>
      </c>
      <c r="E411" s="46">
        <v>45190</v>
      </c>
      <c r="F411" s="37" t="s">
        <v>298</v>
      </c>
      <c r="G411" s="37" t="s">
        <v>124</v>
      </c>
      <c r="H411" s="47" t="s">
        <v>532</v>
      </c>
      <c r="I411" s="37"/>
      <c r="J411" s="39">
        <v>45194</v>
      </c>
      <c r="K411" s="37"/>
      <c r="L411" s="37" t="s">
        <v>533</v>
      </c>
      <c r="M411" s="40">
        <v>1</v>
      </c>
      <c r="N411" s="38">
        <v>96</v>
      </c>
      <c r="O411" s="37" t="s">
        <v>139</v>
      </c>
      <c r="P411" s="41">
        <v>29000</v>
      </c>
      <c r="Q411" s="42"/>
      <c r="R411" s="48" t="s">
        <v>301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2784000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2784000</v>
      </c>
      <c r="AD411" s="50"/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2784000</v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11" s="50">
        <f>IF(OR(NOTA[[#This Row],[QTY]]="",NOTA[[#This Row],[HARGA SATUAN]]="",),"",NOTA[[#This Row],[QTY]]*NOTA[[#This Row],[HARGA SATUAN]])</f>
        <v>2784000</v>
      </c>
      <c r="AI411" s="39">
        <f ca="1">IF(NOTA[ID_H]="","",INDEX(NOTA[TANGGAL],MATCH(,INDIRECT(ADDRESS(ROW(NOTA[TANGGAL]),COLUMN(NOTA[TANGGAL]))&amp;":"&amp;ADDRESS(ROW(),COLUMN(NOTA[TANGGAL]))),-1)))</f>
        <v>45190</v>
      </c>
      <c r="AJ411" s="41" t="str">
        <f ca="1">IF(NOTA[[#This Row],[NAMA BARANG]]="","",INDEX(NOTA[SUPPLIER],MATCH(,INDIRECT(ADDRESS(ROW(NOTA[ID]),COLUMN(NOTA[ID]))&amp;":"&amp;ADDRESS(ROW(),COLUMN(NOTA[ID]))),-1)))</f>
        <v>DB STATIONERY</v>
      </c>
      <c r="AK411" s="41" t="str">
        <f ca="1">IF(NOTA[[#This Row],[ID_H]]="","",IF(NOTA[[#This Row],[FAKTUR]]="",INDIRECT(ADDRESS(ROW()-1,COLUMN())),NOTA[[#This Row],[FAKTUR]]))</f>
        <v>UNTANA</v>
      </c>
      <c r="AL411" s="38">
        <f ca="1">IF(NOTA[[#This Row],[ID]]="","",COUNTIF(NOTA[ID_H],NOTA[[#This Row],[ID_H]]))</f>
        <v>1</v>
      </c>
      <c r="AM411" s="38">
        <f>IF(NOTA[[#This Row],[TGL.NOTA]]="",IF(NOTA[[#This Row],[SUPPLIER_H]]="","",AM410),MONTH(NOTA[[#This Row],[TGL.NOTA]]))</f>
        <v>9</v>
      </c>
      <c r="AN411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STATIONERYUNTANAJUI272/2345194mektizo20tm030c</v>
      </c>
      <c r="AR411" s="38" t="e">
        <f>IF(NOTA[[#This Row],[CONCAT4]]="","",_xlfn.IFNA(MATCH(NOTA[[#This Row],[CONCAT4]],[2]!RAW[CONCAT_H],0),FALSE))</f>
        <v>#REF!</v>
      </c>
      <c r="AS411" s="38">
        <f>IF(NOTA[[#This Row],[CONCAT1]]="","",MATCH(NOTA[[#This Row],[CONCAT1]],[3]!db[NB NOTA_C],0))</f>
        <v>1844</v>
      </c>
      <c r="AT411" s="38" t="b">
        <f>IF(NOTA[[#This Row],[QTY/ CTN]]="","",TRUE)</f>
        <v>1</v>
      </c>
      <c r="AU411" s="38" t="str">
        <f ca="1">IF(NOTA[[#This Row],[ID_H]]="","",IF(NOTA[[#This Row],[Column3]]=TRUE,NOTA[[#This Row],[QTY/ CTN]],INDEX([3]!db[QTY/ CTN],NOTA[[#This Row],[//DB]])))</f>
        <v>96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TFS_2109_119-4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70</v>
      </c>
      <c r="E413" s="46">
        <v>45190</v>
      </c>
      <c r="F413" s="37" t="s">
        <v>534</v>
      </c>
      <c r="G413" s="37" t="s">
        <v>124</v>
      </c>
      <c r="H413" s="47" t="s">
        <v>535</v>
      </c>
      <c r="I413" s="37"/>
      <c r="J413" s="39">
        <v>45184</v>
      </c>
      <c r="K413" s="37"/>
      <c r="L413" s="37" t="s">
        <v>536</v>
      </c>
      <c r="M413" s="40"/>
      <c r="N413" s="38">
        <v>30</v>
      </c>
      <c r="O413" s="37" t="s">
        <v>127</v>
      </c>
      <c r="P413" s="41">
        <v>29500</v>
      </c>
      <c r="Q413" s="42"/>
      <c r="R413" s="48"/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885000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885000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3" s="50">
        <f>IF(OR(NOTA[[#This Row],[QTY]]="",NOTA[[#This Row],[HARGA SATUAN]]="",),"",NOTA[[#This Row],[QTY]]*NOTA[[#This Row],[HARGA SATUAN]])</f>
        <v>885000</v>
      </c>
      <c r="AI413" s="39">
        <f ca="1">IF(NOTA[ID_H]="","",INDEX(NOTA[TANGGAL],MATCH(,INDIRECT(ADDRESS(ROW(NOTA[TANGGAL]),COLUMN(NOTA[TANGGAL]))&amp;":"&amp;ADDRESS(ROW(),COLUMN(NOTA[TANGGAL]))),-1)))</f>
        <v>45190</v>
      </c>
      <c r="AJ413" s="41" t="str">
        <f ca="1">IF(NOTA[[#This Row],[NAMA BARANG]]="","",INDEX(NOTA[SUPPLIER],MATCH(,INDIRECT(ADDRESS(ROW(NOTA[ID]),COLUMN(NOTA[ID]))&amp;":"&amp;ADDRESS(ROW(),COLUMN(NOTA[ID]))),-1)))</f>
        <v>TFS</v>
      </c>
      <c r="AK413" s="41" t="str">
        <f ca="1">IF(NOTA[[#This Row],[ID_H]]="","",IF(NOTA[[#This Row],[FAKTUR]]="",INDIRECT(ADDRESS(ROW()-1,COLUMN())),NOTA[[#This Row],[FAKTUR]]))</f>
        <v>UNTANA</v>
      </c>
      <c r="AL413" s="38">
        <f ca="1">IF(NOTA[[#This Row],[ID]]="","",COUNTIF(NOTA[ID_H],NOTA[[#This Row],[ID_H]]))</f>
        <v>4</v>
      </c>
      <c r="AM413" s="38">
        <f>IF(NOTA[[#This Row],[TGL.NOTA]]="",IF(NOTA[[#This Row],[SUPPLIER_H]]="","",AM412),MONTH(NOTA[[#This Row],[TGL.NOTA]]))</f>
        <v>9</v>
      </c>
      <c r="AN413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TFSUNTANAPK-23090011945184zipperfileclearholder55540filegreen</v>
      </c>
      <c r="AR413" s="38" t="e">
        <f>IF(NOTA[[#This Row],[CONCAT4]]="","",_xlfn.IFNA(MATCH(NOTA[[#This Row],[CONCAT4]],[2]!RAW[CONCAT_H],0),FALSE))</f>
        <v>#REF!</v>
      </c>
      <c r="AS413" s="38">
        <f>IF(NOTA[[#This Row],[CONCAT1]]="","",MATCH(NOTA[[#This Row],[CONCAT1]],[3]!db[NB NOTA_C],0))</f>
        <v>2684</v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>60 PCS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70</v>
      </c>
      <c r="E414" s="46"/>
      <c r="F414" s="37"/>
      <c r="G414" s="37"/>
      <c r="H414" s="47"/>
      <c r="I414" s="37"/>
      <c r="J414" s="39"/>
      <c r="K414" s="37"/>
      <c r="L414" s="37" t="s">
        <v>537</v>
      </c>
      <c r="M414" s="40"/>
      <c r="N414" s="38">
        <v>30</v>
      </c>
      <c r="O414" s="37" t="s">
        <v>127</v>
      </c>
      <c r="P414" s="41">
        <v>29500</v>
      </c>
      <c r="Q414" s="42"/>
      <c r="R414" s="48"/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885000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885000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4" s="50">
        <f>IF(OR(NOTA[[#This Row],[QTY]]="",NOTA[[#This Row],[HARGA SATUAN]]="",),"",NOTA[[#This Row],[QTY]]*NOTA[[#This Row],[HARGA SATUAN]])</f>
        <v>885000</v>
      </c>
      <c r="AI414" s="39">
        <f ca="1">IF(NOTA[ID_H]="","",INDEX(NOTA[TANGGAL],MATCH(,INDIRECT(ADDRESS(ROW(NOTA[TANGGAL]),COLUMN(NOTA[TANGGAL]))&amp;":"&amp;ADDRESS(ROW(),COLUMN(NOTA[TANGGAL]))),-1)))</f>
        <v>45190</v>
      </c>
      <c r="AJ414" s="41" t="str">
        <f ca="1">IF(NOTA[[#This Row],[NAMA BARANG]]="","",INDEX(NOTA[SUPPLIER],MATCH(,INDIRECT(ADDRESS(ROW(NOTA[ID]),COLUMN(NOTA[ID]))&amp;":"&amp;ADDRESS(ROW(),COLUMN(NOTA[ID]))),-1)))</f>
        <v>TFS</v>
      </c>
      <c r="AK414" s="41" t="str">
        <f ca="1">IF(NOTA[[#This Row],[ID_H]]="","",IF(NOTA[[#This Row],[FAKTUR]]="",INDIRECT(ADDRESS(ROW()-1,COLUMN())),NOTA[[#This Row],[FAKTUR]]))</f>
        <v>UNTANA</v>
      </c>
      <c r="AL414" s="38" t="str">
        <f ca="1">IF(NOTA[[#This Row],[ID]]="","",COUNTIF(NOTA[ID_H],NOTA[[#This Row],[ID_H]]))</f>
        <v/>
      </c>
      <c r="AM414" s="38">
        <f ca="1">IF(NOTA[[#This Row],[TGL.NOTA]]="",IF(NOTA[[#This Row],[SUPPLIER_H]]="","",AM413),MONTH(NOTA[[#This Row],[TGL.NOTA]]))</f>
        <v>9</v>
      </c>
      <c r="AN414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>
        <f>IF(NOTA[[#This Row],[CONCAT1]]="","",MATCH(NOTA[[#This Row],[CONCAT1]],[3]!db[NB NOTA_C],0))</f>
        <v>2685</v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>60 PCS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70</v>
      </c>
      <c r="E415" s="46"/>
      <c r="F415" s="37"/>
      <c r="G415" s="37"/>
      <c r="H415" s="47"/>
      <c r="I415" s="37"/>
      <c r="J415" s="39"/>
      <c r="K415" s="37"/>
      <c r="L415" s="37" t="s">
        <v>538</v>
      </c>
      <c r="M415" s="40"/>
      <c r="N415" s="38">
        <v>30</v>
      </c>
      <c r="O415" s="37" t="s">
        <v>127</v>
      </c>
      <c r="P415" s="41">
        <v>29500</v>
      </c>
      <c r="Q415" s="42"/>
      <c r="R415" s="48"/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885000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885000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5" s="50">
        <f>IF(OR(NOTA[[#This Row],[QTY]]="",NOTA[[#This Row],[HARGA SATUAN]]="",),"",NOTA[[#This Row],[QTY]]*NOTA[[#This Row],[HARGA SATUAN]])</f>
        <v>885000</v>
      </c>
      <c r="AI415" s="39">
        <f ca="1">IF(NOTA[ID_H]="","",INDEX(NOTA[TANGGAL],MATCH(,INDIRECT(ADDRESS(ROW(NOTA[TANGGAL]),COLUMN(NOTA[TANGGAL]))&amp;":"&amp;ADDRESS(ROW(),COLUMN(NOTA[TANGGAL]))),-1)))</f>
        <v>45190</v>
      </c>
      <c r="AJ415" s="41" t="str">
        <f ca="1">IF(NOTA[[#This Row],[NAMA BARANG]]="","",INDEX(NOTA[SUPPLIER],MATCH(,INDIRECT(ADDRESS(ROW(NOTA[ID]),COLUMN(NOTA[ID]))&amp;":"&amp;ADDRESS(ROW(),COLUMN(NOTA[ID]))),-1)))</f>
        <v>TFS</v>
      </c>
      <c r="AK415" s="41" t="str">
        <f ca="1">IF(NOTA[[#This Row],[ID_H]]="","",IF(NOTA[[#This Row],[FAKTUR]]="",INDIRECT(ADDRESS(ROW()-1,COLUMN())),NOTA[[#This Row],[FAKTUR]]))</f>
        <v>UNTANA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9</v>
      </c>
      <c r="AN415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2686</v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>60 PCS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70</v>
      </c>
      <c r="E416" s="46"/>
      <c r="F416" s="37"/>
      <c r="G416" s="37"/>
      <c r="H416" s="47"/>
      <c r="I416" s="37"/>
      <c r="J416" s="39"/>
      <c r="K416" s="37"/>
      <c r="L416" s="37" t="s">
        <v>539</v>
      </c>
      <c r="M416" s="40"/>
      <c r="N416" s="38">
        <v>30</v>
      </c>
      <c r="O416" s="37" t="s">
        <v>127</v>
      </c>
      <c r="P416" s="41">
        <v>29500</v>
      </c>
      <c r="Q416" s="42"/>
      <c r="R416" s="48"/>
      <c r="S416" s="49"/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885000</v>
      </c>
      <c r="Y416" s="50">
        <f>IF(NOTA[[#This Row],[JUMLAH]]="","",NOTA[[#This Row],[JUMLAH]]*NOTA[[#This Row],[DISC 1]])</f>
        <v>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0</v>
      </c>
      <c r="AC416" s="50">
        <f>IF(NOTA[[#This Row],[JUMLAH]]="","",NOTA[[#This Row],[JUMLAH]]-NOTA[[#This Row],[DISC]])</f>
        <v>885000</v>
      </c>
      <c r="AD416" s="50"/>
      <c r="AE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3540000</v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6" s="50">
        <f>IF(OR(NOTA[[#This Row],[QTY]]="",NOTA[[#This Row],[HARGA SATUAN]]="",),"",NOTA[[#This Row],[QTY]]*NOTA[[#This Row],[HARGA SATUAN]])</f>
        <v>885000</v>
      </c>
      <c r="AI416" s="39">
        <f ca="1">IF(NOTA[ID_H]="","",INDEX(NOTA[TANGGAL],MATCH(,INDIRECT(ADDRESS(ROW(NOTA[TANGGAL]),COLUMN(NOTA[TANGGAL]))&amp;":"&amp;ADDRESS(ROW(),COLUMN(NOTA[TANGGAL]))),-1)))</f>
        <v>45190</v>
      </c>
      <c r="AJ416" s="41" t="str">
        <f ca="1">IF(NOTA[[#This Row],[NAMA BARANG]]="","",INDEX(NOTA[SUPPLIER],MATCH(,INDIRECT(ADDRESS(ROW(NOTA[ID]),COLUMN(NOTA[ID]))&amp;":"&amp;ADDRESS(ROW(),COLUMN(NOTA[ID]))),-1)))</f>
        <v>TFS</v>
      </c>
      <c r="AK416" s="41" t="str">
        <f ca="1">IF(NOTA[[#This Row],[ID_H]]="","",IF(NOTA[[#This Row],[FAKTUR]]="",INDIRECT(ADDRESS(ROW()-1,COLUMN())),NOTA[[#This Row],[FAKTUR]]))</f>
        <v>UNTANA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9</v>
      </c>
      <c r="AN416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2683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60 PCS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ATA_2109_629-3</v>
      </c>
      <c r="C418" s="38" t="e">
        <f ca="1">IF(NOTA[[#This Row],[ID_P]]="","",MATCH(NOTA[[#This Row],[ID_P]],[1]!B_MSK[N_ID],0))</f>
        <v>#REF!</v>
      </c>
      <c r="D418" s="38">
        <f ca="1">IF(NOTA[[#This Row],[NAMA BARANG]]="","",INDEX(NOTA[ID],MATCH(,INDIRECT(ADDRESS(ROW(NOTA[ID]),COLUMN(NOTA[ID]))&amp;":"&amp;ADDRESS(ROW(),COLUMN(NOTA[ID]))),-1)))</f>
        <v>71</v>
      </c>
      <c r="E418" s="46">
        <v>45190</v>
      </c>
      <c r="F418" s="37" t="s">
        <v>24</v>
      </c>
      <c r="G418" s="37" t="s">
        <v>23</v>
      </c>
      <c r="H418" s="47" t="s">
        <v>540</v>
      </c>
      <c r="I418" s="37"/>
      <c r="J418" s="39">
        <v>45187</v>
      </c>
      <c r="K418" s="37"/>
      <c r="L418" s="37" t="s">
        <v>221</v>
      </c>
      <c r="M418" s="40">
        <v>1</v>
      </c>
      <c r="N418" s="38">
        <v>30</v>
      </c>
      <c r="O418" s="37" t="s">
        <v>213</v>
      </c>
      <c r="P418" s="41">
        <v>104400</v>
      </c>
      <c r="Q418" s="42"/>
      <c r="R418" s="48" t="s">
        <v>475</v>
      </c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3132000</v>
      </c>
      <c r="Y418" s="50">
        <f>IF(NOTA[[#This Row],[JUMLAH]]="","",NOTA[[#This Row],[JUMLAH]]*NOTA[[#This Row],[DISC 1]])</f>
        <v>391500</v>
      </c>
      <c r="Z418" s="50">
        <f>IF(NOTA[[#This Row],[JUMLAH]]="","",(NOTA[[#This Row],[JUMLAH]]-NOTA[[#This Row],[DISC 1-]])*NOTA[[#This Row],[DISC 2]])</f>
        <v>137025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528525</v>
      </c>
      <c r="AC418" s="50">
        <f>IF(NOTA[[#This Row],[JUMLAH]]="","",NOTA[[#This Row],[JUMLAH]]-NOTA[[#This Row],[DISC]])</f>
        <v>2603475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18" s="50">
        <f>IF(OR(NOTA[[#This Row],[QTY]]="",NOTA[[#This Row],[HARGA SATUAN]]="",),"",NOTA[[#This Row],[QTY]]*NOTA[[#This Row],[HARGA SATUAN]])</f>
        <v>3132000</v>
      </c>
      <c r="AI418" s="39">
        <f ca="1">IF(NOTA[ID_H]="","",INDEX(NOTA[TANGGAL],MATCH(,INDIRECT(ADDRESS(ROW(NOTA[TANGGAL]),COLUMN(NOTA[TANGGAL]))&amp;":"&amp;ADDRESS(ROW(),COLUMN(NOTA[TANGGAL]))),-1)))</f>
        <v>45190</v>
      </c>
      <c r="AJ418" s="41" t="str">
        <f ca="1">IF(NOTA[[#This Row],[NAMA BARANG]]="","",INDEX(NOTA[SUPPLIER],MATCH(,INDIRECT(ADDRESS(ROW(NOTA[ID]),COLUMN(NOTA[ID]))&amp;":"&amp;ADDRESS(ROW(),COLUMN(NOTA[ID]))),-1)))</f>
        <v>ATALI MAKMUR</v>
      </c>
      <c r="AK418" s="41" t="str">
        <f ca="1">IF(NOTA[[#This Row],[ID_H]]="","",IF(NOTA[[#This Row],[FAKTUR]]="",INDIRECT(ADDRESS(ROW()-1,COLUMN())),NOTA[[#This Row],[FAKTUR]]))</f>
        <v>ARTO MORO</v>
      </c>
      <c r="AL418" s="38">
        <f ca="1">IF(NOTA[[#This Row],[ID]]="","",COUNTIF(NOTA[ID_H],NOTA[[#This Row],[ID_H]]))</f>
        <v>3</v>
      </c>
      <c r="AM418" s="38">
        <f>IF(NOTA[[#This Row],[TGL.NOTA]]="",IF(NOTA[[#This Row],[SUPPLIER_H]]="","",AM417),MONTH(NOTA[[#This Row],[TGL.NOTA]]))</f>
        <v>9</v>
      </c>
      <c r="AN41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MOROSA23091662945187pencilp882bjk</v>
      </c>
      <c r="AR418" s="38" t="e">
        <f>IF(NOTA[[#This Row],[CONCAT4]]="","",_xlfn.IFNA(MATCH(NOTA[[#This Row],[CONCAT4]],[2]!RAW[CONCAT_H],0),FALSE))</f>
        <v>#REF!</v>
      </c>
      <c r="AS418" s="38">
        <f>IF(NOTA[[#This Row],[CONCAT1]]="","",MATCH(NOTA[[#This Row],[CONCAT1]],[3]!db[NB NOTA_C],0))</f>
        <v>2175</v>
      </c>
      <c r="AT418" s="38" t="b">
        <f>IF(NOTA[[#This Row],[QTY/ CTN]]="","",TRUE)</f>
        <v>1</v>
      </c>
      <c r="AU418" s="38" t="str">
        <f ca="1">IF(NOTA[[#This Row],[ID_H]]="","",IF(NOTA[[#This Row],[Column3]]=TRUE,NOTA[[#This Row],[QTY/ CTN]],INDEX([3]!db[QTY/ CTN],NOTA[[#This Row],[//DB]])))</f>
        <v xml:space="preserve">30 GRS 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71</v>
      </c>
      <c r="E419" s="46"/>
      <c r="F419" s="37"/>
      <c r="G419" s="37"/>
      <c r="H419" s="47"/>
      <c r="I419" s="37"/>
      <c r="J419" s="39"/>
      <c r="K419" s="37"/>
      <c r="L419" s="37" t="s">
        <v>541</v>
      </c>
      <c r="M419" s="40">
        <v>1</v>
      </c>
      <c r="N419" s="38">
        <v>144</v>
      </c>
      <c r="O419" s="37" t="s">
        <v>133</v>
      </c>
      <c r="P419" s="41">
        <v>10600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1526400</v>
      </c>
      <c r="Y419" s="50">
        <f>IF(NOTA[[#This Row],[JUMLAH]]="","",NOTA[[#This Row],[JUMLAH]]*NOTA[[#This Row],[DISC 1]])</f>
        <v>190800</v>
      </c>
      <c r="Z419" s="50">
        <f>IF(NOTA[[#This Row],[JUMLAH]]="","",(NOTA[[#This Row],[JUMLAH]]-NOTA[[#This Row],[DISC 1-]])*NOTA[[#This Row],[DISC 2]])</f>
        <v>66780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257580</v>
      </c>
      <c r="AC419" s="50">
        <f>IF(NOTA[[#This Row],[JUMLAH]]="","",NOTA[[#This Row],[JUMLAH]]-NOTA[[#This Row],[DISC]])</f>
        <v>1268820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9" s="50">
        <f>IF(OR(NOTA[[#This Row],[QTY]]="",NOTA[[#This Row],[HARGA SATUAN]]="",),"",NOTA[[#This Row],[QTY]]*NOTA[[#This Row],[HARGA SATUAN]])</f>
        <v>1526400</v>
      </c>
      <c r="AI419" s="39">
        <f ca="1">IF(NOTA[ID_H]="","",INDEX(NOTA[TANGGAL],MATCH(,INDIRECT(ADDRESS(ROW(NOTA[TANGGAL]),COLUMN(NOTA[TANGGAL]))&amp;":"&amp;ADDRESS(ROW(),COLUMN(NOTA[TANGGAL]))),-1)))</f>
        <v>45190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9</v>
      </c>
      <c r="AN4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593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12 LSN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71</v>
      </c>
      <c r="E420" s="46"/>
      <c r="F420" s="37"/>
      <c r="G420" s="37"/>
      <c r="H420" s="47"/>
      <c r="I420" s="37"/>
      <c r="J420" s="39"/>
      <c r="K420" s="37"/>
      <c r="L420" s="37" t="s">
        <v>390</v>
      </c>
      <c r="M420" s="40">
        <v>2</v>
      </c>
      <c r="N420" s="38">
        <v>288</v>
      </c>
      <c r="O420" s="37" t="s">
        <v>133</v>
      </c>
      <c r="P420" s="41">
        <v>11900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3427200</v>
      </c>
      <c r="Y420" s="50">
        <f>IF(NOTA[[#This Row],[JUMLAH]]="","",NOTA[[#This Row],[JUMLAH]]*NOTA[[#This Row],[DISC 1]])</f>
        <v>428400</v>
      </c>
      <c r="Z420" s="50">
        <f>IF(NOTA[[#This Row],[JUMLAH]]="","",(NOTA[[#This Row],[JUMLAH]]-NOTA[[#This Row],[DISC 1-]])*NOTA[[#This Row],[DISC 2]])</f>
        <v>149940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578340</v>
      </c>
      <c r="AC420" s="50">
        <f>IF(NOTA[[#This Row],[JUMLAH]]="","",NOTA[[#This Row],[JUMLAH]]-NOTA[[#This Row],[DISC]])</f>
        <v>2848860</v>
      </c>
      <c r="AD420" s="50"/>
      <c r="AE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1364445</v>
      </c>
      <c r="AF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6721155</v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20" s="50">
        <f>IF(OR(NOTA[[#This Row],[QTY]]="",NOTA[[#This Row],[HARGA SATUAN]]="",),"",NOTA[[#This Row],[QTY]]*NOTA[[#This Row],[HARGA SATUAN]])</f>
        <v>3427200</v>
      </c>
      <c r="AI420" s="39">
        <f ca="1">IF(NOTA[ID_H]="","",INDEX(NOTA[TANGGAL],MATCH(,INDIRECT(ADDRESS(ROW(NOTA[TANGGAL]),COLUMN(NOTA[TANGGAL]))&amp;":"&amp;ADDRESS(ROW(),COLUMN(NOTA[TANGGAL]))),-1)))</f>
        <v>45190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9</v>
      </c>
      <c r="AN420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1897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12 LSN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ATA_2109_590-7</v>
      </c>
      <c r="C422" s="38" t="e">
        <f ca="1">IF(NOTA[[#This Row],[ID_P]]="","",MATCH(NOTA[[#This Row],[ID_P]],[1]!B_MSK[N_ID],0))</f>
        <v>#REF!</v>
      </c>
      <c r="D422" s="38">
        <f ca="1">IF(NOTA[[#This Row],[NAMA BARANG]]="","",INDEX(NOTA[ID],MATCH(,INDIRECT(ADDRESS(ROW(NOTA[ID]),COLUMN(NOTA[ID]))&amp;":"&amp;ADDRESS(ROW(),COLUMN(NOTA[ID]))),-1)))</f>
        <v>72</v>
      </c>
      <c r="E422" s="46">
        <v>45190</v>
      </c>
      <c r="F422" s="37" t="s">
        <v>24</v>
      </c>
      <c r="G422" s="37" t="s">
        <v>23</v>
      </c>
      <c r="H422" s="47" t="s">
        <v>542</v>
      </c>
      <c r="I422" s="37"/>
      <c r="J422" s="39">
        <v>45187</v>
      </c>
      <c r="K422" s="37"/>
      <c r="L422" s="37" t="s">
        <v>393</v>
      </c>
      <c r="M422" s="40">
        <v>1</v>
      </c>
      <c r="N422" s="38">
        <v>36</v>
      </c>
      <c r="O422" s="37" t="s">
        <v>139</v>
      </c>
      <c r="P422" s="41">
        <v>41400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1490400</v>
      </c>
      <c r="Y422" s="50">
        <f>IF(NOTA[[#This Row],[JUMLAH]]="","",NOTA[[#This Row],[JUMLAH]]*NOTA[[#This Row],[DISC 1]])</f>
        <v>186300</v>
      </c>
      <c r="Z422" s="50">
        <f>IF(NOTA[[#This Row],[JUMLAH]]="","",(NOTA[[#This Row],[JUMLAH]]-NOTA[[#This Row],[DISC 1-]])*NOTA[[#This Row],[DISC 2]])</f>
        <v>65205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251505</v>
      </c>
      <c r="AC422" s="50">
        <f>IF(NOTA[[#This Row],[JUMLAH]]="","",NOTA[[#This Row],[JUMLAH]]-NOTA[[#This Row],[DISC]])</f>
        <v>1238895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2" s="50">
        <f>IF(OR(NOTA[[#This Row],[QTY]]="",NOTA[[#This Row],[HARGA SATUAN]]="",),"",NOTA[[#This Row],[QTY]]*NOTA[[#This Row],[HARGA SATUAN]])</f>
        <v>1490400</v>
      </c>
      <c r="AI422" s="39">
        <f ca="1">IF(NOTA[ID_H]="","",INDEX(NOTA[TANGGAL],MATCH(,INDIRECT(ADDRESS(ROW(NOTA[TANGGAL]),COLUMN(NOTA[TANGGAL]))&amp;":"&amp;ADDRESS(ROW(),COLUMN(NOTA[TANGGAL]))),-1)))</f>
        <v>45190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>
        <f ca="1">IF(NOTA[[#This Row],[ID]]="","",COUNTIF(NOTA[ID_H],NOTA[[#This Row],[ID_H]]))</f>
        <v>7</v>
      </c>
      <c r="AM422" s="38">
        <f>IF(NOTA[[#This Row],[TGL.NOTA]]="",IF(NOTA[[#This Row],[SUPPLIER_H]]="","",AM421),MONTH(NOTA[[#This Row],[TGL.NOTA]]))</f>
        <v>9</v>
      </c>
      <c r="AN422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MOROSA23091659045187correctionfluidcfs209ajk</v>
      </c>
      <c r="AR422" s="38" t="e">
        <f>IF(NOTA[[#This Row],[CONCAT4]]="","",_xlfn.IFNA(MATCH(NOTA[[#This Row],[CONCAT4]],[2]!RAW[CONCAT_H],0),FALSE))</f>
        <v>#REF!</v>
      </c>
      <c r="AS422" s="38">
        <f>IF(NOTA[[#This Row],[CONCAT1]]="","",MATCH(NOTA[[#This Row],[CONCAT1]],[3]!db[NB NOTA_C],0))</f>
        <v>616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36 LSN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72</v>
      </c>
      <c r="E423" s="46"/>
      <c r="F423" s="37"/>
      <c r="G423" s="37"/>
      <c r="H423" s="47"/>
      <c r="I423" s="37"/>
      <c r="J423" s="39"/>
      <c r="K423" s="37"/>
      <c r="L423" s="37" t="s">
        <v>467</v>
      </c>
      <c r="M423" s="40">
        <v>2</v>
      </c>
      <c r="N423" s="38">
        <v>96</v>
      </c>
      <c r="O423" s="37" t="s">
        <v>139</v>
      </c>
      <c r="P423" s="41">
        <v>36000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3456000</v>
      </c>
      <c r="Y423" s="50">
        <f>IF(NOTA[[#This Row],[JUMLAH]]="","",NOTA[[#This Row],[JUMLAH]]*NOTA[[#This Row],[DISC 1]])</f>
        <v>432000</v>
      </c>
      <c r="Z423" s="50">
        <f>IF(NOTA[[#This Row],[JUMLAH]]="","",(NOTA[[#This Row],[JUMLAH]]-NOTA[[#This Row],[DISC 1-]])*NOTA[[#This Row],[DISC 2]])</f>
        <v>151200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583200</v>
      </c>
      <c r="AC423" s="50">
        <f>IF(NOTA[[#This Row],[JUMLAH]]="","",NOTA[[#This Row],[JUMLAH]]-NOTA[[#This Row],[DISC]])</f>
        <v>2872800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23" s="50">
        <f>IF(OR(NOTA[[#This Row],[QTY]]="",NOTA[[#This Row],[HARGA SATUAN]]="",),"",NOTA[[#This Row],[QTY]]*NOTA[[#This Row],[HARGA SATUAN]])</f>
        <v>3456000</v>
      </c>
      <c r="AI423" s="39">
        <f ca="1">IF(NOTA[ID_H]="","",INDEX(NOTA[TANGGAL],MATCH(,INDIRECT(ADDRESS(ROW(NOTA[TANGGAL]),COLUMN(NOTA[TANGGAL]))&amp;":"&amp;ADDRESS(ROW(),COLUMN(NOTA[TANGGAL]))),-1)))</f>
        <v>45190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9</v>
      </c>
      <c r="AN423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624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48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72</v>
      </c>
      <c r="E424" s="46"/>
      <c r="F424" s="37"/>
      <c r="G424" s="37"/>
      <c r="H424" s="47"/>
      <c r="I424" s="37"/>
      <c r="J424" s="39"/>
      <c r="K424" s="37"/>
      <c r="L424" s="37" t="s">
        <v>543</v>
      </c>
      <c r="M424" s="40"/>
      <c r="N424" s="38">
        <v>12</v>
      </c>
      <c r="O424" s="37" t="s">
        <v>139</v>
      </c>
      <c r="P424" s="41">
        <v>13200</v>
      </c>
      <c r="Q424" s="42"/>
      <c r="R424" s="48"/>
      <c r="S424" s="49">
        <v>0.1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158400</v>
      </c>
      <c r="Y424" s="50">
        <f>IF(NOTA[[#This Row],[JUMLAH]]="","",NOTA[[#This Row],[JUMLAH]]*NOTA[[#This Row],[DISC 1]])</f>
        <v>15840</v>
      </c>
      <c r="Z424" s="50">
        <f>IF(NOTA[[#This Row],[JUMLAH]]="","",(NOTA[[#This Row],[JUMLAH]]-NOTA[[#This Row],[DISC 1-]])*NOTA[[#This Row],[DISC 2]])</f>
        <v>7128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22968</v>
      </c>
      <c r="AC424" s="50">
        <f>IF(NOTA[[#This Row],[JUMLAH]]="","",NOTA[[#This Row],[JUMLAH]]-NOTA[[#This Row],[DISC]])</f>
        <v>135432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424" s="50">
        <f>IF(OR(NOTA[[#This Row],[QTY]]="",NOTA[[#This Row],[HARGA SATUAN]]="",),"",NOTA[[#This Row],[QTY]]*NOTA[[#This Row],[HARGA SATUAN]])</f>
        <v>158400</v>
      </c>
      <c r="AI424" s="39">
        <f ca="1">IF(NOTA[ID_H]="","",INDEX(NOTA[TANGGAL],MATCH(,INDIRECT(ADDRESS(ROW(NOTA[TANGGAL]),COLUMN(NOTA[TANGGAL]))&amp;":"&amp;ADDRESS(ROW(),COLUMN(NOTA[TANGGAL]))),-1)))</f>
        <v>45190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9</v>
      </c>
      <c r="AN424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ballpenbp34912vokustransblackjk1584000.10.05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102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144 LSN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72</v>
      </c>
      <c r="E425" s="46"/>
      <c r="F425" s="37"/>
      <c r="G425" s="37"/>
      <c r="H425" s="47"/>
      <c r="I425" s="37"/>
      <c r="J425" s="39"/>
      <c r="K425" s="37"/>
      <c r="L425" s="37" t="s">
        <v>398</v>
      </c>
      <c r="M425" s="40">
        <v>1</v>
      </c>
      <c r="N425" s="38">
        <v>500</v>
      </c>
      <c r="O425" s="37" t="s">
        <v>240</v>
      </c>
      <c r="P425" s="41">
        <v>3050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1525000</v>
      </c>
      <c r="Y425" s="50">
        <f>IF(NOTA[[#This Row],[JUMLAH]]="","",NOTA[[#This Row],[JUMLAH]]*NOTA[[#This Row],[DISC 1]])</f>
        <v>190625</v>
      </c>
      <c r="Z425" s="50">
        <f>IF(NOTA[[#This Row],[JUMLAH]]="","",(NOTA[[#This Row],[JUMLAH]]-NOTA[[#This Row],[DISC 1-]])*NOTA[[#This Row],[DISC 2]])</f>
        <v>66718.75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257343.75</v>
      </c>
      <c r="AC425" s="50">
        <f>IF(NOTA[[#This Row],[JUMLAH]]="","",NOTA[[#This Row],[JUMLAH]]-NOTA[[#This Row],[DISC]])</f>
        <v>1267656.25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425" s="50">
        <f>IF(OR(NOTA[[#This Row],[QTY]]="",NOTA[[#This Row],[HARGA SATUAN]]="",),"",NOTA[[#This Row],[QTY]]*NOTA[[#This Row],[HARGA SATUAN]])</f>
        <v>1525000</v>
      </c>
      <c r="AI425" s="39">
        <f ca="1">IF(NOTA[ID_H]="","",INDEX(NOTA[TANGGAL],MATCH(,INDIRECT(ADDRESS(ROW(NOTA[TANGGAL]),COLUMN(NOTA[TANGGAL]))&amp;":"&amp;ADDRESS(ROW(),COLUMN(NOTA[TANGGAL]))),-1)))</f>
        <v>45190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9</v>
      </c>
      <c r="AN42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1631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50 PAK (10 ROL)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72</v>
      </c>
      <c r="E426" s="46"/>
      <c r="F426" s="37"/>
      <c r="G426" s="37"/>
      <c r="H426" s="47"/>
      <c r="I426" s="37"/>
      <c r="J426" s="39"/>
      <c r="K426" s="37"/>
      <c r="L426" s="37" t="s">
        <v>402</v>
      </c>
      <c r="M426" s="40">
        <v>1</v>
      </c>
      <c r="N426" s="38">
        <v>50</v>
      </c>
      <c r="O426" s="37" t="s">
        <v>184</v>
      </c>
      <c r="P426" s="41">
        <v>34100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1705000</v>
      </c>
      <c r="Y426" s="50">
        <f>IF(NOTA[[#This Row],[JUMLAH]]="","",NOTA[[#This Row],[JUMLAH]]*NOTA[[#This Row],[DISC 1]])</f>
        <v>213125</v>
      </c>
      <c r="Z426" s="50">
        <f>IF(NOTA[[#This Row],[JUMLAH]]="","",(NOTA[[#This Row],[JUMLAH]]-NOTA[[#This Row],[DISC 1-]])*NOTA[[#This Row],[DISC 2]])</f>
        <v>74593.75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287718.75</v>
      </c>
      <c r="AC426" s="50">
        <f>IF(NOTA[[#This Row],[JUMLAH]]="","",NOTA[[#This Row],[JUMLAH]]-NOTA[[#This Row],[DISC]])</f>
        <v>1417281.25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6" s="50">
        <f>IF(OR(NOTA[[#This Row],[QTY]]="",NOTA[[#This Row],[HARGA SATUAN]]="",),"",NOTA[[#This Row],[QTY]]*NOTA[[#This Row],[HARGA SATUAN]])</f>
        <v>1705000</v>
      </c>
      <c r="AI426" s="39">
        <f ca="1">IF(NOTA[ID_H]="","",INDEX(NOTA[TANGGAL],MATCH(,INDIRECT(ADDRESS(ROW(NOTA[TANGGAL]),COLUMN(NOTA[TANGGAL]))&amp;":"&amp;ADDRESS(ROW(),COLUMN(NOTA[TANGGAL]))),-1)))</f>
        <v>45190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>
        <f ca="1">IF(NOTA[[#This Row],[TGL.NOTA]]="",IF(NOTA[[#This Row],[SUPPLIER_H]]="","",AM425),MONTH(NOTA[[#This Row],[TGL.NOTA]]))</f>
        <v>9</v>
      </c>
      <c r="AN42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833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50 BOX (20 PCS)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72</v>
      </c>
      <c r="E427" s="46"/>
      <c r="F427" s="37"/>
      <c r="G427" s="37"/>
      <c r="H427" s="47"/>
      <c r="I427" s="37"/>
      <c r="J427" s="39"/>
      <c r="K427" s="37"/>
      <c r="L427" s="37" t="s">
        <v>544</v>
      </c>
      <c r="M427" s="40">
        <v>1</v>
      </c>
      <c r="N427" s="38">
        <v>50</v>
      </c>
      <c r="O427" s="37" t="s">
        <v>184</v>
      </c>
      <c r="P427" s="41">
        <v>34100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1705000</v>
      </c>
      <c r="Y427" s="50">
        <f>IF(NOTA[[#This Row],[JUMLAH]]="","",NOTA[[#This Row],[JUMLAH]]*NOTA[[#This Row],[DISC 1]])</f>
        <v>213125</v>
      </c>
      <c r="Z427" s="50">
        <f>IF(NOTA[[#This Row],[JUMLAH]]="","",(NOTA[[#This Row],[JUMLAH]]-NOTA[[#This Row],[DISC 1-]])*NOTA[[#This Row],[DISC 2]])</f>
        <v>74593.75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287718.75</v>
      </c>
      <c r="AC427" s="50">
        <f>IF(NOTA[[#This Row],[JUMLAH]]="","",NOTA[[#This Row],[JUMLAH]]-NOTA[[#This Row],[DISC]])</f>
        <v>1417281.25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7" s="50">
        <f>IF(OR(NOTA[[#This Row],[QTY]]="",NOTA[[#This Row],[HARGA SATUAN]]="",),"",NOTA[[#This Row],[QTY]]*NOTA[[#This Row],[HARGA SATUAN]])</f>
        <v>1705000</v>
      </c>
      <c r="AI427" s="39">
        <f ca="1">IF(NOTA[ID_H]="","",INDEX(NOTA[TANGGAL],MATCH(,INDIRECT(ADDRESS(ROW(NOTA[TANGGAL]),COLUMN(NOTA[TANGGAL]))&amp;":"&amp;ADDRESS(ROW(),COLUMN(NOTA[TANGGAL]))),-1)))</f>
        <v>45190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>
        <f ca="1">IF(NOTA[[#This Row],[TGL.NOTA]]="",IF(NOTA[[#This Row],[SUPPLIER_H]]="","",AM426),MONTH(NOTA[[#This Row],[TGL.NOTA]]))</f>
        <v>9</v>
      </c>
      <c r="AN42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844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50 BOX (20 PCS)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72</v>
      </c>
      <c r="E428" s="46"/>
      <c r="F428" s="37"/>
      <c r="G428" s="37"/>
      <c r="H428" s="47"/>
      <c r="I428" s="37"/>
      <c r="J428" s="39"/>
      <c r="K428" s="37"/>
      <c r="L428" s="37" t="s">
        <v>228</v>
      </c>
      <c r="M428" s="40">
        <v>1</v>
      </c>
      <c r="N428" s="38">
        <v>768</v>
      </c>
      <c r="O428" s="37" t="s">
        <v>127</v>
      </c>
      <c r="P428" s="41">
        <v>2100</v>
      </c>
      <c r="Q428" s="42"/>
      <c r="R428" s="48"/>
      <c r="S428" s="49">
        <v>0.125</v>
      </c>
      <c r="T428" s="44">
        <v>0.05</v>
      </c>
      <c r="U428" s="44"/>
      <c r="V428" s="50">
        <v>135432</v>
      </c>
      <c r="W428" s="45"/>
      <c r="X428" s="50">
        <f>IF(NOTA[[#This Row],[HARGA/ CTN]]="",NOTA[[#This Row],[JUMLAH_H]],NOTA[[#This Row],[HARGA/ CTN]]*IF(NOTA[[#This Row],[C]]="",0,NOTA[[#This Row],[C]]))</f>
        <v>1612800</v>
      </c>
      <c r="Y428" s="50">
        <f>IF(NOTA[[#This Row],[JUMLAH]]="","",NOTA[[#This Row],[JUMLAH]]*NOTA[[#This Row],[DISC 1]])</f>
        <v>201600</v>
      </c>
      <c r="Z428" s="50">
        <f>IF(NOTA[[#This Row],[JUMLAH]]="","",(NOTA[[#This Row],[JUMLAH]]-NOTA[[#This Row],[DISC 1-]])*NOTA[[#This Row],[DISC 2]])</f>
        <v>70560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272160</v>
      </c>
      <c r="AC428" s="50">
        <f>IF(NOTA[[#This Row],[JUMLAH]]="","",NOTA[[#This Row],[JUMLAH]]-NOTA[[#This Row],[DISC]])</f>
        <v>1340640</v>
      </c>
      <c r="AD428" s="50"/>
      <c r="AE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2098046.25</v>
      </c>
      <c r="AF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9554553.75</v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428" s="50">
        <f>IF(OR(NOTA[[#This Row],[QTY]]="",NOTA[[#This Row],[HARGA SATUAN]]="",),"",NOTA[[#This Row],[QTY]]*NOTA[[#This Row],[HARGA SATUAN]])</f>
        <v>1612800</v>
      </c>
      <c r="AI428" s="39">
        <f ca="1">IF(NOTA[ID_H]="","",INDEX(NOTA[TANGGAL],MATCH(,INDIRECT(ADDRESS(ROW(NOTA[TANGGAL]),COLUMN(NOTA[TANGGAL]))&amp;":"&amp;ADDRESS(ROW(),COLUMN(NOTA[TANGGAL]))),-1)))</f>
        <v>45190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>
        <f ca="1">IF(NOTA[[#This Row],[TGL.NOTA]]="",IF(NOTA[[#This Row],[SUPPLIER_H]]="","",AM427),MONTH(NOTA[[#This Row],[TGL.NOTA]]))</f>
        <v>9</v>
      </c>
      <c r="AN42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1139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64 LSN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54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KEN_2109_564-2</v>
      </c>
      <c r="C430" s="38" t="e">
        <f ca="1">IF(NOTA[[#This Row],[ID_P]]="","",MATCH(NOTA[[#This Row],[ID_P]],[1]!B_MSK[N_ID],0))</f>
        <v>#REF!</v>
      </c>
      <c r="D430" s="38">
        <f ca="1">IF(NOTA[[#This Row],[NAMA BARANG]]="","",INDEX(NOTA[ID],MATCH(,INDIRECT(ADDRESS(ROW(NOTA[ID]),COLUMN(NOTA[ID]))&amp;":"&amp;ADDRESS(ROW(),COLUMN(NOTA[ID]))),-1)))</f>
        <v>73</v>
      </c>
      <c r="E430" s="46">
        <v>45190</v>
      </c>
      <c r="F430" s="37" t="s">
        <v>22</v>
      </c>
      <c r="G430" s="37" t="s">
        <v>23</v>
      </c>
      <c r="H430" s="47" t="s">
        <v>545</v>
      </c>
      <c r="I430" s="37"/>
      <c r="J430" s="39">
        <v>45187</v>
      </c>
      <c r="K430" s="37"/>
      <c r="L430" s="37" t="s">
        <v>188</v>
      </c>
      <c r="M430" s="40">
        <v>1</v>
      </c>
      <c r="O430" s="37"/>
      <c r="P430" s="41"/>
      <c r="Q430" s="42">
        <v>1069200</v>
      </c>
      <c r="R430" s="48"/>
      <c r="S430" s="49">
        <v>0.17</v>
      </c>
      <c r="T430" s="44"/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1069200</v>
      </c>
      <c r="Y430" s="50">
        <f>IF(NOTA[[#This Row],[JUMLAH]]="","",NOTA[[#This Row],[JUMLAH]]*NOTA[[#This Row],[DISC 1]])</f>
        <v>181764</v>
      </c>
      <c r="Z430" s="50">
        <f>IF(NOTA[[#This Row],[JUMLAH]]="","",(NOTA[[#This Row],[JUMLAH]]-NOTA[[#This Row],[DISC 1-]])*NOTA[[#This Row],[DISC 2]])</f>
        <v>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181764</v>
      </c>
      <c r="AC430" s="50">
        <f>IF(NOTA[[#This Row],[JUMLAH]]="","",NOTA[[#This Row],[JUMLAH]]-NOTA[[#This Row],[DISC]])</f>
        <v>887436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45190</v>
      </c>
      <c r="AJ430" s="41" t="str">
        <f ca="1">IF(NOTA[[#This Row],[NAMA BARANG]]="","",INDEX(NOTA[SUPPLIER],MATCH(,INDIRECT(ADDRESS(ROW(NOTA[ID]),COLUMN(NOTA[ID]))&amp;":"&amp;ADDRESS(ROW(),COLUMN(NOTA[ID]))),-1)))</f>
        <v>KENKO SINAR INDONESIA</v>
      </c>
      <c r="AK430" s="41" t="str">
        <f ca="1">IF(NOTA[[#This Row],[ID_H]]="","",IF(NOTA[[#This Row],[FAKTUR]]="",INDIRECT(ADDRESS(ROW()-1,COLUMN())),NOTA[[#This Row],[FAKTUR]]))</f>
        <v>ARTO MORO</v>
      </c>
      <c r="AL430" s="38">
        <f ca="1">IF(NOTA[[#This Row],[ID]]="","",COUNTIF(NOTA[ID_H],NOTA[[#This Row],[ID_H]]))</f>
        <v>2</v>
      </c>
      <c r="AM430" s="38">
        <f>IF(NOTA[[#This Row],[TGL.NOTA]]="",IF(NOTA[[#This Row],[SUPPLIER_H]]="","",AM429),MONTH(NOTA[[#This Row],[TGL.NOTA]]))</f>
        <v>9</v>
      </c>
      <c r="AN43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MORO2309156445187kenkostamppadno0</v>
      </c>
      <c r="AR430" s="38" t="e">
        <f>IF(NOTA[[#This Row],[CONCAT4]]="","",_xlfn.IFNA(MATCH(NOTA[[#This Row],[CONCAT4]],[2]!RAW[CONCAT_H],0),FALSE))</f>
        <v>#REF!</v>
      </c>
      <c r="AS430" s="38">
        <f>IF(NOTA[[#This Row],[CONCAT1]]="","",MATCH(NOTA[[#This Row],[CONCAT1]],[3]!db[NB NOTA_C],0))</f>
        <v>1556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18 LSN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73</v>
      </c>
      <c r="E431" s="46"/>
      <c r="F431" s="37"/>
      <c r="G431" s="37"/>
      <c r="H431" s="47"/>
      <c r="I431" s="37"/>
      <c r="J431" s="39"/>
      <c r="K431" s="37"/>
      <c r="L431" s="37" t="s">
        <v>546</v>
      </c>
      <c r="M431" s="40">
        <v>2</v>
      </c>
      <c r="O431" s="37"/>
      <c r="P431" s="41"/>
      <c r="Q431" s="42">
        <v>5616000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11232000</v>
      </c>
      <c r="Y431" s="50">
        <f>IF(NOTA[[#This Row],[JUMLAH]]="","",NOTA[[#This Row],[JUMLAH]]*NOTA[[#This Row],[DISC 1]])</f>
        <v>1909440.0000000002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1909440.0000000002</v>
      </c>
      <c r="AC431" s="50">
        <f>IF(NOTA[[#This Row],[JUMLAH]]="","",NOTA[[#This Row],[JUMLAH]]-NOTA[[#This Row],[DISC]])</f>
        <v>9322560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2091204.0000000002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10209996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45190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9</v>
      </c>
      <c r="AN431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1408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144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KEN_2109_884-4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74</v>
      </c>
      <c r="E433" s="46" t="s">
        <v>554</v>
      </c>
      <c r="F433" s="37" t="s">
        <v>22</v>
      </c>
      <c r="G433" s="37" t="s">
        <v>23</v>
      </c>
      <c r="H433" s="47" t="s">
        <v>555</v>
      </c>
      <c r="I433" s="37"/>
      <c r="J433" s="39">
        <v>45190</v>
      </c>
      <c r="K433" s="37"/>
      <c r="L433" s="54" t="s">
        <v>558</v>
      </c>
      <c r="M433" s="40">
        <v>2</v>
      </c>
      <c r="O433" s="37"/>
      <c r="P433" s="41"/>
      <c r="Q433" s="42">
        <v>1710000</v>
      </c>
      <c r="R433" s="48"/>
      <c r="S433" s="49">
        <v>0.17</v>
      </c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3420000</v>
      </c>
      <c r="Y433" s="50">
        <f>IF(NOTA[[#This Row],[JUMLAH]]="","",NOTA[[#This Row],[JUMLAH]]*NOTA[[#This Row],[DISC 1]])</f>
        <v>581400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581400</v>
      </c>
      <c r="AC433" s="50">
        <f>IF(NOTA[[#This Row],[JUMLAH]]="","",NOTA[[#This Row],[JUMLAH]]-NOTA[[#This Row],[DISC]])</f>
        <v>2838600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33" s="50" t="str">
        <f>IF(OR(NOTA[[#This Row],[QTY]]="",NOTA[[#This Row],[HARGA SATUAN]]="",),"",NOTA[[#This Row],[QTY]]*NOTA[[#This Row],[HARGA SATUAN]])</f>
        <v/>
      </c>
      <c r="AI433" s="39">
        <f ca="1">IF(NOTA[ID_H]="","",INDEX(NOTA[TANGGAL],MATCH(,INDIRECT(ADDRESS(ROW(NOTA[TANGGAL]),COLUMN(NOTA[TANGGAL]))&amp;":"&amp;ADDRESS(ROW(),COLUMN(NOTA[TANGGAL]))),-1)))</f>
        <v>45190</v>
      </c>
      <c r="AJ433" s="41" t="str">
        <f ca="1">IF(NOTA[[#This Row],[NAMA BARANG]]="","",INDEX(NOTA[SUPPLIER],MATCH(,INDIRECT(ADDRESS(ROW(NOTA[ID]),COLUMN(NOTA[ID]))&amp;":"&amp;ADDRESS(ROW(),COLUMN(NOTA[ID]))),-1)))</f>
        <v>KENKO SINAR INDONESIA</v>
      </c>
      <c r="AK433" s="41" t="str">
        <f ca="1">IF(NOTA[[#This Row],[ID_H]]="","",IF(NOTA[[#This Row],[FAKTUR]]="",INDIRECT(ADDRESS(ROW()-1,COLUMN())),NOTA[[#This Row],[FAKTUR]]))</f>
        <v>ARTO MORO</v>
      </c>
      <c r="AL433" s="38">
        <f ca="1">IF(NOTA[[#This Row],[ID]]="","",COUNTIF(NOTA[ID_H],NOTA[[#This Row],[ID_H]]))</f>
        <v>4</v>
      </c>
      <c r="AM433" s="38">
        <f>IF(NOTA[[#This Row],[TGL.NOTA]]="",IF(NOTA[[#This Row],[SUPPLIER_H]]="","",AM431),MONTH(NOTA[[#This Row],[TGL.NOTA]]))</f>
        <v>9</v>
      </c>
      <c r="AN433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MORO2309188445190kenkocuttera3009mmblade</v>
      </c>
      <c r="AR433" s="38" t="e">
        <f>IF(NOTA[[#This Row],[CONCAT4]]="","",_xlfn.IFNA(MATCH(NOTA[[#This Row],[CONCAT4]],[2]!RAW[CONCAT_H],0),FALSE))</f>
        <v>#REF!</v>
      </c>
      <c r="AS433" s="38">
        <f>IF(NOTA[[#This Row],[CONCAT1]]="","",MATCH(NOTA[[#This Row],[CONCAT1]],[3]!db[NB NOTA_C],0))</f>
        <v>1382</v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>30 LSN</v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33" s="38" t="e">
        <f ca="1">IF(NOTA[[#This Row],[ID_H]]="","",MATCH(NOTA[[#This Row],[NB NOTA_C_QTY]],[4]!db[NB NOTA_C_QTY+F],0))</f>
        <v>#REF!</v>
      </c>
      <c r="AX433" s="53">
        <f ca="1">IF(NOTA[[#This Row],[NB NOTA_C_QTY]]="","",ROW()-2)</f>
        <v>431</v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74</v>
      </c>
      <c r="E434" s="46"/>
      <c r="F434" s="37"/>
      <c r="G434" s="37"/>
      <c r="H434" s="47"/>
      <c r="I434" s="37"/>
      <c r="J434" s="39"/>
      <c r="K434" s="37"/>
      <c r="L434" s="37" t="s">
        <v>556</v>
      </c>
      <c r="M434" s="40">
        <v>2</v>
      </c>
      <c r="O434" s="37"/>
      <c r="P434" s="41"/>
      <c r="Q434" s="42">
        <v>1548000</v>
      </c>
      <c r="R434" s="48"/>
      <c r="S434" s="49">
        <v>0.17</v>
      </c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3096000</v>
      </c>
      <c r="Y434" s="50">
        <f>IF(NOTA[[#This Row],[JUMLAH]]="","",NOTA[[#This Row],[JUMLAH]]*NOTA[[#This Row],[DISC 1]])</f>
        <v>526320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526320</v>
      </c>
      <c r="AC434" s="50">
        <f>IF(NOTA[[#This Row],[JUMLAH]]="","",NOTA[[#This Row],[JUMLAH]]-NOTA[[#This Row],[DISC]])</f>
        <v>2569680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434" s="50" t="str">
        <f>IF(OR(NOTA[[#This Row],[QTY]]="",NOTA[[#This Row],[HARGA SATUAN]]="",),"",NOTA[[#This Row],[QTY]]*NOTA[[#This Row],[HARGA SATUAN]])</f>
        <v/>
      </c>
      <c r="AI434" s="39">
        <f ca="1">IF(NOTA[ID_H]="","",INDEX(NOTA[TANGGAL],MATCH(,INDIRECT(ADDRESS(ROW(NOTA[TANGGAL]),COLUMN(NOTA[TANGGAL]))&amp;":"&amp;ADDRESS(ROW(),COLUMN(NOTA[TANGGAL]))),-1)))</f>
        <v>45190</v>
      </c>
      <c r="AJ434" s="41" t="str">
        <f ca="1">IF(NOTA[[#This Row],[NAMA BARANG]]="","",INDEX(NOTA[SUPPLIER],MATCH(,INDIRECT(ADDRESS(ROW(NOTA[ID]),COLUMN(NOTA[ID]))&amp;":"&amp;ADDRESS(ROW(),COLUMN(NOTA[ID]))),-1)))</f>
        <v>KENKO SINAR INDONESIA</v>
      </c>
      <c r="AK434" s="41" t="str">
        <f ca="1">IF(NOTA[[#This Row],[ID_H]]="","",IF(NOTA[[#This Row],[FAKTUR]]="",INDIRECT(ADDRESS(ROW()-1,COLUMN())),NOTA[[#This Row],[FAKTUR]]))</f>
        <v>ARTO MORO</v>
      </c>
      <c r="AL434" s="38" t="str">
        <f ca="1">IF(NOTA[[#This Row],[ID]]="","",COUNTIF(NOTA[ID_H],NOTA[[#This Row],[ID_H]]))</f>
        <v/>
      </c>
      <c r="AM434" s="38">
        <f ca="1">IF(NOTA[[#This Row],[TGL.NOTA]]="",IF(NOTA[[#This Row],[SUPPLIER_H]]="","",AM433),MONTH(NOTA[[#This Row],[TGL.NOTA]]))</f>
        <v>9</v>
      </c>
      <c r="AN434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>
        <f>IF(NOTA[[#This Row],[CONCAT1]]="","",MATCH(NOTA[[#This Row],[CONCAT1]],[3]!db[NB NOTA_C],0))</f>
        <v>1291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72 BOX (6 PCS)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74</v>
      </c>
      <c r="E435" s="46"/>
      <c r="F435" s="37"/>
      <c r="G435" s="37"/>
      <c r="H435" s="47"/>
      <c r="I435" s="37"/>
      <c r="J435" s="39"/>
      <c r="K435" s="37"/>
      <c r="L435" s="37" t="s">
        <v>557</v>
      </c>
      <c r="M435" s="40">
        <v>1</v>
      </c>
      <c r="O435" s="37"/>
      <c r="P435" s="41"/>
      <c r="Q435" s="42">
        <v>2995200</v>
      </c>
      <c r="R435" s="48"/>
      <c r="S435" s="49">
        <v>0.17</v>
      </c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2995200</v>
      </c>
      <c r="Y435" s="50">
        <f>IF(NOTA[[#This Row],[JUMLAH]]="","",NOTA[[#This Row],[JUMLAH]]*NOTA[[#This Row],[DISC 1]])</f>
        <v>509184.00000000006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509184.00000000006</v>
      </c>
      <c r="AC435" s="50">
        <f>IF(NOTA[[#This Row],[JUMLAH]]="","",NOTA[[#This Row],[JUMLAH]]-NOTA[[#This Row],[DISC]])</f>
        <v>2486016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35" s="50" t="str">
        <f>IF(OR(NOTA[[#This Row],[QTY]]="",NOTA[[#This Row],[HARGA SATUAN]]="",),"",NOTA[[#This Row],[QTY]]*NOTA[[#This Row],[HARGA SATUAN]])</f>
        <v/>
      </c>
      <c r="AI435" s="39">
        <f ca="1">IF(NOTA[ID_H]="","",INDEX(NOTA[TANGGAL],MATCH(,INDIRECT(ADDRESS(ROW(NOTA[TANGGAL]),COLUMN(NOTA[TANGGAL]))&amp;":"&amp;ADDRESS(ROW(),COLUMN(NOTA[TANGGAL]))),-1)))</f>
        <v>45190</v>
      </c>
      <c r="AJ435" s="41" t="str">
        <f ca="1">IF(NOTA[[#This Row],[NAMA BARANG]]="","",INDEX(NOTA[SUPPLIER],MATCH(,INDIRECT(ADDRESS(ROW(NOTA[ID]),COLUMN(NOTA[ID]))&amp;":"&amp;ADDRESS(ROW(),COLUMN(NOTA[ID]))),-1)))</f>
        <v>KENKO SINAR INDONESIA</v>
      </c>
      <c r="AK435" s="41" t="str">
        <f ca="1">IF(NOTA[[#This Row],[ID_H]]="","",IF(NOTA[[#This Row],[FAKTUR]]="",INDIRECT(ADDRESS(ROW()-1,COLUMN())),NOTA[[#This Row],[FAKTUR]]))</f>
        <v>ARTO MORO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9</v>
      </c>
      <c r="AN435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1379</v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>48 LSN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74</v>
      </c>
      <c r="E436" s="46"/>
      <c r="F436" s="37"/>
      <c r="G436" s="37"/>
      <c r="H436" s="47"/>
      <c r="I436" s="37"/>
      <c r="J436" s="39"/>
      <c r="K436" s="37"/>
      <c r="L436" s="37" t="s">
        <v>103</v>
      </c>
      <c r="M436" s="40">
        <v>2</v>
      </c>
      <c r="O436" s="37"/>
      <c r="P436" s="41"/>
      <c r="Q436" s="42">
        <v>2952000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5904000</v>
      </c>
      <c r="Y436" s="50">
        <f>IF(NOTA[[#This Row],[JUMLAH]]="","",NOTA[[#This Row],[JUMLAH]]*NOTA[[#This Row],[DISC 1]])</f>
        <v>1003680.0000000001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1003680.0000000001</v>
      </c>
      <c r="AC436" s="50">
        <f>IF(NOTA[[#This Row],[JUMLAH]]="","",NOTA[[#This Row],[JUMLAH]]-NOTA[[#This Row],[DISC]])</f>
        <v>4900320</v>
      </c>
      <c r="AD436" s="50"/>
      <c r="AE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2620584</v>
      </c>
      <c r="AF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12794616</v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36" s="50" t="str">
        <f>IF(OR(NOTA[[#This Row],[QTY]]="",NOTA[[#This Row],[HARGA SATUAN]]="",),"",NOTA[[#This Row],[QTY]]*NOTA[[#This Row],[HARGA SATUAN]])</f>
        <v/>
      </c>
      <c r="AI436" s="39">
        <f ca="1">IF(NOTA[ID_H]="","",INDEX(NOTA[TANGGAL],MATCH(,INDIRECT(ADDRESS(ROW(NOTA[TANGGAL]),COLUMN(NOTA[TANGGAL]))&amp;":"&amp;ADDRESS(ROW(),COLUMN(NOTA[TANGGAL]))),-1)))</f>
        <v>45190</v>
      </c>
      <c r="AJ436" s="41" t="str">
        <f ca="1">IF(NOTA[[#This Row],[NAMA BARANG]]="","",INDEX(NOTA[SUPPLIER],MATCH(,INDIRECT(ADDRESS(ROW(NOTA[ID]),COLUMN(NOTA[ID]))&amp;":"&amp;ADDRESS(ROW(),COLUMN(NOTA[ID]))),-1)))</f>
        <v>KENKO SINAR INDONESIA</v>
      </c>
      <c r="AK436" s="41" t="str">
        <f ca="1">IF(NOTA[[#This Row],[ID_H]]="","",IF(NOTA[[#This Row],[FAKTUR]]="",INDIRECT(ADDRESS(ROW()-1,COLUMN())),NOTA[[#This Row],[FAKTUR]]))</f>
        <v>ARTO MORO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9</v>
      </c>
      <c r="AN436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1387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20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KEN_2109_769-2</v>
      </c>
      <c r="C438" s="38" t="e">
        <f ca="1">IF(NOTA[[#This Row],[ID_P]]="","",MATCH(NOTA[[#This Row],[ID_P]],[1]!B_MSK[N_ID],0))</f>
        <v>#REF!</v>
      </c>
      <c r="D438" s="38">
        <f ca="1">IF(NOTA[[#This Row],[NAMA BARANG]]="","",INDEX(NOTA[ID],MATCH(,INDIRECT(ADDRESS(ROW(NOTA[ID]),COLUMN(NOTA[ID]))&amp;":"&amp;ADDRESS(ROW(),COLUMN(NOTA[ID]))),-1)))</f>
        <v>75</v>
      </c>
      <c r="E438" s="46"/>
      <c r="F438" s="37" t="s">
        <v>22</v>
      </c>
      <c r="G438" s="37" t="s">
        <v>23</v>
      </c>
      <c r="H438" s="47" t="s">
        <v>559</v>
      </c>
      <c r="I438" s="37"/>
      <c r="J438" s="39">
        <v>45189</v>
      </c>
      <c r="K438" s="37"/>
      <c r="L438" s="37" t="s">
        <v>557</v>
      </c>
      <c r="M438" s="40">
        <v>1</v>
      </c>
      <c r="O438" s="37"/>
      <c r="P438" s="41"/>
      <c r="Q438" s="42">
        <v>2995200</v>
      </c>
      <c r="R438" s="48"/>
      <c r="S438" s="49">
        <v>0.17</v>
      </c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2995200</v>
      </c>
      <c r="Y438" s="50">
        <f>IF(NOTA[[#This Row],[JUMLAH]]="","",NOTA[[#This Row],[JUMLAH]]*NOTA[[#This Row],[DISC 1]])</f>
        <v>509184.00000000006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509184.00000000006</v>
      </c>
      <c r="AC438" s="50">
        <f>IF(NOTA[[#This Row],[JUMLAH]]="","",NOTA[[#This Row],[JUMLAH]]-NOTA[[#This Row],[DISC]])</f>
        <v>2486016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38" s="50" t="str">
        <f>IF(OR(NOTA[[#This Row],[QTY]]="",NOTA[[#This Row],[HARGA SATUAN]]="",),"",NOTA[[#This Row],[QTY]]*NOTA[[#This Row],[HARGA SATUAN]])</f>
        <v/>
      </c>
      <c r="AI438" s="39">
        <f ca="1">IF(NOTA[ID_H]="","",INDEX(NOTA[TANGGAL],MATCH(,INDIRECT(ADDRESS(ROW(NOTA[TANGGAL]),COLUMN(NOTA[TANGGAL]))&amp;":"&amp;ADDRESS(ROW(),COLUMN(NOTA[TANGGAL]))),-1)))</f>
        <v>45190</v>
      </c>
      <c r="AJ438" s="41" t="str">
        <f ca="1">IF(NOTA[[#This Row],[NAMA BARANG]]="","",INDEX(NOTA[SUPPLIER],MATCH(,INDIRECT(ADDRESS(ROW(NOTA[ID]),COLUMN(NOTA[ID]))&amp;":"&amp;ADDRESS(ROW(),COLUMN(NOTA[ID]))),-1)))</f>
        <v>KENKO SINAR INDONESIA</v>
      </c>
      <c r="AK438" s="41" t="str">
        <f ca="1">IF(NOTA[[#This Row],[ID_H]]="","",IF(NOTA[[#This Row],[FAKTUR]]="",INDIRECT(ADDRESS(ROW()-1,COLUMN())),NOTA[[#This Row],[FAKTUR]]))</f>
        <v>ARTO MORO</v>
      </c>
      <c r="AL438" s="38">
        <f ca="1">IF(NOTA[[#This Row],[ID]]="","",COUNTIF(NOTA[ID_H],NOTA[[#This Row],[ID_H]]))</f>
        <v>2</v>
      </c>
      <c r="AM438" s="38">
        <f>IF(NOTA[[#This Row],[TGL.NOTA]]="",IF(NOTA[[#This Row],[SUPPLIER_H]]="","",AM437),MONTH(NOTA[[#This Row],[TGL.NOTA]]))</f>
        <v>9</v>
      </c>
      <c r="AN438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MORO2309176945189kenkocorrectiontapect90612mx5mm</v>
      </c>
      <c r="AR438" s="38" t="e">
        <f>IF(NOTA[[#This Row],[CONCAT4]]="","",_xlfn.IFNA(MATCH(NOTA[[#This Row],[CONCAT4]],[2]!RAW[CONCAT_H],0),FALSE))</f>
        <v>#REF!</v>
      </c>
      <c r="AS438" s="38">
        <f>IF(NOTA[[#This Row],[CONCAT1]]="","",MATCH(NOTA[[#This Row],[CONCAT1]],[3]!db[NB NOTA_C],0))</f>
        <v>1379</v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>48 LSN</v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38" s="38" t="e">
        <f ca="1">IF(NOTA[[#This Row],[ID_H]]="","",MATCH(NOTA[[#This Row],[NB NOTA_C_QTY]],[4]!db[NB NOTA_C_QTY+F],0))</f>
        <v>#REF!</v>
      </c>
      <c r="AX438" s="53">
        <f ca="1">IF(NOTA[[#This Row],[NB NOTA_C_QTY]]="","",ROW()-2)</f>
        <v>436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75</v>
      </c>
      <c r="E439" s="46"/>
      <c r="F439" s="37"/>
      <c r="G439" s="37"/>
      <c r="H439" s="47"/>
      <c r="I439" s="37"/>
      <c r="J439" s="39"/>
      <c r="K439" s="37"/>
      <c r="L439" s="37" t="s">
        <v>560</v>
      </c>
      <c r="M439" s="40">
        <v>2</v>
      </c>
      <c r="O439" s="37"/>
      <c r="P439" s="41"/>
      <c r="Q439" s="42">
        <v>2208000</v>
      </c>
      <c r="R439" s="48"/>
      <c r="S439" s="49">
        <v>0.17</v>
      </c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4416000</v>
      </c>
      <c r="Y439" s="50">
        <f>IF(NOTA[[#This Row],[JUMLAH]]="","",NOTA[[#This Row],[JUMLAH]]*NOTA[[#This Row],[DISC 1]])</f>
        <v>750720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750720</v>
      </c>
      <c r="AC439" s="50">
        <f>IF(NOTA[[#This Row],[JUMLAH]]="","",NOTA[[#This Row],[JUMLAH]]-NOTA[[#This Row],[DISC]])</f>
        <v>3665280</v>
      </c>
      <c r="AD439" s="50"/>
      <c r="AE4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1259904</v>
      </c>
      <c r="AF4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6151296</v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439" s="50" t="str">
        <f>IF(OR(NOTA[[#This Row],[QTY]]="",NOTA[[#This Row],[HARGA SATUAN]]="",),"",NOTA[[#This Row],[QTY]]*NOTA[[#This Row],[HARGA SATUAN]])</f>
        <v/>
      </c>
      <c r="AI439" s="39">
        <f ca="1">IF(NOTA[ID_H]="","",INDEX(NOTA[TANGGAL],MATCH(,INDIRECT(ADDRESS(ROW(NOTA[TANGGAL]),COLUMN(NOTA[TANGGAL]))&amp;":"&amp;ADDRESS(ROW(),COLUMN(NOTA[TANGGAL]))),-1)))</f>
        <v>45190</v>
      </c>
      <c r="AJ439" s="41" t="str">
        <f ca="1">IF(NOTA[[#This Row],[NAMA BARANG]]="","",INDEX(NOTA[SUPPLIER],MATCH(,INDIRECT(ADDRESS(ROW(NOTA[ID]),COLUMN(NOTA[ID]))&amp;":"&amp;ADDRESS(ROW(),COLUMN(NOTA[ID]))),-1)))</f>
        <v>KENKO SINAR INDONESIA</v>
      </c>
      <c r="AK439" s="41" t="str">
        <f ca="1">IF(NOTA[[#This Row],[ID_H]]="","",IF(NOTA[[#This Row],[FAKTUR]]="",INDIRECT(ADDRESS(ROW()-1,COLUMN())),NOTA[[#This Row],[FAKTUR]]))</f>
        <v>ARTO MORO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9</v>
      </c>
      <c r="AN439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1502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20 GRS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ATA_2109_668-11</v>
      </c>
      <c r="C441" s="38" t="e">
        <f ca="1">IF(NOTA[[#This Row],[ID_P]]="","",MATCH(NOTA[[#This Row],[ID_P]],[1]!B_MSK[N_ID],0))</f>
        <v>#REF!</v>
      </c>
      <c r="D441" s="38">
        <f ca="1">IF(NOTA[[#This Row],[NAMA BARANG]]="","",INDEX(NOTA[ID],MATCH(,INDIRECT(ADDRESS(ROW(NOTA[ID]),COLUMN(NOTA[ID]))&amp;":"&amp;ADDRESS(ROW(),COLUMN(NOTA[ID]))),-1)))</f>
        <v>76</v>
      </c>
      <c r="E441" s="46"/>
      <c r="F441" s="37" t="s">
        <v>24</v>
      </c>
      <c r="G441" s="37" t="s">
        <v>23</v>
      </c>
      <c r="H441" s="47" t="s">
        <v>561</v>
      </c>
      <c r="I441" s="37"/>
      <c r="J441" s="39">
        <v>45188</v>
      </c>
      <c r="K441" s="37"/>
      <c r="L441" s="37" t="s">
        <v>453</v>
      </c>
      <c r="M441" s="40">
        <v>3</v>
      </c>
      <c r="N441" s="38">
        <v>216</v>
      </c>
      <c r="O441" s="37" t="s">
        <v>133</v>
      </c>
      <c r="P441" s="41">
        <v>21200</v>
      </c>
      <c r="Q441" s="42"/>
      <c r="R441" s="48"/>
      <c r="S441" s="49">
        <v>0.125</v>
      </c>
      <c r="T441" s="44">
        <v>0.05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4579200</v>
      </c>
      <c r="Y441" s="50">
        <f>IF(NOTA[[#This Row],[JUMLAH]]="","",NOTA[[#This Row],[JUMLAH]]*NOTA[[#This Row],[DISC 1]])</f>
        <v>572400</v>
      </c>
      <c r="Z441" s="50">
        <f>IF(NOTA[[#This Row],[JUMLAH]]="","",(NOTA[[#This Row],[JUMLAH]]-NOTA[[#This Row],[DISC 1-]])*NOTA[[#This Row],[DISC 2]])</f>
        <v>200340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772740</v>
      </c>
      <c r="AC441" s="50">
        <f>IF(NOTA[[#This Row],[JUMLAH]]="","",NOTA[[#This Row],[JUMLAH]]-NOTA[[#This Row],[DISC]])</f>
        <v>3806460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41" s="50">
        <f>IF(OR(NOTA[[#This Row],[QTY]]="",NOTA[[#This Row],[HARGA SATUAN]]="",),"",NOTA[[#This Row],[QTY]]*NOTA[[#This Row],[HARGA SATUAN]])</f>
        <v>4579200</v>
      </c>
      <c r="AI441" s="39">
        <f ca="1">IF(NOTA[ID_H]="","",INDEX(NOTA[TANGGAL],MATCH(,INDIRECT(ADDRESS(ROW(NOTA[TANGGAL]),COLUMN(NOTA[TANGGAL]))&amp;":"&amp;ADDRESS(ROW(),COLUMN(NOTA[TANGGAL]))),-1)))</f>
        <v>45190</v>
      </c>
      <c r="AJ441" s="41" t="str">
        <f ca="1">IF(NOTA[[#This Row],[NAMA BARANG]]="","",INDEX(NOTA[SUPPLIER],MATCH(,INDIRECT(ADDRESS(ROW(NOTA[ID]),COLUMN(NOTA[ID]))&amp;":"&amp;ADDRESS(ROW(),COLUMN(NOTA[ID]))),-1)))</f>
        <v>ATALI MAKMUR</v>
      </c>
      <c r="AK441" s="41" t="str">
        <f ca="1">IF(NOTA[[#This Row],[ID_H]]="","",IF(NOTA[[#This Row],[FAKTUR]]="",INDIRECT(ADDRESS(ROW()-1,COLUMN())),NOTA[[#This Row],[FAKTUR]]))</f>
        <v>ARTO MORO</v>
      </c>
      <c r="AL441" s="38">
        <f ca="1">IF(NOTA[[#This Row],[ID]]="","",COUNTIF(NOTA[ID_H],NOTA[[#This Row],[ID_H]]))</f>
        <v>11</v>
      </c>
      <c r="AM441" s="38">
        <f>IF(NOTA[[#This Row],[TGL.NOTA]]="",IF(NOTA[[#This Row],[SUPPLIER_H]]="","",AM440),MONTH(NOTA[[#This Row],[TGL.NOTA]]))</f>
        <v>9</v>
      </c>
      <c r="AN44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MOROSA23091666845188colorpencilcp24pbjk</v>
      </c>
      <c r="AR441" s="38" t="e">
        <f>IF(NOTA[[#This Row],[CONCAT4]]="","",_xlfn.IFNA(MATCH(NOTA[[#This Row],[CONCAT4]],[2]!RAW[CONCAT_H],0),FALSE))</f>
        <v>#REF!</v>
      </c>
      <c r="AS441" s="38">
        <f>IF(NOTA[[#This Row],[CONCAT1]]="","",MATCH(NOTA[[#This Row],[CONCAT1]],[3]!db[NB NOTA_C],0))</f>
        <v>595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12 BOX (6 SET)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76</v>
      </c>
      <c r="E442" s="46"/>
      <c r="F442" s="37"/>
      <c r="G442" s="37"/>
      <c r="H442" s="47"/>
      <c r="I442" s="37"/>
      <c r="J442" s="39"/>
      <c r="K442" s="37"/>
      <c r="L442" s="37" t="s">
        <v>466</v>
      </c>
      <c r="M442" s="40">
        <v>2</v>
      </c>
      <c r="N442" s="38">
        <v>240</v>
      </c>
      <c r="O442" s="37" t="s">
        <v>127</v>
      </c>
      <c r="P442" s="41">
        <v>18700</v>
      </c>
      <c r="Q442" s="42"/>
      <c r="R442" s="48"/>
      <c r="S442" s="49">
        <v>0.125</v>
      </c>
      <c r="T442" s="44">
        <v>0.05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4488000</v>
      </c>
      <c r="Y442" s="50">
        <f>IF(NOTA[[#This Row],[JUMLAH]]="","",NOTA[[#This Row],[JUMLAH]]*NOTA[[#This Row],[DISC 1]])</f>
        <v>561000</v>
      </c>
      <c r="Z442" s="50">
        <f>IF(NOTA[[#This Row],[JUMLAH]]="","",(NOTA[[#This Row],[JUMLAH]]-NOTA[[#This Row],[DISC 1-]])*NOTA[[#This Row],[DISC 2]])</f>
        <v>196350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757350</v>
      </c>
      <c r="AC442" s="50">
        <f>IF(NOTA[[#This Row],[JUMLAH]]="","",NOTA[[#This Row],[JUMLAH]]-NOTA[[#This Row],[DISC]])</f>
        <v>3730650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442" s="50">
        <f>IF(OR(NOTA[[#This Row],[QTY]]="",NOTA[[#This Row],[HARGA SATUAN]]="",),"",NOTA[[#This Row],[QTY]]*NOTA[[#This Row],[HARGA SATUAN]])</f>
        <v>4488000</v>
      </c>
      <c r="AI442" s="39">
        <f ca="1">IF(NOTA[ID_H]="","",INDEX(NOTA[TANGGAL],MATCH(,INDIRECT(ADDRESS(ROW(NOTA[TANGGAL]),COLUMN(NOTA[TANGGAL]))&amp;":"&amp;ADDRESS(ROW(),COLUMN(NOTA[TANGGAL]))),-1)))</f>
        <v>45190</v>
      </c>
      <c r="AJ442" s="41" t="str">
        <f ca="1">IF(NOTA[[#This Row],[NAMA BARANG]]="","",INDEX(NOTA[SUPPLIER],MATCH(,INDIRECT(ADDRESS(ROW(NOTA[ID]),COLUMN(NOTA[ID]))&amp;":"&amp;ADDRESS(ROW(),COLUMN(NOTA[ID]))),-1)))</f>
        <v>ATALI MAKMUR</v>
      </c>
      <c r="AK442" s="41" t="str">
        <f ca="1">IF(NOTA[[#This Row],[ID_H]]="","",IF(NOTA[[#This Row],[FAKTUR]]="",INDIRECT(ADDRESS(ROW()-1,COLUMN())),NOTA[[#This Row],[FAKTUR]]))</f>
        <v>ARTO MORO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9</v>
      </c>
      <c r="AN4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2480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20 BOX (6 PCS)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76</v>
      </c>
      <c r="E443" s="46"/>
      <c r="F443" s="37"/>
      <c r="G443" s="37"/>
      <c r="H443" s="47"/>
      <c r="I443" s="37"/>
      <c r="J443" s="39"/>
      <c r="K443" s="37"/>
      <c r="L443" s="37" t="s">
        <v>562</v>
      </c>
      <c r="M443" s="40">
        <v>1</v>
      </c>
      <c r="N443" s="38">
        <v>30</v>
      </c>
      <c r="O443" s="37" t="s">
        <v>213</v>
      </c>
      <c r="P443" s="41">
        <v>104400</v>
      </c>
      <c r="Q443" s="42"/>
      <c r="R443" s="48"/>
      <c r="S443" s="49">
        <v>0.125</v>
      </c>
      <c r="T443" s="44">
        <v>0.05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3132000</v>
      </c>
      <c r="Y443" s="50">
        <f>IF(NOTA[[#This Row],[JUMLAH]]="","",NOTA[[#This Row],[JUMLAH]]*NOTA[[#This Row],[DISC 1]])</f>
        <v>391500</v>
      </c>
      <c r="Z443" s="50">
        <f>IF(NOTA[[#This Row],[JUMLAH]]="","",(NOTA[[#This Row],[JUMLAH]]-NOTA[[#This Row],[DISC 1-]])*NOTA[[#This Row],[DISC 2]])</f>
        <v>137025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528525</v>
      </c>
      <c r="AC443" s="50">
        <f>IF(NOTA[[#This Row],[JUMLAH]]="","",NOTA[[#This Row],[JUMLAH]]-NOTA[[#This Row],[DISC]])</f>
        <v>2603475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43" s="50">
        <f>IF(OR(NOTA[[#This Row],[QTY]]="",NOTA[[#This Row],[HARGA SATUAN]]="",),"",NOTA[[#This Row],[QTY]]*NOTA[[#This Row],[HARGA SATUAN]])</f>
        <v>3132000</v>
      </c>
      <c r="AI443" s="39">
        <f ca="1">IF(NOTA[ID_H]="","",INDEX(NOTA[TANGGAL],MATCH(,INDIRECT(ADDRESS(ROW(NOTA[TANGGAL]),COLUMN(NOTA[TANGGAL]))&amp;":"&amp;ADDRESS(ROW(),COLUMN(NOTA[TANGGAL]))),-1)))</f>
        <v>45190</v>
      </c>
      <c r="AJ443" s="41" t="str">
        <f ca="1">IF(NOTA[[#This Row],[NAMA BARANG]]="","",INDEX(NOTA[SUPPLIER],MATCH(,INDIRECT(ADDRESS(ROW(NOTA[ID]),COLUMN(NOTA[ID]))&amp;":"&amp;ADDRESS(ROW(),COLUMN(NOTA[ID]))),-1)))</f>
        <v>ATALI MAKMUR</v>
      </c>
      <c r="AK443" s="41" t="str">
        <f ca="1">IF(NOTA[[#This Row],[ID_H]]="","",IF(NOTA[[#This Row],[FAKTUR]]="",INDIRECT(ADDRESS(ROW()-1,COLUMN())),NOTA[[#This Row],[FAKTUR]]))</f>
        <v>ARTO MORO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9</v>
      </c>
      <c r="AN44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2175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30 GRS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76</v>
      </c>
      <c r="E444" s="46"/>
      <c r="F444" s="37"/>
      <c r="G444" s="37"/>
      <c r="H444" s="47"/>
      <c r="I444" s="37"/>
      <c r="J444" s="39"/>
      <c r="K444" s="37"/>
      <c r="L444" s="37" t="s">
        <v>390</v>
      </c>
      <c r="M444" s="40">
        <v>2</v>
      </c>
      <c r="N444" s="38">
        <v>432</v>
      </c>
      <c r="O444" s="37" t="s">
        <v>133</v>
      </c>
      <c r="P444" s="41">
        <v>11900</v>
      </c>
      <c r="Q444" s="42"/>
      <c r="R444" s="48"/>
      <c r="S444" s="49">
        <v>0.125</v>
      </c>
      <c r="T444" s="44">
        <v>0.05</v>
      </c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5140800</v>
      </c>
      <c r="Y444" s="50">
        <f>IF(NOTA[[#This Row],[JUMLAH]]="","",NOTA[[#This Row],[JUMLAH]]*NOTA[[#This Row],[DISC 1]])</f>
        <v>642600</v>
      </c>
      <c r="Z444" s="50">
        <f>IF(NOTA[[#This Row],[JUMLAH]]="","",(NOTA[[#This Row],[JUMLAH]]-NOTA[[#This Row],[DISC 1-]])*NOTA[[#This Row],[DISC 2]])</f>
        <v>224910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867510</v>
      </c>
      <c r="AC444" s="50">
        <f>IF(NOTA[[#This Row],[JUMLAH]]="","",NOTA[[#This Row],[JUMLAH]]-NOTA[[#This Row],[DISC]])</f>
        <v>4273290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2570400</v>
      </c>
      <c r="AH444" s="50">
        <f>IF(OR(NOTA[[#This Row],[QTY]]="",NOTA[[#This Row],[HARGA SATUAN]]="",),"",NOTA[[#This Row],[QTY]]*NOTA[[#This Row],[HARGA SATUAN]])</f>
        <v>5140800</v>
      </c>
      <c r="AI444" s="39">
        <f ca="1">IF(NOTA[ID_H]="","",INDEX(NOTA[TANGGAL],MATCH(,INDIRECT(ADDRESS(ROW(NOTA[TANGGAL]),COLUMN(NOTA[TANGGAL]))&amp;":"&amp;ADDRESS(ROW(),COLUMN(NOTA[TANGGAL]))),-1)))</f>
        <v>45190</v>
      </c>
      <c r="AJ444" s="41" t="str">
        <f ca="1">IF(NOTA[[#This Row],[NAMA BARANG]]="","",INDEX(NOTA[SUPPLIER],MATCH(,INDIRECT(ADDRESS(ROW(NOTA[ID]),COLUMN(NOTA[ID]))&amp;":"&amp;ADDRESS(ROW(),COLUMN(NOTA[ID]))),-1)))</f>
        <v>ATALI MAKMUR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9</v>
      </c>
      <c r="AN44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oilpastelop12sppcaseseaworldjk25704000.1250.05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oilpastelop12sppcaseseaworldjk25704000.1250.05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1897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12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76</v>
      </c>
      <c r="E445" s="46"/>
      <c r="F445" s="37"/>
      <c r="G445" s="37"/>
      <c r="H445" s="47"/>
      <c r="I445" s="37"/>
      <c r="J445" s="39"/>
      <c r="K445" s="37"/>
      <c r="L445" s="37" t="s">
        <v>474</v>
      </c>
      <c r="M445" s="40">
        <v>1</v>
      </c>
      <c r="N445" s="38">
        <v>48</v>
      </c>
      <c r="O445" s="37" t="s">
        <v>133</v>
      </c>
      <c r="P445" s="41">
        <v>29600</v>
      </c>
      <c r="Q445" s="42"/>
      <c r="R445" s="48"/>
      <c r="S445" s="49">
        <v>0.125</v>
      </c>
      <c r="T445" s="44">
        <v>0.05</v>
      </c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1420800</v>
      </c>
      <c r="Y445" s="50">
        <f>IF(NOTA[[#This Row],[JUMLAH]]="","",NOTA[[#This Row],[JUMLAH]]*NOTA[[#This Row],[DISC 1]])</f>
        <v>177600</v>
      </c>
      <c r="Z445" s="50">
        <f>IF(NOTA[[#This Row],[JUMLAH]]="","",(NOTA[[#This Row],[JUMLAH]]-NOTA[[#This Row],[DISC 1-]])*NOTA[[#This Row],[DISC 2]])</f>
        <v>62160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239760</v>
      </c>
      <c r="AC445" s="50">
        <f>IF(NOTA[[#This Row],[JUMLAH]]="","",NOTA[[#This Row],[JUMLAH]]-NOTA[[#This Row],[DISC]])</f>
        <v>1181040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45" s="50">
        <f>IF(OR(NOTA[[#This Row],[QTY]]="",NOTA[[#This Row],[HARGA SATUAN]]="",),"",NOTA[[#This Row],[QTY]]*NOTA[[#This Row],[HARGA SATUAN]])</f>
        <v>1420800</v>
      </c>
      <c r="AI445" s="39">
        <f ca="1">IF(NOTA[ID_H]="","",INDEX(NOTA[TANGGAL],MATCH(,INDIRECT(ADDRESS(ROW(NOTA[TANGGAL]),COLUMN(NOTA[TANGGAL]))&amp;":"&amp;ADDRESS(ROW(),COLUMN(NOTA[TANGGAL]))),-1)))</f>
        <v>45190</v>
      </c>
      <c r="AJ445" s="41" t="str">
        <f ca="1">IF(NOTA[[#This Row],[NAMA BARANG]]="","",INDEX(NOTA[SUPPLIER],MATCH(,INDIRECT(ADDRESS(ROW(NOTA[ID]),COLUMN(NOTA[ID]))&amp;":"&amp;ADDRESS(ROW(),COLUMN(NOTA[ID]))),-1)))</f>
        <v>ATALI MAKMUR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9</v>
      </c>
      <c r="AN44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1899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8 BOX (6 SET)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76</v>
      </c>
      <c r="E446" s="46"/>
      <c r="F446" s="37"/>
      <c r="G446" s="37"/>
      <c r="H446" s="47"/>
      <c r="I446" s="37"/>
      <c r="J446" s="39"/>
      <c r="K446" s="37"/>
      <c r="L446" s="37" t="s">
        <v>563</v>
      </c>
      <c r="M446" s="40"/>
      <c r="N446" s="38">
        <v>72</v>
      </c>
      <c r="O446" s="37" t="s">
        <v>127</v>
      </c>
      <c r="P446" s="41">
        <v>4800</v>
      </c>
      <c r="Q446" s="42"/>
      <c r="R446" s="48"/>
      <c r="S446" s="49">
        <v>0.125</v>
      </c>
      <c r="T446" s="44">
        <v>0.05</v>
      </c>
      <c r="U446" s="44"/>
      <c r="V446" s="50"/>
      <c r="W446" s="45"/>
      <c r="X446" s="50">
        <f>IF(NOTA[[#This Row],[HARGA/ CTN]]="",NOTA[[#This Row],[JUMLAH_H]],NOTA[[#This Row],[HARGA/ CTN]]*IF(NOTA[[#This Row],[C]]="",0,NOTA[[#This Row],[C]]))</f>
        <v>345600</v>
      </c>
      <c r="Y446" s="50">
        <f>IF(NOTA[[#This Row],[JUMLAH]]="","",NOTA[[#This Row],[JUMLAH]]*NOTA[[#This Row],[DISC 1]])</f>
        <v>43200</v>
      </c>
      <c r="Z446" s="50">
        <f>IF(NOTA[[#This Row],[JUMLAH]]="","",(NOTA[[#This Row],[JUMLAH]]-NOTA[[#This Row],[DISC 1-]])*NOTA[[#This Row],[DISC 2]])</f>
        <v>15120</v>
      </c>
      <c r="AA446" s="50">
        <f>IF(NOTA[[#This Row],[JUMLAH]]="","",(NOTA[[#This Row],[JUMLAH]]-NOTA[[#This Row],[DISC 1-]]-NOTA[[#This Row],[DISC 2-]])*NOTA[[#This Row],[DISC 3]])</f>
        <v>0</v>
      </c>
      <c r="AB446" s="50">
        <f>IF(NOTA[[#This Row],[JUMLAH]]="","",NOTA[[#This Row],[DISC 1-]]+NOTA[[#This Row],[DISC 2-]]+NOTA[[#This Row],[DISC 3-]])</f>
        <v>58320</v>
      </c>
      <c r="AC446" s="50">
        <f>IF(NOTA[[#This Row],[JUMLAH]]="","",NOTA[[#This Row],[JUMLAH]]-NOTA[[#This Row],[DISC]])</f>
        <v>287280</v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446" s="50">
        <f>IF(OR(NOTA[[#This Row],[QTY]]="",NOTA[[#This Row],[HARGA SATUAN]]="",),"",NOTA[[#This Row],[QTY]]*NOTA[[#This Row],[HARGA SATUAN]])</f>
        <v>345600</v>
      </c>
      <c r="AI446" s="39">
        <f ca="1">IF(NOTA[ID_H]="","",INDEX(NOTA[TANGGAL],MATCH(,INDIRECT(ADDRESS(ROW(NOTA[TANGGAL]),COLUMN(NOTA[TANGGAL]))&amp;":"&amp;ADDRESS(ROW(),COLUMN(NOTA[TANGGAL]))),-1)))</f>
        <v>45190</v>
      </c>
      <c r="AJ446" s="41" t="str">
        <f ca="1">IF(NOTA[[#This Row],[NAMA BARANG]]="","",INDEX(NOTA[SUPPLIER],MATCH(,INDIRECT(ADDRESS(ROW(NOTA[ID]),COLUMN(NOTA[ID]))&amp;":"&amp;ADDRESS(ROW(),COLUMN(NOTA[ID]))),-1)))</f>
        <v>ATALI MAKMUR</v>
      </c>
      <c r="AK446" s="41" t="str">
        <f ca="1">IF(NOTA[[#This Row],[ID_H]]="","",IF(NOTA[[#This Row],[FAKTUR]]="",INDIRECT(ADDRESS(ROW()-1,COLUMN())),NOTA[[#This Row],[FAKTUR]]))</f>
        <v>ARTO MORO</v>
      </c>
      <c r="AL446" s="38" t="str">
        <f ca="1">IF(NOTA[[#This Row],[ID]]="","",COUNTIF(NOTA[ID_H],NOTA[[#This Row],[ID_H]]))</f>
        <v/>
      </c>
      <c r="AM446" s="38">
        <f ca="1">IF(NOTA[[#This Row],[TGL.NOTA]]="",IF(NOTA[[#This Row],[SUPPLIER_H]]="","",AM445),MONTH(NOTA[[#This Row],[TGL.NOTA]]))</f>
        <v>9</v>
      </c>
      <c r="AN446" s="3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>
        <f>IF(NOTA[[#This Row],[CONCAT1]]="","",MATCH(NOTA[[#This Row],[CONCAT1]],[3]!db[NB NOTA_C],0))</f>
        <v>2155</v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>288 PCS</v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W446" s="38" t="e">
        <f ca="1">IF(NOTA[[#This Row],[ID_H]]="","",MATCH(NOTA[[#This Row],[NB NOTA_C_QTY]],[4]!db[NB NOTA_C_QTY+F],0))</f>
        <v>#REF!</v>
      </c>
      <c r="AX446" s="53">
        <f ca="1">IF(NOTA[[#This Row],[NB NOTA_C_QTY]]="","",ROW()-2)</f>
        <v>444</v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76</v>
      </c>
      <c r="E447" s="46"/>
      <c r="F447" s="37"/>
      <c r="G447" s="37"/>
      <c r="H447" s="47"/>
      <c r="I447" s="37"/>
      <c r="J447" s="39"/>
      <c r="K447" s="37"/>
      <c r="L447" s="37" t="s">
        <v>564</v>
      </c>
      <c r="M447" s="40"/>
      <c r="N447" s="38">
        <v>72</v>
      </c>
      <c r="O447" s="37" t="s">
        <v>127</v>
      </c>
      <c r="P447" s="41">
        <v>4800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345600</v>
      </c>
      <c r="Y447" s="50">
        <f>IF(NOTA[[#This Row],[JUMLAH]]="","",NOTA[[#This Row],[JUMLAH]]*NOTA[[#This Row],[DISC 1]])</f>
        <v>43200</v>
      </c>
      <c r="Z447" s="50">
        <f>IF(NOTA[[#This Row],[JUMLAH]]="","",(NOTA[[#This Row],[JUMLAH]]-NOTA[[#This Row],[DISC 1-]])*NOTA[[#This Row],[DISC 2]])</f>
        <v>15120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58320</v>
      </c>
      <c r="AC447" s="50">
        <f>IF(NOTA[[#This Row],[JUMLAH]]="","",NOTA[[#This Row],[JUMLAH]]-NOTA[[#This Row],[DISC]])</f>
        <v>287280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447" s="50">
        <f>IF(OR(NOTA[[#This Row],[QTY]]="",NOTA[[#This Row],[HARGA SATUAN]]="",),"",NOTA[[#This Row],[QTY]]*NOTA[[#This Row],[HARGA SATUAN]])</f>
        <v>345600</v>
      </c>
      <c r="AI447" s="39">
        <f ca="1">IF(NOTA[ID_H]="","",INDEX(NOTA[TANGGAL],MATCH(,INDIRECT(ADDRESS(ROW(NOTA[TANGGAL]),COLUMN(NOTA[TANGGAL]))&amp;":"&amp;ADDRESS(ROW(),COLUMN(NOTA[TANGGAL]))),-1)))</f>
        <v>45190</v>
      </c>
      <c r="AJ447" s="41" t="str">
        <f ca="1">IF(NOTA[[#This Row],[NAMA BARANG]]="","",INDEX(NOTA[SUPPLIER],MATCH(,INDIRECT(ADDRESS(ROW(NOTA[ID]),COLUMN(NOTA[ID]))&amp;":"&amp;ADDRESS(ROW(),COLUMN(NOTA[ID]))),-1)))</f>
        <v>ATALI MAKMUR</v>
      </c>
      <c r="AK447" s="41" t="str">
        <f ca="1">IF(NOTA[[#This Row],[ID_H]]="","",IF(NOTA[[#This Row],[FAKTUR]]="",INDIRECT(ADDRESS(ROW()-1,COLUMN())),NOTA[[#This Row],[FAKTUR]]))</f>
        <v>ARTO MORO</v>
      </c>
      <c r="AL447" s="38" t="str">
        <f ca="1">IF(NOTA[[#This Row],[ID]]="","",COUNTIF(NOTA[ID_H],NOTA[[#This Row],[ID_H]]))</f>
        <v/>
      </c>
      <c r="AM447" s="38">
        <f ca="1">IF(NOTA[[#This Row],[TGL.NOTA]]="",IF(NOTA[[#This Row],[SUPPLIER_H]]="","",AM446),MONTH(NOTA[[#This Row],[TGL.NOTA]]))</f>
        <v>9</v>
      </c>
      <c r="AN447" s="3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>
        <f>IF(NOTA[[#This Row],[CONCAT1]]="","",MATCH(NOTA[[#This Row],[CONCAT1]],[3]!db[NB NOTA_C],0))</f>
        <v>2156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288 PCS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76</v>
      </c>
      <c r="E448" s="46"/>
      <c r="F448" s="37"/>
      <c r="G448" s="37"/>
      <c r="H448" s="47"/>
      <c r="I448" s="37"/>
      <c r="J448" s="39"/>
      <c r="K448" s="37"/>
      <c r="L448" s="37" t="s">
        <v>565</v>
      </c>
      <c r="M448" s="40"/>
      <c r="N448" s="38">
        <v>72</v>
      </c>
      <c r="O448" s="37" t="s">
        <v>127</v>
      </c>
      <c r="P448" s="41">
        <v>4800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345600</v>
      </c>
      <c r="Y448" s="50">
        <f>IF(NOTA[[#This Row],[JUMLAH]]="","",NOTA[[#This Row],[JUMLAH]]*NOTA[[#This Row],[DISC 1]])</f>
        <v>43200</v>
      </c>
      <c r="Z448" s="50">
        <f>IF(NOTA[[#This Row],[JUMLAH]]="","",(NOTA[[#This Row],[JUMLAH]]-NOTA[[#This Row],[DISC 1-]])*NOTA[[#This Row],[DISC 2]])</f>
        <v>15120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58320</v>
      </c>
      <c r="AC448" s="50">
        <f>IF(NOTA[[#This Row],[JUMLAH]]="","",NOTA[[#This Row],[JUMLAH]]-NOTA[[#This Row],[DISC]])</f>
        <v>287280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448" s="50">
        <f>IF(OR(NOTA[[#This Row],[QTY]]="",NOTA[[#This Row],[HARGA SATUAN]]="",),"",NOTA[[#This Row],[QTY]]*NOTA[[#This Row],[HARGA SATUAN]])</f>
        <v>345600</v>
      </c>
      <c r="AI448" s="39">
        <f ca="1">IF(NOTA[ID_H]="","",INDEX(NOTA[TANGGAL],MATCH(,INDIRECT(ADDRESS(ROW(NOTA[TANGGAL]),COLUMN(NOTA[TANGGAL]))&amp;":"&amp;ADDRESS(ROW(),COLUMN(NOTA[TANGGAL]))),-1)))</f>
        <v>45190</v>
      </c>
      <c r="AJ448" s="41" t="str">
        <f ca="1">IF(NOTA[[#This Row],[NAMA BARANG]]="","",INDEX(NOTA[SUPPLIER],MATCH(,INDIRECT(ADDRESS(ROW(NOTA[ID]),COLUMN(NOTA[ID]))&amp;":"&amp;ADDRESS(ROW(),COLUMN(NOTA[ID]))),-1)))</f>
        <v>ATALI MAKMUR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9</v>
      </c>
      <c r="AN448" s="3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2157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288 PCS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76</v>
      </c>
      <c r="E449" s="46"/>
      <c r="F449" s="37"/>
      <c r="G449" s="37"/>
      <c r="H449" s="47"/>
      <c r="I449" s="37"/>
      <c r="J449" s="39"/>
      <c r="K449" s="37"/>
      <c r="L449" s="37" t="s">
        <v>566</v>
      </c>
      <c r="M449" s="40"/>
      <c r="N449" s="38">
        <v>72</v>
      </c>
      <c r="O449" s="37" t="s">
        <v>127</v>
      </c>
      <c r="P449" s="41">
        <v>4800</v>
      </c>
      <c r="Q449" s="42"/>
      <c r="R449" s="48"/>
      <c r="S449" s="49">
        <v>0.125</v>
      </c>
      <c r="T449" s="44">
        <v>0.05</v>
      </c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345600</v>
      </c>
      <c r="Y449" s="50">
        <f>IF(NOTA[[#This Row],[JUMLAH]]="","",NOTA[[#This Row],[JUMLAH]]*NOTA[[#This Row],[DISC 1]])</f>
        <v>43200</v>
      </c>
      <c r="Z449" s="50">
        <f>IF(NOTA[[#This Row],[JUMLAH]]="","",(NOTA[[#This Row],[JUMLAH]]-NOTA[[#This Row],[DISC 1-]])*NOTA[[#This Row],[DISC 2]])</f>
        <v>15120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58320</v>
      </c>
      <c r="AC449" s="50">
        <f>IF(NOTA[[#This Row],[JUMLAH]]="","",NOTA[[#This Row],[JUMLAH]]-NOTA[[#This Row],[DISC]])</f>
        <v>287280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449" s="50">
        <f>IF(OR(NOTA[[#This Row],[QTY]]="",NOTA[[#This Row],[HARGA SATUAN]]="",),"",NOTA[[#This Row],[QTY]]*NOTA[[#This Row],[HARGA SATUAN]])</f>
        <v>345600</v>
      </c>
      <c r="AI449" s="39">
        <f ca="1">IF(NOTA[ID_H]="","",INDEX(NOTA[TANGGAL],MATCH(,INDIRECT(ADDRESS(ROW(NOTA[TANGGAL]),COLUMN(NOTA[TANGGAL]))&amp;":"&amp;ADDRESS(ROW(),COLUMN(NOTA[TANGGAL]))),-1)))</f>
        <v>45190</v>
      </c>
      <c r="AJ449" s="41" t="str">
        <f ca="1">IF(NOTA[[#This Row],[NAMA BARANG]]="","",INDEX(NOTA[SUPPLIER],MATCH(,INDIRECT(ADDRESS(ROW(NOTA[ID]),COLUMN(NOTA[ID]))&amp;":"&amp;ADDRESS(ROW(),COLUMN(NOTA[ID]))),-1)))</f>
        <v>ATALI MAKMUR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9</v>
      </c>
      <c r="AN449" s="3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2158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288 PCS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76</v>
      </c>
      <c r="E450" s="46"/>
      <c r="F450" s="37"/>
      <c r="G450" s="37"/>
      <c r="H450" s="47"/>
      <c r="I450" s="37"/>
      <c r="J450" s="39"/>
      <c r="K450" s="37"/>
      <c r="L450" s="37" t="s">
        <v>567</v>
      </c>
      <c r="M450" s="40"/>
      <c r="N450" s="38">
        <v>144</v>
      </c>
      <c r="O450" s="37" t="s">
        <v>127</v>
      </c>
      <c r="P450" s="41">
        <v>4800</v>
      </c>
      <c r="Q450" s="42"/>
      <c r="R450" s="48"/>
      <c r="S450" s="49">
        <v>0.125</v>
      </c>
      <c r="T450" s="44">
        <v>0.05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691200</v>
      </c>
      <c r="Y450" s="50">
        <f>IF(NOTA[[#This Row],[JUMLAH]]="","",NOTA[[#This Row],[JUMLAH]]*NOTA[[#This Row],[DISC 1]])</f>
        <v>86400</v>
      </c>
      <c r="Z450" s="50">
        <f>IF(NOTA[[#This Row],[JUMLAH]]="","",(NOTA[[#This Row],[JUMLAH]]-NOTA[[#This Row],[DISC 1-]])*NOTA[[#This Row],[DISC 2]])</f>
        <v>30240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116640</v>
      </c>
      <c r="AC450" s="50">
        <f>IF(NOTA[[#This Row],[JUMLAH]]="","",NOTA[[#This Row],[JUMLAH]]-NOTA[[#This Row],[DISC]])</f>
        <v>574560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450" s="50">
        <f>IF(OR(NOTA[[#This Row],[QTY]]="",NOTA[[#This Row],[HARGA SATUAN]]="",),"",NOTA[[#This Row],[QTY]]*NOTA[[#This Row],[HARGA SATUAN]])</f>
        <v>691200</v>
      </c>
      <c r="AI450" s="39">
        <f ca="1">IF(NOTA[ID_H]="","",INDEX(NOTA[TANGGAL],MATCH(,INDIRECT(ADDRESS(ROW(NOTA[TANGGAL]),COLUMN(NOTA[TANGGAL]))&amp;":"&amp;ADDRESS(ROW(),COLUMN(NOTA[TANGGAL]))),-1)))</f>
        <v>45190</v>
      </c>
      <c r="AJ450" s="41" t="str">
        <f ca="1">IF(NOTA[[#This Row],[NAMA BARANG]]="","",INDEX(NOTA[SUPPLIER],MATCH(,INDIRECT(ADDRESS(ROW(NOTA[ID]),COLUMN(NOTA[ID]))&amp;":"&amp;ADDRESS(ROW(),COLUMN(NOTA[ID]))),-1)))</f>
        <v>ATALI MAKMUR</v>
      </c>
      <c r="AK450" s="41" t="str">
        <f ca="1">IF(NOTA[[#This Row],[ID_H]]="","",IF(NOTA[[#This Row],[FAKTUR]]="",INDIRECT(ADDRESS(ROW()-1,COLUMN())),NOTA[[#This Row],[FAKTUR]]))</f>
        <v>ARTO MORO</v>
      </c>
      <c r="AL450" s="38" t="str">
        <f ca="1">IF(NOTA[[#This Row],[ID]]="","",COUNTIF(NOTA[ID_H],NOTA[[#This Row],[ID_H]]))</f>
        <v/>
      </c>
      <c r="AM450" s="38">
        <f ca="1">IF(NOTA[[#This Row],[TGL.NOTA]]="",IF(NOTA[[#This Row],[SUPPLIER_H]]="","",AM449),MONTH(NOTA[[#This Row],[TGL.NOTA]]))</f>
        <v>9</v>
      </c>
      <c r="AN450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>
        <f>IF(NOTA[[#This Row],[CONCAT1]]="","",MATCH(NOTA[[#This Row],[CONCAT1]],[3]!db[NB NOTA_C],0))</f>
        <v>2152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288 PCS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76</v>
      </c>
      <c r="E451" s="46"/>
      <c r="F451" s="37"/>
      <c r="G451" s="37"/>
      <c r="H451" s="47"/>
      <c r="I451" s="37"/>
      <c r="J451" s="39"/>
      <c r="K451" s="37"/>
      <c r="L451" s="37" t="s">
        <v>568</v>
      </c>
      <c r="M451" s="40"/>
      <c r="N451" s="38">
        <v>144</v>
      </c>
      <c r="O451" s="37" t="s">
        <v>127</v>
      </c>
      <c r="P451" s="41">
        <v>4800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691200</v>
      </c>
      <c r="Y451" s="50">
        <f>IF(NOTA[[#This Row],[JUMLAH]]="","",NOTA[[#This Row],[JUMLAH]]*NOTA[[#This Row],[DISC 1]])</f>
        <v>86400</v>
      </c>
      <c r="Z451" s="50">
        <f>IF(NOTA[[#This Row],[JUMLAH]]="","",(NOTA[[#This Row],[JUMLAH]]-NOTA[[#This Row],[DISC 1-]])*NOTA[[#This Row],[DISC 2]])</f>
        <v>30240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116640</v>
      </c>
      <c r="AC451" s="50">
        <f>IF(NOTA[[#This Row],[JUMLAH]]="","",NOTA[[#This Row],[JUMLAH]]-NOTA[[#This Row],[DISC]])</f>
        <v>574560</v>
      </c>
      <c r="AD451" s="50"/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3632445</v>
      </c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17893155</v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451" s="50">
        <f>IF(OR(NOTA[[#This Row],[QTY]]="",NOTA[[#This Row],[HARGA SATUAN]]="",),"",NOTA[[#This Row],[QTY]]*NOTA[[#This Row],[HARGA SATUAN]])</f>
        <v>691200</v>
      </c>
      <c r="AI451" s="39">
        <f ca="1">IF(NOTA[ID_H]="","",INDEX(NOTA[TANGGAL],MATCH(,INDIRECT(ADDRESS(ROW(NOTA[TANGGAL]),COLUMN(NOTA[TANGGAL]))&amp;":"&amp;ADDRESS(ROW(),COLUMN(NOTA[TANGGAL]))),-1)))</f>
        <v>45190</v>
      </c>
      <c r="AJ451" s="41" t="str">
        <f ca="1">IF(NOTA[[#This Row],[NAMA BARANG]]="","",INDEX(NOTA[SUPPLIER],MATCH(,INDIRECT(ADDRESS(ROW(NOTA[ID]),COLUMN(NOTA[ID]))&amp;":"&amp;ADDRESS(ROW(),COLUMN(NOTA[ID]))),-1)))</f>
        <v>ATALI MAKMUR</v>
      </c>
      <c r="AK451" s="41" t="str">
        <f ca="1">IF(NOTA[[#This Row],[ID_H]]="","",IF(NOTA[[#This Row],[FAKTUR]]="",INDIRECT(ADDRESS(ROW()-1,COLUMN())),NOTA[[#This Row],[FAKTUR]]))</f>
        <v>ARTO MORO</v>
      </c>
      <c r="AL451" s="38" t="str">
        <f ca="1">IF(NOTA[[#This Row],[ID]]="","",COUNTIF(NOTA[ID_H],NOTA[[#This Row],[ID_H]]))</f>
        <v/>
      </c>
      <c r="AM451" s="38">
        <f ca="1">IF(NOTA[[#This Row],[TGL.NOTA]]="",IF(NOTA[[#This Row],[SUPPLIER_H]]="","",AM450),MONTH(NOTA[[#This Row],[TGL.NOTA]]))</f>
        <v>9</v>
      </c>
      <c r="AN451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>
        <f>IF(NOTA[[#This Row],[CONCAT1]]="","",MATCH(NOTA[[#This Row],[CONCAT1]],[3]!db[NB NOTA_C],0))</f>
        <v>2164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288 PCS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KAL_2109_177-10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77</v>
      </c>
      <c r="E453" s="46"/>
      <c r="F453" s="37" t="s">
        <v>51</v>
      </c>
      <c r="G453" s="37" t="s">
        <v>23</v>
      </c>
      <c r="H453" s="47" t="s">
        <v>569</v>
      </c>
      <c r="I453" s="37"/>
      <c r="J453" s="39">
        <v>45189</v>
      </c>
      <c r="K453" s="37"/>
      <c r="L453" s="37" t="s">
        <v>570</v>
      </c>
      <c r="M453" s="40">
        <v>1</v>
      </c>
      <c r="N453" s="38">
        <v>160</v>
      </c>
      <c r="O453" s="37" t="s">
        <v>127</v>
      </c>
      <c r="P453" s="41">
        <v>32000</v>
      </c>
      <c r="Q453" s="42"/>
      <c r="R453" s="48"/>
      <c r="S453" s="49">
        <v>0.125</v>
      </c>
      <c r="T453" s="44">
        <v>0.05</v>
      </c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5120000</v>
      </c>
      <c r="Y453" s="50">
        <f>IF(NOTA[[#This Row],[JUMLAH]]="","",NOTA[[#This Row],[JUMLAH]]*NOTA[[#This Row],[DISC 1]])</f>
        <v>640000</v>
      </c>
      <c r="Z453" s="50">
        <f>IF(NOTA[[#This Row],[JUMLAH]]="","",(NOTA[[#This Row],[JUMLAH]]-NOTA[[#This Row],[DISC 1-]])*NOTA[[#This Row],[DISC 2]])</f>
        <v>224000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864000</v>
      </c>
      <c r="AC453" s="50">
        <f>IF(NOTA[[#This Row],[JUMLAH]]="","",NOTA[[#This Row],[JUMLAH]]-NOTA[[#This Row],[DISC]])</f>
        <v>4256000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453" s="50">
        <f>IF(OR(NOTA[[#This Row],[QTY]]="",NOTA[[#This Row],[HARGA SATUAN]]="",),"",NOTA[[#This Row],[QTY]]*NOTA[[#This Row],[HARGA SATUAN]])</f>
        <v>5120000</v>
      </c>
      <c r="AI453" s="39">
        <f ca="1">IF(NOTA[ID_H]="","",INDEX(NOTA[TANGGAL],MATCH(,INDIRECT(ADDRESS(ROW(NOTA[TANGGAL]),COLUMN(NOTA[TANGGAL]))&amp;":"&amp;ADDRESS(ROW(),COLUMN(NOTA[TANGGAL]))),-1)))</f>
        <v>45190</v>
      </c>
      <c r="AJ453" s="41" t="str">
        <f ca="1">IF(NOTA[[#This Row],[NAMA BARANG]]="","",INDEX(NOTA[SUPPLIER],MATCH(,INDIRECT(ADDRESS(ROW(NOTA[ID]),COLUMN(NOTA[ID]))&amp;":"&amp;ADDRESS(ROW(),COLUMN(NOTA[ID]))),-1)))</f>
        <v>KALINDO SUKSES</v>
      </c>
      <c r="AK453" s="41" t="str">
        <f ca="1">IF(NOTA[[#This Row],[ID_H]]="","",IF(NOTA[[#This Row],[FAKTUR]]="",INDIRECT(ADDRESS(ROW()-1,COLUMN())),NOTA[[#This Row],[FAKTUR]]))</f>
        <v>ARTO MORO</v>
      </c>
      <c r="AL453" s="38">
        <f ca="1">IF(NOTA[[#This Row],[ID]]="","",COUNTIF(NOTA[ID_H],NOTA[[#This Row],[ID_H]]))</f>
        <v>10</v>
      </c>
      <c r="AM453" s="38">
        <f>IF(NOTA[[#This Row],[TGL.NOTA]]="",IF(NOTA[[#This Row],[SUPPLIER_H]]="","",AM452),MONTH(NOTA[[#This Row],[TGL.NOTA]]))</f>
        <v>9</v>
      </c>
      <c r="AN453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MOROSN2309217745189calculatorjoykocc37</v>
      </c>
      <c r="AR453" s="38" t="e">
        <f>IF(NOTA[[#This Row],[CONCAT4]]="","",_xlfn.IFNA(MATCH(NOTA[[#This Row],[CONCAT4]],[2]!RAW[CONCAT_H],0),FALSE))</f>
        <v>#REF!</v>
      </c>
      <c r="AS453" s="38">
        <f>IF(NOTA[[#This Row],[CONCAT1]]="","",MATCH(NOTA[[#This Row],[CONCAT1]],[3]!db[NB NOTA_C],0))</f>
        <v>504</v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>160 PCS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77</v>
      </c>
      <c r="E454" s="46"/>
      <c r="F454" s="37"/>
      <c r="G454" s="37"/>
      <c r="H454" s="47"/>
      <c r="I454" s="37"/>
      <c r="J454" s="39"/>
      <c r="K454" s="37"/>
      <c r="L454" s="37" t="s">
        <v>571</v>
      </c>
      <c r="M454" s="40">
        <v>1</v>
      </c>
      <c r="N454" s="38">
        <v>160</v>
      </c>
      <c r="O454" s="37" t="s">
        <v>127</v>
      </c>
      <c r="P454" s="41">
        <v>27500</v>
      </c>
      <c r="Q454" s="42"/>
      <c r="R454" s="48"/>
      <c r="S454" s="49">
        <v>0.125</v>
      </c>
      <c r="T454" s="44">
        <v>0.05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4400000</v>
      </c>
      <c r="Y454" s="50">
        <f>IF(NOTA[[#This Row],[JUMLAH]]="","",NOTA[[#This Row],[JUMLAH]]*NOTA[[#This Row],[DISC 1]])</f>
        <v>550000</v>
      </c>
      <c r="Z454" s="50">
        <f>IF(NOTA[[#This Row],[JUMLAH]]="","",(NOTA[[#This Row],[JUMLAH]]-NOTA[[#This Row],[DISC 1-]])*NOTA[[#This Row],[DISC 2]])</f>
        <v>192500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742500</v>
      </c>
      <c r="AC454" s="50">
        <f>IF(NOTA[[#This Row],[JUMLAH]]="","",NOTA[[#This Row],[JUMLAH]]-NOTA[[#This Row],[DISC]])</f>
        <v>3657500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454" s="50">
        <f>IF(OR(NOTA[[#This Row],[QTY]]="",NOTA[[#This Row],[HARGA SATUAN]]="",),"",NOTA[[#This Row],[QTY]]*NOTA[[#This Row],[HARGA SATUAN]])</f>
        <v>4400000</v>
      </c>
      <c r="AI454" s="39">
        <f ca="1">IF(NOTA[ID_H]="","",INDEX(NOTA[TANGGAL],MATCH(,INDIRECT(ADDRESS(ROW(NOTA[TANGGAL]),COLUMN(NOTA[TANGGAL]))&amp;":"&amp;ADDRESS(ROW(),COLUMN(NOTA[TANGGAL]))),-1)))</f>
        <v>45190</v>
      </c>
      <c r="AJ454" s="41" t="str">
        <f ca="1">IF(NOTA[[#This Row],[NAMA BARANG]]="","",INDEX(NOTA[SUPPLIER],MATCH(,INDIRECT(ADDRESS(ROW(NOTA[ID]),COLUMN(NOTA[ID]))&amp;":"&amp;ADDRESS(ROW(),COLUMN(NOTA[ID]))),-1)))</f>
        <v>KALINDO SUKSES</v>
      </c>
      <c r="AK454" s="41" t="str">
        <f ca="1">IF(NOTA[[#This Row],[ID_H]]="","",IF(NOTA[[#This Row],[FAKTUR]]="",INDIRECT(ADDRESS(ROW()-1,COLUMN())),NOTA[[#This Row],[FAKTUR]]))</f>
        <v>ARTO MORO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9</v>
      </c>
      <c r="AN454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>
        <f>IF(NOTA[[#This Row],[CONCAT1]]="","",MATCH(NOTA[[#This Row],[CONCAT1]],[3]!db[NB NOTA_C],0))</f>
        <v>505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160 PCS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77</v>
      </c>
      <c r="E455" s="46"/>
      <c r="F455" s="37"/>
      <c r="G455" s="37"/>
      <c r="H455" s="47"/>
      <c r="I455" s="37"/>
      <c r="J455" s="39"/>
      <c r="K455" s="37"/>
      <c r="L455" s="37" t="s">
        <v>572</v>
      </c>
      <c r="M455" s="40">
        <v>1</v>
      </c>
      <c r="N455" s="38">
        <v>60</v>
      </c>
      <c r="O455" s="37" t="s">
        <v>127</v>
      </c>
      <c r="P455" s="41">
        <v>79000</v>
      </c>
      <c r="Q455" s="42"/>
      <c r="R455" s="48"/>
      <c r="S455" s="49">
        <v>0.125</v>
      </c>
      <c r="T455" s="44">
        <v>0.05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4740000</v>
      </c>
      <c r="Y455" s="50">
        <f>IF(NOTA[[#This Row],[JUMLAH]]="","",NOTA[[#This Row],[JUMLAH]]*NOTA[[#This Row],[DISC 1]])</f>
        <v>592500</v>
      </c>
      <c r="Z455" s="50">
        <f>IF(NOTA[[#This Row],[JUMLAH]]="","",(NOTA[[#This Row],[JUMLAH]]-NOTA[[#This Row],[DISC 1-]])*NOTA[[#This Row],[DISC 2]])</f>
        <v>207375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799875</v>
      </c>
      <c r="AC455" s="50">
        <f>IF(NOTA[[#This Row],[JUMLAH]]="","",NOTA[[#This Row],[JUMLAH]]-NOTA[[#This Row],[DISC]])</f>
        <v>3940125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H455" s="50">
        <f>IF(OR(NOTA[[#This Row],[QTY]]="",NOTA[[#This Row],[HARGA SATUAN]]="",),"",NOTA[[#This Row],[QTY]]*NOTA[[#This Row],[HARGA SATUAN]])</f>
        <v>4740000</v>
      </c>
      <c r="AI455" s="39">
        <f ca="1">IF(NOTA[ID_H]="","",INDEX(NOTA[TANGGAL],MATCH(,INDIRECT(ADDRESS(ROW(NOTA[TANGGAL]),COLUMN(NOTA[TANGGAL]))&amp;":"&amp;ADDRESS(ROW(),COLUMN(NOTA[TANGGAL]))),-1)))</f>
        <v>45190</v>
      </c>
      <c r="AJ455" s="41" t="str">
        <f ca="1">IF(NOTA[[#This Row],[NAMA BARANG]]="","",INDEX(NOTA[SUPPLIER],MATCH(,INDIRECT(ADDRESS(ROW(NOTA[ID]),COLUMN(NOTA[ID]))&amp;":"&amp;ADDRESS(ROW(),COLUMN(NOTA[ID]))),-1)))</f>
        <v>KALINDO SUKSES</v>
      </c>
      <c r="AK455" s="41" t="str">
        <f ca="1">IF(NOTA[[#This Row],[ID_H]]="","",IF(NOTA[[#This Row],[FAKTUR]]="",INDIRECT(ADDRESS(ROW()-1,COLUMN())),NOTA[[#This Row],[FAKTUR]]))</f>
        <v>ARTO MORO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9</v>
      </c>
      <c r="AN455" s="38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calculatorjoykocc800ch47400000.1250.05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calculatorjoykocc800ch47400000.1250.05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520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60 PCS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calculatorjoykocc800ch60pcsartomoro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77</v>
      </c>
      <c r="E456" s="46"/>
      <c r="F456" s="37"/>
      <c r="G456" s="37"/>
      <c r="H456" s="47"/>
      <c r="I456" s="37"/>
      <c r="J456" s="39"/>
      <c r="K456" s="37"/>
      <c r="L456" s="37" t="s">
        <v>573</v>
      </c>
      <c r="M456" s="40">
        <v>1</v>
      </c>
      <c r="N456" s="38">
        <v>60</v>
      </c>
      <c r="O456" s="37" t="s">
        <v>127</v>
      </c>
      <c r="P456" s="41">
        <v>82000</v>
      </c>
      <c r="Q456" s="42"/>
      <c r="R456" s="48"/>
      <c r="S456" s="49">
        <v>0.125</v>
      </c>
      <c r="T456" s="44">
        <v>0.05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4920000</v>
      </c>
      <c r="Y456" s="50">
        <f>IF(NOTA[[#This Row],[JUMLAH]]="","",NOTA[[#This Row],[JUMLAH]]*NOTA[[#This Row],[DISC 1]])</f>
        <v>615000</v>
      </c>
      <c r="Z456" s="50">
        <f>IF(NOTA[[#This Row],[JUMLAH]]="","",(NOTA[[#This Row],[JUMLAH]]-NOTA[[#This Row],[DISC 1-]])*NOTA[[#This Row],[DISC 2]])</f>
        <v>215250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830250</v>
      </c>
      <c r="AC456" s="50">
        <f>IF(NOTA[[#This Row],[JUMLAH]]="","",NOTA[[#This Row],[JUMLAH]]-NOTA[[#This Row],[DISC]])</f>
        <v>4089750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H456" s="50">
        <f>IF(OR(NOTA[[#This Row],[QTY]]="",NOTA[[#This Row],[HARGA SATUAN]]="",),"",NOTA[[#This Row],[QTY]]*NOTA[[#This Row],[HARGA SATUAN]])</f>
        <v>4920000</v>
      </c>
      <c r="AI456" s="39">
        <f ca="1">IF(NOTA[ID_H]="","",INDEX(NOTA[TANGGAL],MATCH(,INDIRECT(ADDRESS(ROW(NOTA[TANGGAL]),COLUMN(NOTA[TANGGAL]))&amp;":"&amp;ADDRESS(ROW(),COLUMN(NOTA[TANGGAL]))),-1)))</f>
        <v>45190</v>
      </c>
      <c r="AJ456" s="41" t="str">
        <f ca="1">IF(NOTA[[#This Row],[NAMA BARANG]]="","",INDEX(NOTA[SUPPLIER],MATCH(,INDIRECT(ADDRESS(ROW(NOTA[ID]),COLUMN(NOTA[ID]))&amp;":"&amp;ADDRESS(ROW(),COLUMN(NOTA[ID]))),-1)))</f>
        <v>KALINDO SUKSES</v>
      </c>
      <c r="AK456" s="41" t="str">
        <f ca="1">IF(NOTA[[#This Row],[ID_H]]="","",IF(NOTA[[#This Row],[FAKTUR]]="",INDIRECT(ADDRESS(ROW()-1,COLUMN())),NOTA[[#This Row],[FAKTUR]]))</f>
        <v>ARTO MORO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9</v>
      </c>
      <c r="AN456" s="38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521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60 PCS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calculatorjoykocc810ch60pcsartomoro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77</v>
      </c>
      <c r="E457" s="46"/>
      <c r="F457" s="37"/>
      <c r="G457" s="37"/>
      <c r="H457" s="47"/>
      <c r="I457" s="37"/>
      <c r="J457" s="39"/>
      <c r="K457" s="37"/>
      <c r="L457" s="37" t="s">
        <v>574</v>
      </c>
      <c r="M457" s="40">
        <v>1</v>
      </c>
      <c r="N457" s="38">
        <v>120</v>
      </c>
      <c r="O457" s="37" t="s">
        <v>127</v>
      </c>
      <c r="P457" s="41">
        <v>47000</v>
      </c>
      <c r="Q457" s="42"/>
      <c r="R457" s="48"/>
      <c r="S457" s="49">
        <v>0.125</v>
      </c>
      <c r="T457" s="44">
        <v>0.05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5640000</v>
      </c>
      <c r="Y457" s="50">
        <f>IF(NOTA[[#This Row],[JUMLAH]]="","",NOTA[[#This Row],[JUMLAH]]*NOTA[[#This Row],[DISC 1]])</f>
        <v>705000</v>
      </c>
      <c r="Z457" s="50">
        <f>IF(NOTA[[#This Row],[JUMLAH]]="","",(NOTA[[#This Row],[JUMLAH]]-NOTA[[#This Row],[DISC 1-]])*NOTA[[#This Row],[DISC 2]])</f>
        <v>246750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951750</v>
      </c>
      <c r="AC457" s="50">
        <f>IF(NOTA[[#This Row],[JUMLAH]]="","",NOTA[[#This Row],[JUMLAH]]-NOTA[[#This Row],[DISC]])</f>
        <v>4688250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H457" s="50">
        <f>IF(OR(NOTA[[#This Row],[QTY]]="",NOTA[[#This Row],[HARGA SATUAN]]="",),"",NOTA[[#This Row],[QTY]]*NOTA[[#This Row],[HARGA SATUAN]])</f>
        <v>5640000</v>
      </c>
      <c r="AI457" s="39">
        <f ca="1">IF(NOTA[ID_H]="","",INDEX(NOTA[TANGGAL],MATCH(,INDIRECT(ADDRESS(ROW(NOTA[TANGGAL]),COLUMN(NOTA[TANGGAL]))&amp;":"&amp;ADDRESS(ROW(),COLUMN(NOTA[TANGGAL]))),-1)))</f>
        <v>45190</v>
      </c>
      <c r="AJ457" s="41" t="str">
        <f ca="1">IF(NOTA[[#This Row],[NAMA BARANG]]="","",INDEX(NOTA[SUPPLIER],MATCH(,INDIRECT(ADDRESS(ROW(NOTA[ID]),COLUMN(NOTA[ID]))&amp;":"&amp;ADDRESS(ROW(),COLUMN(NOTA[ID]))),-1)))</f>
        <v>KALINDO SUKSES</v>
      </c>
      <c r="AK457" s="41" t="str">
        <f ca="1">IF(NOTA[[#This Row],[ID_H]]="","",IF(NOTA[[#This Row],[FAKTUR]]="",INDIRECT(ADDRESS(ROW()-1,COLUMN())),NOTA[[#This Row],[FAKTUR]]))</f>
        <v>ARTO MORO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9</v>
      </c>
      <c r="AN457" s="38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>
        <f>IF(NOTA[[#This Row],[CONCAT1]]="","",MATCH(NOTA[[#This Row],[CONCAT1]],[3]!db[NB NOTA_C],0))</f>
        <v>525</v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>120 PCS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calculatorjoykocc8a120pcsartomoro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77</v>
      </c>
      <c r="E458" s="46"/>
      <c r="F458" s="37"/>
      <c r="G458" s="37"/>
      <c r="H458" s="47"/>
      <c r="I458" s="37"/>
      <c r="J458" s="39"/>
      <c r="K458" s="37"/>
      <c r="L458" s="37" t="s">
        <v>575</v>
      </c>
      <c r="M458" s="40">
        <v>1</v>
      </c>
      <c r="N458" s="38">
        <v>120</v>
      </c>
      <c r="O458" s="37" t="s">
        <v>127</v>
      </c>
      <c r="P458" s="41">
        <v>47000</v>
      </c>
      <c r="Q458" s="42"/>
      <c r="R458" s="48"/>
      <c r="S458" s="49">
        <v>0.125</v>
      </c>
      <c r="T458" s="44">
        <v>0.05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5640000</v>
      </c>
      <c r="Y458" s="50">
        <f>IF(NOTA[[#This Row],[JUMLAH]]="","",NOTA[[#This Row],[JUMLAH]]*NOTA[[#This Row],[DISC 1]])</f>
        <v>705000</v>
      </c>
      <c r="Z458" s="50">
        <f>IF(NOTA[[#This Row],[JUMLAH]]="","",(NOTA[[#This Row],[JUMLAH]]-NOTA[[#This Row],[DISC 1-]])*NOTA[[#This Row],[DISC 2]])</f>
        <v>246750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951750</v>
      </c>
      <c r="AC458" s="50">
        <f>IF(NOTA[[#This Row],[JUMLAH]]="","",NOTA[[#This Row],[JUMLAH]]-NOTA[[#This Row],[DISC]])</f>
        <v>4688250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H458" s="50">
        <f>IF(OR(NOTA[[#This Row],[QTY]]="",NOTA[[#This Row],[HARGA SATUAN]]="",),"",NOTA[[#This Row],[QTY]]*NOTA[[#This Row],[HARGA SATUAN]])</f>
        <v>5640000</v>
      </c>
      <c r="AI458" s="39">
        <f ca="1">IF(NOTA[ID_H]="","",INDEX(NOTA[TANGGAL],MATCH(,INDIRECT(ADDRESS(ROW(NOTA[TANGGAL]),COLUMN(NOTA[TANGGAL]))&amp;":"&amp;ADDRESS(ROW(),COLUMN(NOTA[TANGGAL]))),-1)))</f>
        <v>45190</v>
      </c>
      <c r="AJ458" s="41" t="str">
        <f ca="1">IF(NOTA[[#This Row],[NAMA BARANG]]="","",INDEX(NOTA[SUPPLIER],MATCH(,INDIRECT(ADDRESS(ROW(NOTA[ID]),COLUMN(NOTA[ID]))&amp;":"&amp;ADDRESS(ROW(),COLUMN(NOTA[ID]))),-1)))</f>
        <v>KALINDO SUKSES</v>
      </c>
      <c r="AK458" s="41" t="str">
        <f ca="1">IF(NOTA[[#This Row],[ID_H]]="","",IF(NOTA[[#This Row],[FAKTUR]]="",INDIRECT(ADDRESS(ROW()-1,COLUMN())),NOTA[[#This Row],[FAKTUR]]))</f>
        <v>ARTO MORO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9</v>
      </c>
      <c r="AN458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>
        <f>IF(NOTA[[#This Row],[CONCAT1]]="","",MATCH(NOTA[[#This Row],[CONCAT1]],[3]!db[NB NOTA_C],0))</f>
        <v>486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120 PCS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77</v>
      </c>
      <c r="E459" s="46"/>
      <c r="F459" s="37"/>
      <c r="G459" s="37"/>
      <c r="H459" s="47"/>
      <c r="I459" s="37"/>
      <c r="J459" s="39"/>
      <c r="K459" s="37"/>
      <c r="L459" s="54" t="s">
        <v>576</v>
      </c>
      <c r="M459" s="40">
        <v>1</v>
      </c>
      <c r="N459" s="38">
        <v>60</v>
      </c>
      <c r="O459" s="37" t="s">
        <v>127</v>
      </c>
      <c r="P459" s="41">
        <v>74000</v>
      </c>
      <c r="Q459" s="42"/>
      <c r="R459" s="48"/>
      <c r="S459" s="49">
        <v>0.125</v>
      </c>
      <c r="T459" s="44">
        <v>0.05</v>
      </c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4440000</v>
      </c>
      <c r="Y459" s="50">
        <f>IF(NOTA[[#This Row],[JUMLAH]]="","",NOTA[[#This Row],[JUMLAH]]*NOTA[[#This Row],[DISC 1]])</f>
        <v>555000</v>
      </c>
      <c r="Z459" s="50">
        <f>IF(NOTA[[#This Row],[JUMLAH]]="","",(NOTA[[#This Row],[JUMLAH]]-NOTA[[#This Row],[DISC 1-]])*NOTA[[#This Row],[DISC 2]])</f>
        <v>194250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749250</v>
      </c>
      <c r="AC459" s="50">
        <f>IF(NOTA[[#This Row],[JUMLAH]]="","",NOTA[[#This Row],[JUMLAH]]-NOTA[[#This Row],[DISC]])</f>
        <v>3690750</v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59" s="50">
        <f>IF(OR(NOTA[[#This Row],[QTY]]="",NOTA[[#This Row],[HARGA SATUAN]]="",),"",NOTA[[#This Row],[QTY]]*NOTA[[#This Row],[HARGA SATUAN]])</f>
        <v>4440000</v>
      </c>
      <c r="AI459" s="39">
        <f ca="1">IF(NOTA[ID_H]="","",INDEX(NOTA[TANGGAL],MATCH(,INDIRECT(ADDRESS(ROW(NOTA[TANGGAL]),COLUMN(NOTA[TANGGAL]))&amp;":"&amp;ADDRESS(ROW(),COLUMN(NOTA[TANGGAL]))),-1)))</f>
        <v>45190</v>
      </c>
      <c r="AJ459" s="41" t="str">
        <f ca="1">IF(NOTA[[#This Row],[NAMA BARANG]]="","",INDEX(NOTA[SUPPLIER],MATCH(,INDIRECT(ADDRESS(ROW(NOTA[ID]),COLUMN(NOTA[ID]))&amp;":"&amp;ADDRESS(ROW(),COLUMN(NOTA[ID]))),-1)))</f>
        <v>KALINDO SUKSES</v>
      </c>
      <c r="AK459" s="41" t="str">
        <f ca="1">IF(NOTA[[#This Row],[ID_H]]="","",IF(NOTA[[#This Row],[FAKTUR]]="",INDIRECT(ADDRESS(ROW()-1,COLUMN())),NOTA[[#This Row],[FAKTUR]]))</f>
        <v>ARTO MORO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9</v>
      </c>
      <c r="AN459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>
        <f>IF(NOTA[[#This Row],[CONCAT1]]="","",MATCH(NOTA[[#This Row],[CONCAT1]],[3]!db[NB NOTA_C],0))</f>
        <v>507</v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>60 PCS</v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59" s="38" t="e">
        <f ca="1">IF(NOTA[[#This Row],[ID_H]]="","",MATCH(NOTA[[#This Row],[NB NOTA_C_QTY]],[4]!db[NB NOTA_C_QTY+F],0))</f>
        <v>#REF!</v>
      </c>
      <c r="AX459" s="53">
        <f ca="1">IF(NOTA[[#This Row],[NB NOTA_C_QTY]]="","",ROW()-2)</f>
        <v>457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77</v>
      </c>
      <c r="E460" s="46"/>
      <c r="F460" s="37"/>
      <c r="G460" s="37"/>
      <c r="H460" s="47"/>
      <c r="I460" s="37"/>
      <c r="J460" s="39"/>
      <c r="K460" s="37"/>
      <c r="L460" s="54" t="s">
        <v>577</v>
      </c>
      <c r="M460" s="40"/>
      <c r="N460" s="38">
        <v>40</v>
      </c>
      <c r="O460" s="37" t="s">
        <v>127</v>
      </c>
      <c r="P460" s="41">
        <v>47000</v>
      </c>
      <c r="Q460" s="42"/>
      <c r="R460" s="48"/>
      <c r="S460" s="49">
        <v>0.125</v>
      </c>
      <c r="T460" s="44">
        <v>0.05</v>
      </c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1880000</v>
      </c>
      <c r="Y460" s="50">
        <f>IF(NOTA[[#This Row],[JUMLAH]]="","",NOTA[[#This Row],[JUMLAH]]*NOTA[[#This Row],[DISC 1]])</f>
        <v>235000</v>
      </c>
      <c r="Z460" s="50">
        <f>IF(NOTA[[#This Row],[JUMLAH]]="","",(NOTA[[#This Row],[JUMLAH]]-NOTA[[#This Row],[DISC 1-]])*NOTA[[#This Row],[DISC 2]])</f>
        <v>82250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317250</v>
      </c>
      <c r="AC460" s="50">
        <f>IF(NOTA[[#This Row],[JUMLAH]]="","",NOTA[[#This Row],[JUMLAH]]-NOTA[[#This Row],[DISC]])</f>
        <v>1562750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460" s="50">
        <f>IF(OR(NOTA[[#This Row],[QTY]]="",NOTA[[#This Row],[HARGA SATUAN]]="",),"",NOTA[[#This Row],[QTY]]*NOTA[[#This Row],[HARGA SATUAN]])</f>
        <v>1880000</v>
      </c>
      <c r="AI460" s="39">
        <f ca="1">IF(NOTA[ID_H]="","",INDEX(NOTA[TANGGAL],MATCH(,INDIRECT(ADDRESS(ROW(NOTA[TANGGAL]),COLUMN(NOTA[TANGGAL]))&amp;":"&amp;ADDRESS(ROW(),COLUMN(NOTA[TANGGAL]))),-1)))</f>
        <v>45190</v>
      </c>
      <c r="AJ460" s="41" t="str">
        <f ca="1">IF(NOTA[[#This Row],[NAMA BARANG]]="","",INDEX(NOTA[SUPPLIER],MATCH(,INDIRECT(ADDRESS(ROW(NOTA[ID]),COLUMN(NOTA[ID]))&amp;":"&amp;ADDRESS(ROW(),COLUMN(NOTA[ID]))),-1)))</f>
        <v>KALINDO SUKSES</v>
      </c>
      <c r="AK460" s="41" t="str">
        <f ca="1">IF(NOTA[[#This Row],[ID_H]]="","",IF(NOTA[[#This Row],[FAKTUR]]="",INDIRECT(ADDRESS(ROW()-1,COLUMN())),NOTA[[#This Row],[FAKTUR]]))</f>
        <v>ARTO MORO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9</v>
      </c>
      <c r="AN460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526</v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>120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77</v>
      </c>
      <c r="E461" s="46"/>
      <c r="F461" s="37"/>
      <c r="G461" s="37"/>
      <c r="H461" s="47"/>
      <c r="I461" s="37"/>
      <c r="J461" s="39"/>
      <c r="K461" s="37"/>
      <c r="L461" s="54" t="s">
        <v>578</v>
      </c>
      <c r="M461" s="40"/>
      <c r="N461" s="38">
        <v>40</v>
      </c>
      <c r="O461" s="37" t="s">
        <v>127</v>
      </c>
      <c r="P461" s="41">
        <v>47000</v>
      </c>
      <c r="Q461" s="42"/>
      <c r="R461" s="48"/>
      <c r="S461" s="49">
        <v>0.125</v>
      </c>
      <c r="T461" s="44">
        <v>0.05</v>
      </c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1880000</v>
      </c>
      <c r="Y461" s="50">
        <f>IF(NOTA[[#This Row],[JUMLAH]]="","",NOTA[[#This Row],[JUMLAH]]*NOTA[[#This Row],[DISC 1]])</f>
        <v>235000</v>
      </c>
      <c r="Z461" s="50">
        <f>IF(NOTA[[#This Row],[JUMLAH]]="","",(NOTA[[#This Row],[JUMLAH]]-NOTA[[#This Row],[DISC 1-]])*NOTA[[#This Row],[DISC 2]])</f>
        <v>82250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317250</v>
      </c>
      <c r="AC461" s="50">
        <f>IF(NOTA[[#This Row],[JUMLAH]]="","",NOTA[[#This Row],[JUMLAH]]-NOTA[[#This Row],[DISC]])</f>
        <v>1562750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461" s="50">
        <f>IF(OR(NOTA[[#This Row],[QTY]]="",NOTA[[#This Row],[HARGA SATUAN]]="",),"",NOTA[[#This Row],[QTY]]*NOTA[[#This Row],[HARGA SATUAN]])</f>
        <v>1880000</v>
      </c>
      <c r="AI461" s="39">
        <f ca="1">IF(NOTA[ID_H]="","",INDEX(NOTA[TANGGAL],MATCH(,INDIRECT(ADDRESS(ROW(NOTA[TANGGAL]),COLUMN(NOTA[TANGGAL]))&amp;":"&amp;ADDRESS(ROW(),COLUMN(NOTA[TANGGAL]))),-1)))</f>
        <v>45190</v>
      </c>
      <c r="AJ461" s="41" t="str">
        <f ca="1">IF(NOTA[[#This Row],[NAMA BARANG]]="","",INDEX(NOTA[SUPPLIER],MATCH(,INDIRECT(ADDRESS(ROW(NOTA[ID]),COLUMN(NOTA[ID]))&amp;":"&amp;ADDRESS(ROW(),COLUMN(NOTA[ID]))),-1)))</f>
        <v>KALINDO SUKSES</v>
      </c>
      <c r="AK461" s="41" t="str">
        <f ca="1">IF(NOTA[[#This Row],[ID_H]]="","",IF(NOTA[[#This Row],[FAKTUR]]="",INDIRECT(ADDRESS(ROW()-1,COLUMN())),NOTA[[#This Row],[FAKTUR]]))</f>
        <v>ARTO MORO</v>
      </c>
      <c r="AL461" s="38" t="str">
        <f ca="1">IF(NOTA[[#This Row],[ID]]="","",COUNTIF(NOTA[ID_H],NOTA[[#This Row],[ID_H]]))</f>
        <v/>
      </c>
      <c r="AM461" s="38">
        <f ca="1">IF(NOTA[[#This Row],[TGL.NOTA]]="",IF(NOTA[[#This Row],[SUPPLIER_H]]="","",AM460),MONTH(NOTA[[#This Row],[TGL.NOTA]]))</f>
        <v>9</v>
      </c>
      <c r="AN461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>
        <f>IF(NOTA[[#This Row],[CONCAT1]]="","",MATCH(NOTA[[#This Row],[CONCAT1]],[3]!db[NB NOTA_C],0))</f>
        <v>518</v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>120 PCS</v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461" s="38" t="e">
        <f ca="1">IF(NOTA[[#This Row],[ID_H]]="","",MATCH(NOTA[[#This Row],[NB NOTA_C_QTY]],[4]!db[NB NOTA_C_QTY+F],0))</f>
        <v>#REF!</v>
      </c>
      <c r="AX461" s="53">
        <f ca="1">IF(NOTA[[#This Row],[NB NOTA_C_QTY]]="","",ROW()-2)</f>
        <v>459</v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77</v>
      </c>
      <c r="E462" s="46"/>
      <c r="F462" s="37"/>
      <c r="G462" s="37"/>
      <c r="H462" s="47"/>
      <c r="I462" s="37"/>
      <c r="J462" s="39"/>
      <c r="K462" s="37"/>
      <c r="L462" s="37" t="s">
        <v>579</v>
      </c>
      <c r="M462" s="40"/>
      <c r="N462" s="38">
        <v>40</v>
      </c>
      <c r="O462" s="37" t="s">
        <v>127</v>
      </c>
      <c r="P462" s="41">
        <v>47000</v>
      </c>
      <c r="Q462" s="42"/>
      <c r="R462" s="48"/>
      <c r="S462" s="49">
        <v>0.125</v>
      </c>
      <c r="T462" s="44">
        <v>0.05</v>
      </c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1880000</v>
      </c>
      <c r="Y462" s="50">
        <f>IF(NOTA[[#This Row],[JUMLAH]]="","",NOTA[[#This Row],[JUMLAH]]*NOTA[[#This Row],[DISC 1]])</f>
        <v>235000</v>
      </c>
      <c r="Z462" s="50">
        <f>IF(NOTA[[#This Row],[JUMLAH]]="","",(NOTA[[#This Row],[JUMLAH]]-NOTA[[#This Row],[DISC 1-]])*NOTA[[#This Row],[DISC 2]])</f>
        <v>82250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317250</v>
      </c>
      <c r="AC462" s="50">
        <f>IF(NOTA[[#This Row],[JUMLAH]]="","",NOTA[[#This Row],[JUMLAH]]-NOTA[[#This Row],[DISC]])</f>
        <v>1562750</v>
      </c>
      <c r="AD462" s="50"/>
      <c r="AE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6841125</v>
      </c>
      <c r="AF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33698875</v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462" s="50">
        <f>IF(OR(NOTA[[#This Row],[QTY]]="",NOTA[[#This Row],[HARGA SATUAN]]="",),"",NOTA[[#This Row],[QTY]]*NOTA[[#This Row],[HARGA SATUAN]])</f>
        <v>1880000</v>
      </c>
      <c r="AI462" s="39">
        <f ca="1">IF(NOTA[ID_H]="","",INDEX(NOTA[TANGGAL],MATCH(,INDIRECT(ADDRESS(ROW(NOTA[TANGGAL]),COLUMN(NOTA[TANGGAL]))&amp;":"&amp;ADDRESS(ROW(),COLUMN(NOTA[TANGGAL]))),-1)))</f>
        <v>45190</v>
      </c>
      <c r="AJ462" s="41" t="str">
        <f ca="1">IF(NOTA[[#This Row],[NAMA BARANG]]="","",INDEX(NOTA[SUPPLIER],MATCH(,INDIRECT(ADDRESS(ROW(NOTA[ID]),COLUMN(NOTA[ID]))&amp;":"&amp;ADDRESS(ROW(),COLUMN(NOTA[ID]))),-1)))</f>
        <v>KALINDO SUKSES</v>
      </c>
      <c r="AK462" s="41" t="str">
        <f ca="1">IF(NOTA[[#This Row],[ID_H]]="","",IF(NOTA[[#This Row],[FAKTUR]]="",INDIRECT(ADDRESS(ROW()-1,COLUMN())),NOTA[[#This Row],[FAKTUR]]))</f>
        <v>ARTO MORO</v>
      </c>
      <c r="AL462" s="38" t="str">
        <f ca="1">IF(NOTA[[#This Row],[ID]]="","",COUNTIF(NOTA[ID_H],NOTA[[#This Row],[ID_H]]))</f>
        <v/>
      </c>
      <c r="AM462" s="38">
        <f ca="1">IF(NOTA[[#This Row],[TGL.NOTA]]="",IF(NOTA[[#This Row],[SUPPLIER_H]]="","",AM461),MONTH(NOTA[[#This Row],[TGL.NOTA]]))</f>
        <v>9</v>
      </c>
      <c r="AN462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>
        <f>IF(NOTA[[#This Row],[CONCAT1]]="","",MATCH(NOTA[[#This Row],[CONCAT1]],[3]!db[NB NOTA_C],0))</f>
        <v>527</v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>120 PCS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ATA_2109_775-3</v>
      </c>
      <c r="C464" s="38" t="e">
        <f ca="1">IF(NOTA[[#This Row],[ID_P]]="","",MATCH(NOTA[[#This Row],[ID_P]],[1]!B_MSK[N_ID],0))</f>
        <v>#REF!</v>
      </c>
      <c r="D464" s="38">
        <f ca="1">IF(NOTA[[#This Row],[NAMA BARANG]]="","",INDEX(NOTA[ID],MATCH(,INDIRECT(ADDRESS(ROW(NOTA[ID]),COLUMN(NOTA[ID]))&amp;":"&amp;ADDRESS(ROW(),COLUMN(NOTA[ID]))),-1)))</f>
        <v>78</v>
      </c>
      <c r="E464" s="46"/>
      <c r="F464" s="37" t="s">
        <v>24</v>
      </c>
      <c r="G464" s="37" t="s">
        <v>23</v>
      </c>
      <c r="H464" s="47" t="s">
        <v>580</v>
      </c>
      <c r="I464" s="37"/>
      <c r="J464" s="39">
        <v>45190</v>
      </c>
      <c r="K464" s="37"/>
      <c r="L464" s="37" t="s">
        <v>390</v>
      </c>
      <c r="M464" s="40">
        <v>1</v>
      </c>
      <c r="N464" s="38">
        <v>144</v>
      </c>
      <c r="O464" s="37" t="s">
        <v>133</v>
      </c>
      <c r="P464" s="41">
        <v>11900</v>
      </c>
      <c r="Q464" s="42"/>
      <c r="R464" s="48"/>
      <c r="S464" s="49">
        <v>0.125</v>
      </c>
      <c r="T464" s="44">
        <v>0.05</v>
      </c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1713600</v>
      </c>
      <c r="Y464" s="50">
        <f>IF(NOTA[[#This Row],[JUMLAH]]="","",NOTA[[#This Row],[JUMLAH]]*NOTA[[#This Row],[DISC 1]])</f>
        <v>214200</v>
      </c>
      <c r="Z464" s="50">
        <f>IF(NOTA[[#This Row],[JUMLAH]]="","",(NOTA[[#This Row],[JUMLAH]]-NOTA[[#This Row],[DISC 1-]])*NOTA[[#This Row],[DISC 2]])</f>
        <v>74970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289170</v>
      </c>
      <c r="AC464" s="50">
        <f>IF(NOTA[[#This Row],[JUMLAH]]="","",NOTA[[#This Row],[JUMLAH]]-NOTA[[#This Row],[DISC]])</f>
        <v>1424430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64" s="50">
        <f>IF(OR(NOTA[[#This Row],[QTY]]="",NOTA[[#This Row],[HARGA SATUAN]]="",),"",NOTA[[#This Row],[QTY]]*NOTA[[#This Row],[HARGA SATUAN]])</f>
        <v>1713600</v>
      </c>
      <c r="AI464" s="39">
        <f ca="1">IF(NOTA[ID_H]="","",INDEX(NOTA[TANGGAL],MATCH(,INDIRECT(ADDRESS(ROW(NOTA[TANGGAL]),COLUMN(NOTA[TANGGAL]))&amp;":"&amp;ADDRESS(ROW(),COLUMN(NOTA[TANGGAL]))),-1)))</f>
        <v>45190</v>
      </c>
      <c r="AJ464" s="41" t="str">
        <f ca="1">IF(NOTA[[#This Row],[NAMA BARANG]]="","",INDEX(NOTA[SUPPLIER],MATCH(,INDIRECT(ADDRESS(ROW(NOTA[ID]),COLUMN(NOTA[ID]))&amp;":"&amp;ADDRESS(ROW(),COLUMN(NOTA[ID]))),-1)))</f>
        <v>ATALI MAKMUR</v>
      </c>
      <c r="AK464" s="41" t="str">
        <f ca="1">IF(NOTA[[#This Row],[ID_H]]="","",IF(NOTA[[#This Row],[FAKTUR]]="",INDIRECT(ADDRESS(ROW()-1,COLUMN())),NOTA[[#This Row],[FAKTUR]]))</f>
        <v>ARTO MORO</v>
      </c>
      <c r="AL464" s="38">
        <f ca="1">IF(NOTA[[#This Row],[ID]]="","",COUNTIF(NOTA[ID_H],NOTA[[#This Row],[ID_H]]))</f>
        <v>3</v>
      </c>
      <c r="AM464" s="38">
        <f>IF(NOTA[[#This Row],[TGL.NOTA]]="",IF(NOTA[[#This Row],[SUPPLIER_H]]="","",AM463),MONTH(NOTA[[#This Row],[TGL.NOTA]]))</f>
        <v>9</v>
      </c>
      <c r="AN46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MOROSA23091677545190oilpastelop12sppcaseseaworldjk</v>
      </c>
      <c r="AR464" s="38" t="e">
        <f>IF(NOTA[[#This Row],[CONCAT4]]="","",_xlfn.IFNA(MATCH(NOTA[[#This Row],[CONCAT4]],[2]!RAW[CONCAT_H],0),FALSE))</f>
        <v>#REF!</v>
      </c>
      <c r="AS464" s="38">
        <f>IF(NOTA[[#This Row],[CONCAT1]]="","",MATCH(NOTA[[#This Row],[CONCAT1]],[3]!db[NB NOTA_C],0))</f>
        <v>1897</v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>12 LSN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78</v>
      </c>
      <c r="E465" s="46"/>
      <c r="F465" s="37"/>
      <c r="G465" s="37"/>
      <c r="H465" s="47"/>
      <c r="I465" s="37"/>
      <c r="J465" s="39"/>
      <c r="K465" s="37"/>
      <c r="L465" s="37" t="s">
        <v>474</v>
      </c>
      <c r="M465" s="40">
        <v>1</v>
      </c>
      <c r="N465" s="38">
        <v>48</v>
      </c>
      <c r="O465" s="37" t="s">
        <v>133</v>
      </c>
      <c r="P465" s="41">
        <v>29600</v>
      </c>
      <c r="Q465" s="42"/>
      <c r="R465" s="48"/>
      <c r="S465" s="49">
        <v>0.125</v>
      </c>
      <c r="T465" s="44">
        <v>0.05</v>
      </c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1420800</v>
      </c>
      <c r="Y465" s="50">
        <f>IF(NOTA[[#This Row],[JUMLAH]]="","",NOTA[[#This Row],[JUMLAH]]*NOTA[[#This Row],[DISC 1]])</f>
        <v>177600</v>
      </c>
      <c r="Z465" s="50">
        <f>IF(NOTA[[#This Row],[JUMLAH]]="","",(NOTA[[#This Row],[JUMLAH]]-NOTA[[#This Row],[DISC 1-]])*NOTA[[#This Row],[DISC 2]])</f>
        <v>62160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239760</v>
      </c>
      <c r="AC465" s="50">
        <f>IF(NOTA[[#This Row],[JUMLAH]]="","",NOTA[[#This Row],[JUMLAH]]-NOTA[[#This Row],[DISC]])</f>
        <v>1181040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65" s="50">
        <f>IF(OR(NOTA[[#This Row],[QTY]]="",NOTA[[#This Row],[HARGA SATUAN]]="",),"",NOTA[[#This Row],[QTY]]*NOTA[[#This Row],[HARGA SATUAN]])</f>
        <v>1420800</v>
      </c>
      <c r="AI465" s="39">
        <f ca="1">IF(NOTA[ID_H]="","",INDEX(NOTA[TANGGAL],MATCH(,INDIRECT(ADDRESS(ROW(NOTA[TANGGAL]),COLUMN(NOTA[TANGGAL]))&amp;":"&amp;ADDRESS(ROW(),COLUMN(NOTA[TANGGAL]))),-1)))</f>
        <v>45190</v>
      </c>
      <c r="AJ465" s="41" t="str">
        <f ca="1">IF(NOTA[[#This Row],[NAMA BARANG]]="","",INDEX(NOTA[SUPPLIER],MATCH(,INDIRECT(ADDRESS(ROW(NOTA[ID]),COLUMN(NOTA[ID]))&amp;":"&amp;ADDRESS(ROW(),COLUMN(NOTA[ID]))),-1)))</f>
        <v>ATALI MAKMUR</v>
      </c>
      <c r="AK465" s="41" t="str">
        <f ca="1">IF(NOTA[[#This Row],[ID_H]]="","",IF(NOTA[[#This Row],[FAKTUR]]="",INDIRECT(ADDRESS(ROW()-1,COLUMN())),NOTA[[#This Row],[FAKTUR]]))</f>
        <v>ARTO MORO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9</v>
      </c>
      <c r="AN46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1899</v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>8 BOX (6 SET)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78</v>
      </c>
      <c r="E466" s="46"/>
      <c r="F466" s="37"/>
      <c r="G466" s="37"/>
      <c r="H466" s="47"/>
      <c r="I466" s="37"/>
      <c r="J466" s="39"/>
      <c r="K466" s="37"/>
      <c r="L466" s="37" t="s">
        <v>581</v>
      </c>
      <c r="M466" s="40">
        <v>1</v>
      </c>
      <c r="N466" s="38">
        <v>500</v>
      </c>
      <c r="O466" s="37" t="s">
        <v>240</v>
      </c>
      <c r="P466" s="41">
        <v>3050</v>
      </c>
      <c r="Q466" s="42"/>
      <c r="R466" s="48"/>
      <c r="S466" s="49">
        <v>0.125</v>
      </c>
      <c r="T466" s="44">
        <v>0.05</v>
      </c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1525000</v>
      </c>
      <c r="Y466" s="50">
        <f>IF(NOTA[[#This Row],[JUMLAH]]="","",NOTA[[#This Row],[JUMLAH]]*NOTA[[#This Row],[DISC 1]])</f>
        <v>190625</v>
      </c>
      <c r="Z466" s="50">
        <f>IF(NOTA[[#This Row],[JUMLAH]]="","",(NOTA[[#This Row],[JUMLAH]]-NOTA[[#This Row],[DISC 1-]])*NOTA[[#This Row],[DISC 2]])</f>
        <v>66718.75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257343.75</v>
      </c>
      <c r="AC466" s="50">
        <f>IF(NOTA[[#This Row],[JUMLAH]]="","",NOTA[[#This Row],[JUMLAH]]-NOTA[[#This Row],[DISC]])</f>
        <v>1267656.25</v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786273.75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3873126.25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466" s="50">
        <f>IF(OR(NOTA[[#This Row],[QTY]]="",NOTA[[#This Row],[HARGA SATUAN]]="",),"",NOTA[[#This Row],[QTY]]*NOTA[[#This Row],[HARGA SATUAN]])</f>
        <v>1525000</v>
      </c>
      <c r="AI466" s="39">
        <f ca="1">IF(NOTA[ID_H]="","",INDEX(NOTA[TANGGAL],MATCH(,INDIRECT(ADDRESS(ROW(NOTA[TANGGAL]),COLUMN(NOTA[TANGGAL]))&amp;":"&amp;ADDRESS(ROW(),COLUMN(NOTA[TANGGAL]))),-1)))</f>
        <v>45190</v>
      </c>
      <c r="AJ466" s="41" t="str">
        <f ca="1">IF(NOTA[[#This Row],[NAMA BARANG]]="","",INDEX(NOTA[SUPPLIER],MATCH(,INDIRECT(ADDRESS(ROW(NOTA[ID]),COLUMN(NOTA[ID]))&amp;":"&amp;ADDRESS(ROW(),COLUMN(NOTA[ID]))),-1)))</f>
        <v>ATALI MAKMUR</v>
      </c>
      <c r="AK466" s="41" t="str">
        <f ca="1">IF(NOTA[[#This Row],[ID_H]]="","",IF(NOTA[[#This Row],[FAKTUR]]="",INDIRECT(ADDRESS(ROW()-1,COLUMN())),NOTA[[#This Row],[FAKTUR]]))</f>
        <v>ARTO MORO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9</v>
      </c>
      <c r="AN46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1631</v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>50 PAK (10 ROL)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ATA_2109_817-1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79</v>
      </c>
      <c r="E468" s="46"/>
      <c r="F468" s="37" t="s">
        <v>24</v>
      </c>
      <c r="G468" s="37" t="s">
        <v>23</v>
      </c>
      <c r="H468" s="47" t="s">
        <v>582</v>
      </c>
      <c r="I468" s="37"/>
      <c r="J468" s="39">
        <v>45190</v>
      </c>
      <c r="K468" s="37"/>
      <c r="L468" s="37" t="s">
        <v>583</v>
      </c>
      <c r="M468" s="40">
        <v>1</v>
      </c>
      <c r="N468" s="38">
        <v>96</v>
      </c>
      <c r="O468" s="37" t="s">
        <v>133</v>
      </c>
      <c r="P468" s="41">
        <v>26800</v>
      </c>
      <c r="Q468" s="42"/>
      <c r="R468" s="48"/>
      <c r="S468" s="49">
        <v>0.125</v>
      </c>
      <c r="T468" s="44">
        <v>0.05</v>
      </c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2572800</v>
      </c>
      <c r="Y468" s="50">
        <f>IF(NOTA[[#This Row],[JUMLAH]]="","",NOTA[[#This Row],[JUMLAH]]*NOTA[[#This Row],[DISC 1]])</f>
        <v>321600</v>
      </c>
      <c r="Z468" s="50">
        <f>IF(NOTA[[#This Row],[JUMLAH]]="","",(NOTA[[#This Row],[JUMLAH]]-NOTA[[#This Row],[DISC 1-]])*NOTA[[#This Row],[DISC 2]])</f>
        <v>112560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434160</v>
      </c>
      <c r="AC468" s="50">
        <f>IF(NOTA[[#This Row],[JUMLAH]]="","",NOTA[[#This Row],[JUMLAH]]-NOTA[[#This Row],[DISC]])</f>
        <v>2138640</v>
      </c>
      <c r="AD468" s="50"/>
      <c r="AE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434160</v>
      </c>
      <c r="AF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2138640</v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H468" s="50">
        <f>IF(OR(NOTA[[#This Row],[QTY]]="",NOTA[[#This Row],[HARGA SATUAN]]="",),"",NOTA[[#This Row],[QTY]]*NOTA[[#This Row],[HARGA SATUAN]])</f>
        <v>2572800</v>
      </c>
      <c r="AI468" s="39">
        <f ca="1">IF(NOTA[ID_H]="","",INDEX(NOTA[TANGGAL],MATCH(,INDIRECT(ADDRESS(ROW(NOTA[TANGGAL]),COLUMN(NOTA[TANGGAL]))&amp;":"&amp;ADDRESS(ROW(),COLUMN(NOTA[TANGGAL]))),-1)))</f>
        <v>45190</v>
      </c>
      <c r="AJ468" s="41" t="str">
        <f ca="1">IF(NOTA[[#This Row],[NAMA BARANG]]="","",INDEX(NOTA[SUPPLIER],MATCH(,INDIRECT(ADDRESS(ROW(NOTA[ID]),COLUMN(NOTA[ID]))&amp;":"&amp;ADDRESS(ROW(),COLUMN(NOTA[ID]))),-1)))</f>
        <v>ATALI MAKMUR</v>
      </c>
      <c r="AK468" s="41" t="str">
        <f ca="1">IF(NOTA[[#This Row],[ID_H]]="","",IF(NOTA[[#This Row],[FAKTUR]]="",INDIRECT(ADDRESS(ROW()-1,COLUMN())),NOTA[[#This Row],[FAKTUR]]))</f>
        <v>ARTO MORO</v>
      </c>
      <c r="AL468" s="38">
        <f ca="1">IF(NOTA[[#This Row],[ID]]="","",COUNTIF(NOTA[ID_H],NOTA[[#This Row],[ID_H]]))</f>
        <v>1</v>
      </c>
      <c r="AM468" s="38">
        <f>IF(NOTA[[#This Row],[TGL.NOTA]]="",IF(NOTA[[#This Row],[SUPPLIER_H]]="","",AM467),MONTH(NOTA[[#This Row],[TGL.NOTA]]))</f>
        <v>9</v>
      </c>
      <c r="AN468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MOROSA23091681745190watercolorwac6ml12screwtypejk</v>
      </c>
      <c r="AR468" s="38" t="e">
        <f>IF(NOTA[[#This Row],[CONCAT4]]="","",_xlfn.IFNA(MATCH(NOTA[[#This Row],[CONCAT4]],[2]!RAW[CONCAT_H],0),FALSE))</f>
        <v>#REF!</v>
      </c>
      <c r="AS468" s="38">
        <f>IF(NOTA[[#This Row],[CONCAT1]]="","",MATCH(NOTA[[#This Row],[CONCAT1]],[3]!db[NB NOTA_C],0))</f>
        <v>2658</v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>8 BOX (12 SET)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SUR_2609_673-1</v>
      </c>
      <c r="C470" s="38" t="e">
        <f ca="1">IF(NOTA[[#This Row],[ID_P]]="","",MATCH(NOTA[[#This Row],[ID_P]],[1]!B_MSK[N_ID],0))</f>
        <v>#REF!</v>
      </c>
      <c r="D470" s="38">
        <f ca="1">IF(NOTA[[#This Row],[NAMA BARANG]]="","",INDEX(NOTA[ID],MATCH(,INDIRECT(ADDRESS(ROW(NOTA[ID]),COLUMN(NOTA[ID]))&amp;":"&amp;ADDRESS(ROW(),COLUMN(NOTA[ID]))),-1)))</f>
        <v>80</v>
      </c>
      <c r="E470" s="46">
        <v>45195</v>
      </c>
      <c r="F470" s="37" t="s">
        <v>497</v>
      </c>
      <c r="G470" s="37" t="s">
        <v>124</v>
      </c>
      <c r="H470" s="47" t="s">
        <v>584</v>
      </c>
      <c r="I470" s="37"/>
      <c r="J470" s="39">
        <v>45191</v>
      </c>
      <c r="K470" s="37"/>
      <c r="L470" s="37" t="s">
        <v>585</v>
      </c>
      <c r="M470" s="40">
        <v>6</v>
      </c>
      <c r="N470" s="38">
        <f>1200*6</f>
        <v>7200</v>
      </c>
      <c r="O470" s="37" t="s">
        <v>127</v>
      </c>
      <c r="P470" s="41">
        <v>2312.5</v>
      </c>
      <c r="Q470" s="42"/>
      <c r="R470" s="48"/>
      <c r="S470" s="49">
        <v>0.2</v>
      </c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16650000</v>
      </c>
      <c r="Y470" s="50">
        <f>IF(NOTA[[#This Row],[JUMLAH]]="","",NOTA[[#This Row],[JUMLAH]]*NOTA[[#This Row],[DISC 1]])</f>
        <v>3330000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3330000</v>
      </c>
      <c r="AC470" s="50">
        <f>IF(NOTA[[#This Row],[JUMLAH]]="","",NOTA[[#This Row],[JUMLAH]]-NOTA[[#This Row],[DISC]])</f>
        <v>13320000</v>
      </c>
      <c r="AD470" s="50"/>
      <c r="AE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3330000</v>
      </c>
      <c r="AF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H470" s="50">
        <f>IF(OR(NOTA[[#This Row],[QTY]]="",NOTA[[#This Row],[HARGA SATUAN]]="",),"",NOTA[[#This Row],[QTY]]*NOTA[[#This Row],[HARGA SATUAN]])</f>
        <v>16650000</v>
      </c>
      <c r="AI470" s="39">
        <f ca="1">IF(NOTA[ID_H]="","",INDEX(NOTA[TANGGAL],MATCH(,INDIRECT(ADDRESS(ROW(NOTA[TANGGAL]),COLUMN(NOTA[TANGGAL]))&amp;":"&amp;ADDRESS(ROW(),COLUMN(NOTA[TANGGAL]))),-1)))</f>
        <v>45195</v>
      </c>
      <c r="AJ470" s="41" t="str">
        <f ca="1">IF(NOTA[[#This Row],[NAMA BARANG]]="","",INDEX(NOTA[SUPPLIER],MATCH(,INDIRECT(ADDRESS(ROW(NOTA[ID]),COLUMN(NOTA[ID]))&amp;":"&amp;ADDRESS(ROW(),COLUMN(NOTA[ID]))),-1)))</f>
        <v>SURYA PRATAMA</v>
      </c>
      <c r="AK470" s="41" t="str">
        <f ca="1">IF(NOTA[[#This Row],[ID_H]]="","",IF(NOTA[[#This Row],[FAKTUR]]="",INDIRECT(ADDRESS(ROW()-1,COLUMN())),NOTA[[#This Row],[FAKTUR]]))</f>
        <v>UNTANA</v>
      </c>
      <c r="AL470" s="38">
        <f ca="1">IF(NOTA[[#This Row],[ID]]="","",COUNTIF(NOTA[ID_H],NOTA[[#This Row],[ID_H]]))</f>
        <v>1</v>
      </c>
      <c r="AM470" s="38">
        <f>IF(NOTA[[#This Row],[TGL.NOTA]]="",IF(NOTA[[#This Row],[SUPPLIER_H]]="","",AM469),MONTH(NOTA[[#This Row],[TGL.NOTA]]))</f>
        <v>9</v>
      </c>
      <c r="AN470" s="38" t="str">
        <f>LOWER(SUBSTITUTE(SUBSTITUTE(SUBSTITUTE(SUBSTITUTE(SUBSTITUTE(SUBSTITUTE(SUBSTITUTE(SUBSTITUTE(SUBSTITUTE(NOTA[NAMA BARANG]," ",),".",""),"-",""),"(",""),")",""),",",""),"/",""),"""",""),"+",""))</f>
        <v>bukumewarnaijumbofancyyangka&amp;huruf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bukumewarnaijumbofancyyangka&amp;huruf27750000.2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bukumewarnaijumbofancyyangka&amp;huruf27750000.2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PRATAMAUNTANAF23100067345191bukumewarnaijumbofancyyangka&amp;huruf</v>
      </c>
      <c r="AR470" s="38" t="e">
        <f>IF(NOTA[[#This Row],[CONCAT4]]="","",_xlfn.IFNA(MATCH(NOTA[[#This Row],[CONCAT4]],[2]!RAW[CONCAT_H],0),FALSE))</f>
        <v>#REF!</v>
      </c>
      <c r="AS470" s="38" t="e">
        <f>IF(NOTA[[#This Row],[CONCAT1]]="","",MATCH(NOTA[[#This Row],[CONCAT1]],[3]!db[NB NOTA_C],0))</f>
        <v>#N/A</v>
      </c>
      <c r="AT470" s="38" t="str">
        <f>IF(NOTA[[#This Row],[QTY/ CTN]]="","",TRUE)</f>
        <v/>
      </c>
      <c r="AU470" s="38" t="e">
        <f ca="1">IF(NOTA[[#This Row],[ID_H]]="","",IF(NOTA[[#This Row],[Column3]]=TRUE,NOTA[[#This Row],[QTY/ CTN]],INDEX([3]!db[QTY/ CTN],NOTA[[#This Row],[//DB]])))</f>
        <v>#N/A</v>
      </c>
      <c r="AV4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70" s="38" t="e">
        <f ca="1">IF(NOTA[[#This Row],[ID_H]]="","",MATCH(NOTA[[#This Row],[NB NOTA_C_QTY]],[4]!db[NB NOTA_C_QTY+F],0))</f>
        <v>#N/A</v>
      </c>
      <c r="AX470" s="53" t="e">
        <f ca="1">IF(NOTA[[#This Row],[NB NOTA_C_QTY]]="","",ROW()-2)</f>
        <v>#N/A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GAD_2609_148-1</v>
      </c>
      <c r="C472" s="38" t="e">
        <f ca="1">IF(NOTA[[#This Row],[ID_P]]="","",MATCH(NOTA[[#This Row],[ID_P]],[1]!B_MSK[N_ID],0))</f>
        <v>#REF!</v>
      </c>
      <c r="D472" s="38">
        <f ca="1">IF(NOTA[[#This Row],[NAMA BARANG]]="","",INDEX(NOTA[ID],MATCH(,INDIRECT(ADDRESS(ROW(NOTA[ID]),COLUMN(NOTA[ID]))&amp;":"&amp;ADDRESS(ROW(),COLUMN(NOTA[ID]))),-1)))</f>
        <v>81</v>
      </c>
      <c r="E472" s="46"/>
      <c r="F472" s="37" t="s">
        <v>586</v>
      </c>
      <c r="G472" s="37" t="s">
        <v>124</v>
      </c>
      <c r="H472" s="47" t="s">
        <v>587</v>
      </c>
      <c r="I472" s="37"/>
      <c r="J472" s="39">
        <v>45192</v>
      </c>
      <c r="K472" s="37"/>
      <c r="L472" s="37" t="s">
        <v>588</v>
      </c>
      <c r="M472" s="40"/>
      <c r="N472" s="38">
        <v>504</v>
      </c>
      <c r="O472" s="37" t="s">
        <v>127</v>
      </c>
      <c r="P472" s="41">
        <v>17000</v>
      </c>
      <c r="Q472" s="42"/>
      <c r="R472" s="48"/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8568000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8568000</v>
      </c>
      <c r="AD472" s="50"/>
      <c r="AE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8568000</v>
      </c>
      <c r="AH472" s="50">
        <f>IF(OR(NOTA[[#This Row],[QTY]]="",NOTA[[#This Row],[HARGA SATUAN]]="",),"",NOTA[[#This Row],[QTY]]*NOTA[[#This Row],[HARGA SATUAN]])</f>
        <v>8568000</v>
      </c>
      <c r="AI472" s="39">
        <f ca="1">IF(NOTA[ID_H]="","",INDEX(NOTA[TANGGAL],MATCH(,INDIRECT(ADDRESS(ROW(NOTA[TANGGAL]),COLUMN(NOTA[TANGGAL]))&amp;":"&amp;ADDRESS(ROW(),COLUMN(NOTA[TANGGAL]))),-1)))</f>
        <v>45195</v>
      </c>
      <c r="AJ472" s="41" t="str">
        <f ca="1">IF(NOTA[[#This Row],[NAMA BARANG]]="","",INDEX(NOTA[SUPPLIER],MATCH(,INDIRECT(ADDRESS(ROW(NOTA[ID]),COLUMN(NOTA[ID]))&amp;":"&amp;ADDRESS(ROW(),COLUMN(NOTA[ID]))),-1)))</f>
        <v>GADING MURNI</v>
      </c>
      <c r="AK472" s="41" t="str">
        <f ca="1">IF(NOTA[[#This Row],[ID_H]]="","",IF(NOTA[[#This Row],[FAKTUR]]="",INDIRECT(ADDRESS(ROW()-1,COLUMN())),NOTA[[#This Row],[FAKTUR]]))</f>
        <v>UNTANA</v>
      </c>
      <c r="AL472" s="38">
        <f ca="1">IF(NOTA[[#This Row],[ID]]="","",COUNTIF(NOTA[ID_H],NOTA[[#This Row],[ID_H]]))</f>
        <v>1</v>
      </c>
      <c r="AM472" s="38">
        <f>IF(NOTA[[#This Row],[TGL.NOTA]]="",IF(NOTA[[#This Row],[SUPPLIER_H]]="","",AM471),MONTH(NOTA[[#This Row],[TGL.NOTA]]))</f>
        <v>9</v>
      </c>
      <c r="AN472" s="38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vtecexpandingfilevtef4511b58568000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MURNIUNTANAV.2301714845192vtecexpandingfilevtef4511b5</v>
      </c>
      <c r="AR472" s="38" t="e">
        <f>IF(NOTA[[#This Row],[CONCAT4]]="","",_xlfn.IFNA(MATCH(NOTA[[#This Row],[CONCAT4]],[2]!RAW[CONCAT_H],0),FALSE))</f>
        <v>#REF!</v>
      </c>
      <c r="AS472" s="38" t="e">
        <f>IF(NOTA[[#This Row],[CONCAT1]]="","",MATCH(NOTA[[#This Row],[CONCAT1]],[3]!db[NB NOTA_C],0))</f>
        <v>#N/A</v>
      </c>
      <c r="AT472" s="38" t="str">
        <f>IF(NOTA[[#This Row],[QTY/ CTN]]="","",TRUE)</f>
        <v/>
      </c>
      <c r="AU472" s="38" t="e">
        <f ca="1">IF(NOTA[[#This Row],[ID_H]]="","",IF(NOTA[[#This Row],[Column3]]=TRUE,NOTA[[#This Row],[QTY/ CTN]],INDEX([3]!db[QTY/ CTN],NOTA[[#This Row],[//DB]])))</f>
        <v>#N/A</v>
      </c>
      <c r="AV4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72" s="38" t="e">
        <f ca="1">IF(NOTA[[#This Row],[ID_H]]="","",MATCH(NOTA[[#This Row],[NB NOTA_C_QTY]],[4]!db[NB NOTA_C_QTY+F],0))</f>
        <v>#N/A</v>
      </c>
      <c r="AX472" s="53" t="e">
        <f ca="1">IF(NOTA[[#This Row],[NB NOTA_C_QTY]]="","",ROW()-2)</f>
        <v>#N/A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COM_2609_929-2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82</v>
      </c>
      <c r="E474" s="46">
        <v>45195</v>
      </c>
      <c r="F474" s="37" t="s">
        <v>504</v>
      </c>
      <c r="G474" s="37" t="s">
        <v>124</v>
      </c>
      <c r="H474" s="47" t="s">
        <v>589</v>
      </c>
      <c r="I474" s="37"/>
      <c r="J474" s="39">
        <v>45195</v>
      </c>
      <c r="K474" s="37"/>
      <c r="L474" s="37" t="s">
        <v>590</v>
      </c>
      <c r="M474" s="40">
        <v>1</v>
      </c>
      <c r="N474" s="38">
        <v>8</v>
      </c>
      <c r="O474" s="37" t="s">
        <v>139</v>
      </c>
      <c r="P474" s="41">
        <v>195000</v>
      </c>
      <c r="Q474" s="42"/>
      <c r="R474" s="48"/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1560000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1560000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74" s="50">
        <f>IF(OR(NOTA[[#This Row],[QTY]]="",NOTA[[#This Row],[HARGA SATUAN]]="",),"",NOTA[[#This Row],[QTY]]*NOTA[[#This Row],[HARGA SATUAN]])</f>
        <v>1560000</v>
      </c>
      <c r="AI474" s="39">
        <f ca="1">IF(NOTA[ID_H]="","",INDEX(NOTA[TANGGAL],MATCH(,INDIRECT(ADDRESS(ROW(NOTA[TANGGAL]),COLUMN(NOTA[TANGGAL]))&amp;":"&amp;ADDRESS(ROW(),COLUMN(NOTA[TANGGAL]))),-1)))</f>
        <v>45195</v>
      </c>
      <c r="AJ474" s="41" t="str">
        <f ca="1">IF(NOTA[[#This Row],[NAMA BARANG]]="","",INDEX(NOTA[SUPPLIER],MATCH(,INDIRECT(ADDRESS(ROW(NOTA[ID]),COLUMN(NOTA[ID]))&amp;":"&amp;ADDRESS(ROW(),COLUMN(NOTA[ID]))),-1)))</f>
        <v>COMBI STATIOERY</v>
      </c>
      <c r="AK474" s="41" t="str">
        <f ca="1">IF(NOTA[[#This Row],[ID_H]]="","",IF(NOTA[[#This Row],[FAKTUR]]="",INDIRECT(ADDRESS(ROW()-1,COLUMN())),NOTA[[#This Row],[FAKTUR]]))</f>
        <v>UNTANA</v>
      </c>
      <c r="AL474" s="38">
        <f ca="1">IF(NOTA[[#This Row],[ID]]="","",COUNTIF(NOTA[ID_H],NOTA[[#This Row],[ID_H]]))</f>
        <v>2</v>
      </c>
      <c r="AM474" s="38">
        <f>IF(NOTA[[#This Row],[TGL.NOTA]]="",IF(NOTA[[#This Row],[SUPPLIER_H]]="","",AM473),MONTH(NOTA[[#This Row],[TGL.NOTA]]))</f>
        <v>9</v>
      </c>
      <c r="AN474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STATIOERYUNTANA092945195docritprestige</v>
      </c>
      <c r="AR474" s="38" t="e">
        <f>IF(NOTA[[#This Row],[CONCAT4]]="","",_xlfn.IFNA(MATCH(NOTA[[#This Row],[CONCAT4]],[2]!RAW[CONCAT_H],0),FALSE))</f>
        <v>#REF!</v>
      </c>
      <c r="AS474" s="38">
        <f>IF(NOTA[[#This Row],[CONCAT1]]="","",MATCH(NOTA[[#This Row],[CONCAT1]],[3]!db[NB NOTA_C],0))</f>
        <v>748</v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>8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82</v>
      </c>
      <c r="E475" s="46"/>
      <c r="F475" s="37"/>
      <c r="G475" s="37"/>
      <c r="H475" s="47"/>
      <c r="I475" s="37"/>
      <c r="J475" s="39"/>
      <c r="K475" s="37"/>
      <c r="L475" s="37" t="s">
        <v>591</v>
      </c>
      <c r="M475" s="40">
        <v>1</v>
      </c>
      <c r="N475" s="38">
        <v>8</v>
      </c>
      <c r="O475" s="37" t="s">
        <v>139</v>
      </c>
      <c r="P475" s="41">
        <v>180000</v>
      </c>
      <c r="Q475" s="42"/>
      <c r="R475" s="48"/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1440000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1440000</v>
      </c>
      <c r="AD475" s="50"/>
      <c r="AE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5" s="50">
        <f>IF(OR(NOTA[[#This Row],[QTY]]="",NOTA[[#This Row],[HARGA SATUAN]]="",),"",NOTA[[#This Row],[QTY]]*NOTA[[#This Row],[HARGA SATUAN]])</f>
        <v>1440000</v>
      </c>
      <c r="AI475" s="39">
        <f ca="1">IF(NOTA[ID_H]="","",INDEX(NOTA[TANGGAL],MATCH(,INDIRECT(ADDRESS(ROW(NOTA[TANGGAL]),COLUMN(NOTA[TANGGAL]))&amp;":"&amp;ADDRESS(ROW(),COLUMN(NOTA[TANGGAL]))),-1)))</f>
        <v>45195</v>
      </c>
      <c r="AJ475" s="41" t="str">
        <f ca="1">IF(NOTA[[#This Row],[NAMA BARANG]]="","",INDEX(NOTA[SUPPLIER],MATCH(,INDIRECT(ADDRESS(ROW(NOTA[ID]),COLUMN(NOTA[ID]))&amp;":"&amp;ADDRESS(ROW(),COLUMN(NOTA[ID]))),-1)))</f>
        <v>COMBI STATIOERY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>
        <f ca="1">IF(NOTA[[#This Row],[TGL.NOTA]]="",IF(NOTA[[#This Row],[SUPPLIER_H]]="","",AM474),MONTH(NOTA[[#This Row],[TGL.NOTA]]))</f>
        <v>9</v>
      </c>
      <c r="AN47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>
        <f>IF(NOTA[[#This Row],[CONCAT1]]="","",MATCH(NOTA[[#This Row],[CONCAT1]],[3]!db[NB NOTA_C],0))</f>
        <v>741</v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>8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COM_2509_924-1</v>
      </c>
      <c r="C477" s="38" t="e">
        <f ca="1">IF(NOTA[[#This Row],[ID_P]]="","",MATCH(NOTA[[#This Row],[ID_P]],[1]!B_MSK[N_ID],0))</f>
        <v>#REF!</v>
      </c>
      <c r="D477" s="38">
        <f ca="1">IF(NOTA[[#This Row],[NAMA BARANG]]="","",INDEX(NOTA[ID],MATCH(,INDIRECT(ADDRESS(ROW(NOTA[ID]),COLUMN(NOTA[ID]))&amp;":"&amp;ADDRESS(ROW(),COLUMN(NOTA[ID]))),-1)))</f>
        <v>83</v>
      </c>
      <c r="E477" s="46">
        <v>45194</v>
      </c>
      <c r="F477" s="37" t="s">
        <v>504</v>
      </c>
      <c r="G477" s="37" t="s">
        <v>124</v>
      </c>
      <c r="H477" s="47" t="s">
        <v>592</v>
      </c>
      <c r="I477" s="37"/>
      <c r="J477" s="39">
        <v>45194</v>
      </c>
      <c r="K477" s="37"/>
      <c r="L477" s="37" t="s">
        <v>593</v>
      </c>
      <c r="M477" s="40">
        <v>1</v>
      </c>
      <c r="N477" s="38">
        <v>8</v>
      </c>
      <c r="O477" s="37" t="s">
        <v>139</v>
      </c>
      <c r="P477" s="41">
        <v>210000</v>
      </c>
      <c r="Q477" s="42"/>
      <c r="R477" s="48"/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1680000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1680000</v>
      </c>
      <c r="AD477" s="50"/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</v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77" s="50">
        <f>IF(OR(NOTA[[#This Row],[QTY]]="",NOTA[[#This Row],[HARGA SATUAN]]="",),"",NOTA[[#This Row],[QTY]]*NOTA[[#This Row],[HARGA SATUAN]])</f>
        <v>1680000</v>
      </c>
      <c r="AI477" s="39">
        <f ca="1">IF(NOTA[ID_H]="","",INDEX(NOTA[TANGGAL],MATCH(,INDIRECT(ADDRESS(ROW(NOTA[TANGGAL]),COLUMN(NOTA[TANGGAL]))&amp;":"&amp;ADDRESS(ROW(),COLUMN(NOTA[TANGGAL]))),-1)))</f>
        <v>45194</v>
      </c>
      <c r="AJ477" s="41" t="str">
        <f ca="1">IF(NOTA[[#This Row],[NAMA BARANG]]="","",INDEX(NOTA[SUPPLIER],MATCH(,INDIRECT(ADDRESS(ROW(NOTA[ID]),COLUMN(NOTA[ID]))&amp;":"&amp;ADDRESS(ROW(),COLUMN(NOTA[ID]))),-1)))</f>
        <v>COMBI STATIOERY</v>
      </c>
      <c r="AK477" s="41" t="str">
        <f ca="1">IF(NOTA[[#This Row],[ID_H]]="","",IF(NOTA[[#This Row],[FAKTUR]]="",INDIRECT(ADDRESS(ROW()-1,COLUMN())),NOTA[[#This Row],[FAKTUR]]))</f>
        <v>UNTANA</v>
      </c>
      <c r="AL477" s="38">
        <f ca="1">IF(NOTA[[#This Row],[ID]]="","",COUNTIF(NOTA[ID_H],NOTA[[#This Row],[ID_H]]))</f>
        <v>1</v>
      </c>
      <c r="AM477" s="38">
        <f>IF(NOTA[[#This Row],[TGL.NOTA]]="",IF(NOTA[[#This Row],[SUPPLIER_H]]="","",AM476),MONTH(NOTA[[#This Row],[TGL.NOTA]]))</f>
        <v>9</v>
      </c>
      <c r="AN477" s="38" t="str">
        <f>LOWER(SUBSTITUTE(SUBSTITUTE(SUBSTITUTE(SUBSTITUTE(SUBSTITUTE(SUBSTITUTE(SUBSTITUTE(SUBSTITUTE(SUBSTITUTE(NOTA[NAMA BARANG]," ",),".",""),"-",""),"(",""),")",""),",",""),"/",""),"""",""),"+",""))</f>
        <v>docritabsolutedk519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docritabsolutedk5191680000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docritabsolutedk5191680000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STATIOERYUNTANA092445194docritabsolutedk519</v>
      </c>
      <c r="AR477" s="38" t="e">
        <f>IF(NOTA[[#This Row],[CONCAT4]]="","",_xlfn.IFNA(MATCH(NOTA[[#This Row],[CONCAT4]],[2]!RAW[CONCAT_H],0),FALSE))</f>
        <v>#REF!</v>
      </c>
      <c r="AS477" s="38" t="e">
        <f>IF(NOTA[[#This Row],[CONCAT1]]="","",MATCH(NOTA[[#This Row],[CONCAT1]],[3]!db[NB NOTA_C],0))</f>
        <v>#N/A</v>
      </c>
      <c r="AT477" s="38" t="str">
        <f>IF(NOTA[[#This Row],[QTY/ CTN]]="","",TRUE)</f>
        <v/>
      </c>
      <c r="AU477" s="38" t="e">
        <f ca="1">IF(NOTA[[#This Row],[ID_H]]="","",IF(NOTA[[#This Row],[Column3]]=TRUE,NOTA[[#This Row],[QTY/ CTN]],INDEX([3]!db[QTY/ CTN],NOTA[[#This Row],[//DB]])))</f>
        <v>#N/A</v>
      </c>
      <c r="AV4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77" s="38" t="e">
        <f ca="1">IF(NOTA[[#This Row],[ID_H]]="","",MATCH(NOTA[[#This Row],[NB NOTA_C_QTY]],[4]!db[NB NOTA_C_QTY+F],0))</f>
        <v>#N/A</v>
      </c>
      <c r="AX477" s="53" t="e">
        <f ca="1">IF(NOTA[[#This Row],[NB NOTA_C_QTY]]="","",ROW()-2)</f>
        <v>#N/A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SBS_2309_31B-1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84</v>
      </c>
      <c r="E479" s="46">
        <v>45192</v>
      </c>
      <c r="F479" s="37" t="s">
        <v>327</v>
      </c>
      <c r="G479" s="37" t="s">
        <v>124</v>
      </c>
      <c r="H479" s="47" t="s">
        <v>594</v>
      </c>
      <c r="I479" s="37"/>
      <c r="J479" s="39">
        <v>45189</v>
      </c>
      <c r="K479" s="37"/>
      <c r="L479" s="37" t="s">
        <v>595</v>
      </c>
      <c r="M479" s="40">
        <v>2</v>
      </c>
      <c r="N479" s="38">
        <v>144</v>
      </c>
      <c r="O479" s="37" t="s">
        <v>127</v>
      </c>
      <c r="P479" s="41">
        <v>12400</v>
      </c>
      <c r="Q479" s="42"/>
      <c r="R479" s="48" t="s">
        <v>218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1785600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1785600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1785600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79" s="50">
        <f>IF(OR(NOTA[[#This Row],[QTY]]="",NOTA[[#This Row],[HARGA SATUAN]]="",),"",NOTA[[#This Row],[QTY]]*NOTA[[#This Row],[HARGA SATUAN]])</f>
        <v>1785600</v>
      </c>
      <c r="AI479" s="39">
        <f ca="1">IF(NOTA[ID_H]="","",INDEX(NOTA[TANGGAL],MATCH(,INDIRECT(ADDRESS(ROW(NOTA[TANGGAL]),COLUMN(NOTA[TANGGAL]))&amp;":"&amp;ADDRESS(ROW(),COLUMN(NOTA[TANGGAL]))),-1)))</f>
        <v>45192</v>
      </c>
      <c r="AJ479" s="41" t="str">
        <f ca="1">IF(NOTA[[#This Row],[NAMA BARANG]]="","",INDEX(NOTA[SUPPLIER],MATCH(,INDIRECT(ADDRESS(ROW(NOTA[ID]),COLUMN(NOTA[ID]))&amp;":"&amp;ADDRESS(ROW(),COLUMN(NOTA[ID]))),-1)))</f>
        <v>SBS</v>
      </c>
      <c r="AK479" s="41" t="str">
        <f ca="1">IF(NOTA[[#This Row],[ID_H]]="","",IF(NOTA[[#This Row],[FAKTUR]]="",INDIRECT(ADDRESS(ROW()-1,COLUMN())),NOTA[[#This Row],[FAKTUR]]))</f>
        <v>UNTANA</v>
      </c>
      <c r="AL479" s="38">
        <f ca="1">IF(NOTA[[#This Row],[ID]]="","",COUNTIF(NOTA[ID_H],NOTA[[#This Row],[ID_H]]))</f>
        <v>1</v>
      </c>
      <c r="AM479" s="38">
        <f>IF(NOTA[[#This Row],[TGL.NOTA]]="",IF(NOTA[[#This Row],[SUPPLIER_H]]="","",AM478),MONTH(NOTA[[#This Row],[TGL.NOTA]]))</f>
        <v>9</v>
      </c>
      <c r="AN479" s="38" t="str">
        <f>LOWER(SUBSTITUTE(SUBSTITUTE(SUBSTITUTE(SUBSTITUTE(SUBSTITUTE(SUBSTITUTE(SUBSTITUTE(SUBSTITUTE(SUBSTITUTE(NOTA[NAMA BARANG]," ",),".",""),"-",""),"(",""),")",""),",",""),"/",""),"""",""),"+",""))</f>
        <v>bindernotegastappa5hp209t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bindernotegastappa5hp209t892800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bindernotegastappa5hp209t892800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SBSUNTANAVJ0431B45189bindernotegastappa5hp209t</v>
      </c>
      <c r="AR479" s="38" t="e">
        <f>IF(NOTA[[#This Row],[CONCAT4]]="","",_xlfn.IFNA(MATCH(NOTA[[#This Row],[CONCAT4]],[2]!RAW[CONCAT_H],0),FALSE))</f>
        <v>#REF!</v>
      </c>
      <c r="AS479" s="38" t="e">
        <f>IF(NOTA[[#This Row],[CONCAT1]]="","",MATCH(NOTA[[#This Row],[CONCAT1]],[3]!db[NB NOTA_C],0))</f>
        <v>#N/A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72 PCS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bindernotegastappa5hp209t72pcsuntana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PSM_2309_060-2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85</v>
      </c>
      <c r="E481" s="46">
        <v>45192</v>
      </c>
      <c r="F481" s="37" t="s">
        <v>596</v>
      </c>
      <c r="G481" s="37" t="s">
        <v>124</v>
      </c>
      <c r="H481" s="47" t="s">
        <v>597</v>
      </c>
      <c r="I481" s="37"/>
      <c r="J481" s="39">
        <v>45189</v>
      </c>
      <c r="K481" s="37"/>
      <c r="L481" s="37" t="s">
        <v>598</v>
      </c>
      <c r="M481" s="40">
        <v>5</v>
      </c>
      <c r="N481" s="38">
        <v>200</v>
      </c>
      <c r="O481" s="37" t="s">
        <v>282</v>
      </c>
      <c r="P481" s="41">
        <v>125000</v>
      </c>
      <c r="Q481" s="42"/>
      <c r="R481" s="48" t="s">
        <v>323</v>
      </c>
      <c r="S481" s="49">
        <v>0.2</v>
      </c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25000000</v>
      </c>
      <c r="Y481" s="50">
        <f>IF(NOTA[[#This Row],[JUMLAH]]="","",NOTA[[#This Row],[JUMLAH]]*NOTA[[#This Row],[DISC 1]])</f>
        <v>5000000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5000000</v>
      </c>
      <c r="AC481" s="50">
        <f>IF(NOTA[[#This Row],[JUMLAH]]="","",NOTA[[#This Row],[JUMLAH]]-NOTA[[#This Row],[DISC]])</f>
        <v>20000000</v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481" s="50">
        <f>IF(OR(NOTA[[#This Row],[QTY]]="",NOTA[[#This Row],[HARGA SATUAN]]="",),"",NOTA[[#This Row],[QTY]]*NOTA[[#This Row],[HARGA SATUAN]])</f>
        <v>25000000</v>
      </c>
      <c r="AI481" s="39">
        <f ca="1">IF(NOTA[ID_H]="","",INDEX(NOTA[TANGGAL],MATCH(,INDIRECT(ADDRESS(ROW(NOTA[TANGGAL]),COLUMN(NOTA[TANGGAL]))&amp;":"&amp;ADDRESS(ROW(),COLUMN(NOTA[TANGGAL]))),-1)))</f>
        <v>45192</v>
      </c>
      <c r="AJ481" s="41" t="str">
        <f ca="1">IF(NOTA[[#This Row],[NAMA BARANG]]="","",INDEX(NOTA[SUPPLIER],MATCH(,INDIRECT(ADDRESS(ROW(NOTA[ID]),COLUMN(NOTA[ID]))&amp;":"&amp;ADDRESS(ROW(),COLUMN(NOTA[ID]))),-1)))</f>
        <v>PSM</v>
      </c>
      <c r="AK481" s="41" t="str">
        <f ca="1">IF(NOTA[[#This Row],[ID_H]]="","",IF(NOTA[[#This Row],[FAKTUR]]="",INDIRECT(ADDRESS(ROW()-1,COLUMN())),NOTA[[#This Row],[FAKTUR]]))</f>
        <v>UNTANA</v>
      </c>
      <c r="AL481" s="38">
        <f ca="1">IF(NOTA[[#This Row],[ID]]="","",COUNTIF(NOTA[ID_H],NOTA[[#This Row],[ID_H]]))</f>
        <v>2</v>
      </c>
      <c r="AM481" s="38">
        <f>IF(NOTA[[#This Row],[TGL.NOTA]]="",IF(NOTA[[#This Row],[SUPPLIER_H]]="","",AM480),MONTH(NOTA[[#This Row],[TGL.NOTA]]))</f>
        <v>9</v>
      </c>
      <c r="AN481" s="38" t="str">
        <f>LOWER(SUBSTITUTE(SUBSTITUTE(SUBSTITUTE(SUBSTITUTE(SUBSTITUTE(SUBSTITUTE(SUBSTITUTE(SUBSTITUTE(SUBSTITUTE(NOTA[NAMA BARANG]," ",),".",""),"-",""),"(",""),")",""),",",""),"/",""),"""",""),"+",""))</f>
        <v>balonfs4220x5lkp3200hb4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balonfs4220x5lkp3200hb450000000.2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balonfs4220x5lkp3200hb450000000.2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PSMUNTANAPSM-R230900006045189balonfs4220x5lkp3200hb4</v>
      </c>
      <c r="AR481" s="38" t="e">
        <f>IF(NOTA[[#This Row],[CONCAT4]]="","",_xlfn.IFNA(MATCH(NOTA[[#This Row],[CONCAT4]],[2]!RAW[CONCAT_H],0),FALSE))</f>
        <v>#REF!</v>
      </c>
      <c r="AS481" s="38" t="e">
        <f>IF(NOTA[[#This Row],[CONCAT1]]="","",MATCH(NOTA[[#This Row],[CONCAT1]],[3]!db[NB NOTA_C],0))</f>
        <v>#N/A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40 LPG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balonfs4220x5lkp3200hb440lpguntana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85</v>
      </c>
      <c r="E482" s="46"/>
      <c r="F482" s="37"/>
      <c r="G482" s="37"/>
      <c r="H482" s="47"/>
      <c r="I482" s="37"/>
      <c r="J482" s="39"/>
      <c r="K482" s="37"/>
      <c r="L482" s="37" t="s">
        <v>599</v>
      </c>
      <c r="M482" s="40">
        <v>7</v>
      </c>
      <c r="N482" s="38">
        <v>280</v>
      </c>
      <c r="O482" s="37" t="s">
        <v>600</v>
      </c>
      <c r="P482" s="41">
        <v>105000</v>
      </c>
      <c r="Q482" s="42"/>
      <c r="R482" s="48" t="s">
        <v>323</v>
      </c>
      <c r="S482" s="49">
        <v>0.2</v>
      </c>
      <c r="T482" s="44"/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29400000</v>
      </c>
      <c r="Y482" s="50">
        <f>IF(NOTA[[#This Row],[JUMLAH]]="","",NOTA[[#This Row],[JUMLAH]]*NOTA[[#This Row],[DISC 1]])</f>
        <v>5880000</v>
      </c>
      <c r="Z482" s="50">
        <f>IF(NOTA[[#This Row],[JUMLAH]]="","",(NOTA[[#This Row],[JUMLAH]]-NOTA[[#This Row],[DISC 1-]])*NOTA[[#This Row],[DISC 2]])</f>
        <v>0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5880000</v>
      </c>
      <c r="AC482" s="50">
        <f>IF(NOTA[[#This Row],[JUMLAH]]="","",NOTA[[#This Row],[JUMLAH]]-NOTA[[#This Row],[DISC]])</f>
        <v>23520000</v>
      </c>
      <c r="AD482" s="50"/>
      <c r="AE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10880000</v>
      </c>
      <c r="AF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43520000</v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H482" s="50">
        <f>IF(OR(NOTA[[#This Row],[QTY]]="",NOTA[[#This Row],[HARGA SATUAN]]="",),"",NOTA[[#This Row],[QTY]]*NOTA[[#This Row],[HARGA SATUAN]])</f>
        <v>29400000</v>
      </c>
      <c r="AI482" s="39">
        <f ca="1">IF(NOTA[ID_H]="","",INDEX(NOTA[TANGGAL],MATCH(,INDIRECT(ADDRESS(ROW(NOTA[TANGGAL]),COLUMN(NOTA[TANGGAL]))&amp;":"&amp;ADDRESS(ROW(),COLUMN(NOTA[TANGGAL]))),-1)))</f>
        <v>45192</v>
      </c>
      <c r="AJ482" s="41" t="str">
        <f ca="1">IF(NOTA[[#This Row],[NAMA BARANG]]="","",INDEX(NOTA[SUPPLIER],MATCH(,INDIRECT(ADDRESS(ROW(NOTA[ID]),COLUMN(NOTA[ID]))&amp;":"&amp;ADDRESS(ROW(),COLUMN(NOTA[ID]))),-1)))</f>
        <v>PSM</v>
      </c>
      <c r="AK482" s="41" t="str">
        <f ca="1">IF(NOTA[[#This Row],[ID_H]]="","",IF(NOTA[[#This Row],[FAKTUR]]="",INDIRECT(ADDRESS(ROW()-1,COLUMN())),NOTA[[#This Row],[FAKTUR]]))</f>
        <v>UNTANA</v>
      </c>
      <c r="AL482" s="38" t="str">
        <f ca="1">IF(NOTA[[#This Row],[ID]]="","",COUNTIF(NOTA[ID_H],NOTA[[#This Row],[ID_H]]))</f>
        <v/>
      </c>
      <c r="AM482" s="38">
        <f ca="1">IF(NOTA[[#This Row],[TGL.NOTA]]="",IF(NOTA[[#This Row],[SUPPLIER_H]]="","",AM481),MONTH(NOTA[[#This Row],[TGL.NOTA]]))</f>
        <v>9</v>
      </c>
      <c r="AN482" s="38" t="str">
        <f>LOWER(SUBSTITUTE(SUBSTITUTE(SUBSTITUTE(SUBSTITUTE(SUBSTITUTE(SUBSTITUTE(SUBSTITUTE(SUBSTITUTE(SUBSTITUTE(NOTA[NAMA BARANG]," ",),".",""),"-",""),"(",""),")",""),",",""),"/",""),"""",""),"+",""))</f>
        <v>balonjumbo12x3lj1898</v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balonjumbo12x3lj189842000000.2</v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balonjumbo12x3lj189842000000.2</v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e">
        <f>IF(NOTA[[#This Row],[CONCAT1]]="","",MATCH(NOTA[[#This Row],[CONCAT1]],[3]!db[NB NOTA_C],0))</f>
        <v>#N/A</v>
      </c>
      <c r="AT482" s="38" t="b">
        <f>IF(NOTA[[#This Row],[QTY/ CTN]]="","",TRUE)</f>
        <v>1</v>
      </c>
      <c r="AU482" s="38" t="str">
        <f ca="1">IF(NOTA[[#This Row],[ID_H]]="","",IF(NOTA[[#This Row],[Column3]]=TRUE,NOTA[[#This Row],[QTY/ CTN]],INDEX([3]!db[QTY/ CTN],NOTA[[#This Row],[//DB]])))</f>
        <v>40 LPG</v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balonjumbo12x3lj189840lpguntana</v>
      </c>
      <c r="AW482" s="38" t="e">
        <f ca="1">IF(NOTA[[#This Row],[ID_H]]="","",MATCH(NOTA[[#This Row],[NB NOTA_C_QTY]],[4]!db[NB NOTA_C_QTY+F],0))</f>
        <v>#REF!</v>
      </c>
      <c r="AX482" s="53">
        <f ca="1">IF(NOTA[[#This Row],[NB NOTA_C_QTY]]="","",ROW()-2)</f>
        <v>480</v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DUT_2309_23C-2</v>
      </c>
      <c r="C484" s="38" t="e">
        <f ca="1">IF(NOTA[[#This Row],[ID_P]]="","",MATCH(NOTA[[#This Row],[ID_P]],[1]!B_MSK[N_ID],0))</f>
        <v>#REF!</v>
      </c>
      <c r="D484" s="38">
        <f ca="1">IF(NOTA[[#This Row],[NAMA BARANG]]="","",INDEX(NOTA[ID],MATCH(,INDIRECT(ADDRESS(ROW(NOTA[ID]),COLUMN(NOTA[ID]))&amp;":"&amp;ADDRESS(ROW(),COLUMN(NOTA[ID]))),-1)))</f>
        <v>86</v>
      </c>
      <c r="E484" s="46">
        <v>45192</v>
      </c>
      <c r="F484" s="37" t="s">
        <v>601</v>
      </c>
      <c r="G484" s="37" t="s">
        <v>124</v>
      </c>
      <c r="H484" s="47" t="s">
        <v>602</v>
      </c>
      <c r="I484" s="37"/>
      <c r="J484" s="39">
        <v>45189</v>
      </c>
      <c r="K484" s="37"/>
      <c r="L484" s="37" t="s">
        <v>604</v>
      </c>
      <c r="M484" s="40">
        <v>1</v>
      </c>
      <c r="N484" s="38">
        <v>96</v>
      </c>
      <c r="O484" s="37" t="s">
        <v>127</v>
      </c>
      <c r="P484" s="41">
        <v>21000</v>
      </c>
      <c r="Q484" s="42"/>
      <c r="R484" s="48" t="s">
        <v>526</v>
      </c>
      <c r="S484" s="49">
        <v>0.03</v>
      </c>
      <c r="T484" s="44"/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2016000</v>
      </c>
      <c r="Y484" s="50">
        <f>IF(NOTA[[#This Row],[JUMLAH]]="","",NOTA[[#This Row],[JUMLAH]]*NOTA[[#This Row],[DISC 1]])</f>
        <v>60480</v>
      </c>
      <c r="Z484" s="50">
        <f>IF(NOTA[[#This Row],[JUMLAH]]="","",(NOTA[[#This Row],[JUMLAH]]-NOTA[[#This Row],[DISC 1-]])*NOTA[[#This Row],[DISC 2]])</f>
        <v>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60480</v>
      </c>
      <c r="AC484" s="50">
        <f>IF(NOTA[[#This Row],[JUMLAH]]="","",NOTA[[#This Row],[JUMLAH]]-NOTA[[#This Row],[DISC]])</f>
        <v>1955520</v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484" s="50">
        <f>IF(OR(NOTA[[#This Row],[QTY]]="",NOTA[[#This Row],[HARGA SATUAN]]="",),"",NOTA[[#This Row],[QTY]]*NOTA[[#This Row],[HARGA SATUAN]])</f>
        <v>2016000</v>
      </c>
      <c r="AI484" s="39">
        <f ca="1">IF(NOTA[ID_H]="","",INDEX(NOTA[TANGGAL],MATCH(,INDIRECT(ADDRESS(ROW(NOTA[TANGGAL]),COLUMN(NOTA[TANGGAL]))&amp;":"&amp;ADDRESS(ROW(),COLUMN(NOTA[TANGGAL]))),-1)))</f>
        <v>45192</v>
      </c>
      <c r="AJ484" s="41" t="str">
        <f ca="1">IF(NOTA[[#This Row],[NAMA BARANG]]="","",INDEX(NOTA[SUPPLIER],MATCH(,INDIRECT(ADDRESS(ROW(NOTA[ID]),COLUMN(NOTA[ID]))&amp;":"&amp;ADDRESS(ROW(),COLUMN(NOTA[ID]))),-1)))</f>
        <v>DUTA BAHAGIA</v>
      </c>
      <c r="AK484" s="41" t="str">
        <f ca="1">IF(NOTA[[#This Row],[ID_H]]="","",IF(NOTA[[#This Row],[FAKTUR]]="",INDIRECT(ADDRESS(ROW()-1,COLUMN())),NOTA[[#This Row],[FAKTUR]]))</f>
        <v>UNTANA</v>
      </c>
      <c r="AL484" s="38">
        <f ca="1">IF(NOTA[[#This Row],[ID]]="","",COUNTIF(NOTA[ID_H],NOTA[[#This Row],[ID_H]]))</f>
        <v>2</v>
      </c>
      <c r="AM484" s="38">
        <f>IF(NOTA[[#This Row],[TGL.NOTA]]="",IF(NOTA[[#This Row],[SUPPLIER_H]]="","",AM483),MONTH(NOTA[[#This Row],[TGL.NOTA]]))</f>
        <v>9</v>
      </c>
      <c r="AN484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bindernotefphy001a56020160000.03</v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bindernotefphy001a56020160000.03</v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BAHAGIAUNTANADHM/12/09-23C45189bindernotefphy001a560</v>
      </c>
      <c r="AR484" s="38" t="e">
        <f>IF(NOTA[[#This Row],[CONCAT4]]="","",_xlfn.IFNA(MATCH(NOTA[[#This Row],[CONCAT4]],[2]!RAW[CONCAT_H],0),FALSE))</f>
        <v>#REF!</v>
      </c>
      <c r="AS484" s="38">
        <f>IF(NOTA[[#This Row],[CONCAT1]]="","",MATCH(NOTA[[#This Row],[CONCAT1]],[3]!db[NB NOTA_C],0))</f>
        <v>297</v>
      </c>
      <c r="AT484" s="38" t="b">
        <f>IF(NOTA[[#This Row],[QTY/ CTN]]="","",TRUE)</f>
        <v>1</v>
      </c>
      <c r="AU484" s="38" t="str">
        <f ca="1">IF(NOTA[[#This Row],[ID_H]]="","",IF(NOTA[[#This Row],[Column3]]=TRUE,NOTA[[#This Row],[QTY/ CTN]],INDEX([3]!db[QTY/ CTN],NOTA[[#This Row],[//DB]])))</f>
        <v>96 PCS</v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484" s="38" t="e">
        <f ca="1">IF(NOTA[[#This Row],[ID_H]]="","",MATCH(NOTA[[#This Row],[NB NOTA_C_QTY]],[4]!db[NB NOTA_C_QTY+F],0))</f>
        <v>#REF!</v>
      </c>
      <c r="AX484" s="53">
        <f ca="1">IF(NOTA[[#This Row],[NB NOTA_C_QTY]]="","",ROW()-2)</f>
        <v>482</v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86</v>
      </c>
      <c r="E485" s="46"/>
      <c r="F485" s="37"/>
      <c r="G485" s="37"/>
      <c r="H485" s="47"/>
      <c r="I485" s="37"/>
      <c r="J485" s="39"/>
      <c r="K485" s="37"/>
      <c r="L485" s="37" t="s">
        <v>603</v>
      </c>
      <c r="M485" s="40">
        <v>1</v>
      </c>
      <c r="N485" s="38">
        <v>72</v>
      </c>
      <c r="O485" s="37" t="s">
        <v>127</v>
      </c>
      <c r="P485" s="41">
        <v>28000</v>
      </c>
      <c r="Q485" s="42"/>
      <c r="R485" s="48" t="s">
        <v>218</v>
      </c>
      <c r="S485" s="49">
        <v>0.03</v>
      </c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2016000</v>
      </c>
      <c r="Y485" s="50">
        <f>IF(NOTA[[#This Row],[JUMLAH]]="","",NOTA[[#This Row],[JUMLAH]]*NOTA[[#This Row],[DISC 1]])</f>
        <v>60480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60480</v>
      </c>
      <c r="AC485" s="50">
        <f>IF(NOTA[[#This Row],[JUMLAH]]="","",NOTA[[#This Row],[JUMLAH]]-NOTA[[#This Row],[DISC]])</f>
        <v>1955520</v>
      </c>
      <c r="AD485" s="50"/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120960</v>
      </c>
      <c r="AF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3911040</v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485" s="50">
        <f>IF(OR(NOTA[[#This Row],[QTY]]="",NOTA[[#This Row],[HARGA SATUAN]]="",),"",NOTA[[#This Row],[QTY]]*NOTA[[#This Row],[HARGA SATUAN]])</f>
        <v>2016000</v>
      </c>
      <c r="AI485" s="39">
        <f ca="1">IF(NOTA[ID_H]="","",INDEX(NOTA[TANGGAL],MATCH(,INDIRECT(ADDRESS(ROW(NOTA[TANGGAL]),COLUMN(NOTA[TANGGAL]))&amp;":"&amp;ADDRESS(ROW(),COLUMN(NOTA[TANGGAL]))),-1)))</f>
        <v>45192</v>
      </c>
      <c r="AJ485" s="41" t="str">
        <f ca="1">IF(NOTA[[#This Row],[NAMA BARANG]]="","",INDEX(NOTA[SUPPLIER],MATCH(,INDIRECT(ADDRESS(ROW(NOTA[ID]),COLUMN(NOTA[ID]))&amp;":"&amp;ADDRESS(ROW(),COLUMN(NOTA[ID]))),-1)))</f>
        <v>DUTA BAHAGIA</v>
      </c>
      <c r="AK485" s="41" t="str">
        <f ca="1">IF(NOTA[[#This Row],[ID_H]]="","",IF(NOTA[[#This Row],[FAKTUR]]="",INDIRECT(ADDRESS(ROW()-1,COLUMN())),NOTA[[#This Row],[FAKTUR]]))</f>
        <v>UNTANA</v>
      </c>
      <c r="AL485" s="38" t="str">
        <f ca="1">IF(NOTA[[#This Row],[ID]]="","",COUNTIF(NOTA[ID_H],NOTA[[#This Row],[ID_H]]))</f>
        <v/>
      </c>
      <c r="AM485" s="38">
        <f ca="1">IF(NOTA[[#This Row],[TGL.NOTA]]="",IF(NOTA[[#This Row],[SUPPLIER_H]]="","",AM484),MONTH(NOTA[[#This Row],[TGL.NOTA]]))</f>
        <v>9</v>
      </c>
      <c r="AN485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bindernotefphy001b56020160000.03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bindernotefphy001b56020160000.03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>
        <f>IF(NOTA[[#This Row],[CONCAT1]]="","",MATCH(NOTA[[#This Row],[CONCAT1]],[3]!db[NB NOTA_C],0))</f>
        <v>298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72 PCS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HOM_2309_177-2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87</v>
      </c>
      <c r="E487" s="46">
        <v>45192</v>
      </c>
      <c r="F487" s="37" t="s">
        <v>605</v>
      </c>
      <c r="G487" s="37" t="s">
        <v>124</v>
      </c>
      <c r="H487" s="47" t="s">
        <v>606</v>
      </c>
      <c r="I487" s="37"/>
      <c r="J487" s="39">
        <v>45192</v>
      </c>
      <c r="K487" s="37"/>
      <c r="L487" s="37" t="s">
        <v>607</v>
      </c>
      <c r="M487" s="40">
        <v>1</v>
      </c>
      <c r="N487" s="38">
        <v>8</v>
      </c>
      <c r="O487" s="37" t="s">
        <v>139</v>
      </c>
      <c r="P487" s="41">
        <v>195000</v>
      </c>
      <c r="Q487" s="42"/>
      <c r="R487" s="48"/>
      <c r="S487" s="49"/>
      <c r="T487" s="44"/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1560000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1560000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87" s="50">
        <f>IF(OR(NOTA[[#This Row],[QTY]]="",NOTA[[#This Row],[HARGA SATUAN]]="",),"",NOTA[[#This Row],[QTY]]*NOTA[[#This Row],[HARGA SATUAN]])</f>
        <v>1560000</v>
      </c>
      <c r="AI487" s="39">
        <f ca="1">IF(NOTA[ID_H]="","",INDEX(NOTA[TANGGAL],MATCH(,INDIRECT(ADDRESS(ROW(NOTA[TANGGAL]),COLUMN(NOTA[TANGGAL]))&amp;":"&amp;ADDRESS(ROW(),COLUMN(NOTA[TANGGAL]))),-1)))</f>
        <v>45192</v>
      </c>
      <c r="AJ487" s="41" t="str">
        <f ca="1">IF(NOTA[[#This Row],[NAMA BARANG]]="","",INDEX(NOTA[SUPPLIER],MATCH(,INDIRECT(ADDRESS(ROW(NOTA[ID]),COLUMN(NOTA[ID]))&amp;":"&amp;ADDRESS(ROW(),COLUMN(NOTA[ID]))),-1)))</f>
        <v>HOMGSIAN</v>
      </c>
      <c r="AK487" s="41" t="str">
        <f ca="1">IF(NOTA[[#This Row],[ID_H]]="","",IF(NOTA[[#This Row],[FAKTUR]]="",INDIRECT(ADDRESS(ROW()-1,COLUMN())),NOTA[[#This Row],[FAKTUR]]))</f>
        <v>UNTANA</v>
      </c>
      <c r="AL487" s="38">
        <f ca="1">IF(NOTA[[#This Row],[ID]]="","",COUNTIF(NOTA[ID_H],NOTA[[#This Row],[ID_H]]))</f>
        <v>2</v>
      </c>
      <c r="AM487" s="38">
        <f>IF(NOTA[[#This Row],[TGL.NOTA]]="",IF(NOTA[[#This Row],[SUPPLIER_H]]="","",AM486),MONTH(NOTA[[#This Row],[TGL.NOTA]]))</f>
        <v>9</v>
      </c>
      <c r="AN487" s="38" t="str">
        <f>LOWER(SUBSTITUTE(SUBSTITUTE(SUBSTITUTE(SUBSTITUTE(SUBSTITUTE(SUBSTITUTE(SUBSTITUTE(SUBSTITUTE(SUBSTITUTE(NOTA[NAMA BARANG]," ",),".",""),"-",""),"(",""),")",""),",",""),"/",""),"""",""),"+",""))</f>
        <v>dochd51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dochd511560000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dochd511560000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>HOMGSIANUNTANA617745192dochd51</v>
      </c>
      <c r="AR487" s="38" t="e">
        <f>IF(NOTA[[#This Row],[CONCAT4]]="","",_xlfn.IFNA(MATCH(NOTA[[#This Row],[CONCAT4]],[2]!RAW[CONCAT_H],0),FALSE))</f>
        <v>#REF!</v>
      </c>
      <c r="AS487" s="38" t="e">
        <f>IF(NOTA[[#This Row],[CONCAT1]]="","",MATCH(NOTA[[#This Row],[CONCAT1]],[3]!db[NB NOTA_C],0))</f>
        <v>#N/A</v>
      </c>
      <c r="AT487" s="38" t="str">
        <f>IF(NOTA[[#This Row],[QTY/ CTN]]="","",TRUE)</f>
        <v/>
      </c>
      <c r="AU487" s="38" t="e">
        <f ca="1">IF(NOTA[[#This Row],[ID_H]]="","",IF(NOTA[[#This Row],[Column3]]=TRUE,NOTA[[#This Row],[QTY/ CTN]],INDEX([3]!db[QTY/ CTN],NOTA[[#This Row],[//DB]])))</f>
        <v>#N/A</v>
      </c>
      <c r="AV4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7" s="38" t="e">
        <f ca="1">IF(NOTA[[#This Row],[ID_H]]="","",MATCH(NOTA[[#This Row],[NB NOTA_C_QTY]],[4]!db[NB NOTA_C_QTY+F],0))</f>
        <v>#N/A</v>
      </c>
      <c r="AX487" s="53" t="e">
        <f ca="1">IF(NOTA[[#This Row],[NB NOTA_C_QTY]]="","",ROW()-2)</f>
        <v>#N/A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87</v>
      </c>
      <c r="E488" s="46"/>
      <c r="F488" s="37"/>
      <c r="G488" s="37"/>
      <c r="H488" s="47"/>
      <c r="I488" s="37"/>
      <c r="J488" s="39"/>
      <c r="K488" s="37"/>
      <c r="L488" s="37" t="s">
        <v>608</v>
      </c>
      <c r="M488" s="40">
        <v>1</v>
      </c>
      <c r="N488" s="38">
        <v>8</v>
      </c>
      <c r="O488" s="37" t="s">
        <v>139</v>
      </c>
      <c r="P488" s="41">
        <v>200000</v>
      </c>
      <c r="Q488" s="42"/>
      <c r="R488" s="48"/>
      <c r="S488" s="49"/>
      <c r="T488" s="44"/>
      <c r="U488" s="44"/>
      <c r="V488" s="50"/>
      <c r="W488" s="45"/>
      <c r="X488" s="50">
        <f>IF(NOTA[[#This Row],[HARGA/ CTN]]="",NOTA[[#This Row],[JUMLAH_H]],NOTA[[#This Row],[HARGA/ CTN]]*IF(NOTA[[#This Row],[C]]="",0,NOTA[[#This Row],[C]]))</f>
        <v>1600000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1600000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8" s="50">
        <f>IF(OR(NOTA[[#This Row],[QTY]]="",NOTA[[#This Row],[HARGA SATUAN]]="",),"",NOTA[[#This Row],[QTY]]*NOTA[[#This Row],[HARGA SATUAN]])</f>
        <v>1600000</v>
      </c>
      <c r="AI488" s="39">
        <f ca="1">IF(NOTA[ID_H]="","",INDEX(NOTA[TANGGAL],MATCH(,INDIRECT(ADDRESS(ROW(NOTA[TANGGAL]),COLUMN(NOTA[TANGGAL]))&amp;":"&amp;ADDRESS(ROW(),COLUMN(NOTA[TANGGAL]))),-1)))</f>
        <v>45192</v>
      </c>
      <c r="AJ488" s="41" t="str">
        <f ca="1">IF(NOTA[[#This Row],[NAMA BARANG]]="","",INDEX(NOTA[SUPPLIER],MATCH(,INDIRECT(ADDRESS(ROW(NOTA[ID]),COLUMN(NOTA[ID]))&amp;":"&amp;ADDRESS(ROW(),COLUMN(NOTA[ID]))),-1)))</f>
        <v>HOMGSIAN</v>
      </c>
      <c r="AK488" s="41" t="str">
        <f ca="1">IF(NOTA[[#This Row],[ID_H]]="","",IF(NOTA[[#This Row],[FAKTUR]]="",INDIRECT(ADDRESS(ROW()-1,COLUMN())),NOTA[[#This Row],[FAKTUR]]))</f>
        <v>UNTANA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9</v>
      </c>
      <c r="AN488" s="38" t="str">
        <f>LOWER(SUBSTITUTE(SUBSTITUTE(SUBSTITUTE(SUBSTITUTE(SUBSTITUTE(SUBSTITUTE(SUBSTITUTE(SUBSTITUTE(SUBSTITUTE(NOTA[NAMA BARANG]," ",),".",""),"-",""),"(",""),")",""),",",""),"/",""),"""",""),"+",""))</f>
        <v>dochd55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dochd551600000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dochd551600000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e">
        <f>IF(NOTA[[#This Row],[CONCAT1]]="","",MATCH(NOTA[[#This Row],[CONCAT1]],[3]!db[NB NOTA_C],0))</f>
        <v>#N/A</v>
      </c>
      <c r="AT488" s="38" t="str">
        <f>IF(NOTA[[#This Row],[QTY/ CTN]]="","",TRUE)</f>
        <v/>
      </c>
      <c r="AU488" s="38" t="e">
        <f ca="1">IF(NOTA[[#This Row],[ID_H]]="","",IF(NOTA[[#This Row],[Column3]]=TRUE,NOTA[[#This Row],[QTY/ CTN]],INDEX([3]!db[QTY/ CTN],NOTA[[#This Row],[//DB]])))</f>
        <v>#N/A</v>
      </c>
      <c r="AV4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8" s="38" t="e">
        <f ca="1">IF(NOTA[[#This Row],[ID_H]]="","",MATCH(NOTA[[#This Row],[NB NOTA_C_QTY]],[4]!db[NB NOTA_C_QTY+F],0))</f>
        <v>#N/A</v>
      </c>
      <c r="AX488" s="53" t="e">
        <f ca="1">IF(NOTA[[#This Row],[NB NOTA_C_QTY]]="","",ROW()-2)</f>
        <v>#N/A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DBS_2509_323-2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88</v>
      </c>
      <c r="E490" s="46">
        <v>45194</v>
      </c>
      <c r="F490" s="37" t="s">
        <v>298</v>
      </c>
      <c r="G490" s="37" t="s">
        <v>124</v>
      </c>
      <c r="H490" s="47" t="s">
        <v>609</v>
      </c>
      <c r="I490" s="37"/>
      <c r="J490" s="39">
        <v>45189</v>
      </c>
      <c r="K490" s="37"/>
      <c r="L490" s="37" t="s">
        <v>611</v>
      </c>
      <c r="M490" s="40">
        <v>5</v>
      </c>
      <c r="N490" s="38">
        <v>400</v>
      </c>
      <c r="O490" s="37" t="s">
        <v>139</v>
      </c>
      <c r="P490" s="41">
        <v>27500</v>
      </c>
      <c r="Q490" s="42"/>
      <c r="R490" s="48" t="s">
        <v>610</v>
      </c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11000000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11000000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490" s="50">
        <f>IF(OR(NOTA[[#This Row],[QTY]]="",NOTA[[#This Row],[HARGA SATUAN]]="",),"",NOTA[[#This Row],[QTY]]*NOTA[[#This Row],[HARGA SATUAN]])</f>
        <v>11000000</v>
      </c>
      <c r="AI490" s="39">
        <f ca="1">IF(NOTA[ID_H]="","",INDEX(NOTA[TANGGAL],MATCH(,INDIRECT(ADDRESS(ROW(NOTA[TANGGAL]),COLUMN(NOTA[TANGGAL]))&amp;":"&amp;ADDRESS(ROW(),COLUMN(NOTA[TANGGAL]))),-1)))</f>
        <v>45194</v>
      </c>
      <c r="AJ490" s="41" t="str">
        <f ca="1">IF(NOTA[[#This Row],[NAMA BARANG]]="","",INDEX(NOTA[SUPPLIER],MATCH(,INDIRECT(ADDRESS(ROW(NOTA[ID]),COLUMN(NOTA[ID]))&amp;":"&amp;ADDRESS(ROW(),COLUMN(NOTA[ID]))),-1)))</f>
        <v>DB STATIONERY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2</v>
      </c>
      <c r="AM490" s="38">
        <f>IF(NOTA[[#This Row],[TGL.NOTA]]="",IF(NOTA[[#This Row],[SUPPLIER_H]]="","",AM489),MONTH(NOTA[[#This Row],[TGL.NOTA]]))</f>
        <v>9</v>
      </c>
      <c r="AN490" s="38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STATIONERYUNTANAJUI343/2345189penggaris30cmdbp072</v>
      </c>
      <c r="AR490" s="38" t="e">
        <f>IF(NOTA[[#This Row],[CONCAT4]]="","",_xlfn.IFNA(MATCH(NOTA[[#This Row],[CONCAT4]],[2]!RAW[CONCAT_H],0),FALSE))</f>
        <v>#REF!</v>
      </c>
      <c r="AS490" s="38" t="e">
        <f>IF(NOTA[[#This Row],[CONCAT1]]="","",MATCH(NOTA[[#This Row],[CONCAT1]],[3]!db[NB NOTA_C],0))</f>
        <v>#N/A</v>
      </c>
      <c r="AT490" s="38" t="b">
        <f>IF(NOTA[[#This Row],[QTY/ CTN]]="","",TRUE)</f>
        <v>1</v>
      </c>
      <c r="AU490" s="38" t="str">
        <f ca="1">IF(NOTA[[#This Row],[ID_H]]="","",IF(NOTA[[#This Row],[Column3]]=TRUE,NOTA[[#This Row],[QTY/ CTN]],INDEX([3]!db[QTY/ CTN],NOTA[[#This Row],[//DB]])))</f>
        <v>80 LSN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88</v>
      </c>
      <c r="E491" s="46"/>
      <c r="F491" s="37"/>
      <c r="G491" s="37"/>
      <c r="H491" s="47"/>
      <c r="I491" s="37"/>
      <c r="J491" s="39"/>
      <c r="K491" s="37"/>
      <c r="L491" s="37" t="s">
        <v>612</v>
      </c>
      <c r="M491" s="40">
        <v>3</v>
      </c>
      <c r="N491" s="38">
        <v>432</v>
      </c>
      <c r="O491" s="37" t="s">
        <v>139</v>
      </c>
      <c r="P491" s="41">
        <v>22500</v>
      </c>
      <c r="Q491" s="42"/>
      <c r="R491" s="48" t="s">
        <v>217</v>
      </c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9720000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9720000</v>
      </c>
      <c r="AD491" s="50"/>
      <c r="AE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20720000</v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91" s="50">
        <f>IF(OR(NOTA[[#This Row],[QTY]]="",NOTA[[#This Row],[HARGA SATUAN]]="",),"",NOTA[[#This Row],[QTY]]*NOTA[[#This Row],[HARGA SATUAN]])</f>
        <v>9720000</v>
      </c>
      <c r="AI491" s="39">
        <f ca="1">IF(NOTA[ID_H]="","",INDEX(NOTA[TANGGAL],MATCH(,INDIRECT(ADDRESS(ROW(NOTA[TANGGAL]),COLUMN(NOTA[TANGGAL]))&amp;":"&amp;ADDRESS(ROW(),COLUMN(NOTA[TANGGAL]))),-1)))</f>
        <v>45194</v>
      </c>
      <c r="AJ491" s="41" t="str">
        <f ca="1">IF(NOTA[[#This Row],[NAMA BARANG]]="","",INDEX(NOTA[SUPPLIER],MATCH(,INDIRECT(ADDRESS(ROW(NOTA[ID]),COLUMN(NOTA[ID]))&amp;":"&amp;ADDRESS(ROW(),COLUMN(NOTA[ID]))),-1)))</f>
        <v>DB STATIONERY</v>
      </c>
      <c r="AK491" s="41" t="str">
        <f ca="1">IF(NOTA[[#This Row],[ID_H]]="","",IF(NOTA[[#This Row],[FAKTUR]]="",INDIRECT(ADDRESS(ROW()-1,COLUMN())),NOTA[[#This Row],[FAKTUR]]))</f>
        <v>UNTANA</v>
      </c>
      <c r="AL491" s="38" t="str">
        <f ca="1">IF(NOTA[[#This Row],[ID]]="","",COUNTIF(NOTA[ID_H],NOTA[[#This Row],[ID_H]]))</f>
        <v/>
      </c>
      <c r="AM491" s="38">
        <f ca="1">IF(NOTA[[#This Row],[TGL.NOTA]]="",IF(NOTA[[#This Row],[SUPPLIER_H]]="","",AM490),MONTH(NOTA[[#This Row],[TGL.NOTA]]))</f>
        <v>9</v>
      </c>
      <c r="AN491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>
        <f>IF(NOTA[[#This Row],[CONCAT1]]="","",MATCH(NOTA[[#This Row],[CONCAT1]],[3]!db[NB NOTA_C],0))</f>
        <v>895</v>
      </c>
      <c r="AT491" s="38" t="b">
        <f>IF(NOTA[[#This Row],[QTY/ CTN]]="","",TRUE)</f>
        <v>1</v>
      </c>
      <c r="AU491" s="38" t="str">
        <f ca="1">IF(NOTA[[#This Row],[ID_H]]="","",IF(NOTA[[#This Row],[Column3]]=TRUE,NOTA[[#This Row],[QTY/ CTN]],INDEX([3]!db[QTY/ CTN],NOTA[[#This Row],[//DB]])))</f>
        <v>144 LSN</v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491" s="38" t="e">
        <f ca="1">IF(NOTA[[#This Row],[ID_H]]="","",MATCH(NOTA[[#This Row],[NB NOTA_C_QTY]],[4]!db[NB NOTA_C_QTY+F],0))</f>
        <v>#REF!</v>
      </c>
      <c r="AX491" s="53">
        <f ca="1">IF(NOTA[[#This Row],[NB NOTA_C_QTY]]="","",ROW()-2)</f>
        <v>489</v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DBS_2509_323-5</v>
      </c>
      <c r="C493" s="38" t="e">
        <f ca="1">IF(NOTA[[#This Row],[ID_P]]="","",MATCH(NOTA[[#This Row],[ID_P]],[1]!B_MSK[N_ID],0))</f>
        <v>#REF!</v>
      </c>
      <c r="D493" s="38">
        <f ca="1">IF(NOTA[[#This Row],[NAMA BARANG]]="","",INDEX(NOTA[ID],MATCH(,INDIRECT(ADDRESS(ROW(NOTA[ID]),COLUMN(NOTA[ID]))&amp;":"&amp;ADDRESS(ROW(),COLUMN(NOTA[ID]))),-1)))</f>
        <v>89</v>
      </c>
      <c r="E493" s="46"/>
      <c r="F493" s="37" t="s">
        <v>298</v>
      </c>
      <c r="G493" s="37" t="s">
        <v>124</v>
      </c>
      <c r="H493" s="47" t="s">
        <v>373</v>
      </c>
      <c r="I493" s="37"/>
      <c r="J493" s="39">
        <v>45183</v>
      </c>
      <c r="K493" s="37"/>
      <c r="L493" s="37" t="s">
        <v>613</v>
      </c>
      <c r="M493" s="40">
        <v>2</v>
      </c>
      <c r="N493" s="38">
        <v>192</v>
      </c>
      <c r="O493" s="37" t="s">
        <v>139</v>
      </c>
      <c r="P493" s="41">
        <v>29000</v>
      </c>
      <c r="Q493" s="42"/>
      <c r="R493" s="48" t="s">
        <v>301</v>
      </c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5568000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5568000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93" s="50">
        <f>IF(OR(NOTA[[#This Row],[QTY]]="",NOTA[[#This Row],[HARGA SATUAN]]="",),"",NOTA[[#This Row],[QTY]]*NOTA[[#This Row],[HARGA SATUAN]])</f>
        <v>5568000</v>
      </c>
      <c r="AI493" s="39">
        <f ca="1">IF(NOTA[ID_H]="","",INDEX(NOTA[TANGGAL],MATCH(,INDIRECT(ADDRESS(ROW(NOTA[TANGGAL]),COLUMN(NOTA[TANGGAL]))&amp;":"&amp;ADDRESS(ROW(),COLUMN(NOTA[TANGGAL]))),-1)))</f>
        <v>45194</v>
      </c>
      <c r="AJ493" s="41" t="str">
        <f ca="1">IF(NOTA[[#This Row],[NAMA BARANG]]="","",INDEX(NOTA[SUPPLIER],MATCH(,INDIRECT(ADDRESS(ROW(NOTA[ID]),COLUMN(NOTA[ID]))&amp;":"&amp;ADDRESS(ROW(),COLUMN(NOTA[ID]))),-1)))</f>
        <v>DB STATIONERY</v>
      </c>
      <c r="AK493" s="41" t="str">
        <f ca="1">IF(NOTA[[#This Row],[ID_H]]="","",IF(NOTA[[#This Row],[FAKTUR]]="",INDIRECT(ADDRESS(ROW()-1,COLUMN())),NOTA[[#This Row],[FAKTUR]]))</f>
        <v>UNTANA</v>
      </c>
      <c r="AL493" s="38">
        <f ca="1">IF(NOTA[[#This Row],[ID]]="","",COUNTIF(NOTA[ID_H],NOTA[[#This Row],[ID_H]]))</f>
        <v>5</v>
      </c>
      <c r="AM493" s="38">
        <f>IF(NOTA[[#This Row],[TGL.NOTA]]="",IF(NOTA[[#This Row],[SUPPLIER_H]]="","",AM492),MONTH(NOTA[[#This Row],[TGL.NOTA]]))</f>
        <v>9</v>
      </c>
      <c r="AN493" s="38" t="str">
        <f>LOWER(SUBSTITUTE(SUBSTITUTE(SUBSTITUTE(SUBSTITUTE(SUBSTITUTE(SUBSTITUTE(SUBSTITUTE(SUBSTITUTE(SUBSTITUTE(NOTA[NAMA BARANG]," ",),".",""),"-",""),"(",""),")",""),",",""),"/",""),"""",""),"+",""))</f>
        <v>mekpensil20tm1800</v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mekpensil20tm18002784000</v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mekpensil20tm18002784000</v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STATIONERYUNTANAJUI253/2345183mekpensil20tm1800</v>
      </c>
      <c r="AR493" s="38" t="e">
        <f>IF(NOTA[[#This Row],[CONCAT4]]="","",_xlfn.IFNA(MATCH(NOTA[[#This Row],[CONCAT4]],[2]!RAW[CONCAT_H],0),FALSE))</f>
        <v>#REF!</v>
      </c>
      <c r="AS493" s="38">
        <f>IF(NOTA[[#This Row],[CONCAT1]]="","",MATCH(NOTA[[#This Row],[CONCAT1]],[3]!db[NB NOTA_C],0))</f>
        <v>1814</v>
      </c>
      <c r="AT493" s="38" t="b">
        <f>IF(NOTA[[#This Row],[QTY/ CTN]]="","",TRUE)</f>
        <v>1</v>
      </c>
      <c r="AU493" s="38" t="str">
        <f ca="1">IF(NOTA[[#This Row],[ID_H]]="","",IF(NOTA[[#This Row],[Column3]]=TRUE,NOTA[[#This Row],[QTY/ CTN]],INDEX([3]!db[QTY/ CTN],NOTA[[#This Row],[//DB]])))</f>
        <v>96 LSN</v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mekpensil20tm180096lsnuntana</v>
      </c>
      <c r="AW493" s="38" t="e">
        <f ca="1">IF(NOTA[[#This Row],[ID_H]]="","",MATCH(NOTA[[#This Row],[NB NOTA_C_QTY]],[4]!db[NB NOTA_C_QTY+F],0))</f>
        <v>#REF!</v>
      </c>
      <c r="AX493" s="53">
        <f ca="1">IF(NOTA[[#This Row],[NB NOTA_C_QTY]]="","",ROW()-2)</f>
        <v>491</v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89</v>
      </c>
      <c r="E494" s="46"/>
      <c r="F494" s="37"/>
      <c r="G494" s="37"/>
      <c r="H494" s="47"/>
      <c r="I494" s="37"/>
      <c r="J494" s="39"/>
      <c r="K494" s="37"/>
      <c r="L494" s="37" t="s">
        <v>614</v>
      </c>
      <c r="M494" s="40">
        <v>2</v>
      </c>
      <c r="N494" s="38">
        <v>192</v>
      </c>
      <c r="O494" s="37" t="s">
        <v>139</v>
      </c>
      <c r="P494" s="41">
        <v>29000</v>
      </c>
      <c r="Q494" s="42"/>
      <c r="R494" s="48" t="s">
        <v>301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5568000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5568000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94" s="50">
        <f>IF(OR(NOTA[[#This Row],[QTY]]="",NOTA[[#This Row],[HARGA SATUAN]]="",),"",NOTA[[#This Row],[QTY]]*NOTA[[#This Row],[HARGA SATUAN]])</f>
        <v>5568000</v>
      </c>
      <c r="AI494" s="39">
        <f ca="1">IF(NOTA[ID_H]="","",INDEX(NOTA[TANGGAL],MATCH(,INDIRECT(ADDRESS(ROW(NOTA[TANGGAL]),COLUMN(NOTA[TANGGAL]))&amp;":"&amp;ADDRESS(ROW(),COLUMN(NOTA[TANGGAL]))),-1)))</f>
        <v>45194</v>
      </c>
      <c r="AJ494" s="41" t="str">
        <f ca="1">IF(NOTA[[#This Row],[NAMA BARANG]]="","",INDEX(NOTA[SUPPLIER],MATCH(,INDIRECT(ADDRESS(ROW(NOTA[ID]),COLUMN(NOTA[ID]))&amp;":"&amp;ADDRESS(ROW(),COLUMN(NOTA[ID]))),-1)))</f>
        <v>DB STATIONERY</v>
      </c>
      <c r="AK494" s="41" t="str">
        <f ca="1">IF(NOTA[[#This Row],[ID_H]]="","",IF(NOTA[[#This Row],[FAKTUR]]="",INDIRECT(ADDRESS(ROW()-1,COLUMN())),NOTA[[#This Row],[FAKTUR]]))</f>
        <v>UNTANA</v>
      </c>
      <c r="AL494" s="38" t="str">
        <f ca="1">IF(NOTA[[#This Row],[ID]]="","",COUNTIF(NOTA[ID_H],NOTA[[#This Row],[ID_H]]))</f>
        <v/>
      </c>
      <c r="AM494" s="38">
        <f ca="1">IF(NOTA[[#This Row],[TGL.NOTA]]="",IF(NOTA[[#This Row],[SUPPLIER_H]]="","",AM493),MONTH(NOTA[[#This Row],[TGL.NOTA]]))</f>
        <v>9</v>
      </c>
      <c r="AN494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>
        <f>IF(NOTA[[#This Row],[CONCAT1]]="","",MATCH(NOTA[[#This Row],[CONCAT1]],[3]!db[NB NOTA_C],0))</f>
        <v>1828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96 LSN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89</v>
      </c>
      <c r="E495" s="46"/>
      <c r="F495" s="37"/>
      <c r="G495" s="37"/>
      <c r="H495" s="47"/>
      <c r="I495" s="37"/>
      <c r="J495" s="39"/>
      <c r="K495" s="37"/>
      <c r="L495" s="37" t="s">
        <v>615</v>
      </c>
      <c r="M495" s="40">
        <v>2</v>
      </c>
      <c r="N495" s="38">
        <v>192</v>
      </c>
      <c r="O495" s="37" t="s">
        <v>139</v>
      </c>
      <c r="P495" s="41">
        <v>29000</v>
      </c>
      <c r="Q495" s="42"/>
      <c r="R495" s="48" t="s">
        <v>301</v>
      </c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5568000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5568000</v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95" s="50">
        <f>IF(OR(NOTA[[#This Row],[QTY]]="",NOTA[[#This Row],[HARGA SATUAN]]="",),"",NOTA[[#This Row],[QTY]]*NOTA[[#This Row],[HARGA SATUAN]])</f>
        <v>5568000</v>
      </c>
      <c r="AI495" s="39">
        <f ca="1">IF(NOTA[ID_H]="","",INDEX(NOTA[TANGGAL],MATCH(,INDIRECT(ADDRESS(ROW(NOTA[TANGGAL]),COLUMN(NOTA[TANGGAL]))&amp;":"&amp;ADDRESS(ROW(),COLUMN(NOTA[TANGGAL]))),-1)))</f>
        <v>45194</v>
      </c>
      <c r="AJ495" s="41" t="str">
        <f ca="1">IF(NOTA[[#This Row],[NAMA BARANG]]="","",INDEX(NOTA[SUPPLIER],MATCH(,INDIRECT(ADDRESS(ROW(NOTA[ID]),COLUMN(NOTA[ID]))&amp;":"&amp;ADDRESS(ROW(),COLUMN(NOTA[ID]))),-1)))</f>
        <v>DB STATIONERY</v>
      </c>
      <c r="AK495" s="41" t="str">
        <f ca="1">IF(NOTA[[#This Row],[ID_H]]="","",IF(NOTA[[#This Row],[FAKTUR]]="",INDIRECT(ADDRESS(ROW()-1,COLUMN())),NOTA[[#This Row],[FAKTUR]]))</f>
        <v>UNTANA</v>
      </c>
      <c r="AL495" s="38" t="str">
        <f ca="1">IF(NOTA[[#This Row],[ID]]="","",COUNTIF(NOTA[ID_H],NOTA[[#This Row],[ID_H]]))</f>
        <v/>
      </c>
      <c r="AM495" s="38">
        <f ca="1">IF(NOTA[[#This Row],[TGL.NOTA]]="",IF(NOTA[[#This Row],[SUPPLIER_H]]="","",AM494),MONTH(NOTA[[#This Row],[TGL.NOTA]]))</f>
        <v>9</v>
      </c>
      <c r="AN495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>
        <f>IF(NOTA[[#This Row],[CONCAT1]]="","",MATCH(NOTA[[#This Row],[CONCAT1]],[3]!db[NB NOTA_C],0))</f>
        <v>1827</v>
      </c>
      <c r="AT495" s="38" t="b">
        <f>IF(NOTA[[#This Row],[QTY/ CTN]]="","",TRUE)</f>
        <v>1</v>
      </c>
      <c r="AU495" s="38" t="str">
        <f ca="1">IF(NOTA[[#This Row],[ID_H]]="","",IF(NOTA[[#This Row],[Column3]]=TRUE,NOTA[[#This Row],[QTY/ CTN]],INDEX([3]!db[QTY/ CTN],NOTA[[#This Row],[//DB]])))</f>
        <v>96 LSN</v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W495" s="38" t="e">
        <f ca="1">IF(NOTA[[#This Row],[ID_H]]="","",MATCH(NOTA[[#This Row],[NB NOTA_C_QTY]],[4]!db[NB NOTA_C_QTY+F],0))</f>
        <v>#REF!</v>
      </c>
      <c r="AX495" s="53">
        <f ca="1">IF(NOTA[[#This Row],[NB NOTA_C_QTY]]="","",ROW()-2)</f>
        <v>493</v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89</v>
      </c>
      <c r="E496" s="46"/>
      <c r="F496" s="37"/>
      <c r="G496" s="37"/>
      <c r="H496" s="47"/>
      <c r="I496" s="37"/>
      <c r="J496" s="39"/>
      <c r="K496" s="37"/>
      <c r="L496" s="37" t="s">
        <v>616</v>
      </c>
      <c r="M496" s="40">
        <v>2</v>
      </c>
      <c r="N496" s="38">
        <v>144</v>
      </c>
      <c r="O496" s="37" t="s">
        <v>127</v>
      </c>
      <c r="P496" s="41">
        <v>25000</v>
      </c>
      <c r="Q496" s="42"/>
      <c r="R496" s="48" t="s">
        <v>218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3600000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3600000</v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96" s="50">
        <f>IF(OR(NOTA[[#This Row],[QTY]]="",NOTA[[#This Row],[HARGA SATUAN]]="",),"",NOTA[[#This Row],[QTY]]*NOTA[[#This Row],[HARGA SATUAN]])</f>
        <v>3600000</v>
      </c>
      <c r="AI496" s="39">
        <f ca="1">IF(NOTA[ID_H]="","",INDEX(NOTA[TANGGAL],MATCH(,INDIRECT(ADDRESS(ROW(NOTA[TANGGAL]),COLUMN(NOTA[TANGGAL]))&amp;":"&amp;ADDRESS(ROW(),COLUMN(NOTA[TANGGAL]))),-1)))</f>
        <v>45194</v>
      </c>
      <c r="AJ496" s="41" t="str">
        <f ca="1">IF(NOTA[[#This Row],[NAMA BARANG]]="","",INDEX(NOTA[SUPPLIER],MATCH(,INDIRECT(ADDRESS(ROW(NOTA[ID]),COLUMN(NOTA[ID]))&amp;":"&amp;ADDRESS(ROW(),COLUMN(NOTA[ID]))),-1)))</f>
        <v>DB STATIONERY</v>
      </c>
      <c r="AK496" s="41" t="str">
        <f ca="1">IF(NOTA[[#This Row],[ID_H]]="","",IF(NOTA[[#This Row],[FAKTUR]]="",INDIRECT(ADDRESS(ROW()-1,COLUMN())),NOTA[[#This Row],[FAKTUR]]))</f>
        <v>UNTANA</v>
      </c>
      <c r="AL496" s="38" t="str">
        <f ca="1">IF(NOTA[[#This Row],[ID]]="","",COUNTIF(NOTA[ID_H],NOTA[[#This Row],[ID_H]]))</f>
        <v/>
      </c>
      <c r="AM496" s="38">
        <f ca="1">IF(NOTA[[#This Row],[TGL.NOTA]]="",IF(NOTA[[#This Row],[SUPPLIER_H]]="","",AM495),MONTH(NOTA[[#This Row],[TGL.NOTA]]))</f>
        <v>9</v>
      </c>
      <c r="AN496" s="38" t="str">
        <f>LOWER(SUBSTITUTE(SUBSTITUTE(SUBSTITUTE(SUBSTITUTE(SUBSTITUTE(SUBSTITUTE(SUBSTITUTE(SUBSTITUTE(SUBSTITUTE(NOTA[NAMA BARANG]," ",),".",""),"-",""),"(",""),")",""),",",""),"/",""),"""",""),"+",""))</f>
        <v>mekpensil24pcsg09397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mekpensil24pcsg093971800000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mekpensil24pcsg093971800000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e">
        <f>IF(NOTA[[#This Row],[CONCAT1]]="","",MATCH(NOTA[[#This Row],[CONCAT1]],[3]!db[NB NOTA_C],0))</f>
        <v>#N/A</v>
      </c>
      <c r="AT496" s="38" t="b">
        <f>IF(NOTA[[#This Row],[QTY/ CTN]]="","",TRUE)</f>
        <v>1</v>
      </c>
      <c r="AU496" s="38" t="str">
        <f ca="1">IF(NOTA[[#This Row],[ID_H]]="","",IF(NOTA[[#This Row],[Column3]]=TRUE,NOTA[[#This Row],[QTY/ CTN]],INDEX([3]!db[QTY/ CTN],NOTA[[#This Row],[//DB]])))</f>
        <v>72 PCS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mekpensil24pcsg0939772pcsuntana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>
        <f ca="1">IF(NOTA[[#This Row],[NAMA BARANG]]="","",INDEX(NOTA[ID],MATCH(,INDIRECT(ADDRESS(ROW(NOTA[ID]),COLUMN(NOTA[ID]))&amp;":"&amp;ADDRESS(ROW(),COLUMN(NOTA[ID]))),-1)))</f>
        <v>89</v>
      </c>
      <c r="E497" s="46"/>
      <c r="F497" s="37"/>
      <c r="G497" s="37"/>
      <c r="H497" s="47"/>
      <c r="I497" s="37"/>
      <c r="J497" s="39"/>
      <c r="K497" s="37"/>
      <c r="L497" s="37" t="s">
        <v>377</v>
      </c>
      <c r="M497" s="40">
        <v>2</v>
      </c>
      <c r="N497" s="38">
        <v>144</v>
      </c>
      <c r="O497" s="37" t="s">
        <v>127</v>
      </c>
      <c r="P497" s="41">
        <v>25000</v>
      </c>
      <c r="Q497" s="42"/>
      <c r="R497" s="48" t="s">
        <v>218</v>
      </c>
      <c r="S497" s="49"/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3600000</v>
      </c>
      <c r="Y497" s="50">
        <f>IF(NOTA[[#This Row],[JUMLAH]]="","",NOTA[[#This Row],[JUMLAH]]*NOTA[[#This Row],[DISC 1]])</f>
        <v>0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0</v>
      </c>
      <c r="AC497" s="50">
        <f>IF(NOTA[[#This Row],[JUMLAH]]="","",NOTA[[#This Row],[JUMLAH]]-NOTA[[#This Row],[DISC]])</f>
        <v>3600000</v>
      </c>
      <c r="AD497" s="50"/>
      <c r="AE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G49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97" s="50">
        <f>IF(OR(NOTA[[#This Row],[QTY]]="",NOTA[[#This Row],[HARGA SATUAN]]="",),"",NOTA[[#This Row],[QTY]]*NOTA[[#This Row],[HARGA SATUAN]])</f>
        <v>3600000</v>
      </c>
      <c r="AI497" s="39">
        <f ca="1">IF(NOTA[ID_H]="","",INDEX(NOTA[TANGGAL],MATCH(,INDIRECT(ADDRESS(ROW(NOTA[TANGGAL]),COLUMN(NOTA[TANGGAL]))&amp;":"&amp;ADDRESS(ROW(),COLUMN(NOTA[TANGGAL]))),-1)))</f>
        <v>45194</v>
      </c>
      <c r="AJ497" s="41" t="str">
        <f ca="1">IF(NOTA[[#This Row],[NAMA BARANG]]="","",INDEX(NOTA[SUPPLIER],MATCH(,INDIRECT(ADDRESS(ROW(NOTA[ID]),COLUMN(NOTA[ID]))&amp;":"&amp;ADDRESS(ROW(),COLUMN(NOTA[ID]))),-1)))</f>
        <v>DB STATIONERY</v>
      </c>
      <c r="AK497" s="41" t="str">
        <f ca="1">IF(NOTA[[#This Row],[ID_H]]="","",IF(NOTA[[#This Row],[FAKTUR]]="",INDIRECT(ADDRESS(ROW()-1,COLUMN())),NOTA[[#This Row],[FAKTUR]]))</f>
        <v>UNTANA</v>
      </c>
      <c r="AL497" s="38" t="str">
        <f ca="1">IF(NOTA[[#This Row],[ID]]="","",COUNTIF(NOTA[ID_H],NOTA[[#This Row],[ID_H]]))</f>
        <v/>
      </c>
      <c r="AM497" s="38">
        <f ca="1">IF(NOTA[[#This Row],[TGL.NOTA]]="",IF(NOTA[[#This Row],[SUPPLIER_H]]="","",AM496),MONTH(NOTA[[#This Row],[TGL.NOTA]]))</f>
        <v>9</v>
      </c>
      <c r="AN497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>
        <f>IF(NOTA[[#This Row],[CONCAT1]]="","",MATCH(NOTA[[#This Row],[CONCAT1]],[3]!db[NB NOTA_C],0))</f>
        <v>1817</v>
      </c>
      <c r="AT497" s="38" t="b">
        <f>IF(NOTA[[#This Row],[QTY/ CTN]]="","",TRUE)</f>
        <v>1</v>
      </c>
      <c r="AU497" s="38" t="str">
        <f ca="1">IF(NOTA[[#This Row],[ID_H]]="","",IF(NOTA[[#This Row],[Column3]]=TRUE,NOTA[[#This Row],[QTY/ CTN]],INDEX([3]!db[QTY/ CTN],NOTA[[#This Row],[//DB]])))</f>
        <v>72 PCS</v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mekpensil24pcsg0930972pcsuntana</v>
      </c>
      <c r="AW497" s="38" t="e">
        <f ca="1">IF(NOTA[[#This Row],[ID_H]]="","",MATCH(NOTA[[#This Row],[NB NOTA_C_QTY]],[4]!db[NB NOTA_C_QTY+F],0))</f>
        <v>#REF!</v>
      </c>
      <c r="AX497" s="53">
        <f ca="1">IF(NOTA[[#This Row],[NB NOTA_C_QTY]]="","",ROW()-2)</f>
        <v>495</v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PEL_2509_-2</v>
      </c>
      <c r="C499" s="38" t="e">
        <f ca="1">IF(NOTA[[#This Row],[ID_P]]="","",MATCH(NOTA[[#This Row],[ID_P]],[1]!B_MSK[N_ID],0))</f>
        <v>#REF!</v>
      </c>
      <c r="D499" s="38">
        <f ca="1">IF(NOTA[[#This Row],[NAMA BARANG]]="","",INDEX(NOTA[ID],MATCH(,INDIRECT(ADDRESS(ROW(NOTA[ID]),COLUMN(NOTA[ID]))&amp;":"&amp;ADDRESS(ROW(),COLUMN(NOTA[ID]))),-1)))</f>
        <v>90</v>
      </c>
      <c r="E499" s="46">
        <v>45194</v>
      </c>
      <c r="F499" s="37" t="s">
        <v>617</v>
      </c>
      <c r="G499" s="37" t="s">
        <v>124</v>
      </c>
      <c r="H499" s="47"/>
      <c r="I499" s="37"/>
      <c r="J499" s="39">
        <v>45188</v>
      </c>
      <c r="K499" s="37"/>
      <c r="L499" s="37" t="s">
        <v>618</v>
      </c>
      <c r="M499" s="40">
        <v>20</v>
      </c>
      <c r="N499" s="38">
        <v>200</v>
      </c>
      <c r="O499" s="37" t="s">
        <v>127</v>
      </c>
      <c r="P499" s="41">
        <v>60000</v>
      </c>
      <c r="Q499" s="42"/>
      <c r="R499" s="48"/>
      <c r="S499" s="49"/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12000000</v>
      </c>
      <c r="Y499" s="50">
        <f>IF(NOTA[[#This Row],[JUMLAH]]="","",NOTA[[#This Row],[JUMLAH]]*NOTA[[#This Row],[DISC 1]])</f>
        <v>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0</v>
      </c>
      <c r="AC499" s="50">
        <f>IF(NOTA[[#This Row],[JUMLAH]]="","",NOTA[[#This Row],[JUMLAH]]-NOTA[[#This Row],[DISC]])</f>
        <v>12000000</v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499" s="50">
        <f>IF(OR(NOTA[[#This Row],[QTY]]="",NOTA[[#This Row],[HARGA SATUAN]]="",),"",NOTA[[#This Row],[QTY]]*NOTA[[#This Row],[HARGA SATUAN]])</f>
        <v>12000000</v>
      </c>
      <c r="AI499" s="39">
        <f ca="1">IF(NOTA[ID_H]="","",INDEX(NOTA[TANGGAL],MATCH(,INDIRECT(ADDRESS(ROW(NOTA[TANGGAL]),COLUMN(NOTA[TANGGAL]))&amp;":"&amp;ADDRESS(ROW(),COLUMN(NOTA[TANGGAL]))),-1)))</f>
        <v>45194</v>
      </c>
      <c r="AJ499" s="41" t="str">
        <f ca="1">IF(NOTA[[#This Row],[NAMA BARANG]]="","",INDEX(NOTA[SUPPLIER],MATCH(,INDIRECT(ADDRESS(ROW(NOTA[ID]),COLUMN(NOTA[ID]))&amp;":"&amp;ADDRESS(ROW(),COLUMN(NOTA[ID]))),-1)))</f>
        <v>PELNA</v>
      </c>
      <c r="AK499" s="41" t="str">
        <f ca="1">IF(NOTA[[#This Row],[ID_H]]="","",IF(NOTA[[#This Row],[FAKTUR]]="",INDIRECT(ADDRESS(ROW()-1,COLUMN())),NOTA[[#This Row],[FAKTUR]]))</f>
        <v>UNTANA</v>
      </c>
      <c r="AL499" s="38">
        <f ca="1">IF(NOTA[[#This Row],[ID]]="","",COUNTIF(NOTA[ID_H],NOTA[[#This Row],[ID_H]]))</f>
        <v>2</v>
      </c>
      <c r="AM499" s="38">
        <f>IF(NOTA[[#This Row],[TGL.NOTA]]="",IF(NOTA[[#This Row],[SUPPLIER_H]]="","",AM498),MONTH(NOTA[[#This Row],[TGL.NOTA]]))</f>
        <v>9</v>
      </c>
      <c r="AN499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PELNAUNTANA45188pelnalaptoptable</v>
      </c>
      <c r="AR499" s="38" t="e">
        <f>IF(NOTA[[#This Row],[CONCAT4]]="","",_xlfn.IFNA(MATCH(NOTA[[#This Row],[CONCAT4]],[2]!RAW[CONCAT_H],0),FALSE))</f>
        <v>#REF!</v>
      </c>
      <c r="AS499" s="38">
        <f>IF(NOTA[[#This Row],[CONCAT1]]="","",MATCH(NOTA[[#This Row],[CONCAT1]],[3]!db[NB NOTA_C],0))</f>
        <v>2111</v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>10 PCS</v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499" s="38" t="e">
        <f ca="1">IF(NOTA[[#This Row],[ID_H]]="","",MATCH(NOTA[[#This Row],[NB NOTA_C_QTY]],[4]!db[NB NOTA_C_QTY+F],0))</f>
        <v>#REF!</v>
      </c>
      <c r="AX499" s="53">
        <f ca="1">IF(NOTA[[#This Row],[NB NOTA_C_QTY]]="","",ROW()-2)</f>
        <v>497</v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90</v>
      </c>
      <c r="E500" s="46"/>
      <c r="F500" s="37"/>
      <c r="G500" s="37"/>
      <c r="H500" s="47"/>
      <c r="I500" s="37"/>
      <c r="J500" s="39"/>
      <c r="K500" s="37"/>
      <c r="L500" s="37" t="s">
        <v>618</v>
      </c>
      <c r="M500" s="40"/>
      <c r="N500" s="38">
        <v>10</v>
      </c>
      <c r="O500" s="37" t="s">
        <v>127</v>
      </c>
      <c r="P500" s="41"/>
      <c r="Q500" s="42"/>
      <c r="R500" s="48"/>
      <c r="S500" s="49"/>
      <c r="T500" s="44"/>
      <c r="U500" s="44"/>
      <c r="V500" s="50"/>
      <c r="W500" s="45" t="s">
        <v>418</v>
      </c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45194</v>
      </c>
      <c r="AJ500" s="41" t="str">
        <f ca="1">IF(NOTA[[#This Row],[NAMA BARANG]]="","",INDEX(NOTA[SUPPLIER],MATCH(,INDIRECT(ADDRESS(ROW(NOTA[ID]),COLUMN(NOTA[ID]))&amp;":"&amp;ADDRESS(ROW(),COLUMN(NOTA[ID]))),-1)))</f>
        <v>PELNA</v>
      </c>
      <c r="AK500" s="41" t="str">
        <f ca="1">IF(NOTA[[#This Row],[ID_H]]="","",IF(NOTA[[#This Row],[FAKTUR]]="",INDIRECT(ADDRESS(ROW()-1,COLUMN())),NOTA[[#This Row],[FAKTUR]]))</f>
        <v>UNTANA</v>
      </c>
      <c r="AL500" s="38" t="str">
        <f ca="1">IF(NOTA[[#This Row],[ID]]="","",COUNTIF(NOTA[ID_H],NOTA[[#This Row],[ID_H]]))</f>
        <v/>
      </c>
      <c r="AM500" s="38">
        <f ca="1">IF(NOTA[[#This Row],[TGL.NOTA]]="",IF(NOTA[[#This Row],[SUPPLIER_H]]="","",AM499),MONTH(NOTA[[#This Row],[TGL.NOTA]]))</f>
        <v>9</v>
      </c>
      <c r="AN50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>
        <f>IF(NOTA[[#This Row],[CONCAT1]]="","",MATCH(NOTA[[#This Row],[CONCAT1]],[3]!db[NB NOTA_C],0))</f>
        <v>2111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10 PCS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5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GUN_2509_126-3</v>
      </c>
      <c r="C502" s="38" t="e">
        <f ca="1">IF(NOTA[[#This Row],[ID_P]]="","",MATCH(NOTA[[#This Row],[ID_P]],[1]!B_MSK[N_ID],0))</f>
        <v>#REF!</v>
      </c>
      <c r="D502" s="38">
        <f ca="1">IF(NOTA[[#This Row],[NAMA BARANG]]="","",INDEX(NOTA[ID],MATCH(,INDIRECT(ADDRESS(ROW(NOTA[ID]),COLUMN(NOTA[ID]))&amp;":"&amp;ADDRESS(ROW(),COLUMN(NOTA[ID]))),-1)))</f>
        <v>91</v>
      </c>
      <c r="E502" s="46">
        <v>45194</v>
      </c>
      <c r="F502" s="37" t="s">
        <v>310</v>
      </c>
      <c r="G502" s="37" t="s">
        <v>124</v>
      </c>
      <c r="H502" s="47" t="s">
        <v>619</v>
      </c>
      <c r="I502" s="37"/>
      <c r="J502" s="39">
        <v>45197</v>
      </c>
      <c r="K502" s="37"/>
      <c r="L502" s="37" t="s">
        <v>620</v>
      </c>
      <c r="M502" s="40">
        <v>1</v>
      </c>
      <c r="N502" s="38">
        <v>30</v>
      </c>
      <c r="O502" s="37" t="s">
        <v>139</v>
      </c>
      <c r="P502" s="41">
        <v>90000</v>
      </c>
      <c r="Q502" s="42"/>
      <c r="R502" s="48"/>
      <c r="S502" s="49">
        <v>0.05</v>
      </c>
      <c r="T502" s="44">
        <v>0.1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2700000</v>
      </c>
      <c r="Y502" s="50">
        <f>IF(NOTA[[#This Row],[JUMLAH]]="","",NOTA[[#This Row],[JUMLAH]]*NOTA[[#This Row],[DISC 1]])</f>
        <v>135000</v>
      </c>
      <c r="Z502" s="50">
        <f>IF(NOTA[[#This Row],[JUMLAH]]="","",(NOTA[[#This Row],[JUMLAH]]-NOTA[[#This Row],[DISC 1-]])*NOTA[[#This Row],[DISC 2]])</f>
        <v>256500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391500</v>
      </c>
      <c r="AC502" s="50">
        <f>IF(NOTA[[#This Row],[JUMLAH]]="","",NOTA[[#This Row],[JUMLAH]]-NOTA[[#This Row],[DISC]])</f>
        <v>2308500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02" s="50">
        <f>IF(OR(NOTA[[#This Row],[QTY]]="",NOTA[[#This Row],[HARGA SATUAN]]="",),"",NOTA[[#This Row],[QTY]]*NOTA[[#This Row],[HARGA SATUAN]])</f>
        <v>2700000</v>
      </c>
      <c r="AI502" s="39">
        <f ca="1">IF(NOTA[ID_H]="","",INDEX(NOTA[TANGGAL],MATCH(,INDIRECT(ADDRESS(ROW(NOTA[TANGGAL]),COLUMN(NOTA[TANGGAL]))&amp;":"&amp;ADDRESS(ROW(),COLUMN(NOTA[TANGGAL]))),-1)))</f>
        <v>45194</v>
      </c>
      <c r="AJ502" s="41" t="str">
        <f ca="1">IF(NOTA[[#This Row],[NAMA BARANG]]="","",INDEX(NOTA[SUPPLIER],MATCH(,INDIRECT(ADDRESS(ROW(NOTA[ID]),COLUMN(NOTA[ID]))&amp;":"&amp;ADDRESS(ROW(),COLUMN(NOTA[ID]))),-1)))</f>
        <v>GUNINDO</v>
      </c>
      <c r="AK502" s="41" t="str">
        <f ca="1">IF(NOTA[[#This Row],[ID_H]]="","",IF(NOTA[[#This Row],[FAKTUR]]="",INDIRECT(ADDRESS(ROW()-1,COLUMN())),NOTA[[#This Row],[FAKTUR]]))</f>
        <v>UNTANA</v>
      </c>
      <c r="AL502" s="38">
        <f ca="1">IF(NOTA[[#This Row],[ID]]="","",COUNTIF(NOTA[ID_H],NOTA[[#This Row],[ID_H]]))</f>
        <v>3</v>
      </c>
      <c r="AM502" s="38">
        <f>IF(NOTA[[#This Row],[TGL.NOTA]]="",IF(NOTA[[#This Row],[SUPPLIER_H]]="","",AM501),MONTH(NOTA[[#This Row],[TGL.NOTA]]))</f>
        <v>9</v>
      </c>
      <c r="AN502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GUNINDOUNTANA230912645197gunindofmcoklat</v>
      </c>
      <c r="AR502" s="38" t="e">
        <f>IF(NOTA[[#This Row],[CONCAT4]]="","",_xlfn.IFNA(MATCH(NOTA[[#This Row],[CONCAT4]],[2]!RAW[CONCAT_H],0),FALSE))</f>
        <v>#REF!</v>
      </c>
      <c r="AS502" s="38">
        <f>IF(NOTA[[#This Row],[CONCAT1]]="","",MATCH(NOTA[[#This Row],[CONCAT1]],[3]!db[NB NOTA_C],0))</f>
        <v>1158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30 LSN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91</v>
      </c>
      <c r="E503" s="46"/>
      <c r="F503" s="37"/>
      <c r="G503" s="37"/>
      <c r="H503" s="47"/>
      <c r="I503" s="37"/>
      <c r="J503" s="39"/>
      <c r="K503" s="37"/>
      <c r="L503" s="37" t="s">
        <v>621</v>
      </c>
      <c r="M503" s="40">
        <v>1</v>
      </c>
      <c r="N503" s="38">
        <v>20</v>
      </c>
      <c r="O503" s="37" t="s">
        <v>139</v>
      </c>
      <c r="P503" s="41">
        <v>120000</v>
      </c>
      <c r="Q503" s="42"/>
      <c r="R503" s="48"/>
      <c r="S503" s="49">
        <v>0.05</v>
      </c>
      <c r="T503" s="44">
        <v>0.1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2400000</v>
      </c>
      <c r="Y503" s="50">
        <f>IF(NOTA[[#This Row],[JUMLAH]]="","",NOTA[[#This Row],[JUMLAH]]*NOTA[[#This Row],[DISC 1]])</f>
        <v>120000</v>
      </c>
      <c r="Z503" s="50">
        <f>IF(NOTA[[#This Row],[JUMLAH]]="","",(NOTA[[#This Row],[JUMLAH]]-NOTA[[#This Row],[DISC 1-]])*NOTA[[#This Row],[DISC 2]])</f>
        <v>228000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348000</v>
      </c>
      <c r="AC503" s="50">
        <f>IF(NOTA[[#This Row],[JUMLAH]]="","",NOTA[[#This Row],[JUMLAH]]-NOTA[[#This Row],[DISC]])</f>
        <v>2052000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503" s="50">
        <f>IF(OR(NOTA[[#This Row],[QTY]]="",NOTA[[#This Row],[HARGA SATUAN]]="",),"",NOTA[[#This Row],[QTY]]*NOTA[[#This Row],[HARGA SATUAN]])</f>
        <v>2400000</v>
      </c>
      <c r="AI503" s="39">
        <f ca="1">IF(NOTA[ID_H]="","",INDEX(NOTA[TANGGAL],MATCH(,INDIRECT(ADDRESS(ROW(NOTA[TANGGAL]),COLUMN(NOTA[TANGGAL]))&amp;":"&amp;ADDRESS(ROW(),COLUMN(NOTA[TANGGAL]))),-1)))</f>
        <v>45194</v>
      </c>
      <c r="AJ503" s="41" t="str">
        <f ca="1">IF(NOTA[[#This Row],[NAMA BARANG]]="","",INDEX(NOTA[SUPPLIER],MATCH(,INDIRECT(ADDRESS(ROW(NOTA[ID]),COLUMN(NOTA[ID]))&amp;":"&amp;ADDRESS(ROW(),COLUMN(NOTA[ID]))),-1)))</f>
        <v>GUNINDO</v>
      </c>
      <c r="AK503" s="41" t="str">
        <f ca="1">IF(NOTA[[#This Row],[ID_H]]="","",IF(NOTA[[#This Row],[FAKTUR]]="",INDIRECT(ADDRESS(ROW()-1,COLUMN())),NOTA[[#This Row],[FAKTUR]]))</f>
        <v>UNTANA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9</v>
      </c>
      <c r="AN503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1156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20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91</v>
      </c>
      <c r="E504" s="46"/>
      <c r="F504" s="37"/>
      <c r="G504" s="37"/>
      <c r="H504" s="47"/>
      <c r="I504" s="37"/>
      <c r="J504" s="39"/>
      <c r="K504" s="37"/>
      <c r="L504" s="37" t="s">
        <v>314</v>
      </c>
      <c r="M504" s="40">
        <v>1</v>
      </c>
      <c r="N504" s="38">
        <v>60</v>
      </c>
      <c r="O504" s="37" t="s">
        <v>139</v>
      </c>
      <c r="P504" s="41">
        <v>47500</v>
      </c>
      <c r="Q504" s="42"/>
      <c r="R504" s="48"/>
      <c r="S504" s="49">
        <v>0.05</v>
      </c>
      <c r="T504" s="44">
        <v>0.1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2850000</v>
      </c>
      <c r="Y504" s="50">
        <f>IF(NOTA[[#This Row],[JUMLAH]]="","",NOTA[[#This Row],[JUMLAH]]*NOTA[[#This Row],[DISC 1]])</f>
        <v>142500</v>
      </c>
      <c r="Z504" s="50">
        <f>IF(NOTA[[#This Row],[JUMLAH]]="","",(NOTA[[#This Row],[JUMLAH]]-NOTA[[#This Row],[DISC 1-]])*NOTA[[#This Row],[DISC 2]])</f>
        <v>270750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413250</v>
      </c>
      <c r="AC504" s="50">
        <f>IF(NOTA[[#This Row],[JUMLAH]]="","",NOTA[[#This Row],[JUMLAH]]-NOTA[[#This Row],[DISC]])</f>
        <v>2436750</v>
      </c>
      <c r="AD504" s="50"/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1152750</v>
      </c>
      <c r="AF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6797250</v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04" s="50">
        <f>IF(OR(NOTA[[#This Row],[QTY]]="",NOTA[[#This Row],[HARGA SATUAN]]="",),"",NOTA[[#This Row],[QTY]]*NOTA[[#This Row],[HARGA SATUAN]])</f>
        <v>2850000</v>
      </c>
      <c r="AI504" s="39">
        <f ca="1">IF(NOTA[ID_H]="","",INDEX(NOTA[TANGGAL],MATCH(,INDIRECT(ADDRESS(ROW(NOTA[TANGGAL]),COLUMN(NOTA[TANGGAL]))&amp;":"&amp;ADDRESS(ROW(),COLUMN(NOTA[TANGGAL]))),-1)))</f>
        <v>45194</v>
      </c>
      <c r="AJ504" s="41" t="str">
        <f ca="1">IF(NOTA[[#This Row],[NAMA BARANG]]="","",INDEX(NOTA[SUPPLIER],MATCH(,INDIRECT(ADDRESS(ROW(NOTA[ID]),COLUMN(NOTA[ID]))&amp;":"&amp;ADDRESS(ROW(),COLUMN(NOTA[ID]))),-1)))</f>
        <v>GUNINDO</v>
      </c>
      <c r="AK504" s="41" t="str">
        <f ca="1">IF(NOTA[[#This Row],[ID_H]]="","",IF(NOTA[[#This Row],[FAKTUR]]="",INDIRECT(ADDRESS(ROW()-1,COLUMN())),NOTA[[#This Row],[FAKTUR]]))</f>
        <v>UNTANA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9</v>
      </c>
      <c r="AN504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677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LSN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5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DBS_1509_223-10</v>
      </c>
      <c r="C506" s="38" t="e">
        <f ca="1">IF(NOTA[[#This Row],[ID_P]]="","",MATCH(NOTA[[#This Row],[ID_P]],[1]!B_MSK[N_ID],0))</f>
        <v>#REF!</v>
      </c>
      <c r="D506" s="38">
        <f ca="1">IF(NOTA[[#This Row],[NAMA BARANG]]="","",INDEX(NOTA[ID],MATCH(,INDIRECT(ADDRESS(ROW(NOTA[ID]),COLUMN(NOTA[ID]))&amp;":"&amp;ADDRESS(ROW(),COLUMN(NOTA[ID]))),-1)))</f>
        <v>92</v>
      </c>
      <c r="E506" s="46">
        <v>45184</v>
      </c>
      <c r="F506" s="37" t="s">
        <v>298</v>
      </c>
      <c r="G506" s="37" t="s">
        <v>124</v>
      </c>
      <c r="H506" s="47" t="s">
        <v>622</v>
      </c>
      <c r="I506" s="37"/>
      <c r="J506" s="39">
        <v>45192</v>
      </c>
      <c r="K506" s="37"/>
      <c r="L506" s="37" t="s">
        <v>623</v>
      </c>
      <c r="M506" s="40">
        <v>1</v>
      </c>
      <c r="N506" s="38">
        <v>96</v>
      </c>
      <c r="O506" s="37" t="s">
        <v>139</v>
      </c>
      <c r="P506" s="41">
        <v>29000</v>
      </c>
      <c r="Q506" s="42"/>
      <c r="R506" s="48" t="s">
        <v>301</v>
      </c>
      <c r="S506" s="49"/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2784000</v>
      </c>
      <c r="Y506" s="50">
        <f>IF(NOTA[[#This Row],[JUMLAH]]="","",NOTA[[#This Row],[JUMLAH]]*NOTA[[#This Row],[DISC 1]])</f>
        <v>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0</v>
      </c>
      <c r="AC506" s="50">
        <f>IF(NOTA[[#This Row],[JUMLAH]]="","",NOTA[[#This Row],[JUMLAH]]-NOTA[[#This Row],[DISC]])</f>
        <v>2784000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06" s="50">
        <f>IF(OR(NOTA[[#This Row],[QTY]]="",NOTA[[#This Row],[HARGA SATUAN]]="",),"",NOTA[[#This Row],[QTY]]*NOTA[[#This Row],[HARGA SATUAN]])</f>
        <v>2784000</v>
      </c>
      <c r="AI506" s="39">
        <f ca="1">IF(NOTA[ID_H]="","",INDEX(NOTA[TANGGAL],MATCH(,INDIRECT(ADDRESS(ROW(NOTA[TANGGAL]),COLUMN(NOTA[TANGGAL]))&amp;":"&amp;ADDRESS(ROW(),COLUMN(NOTA[TANGGAL]))),-1)))</f>
        <v>45184</v>
      </c>
      <c r="AJ506" s="41" t="str">
        <f ca="1">IF(NOTA[[#This Row],[NAMA BARANG]]="","",INDEX(NOTA[SUPPLIER],MATCH(,INDIRECT(ADDRESS(ROW(NOTA[ID]),COLUMN(NOTA[ID]))&amp;":"&amp;ADDRESS(ROW(),COLUMN(NOTA[ID]))),-1)))</f>
        <v>DB STATIONERY</v>
      </c>
      <c r="AK506" s="41" t="str">
        <f ca="1">IF(NOTA[[#This Row],[ID_H]]="","",IF(NOTA[[#This Row],[FAKTUR]]="",INDIRECT(ADDRESS(ROW()-1,COLUMN())),NOTA[[#This Row],[FAKTUR]]))</f>
        <v>UNTANA</v>
      </c>
      <c r="AL506" s="38">
        <f ca="1">IF(NOTA[[#This Row],[ID]]="","",COUNTIF(NOTA[ID_H],NOTA[[#This Row],[ID_H]]))</f>
        <v>10</v>
      </c>
      <c r="AM506" s="38">
        <f>IF(NOTA[[#This Row],[TGL.NOTA]]="",IF(NOTA[[#This Row],[SUPPLIER_H]]="","",AM505),MONTH(NOTA[[#This Row],[TGL.NOTA]]))</f>
        <v>9</v>
      </c>
      <c r="AN506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STATIONERYUNTANAJUI382/2345192mekpensil20tizotm030a1</v>
      </c>
      <c r="AR506" s="38" t="e">
        <f>IF(NOTA[[#This Row],[CONCAT4]]="","",_xlfn.IFNA(MATCH(NOTA[[#This Row],[CONCAT4]],[2]!RAW[CONCAT_H],0),FALSE))</f>
        <v>#REF!</v>
      </c>
      <c r="AS506" s="38">
        <f>IF(NOTA[[#This Row],[CONCAT1]]="","",MATCH(NOTA[[#This Row],[CONCAT1]],[3]!db[NB NOTA_C],0))</f>
        <v>1826</v>
      </c>
      <c r="AT506" s="38" t="b">
        <f>IF(NOTA[[#This Row],[QTY/ CTN]]="","",TRUE)</f>
        <v>1</v>
      </c>
      <c r="AU506" s="38" t="str">
        <f ca="1">IF(NOTA[[#This Row],[ID_H]]="","",IF(NOTA[[#This Row],[Column3]]=TRUE,NOTA[[#This Row],[QTY/ CTN]],INDEX([3]!db[QTY/ CTN],NOTA[[#This Row],[//DB]])))</f>
        <v>96 LSN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92</v>
      </c>
      <c r="E507" s="46"/>
      <c r="F507" s="37"/>
      <c r="G507" s="37"/>
      <c r="H507" s="47"/>
      <c r="I507" s="37"/>
      <c r="J507" s="39"/>
      <c r="K507" s="37"/>
      <c r="L507" s="37" t="s">
        <v>624</v>
      </c>
      <c r="M507" s="40">
        <v>1</v>
      </c>
      <c r="N507" s="38">
        <v>96</v>
      </c>
      <c r="O507" s="37" t="s">
        <v>139</v>
      </c>
      <c r="P507" s="41">
        <v>29000</v>
      </c>
      <c r="Q507" s="42"/>
      <c r="R507" s="48" t="s">
        <v>301</v>
      </c>
      <c r="S507" s="49"/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2784000</v>
      </c>
      <c r="Y507" s="50">
        <f>IF(NOTA[[#This Row],[JUMLAH]]="","",NOTA[[#This Row],[JUMLAH]]*NOTA[[#This Row],[DISC 1]])</f>
        <v>0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0</v>
      </c>
      <c r="AC507" s="50">
        <f>IF(NOTA[[#This Row],[JUMLAH]]="","",NOTA[[#This Row],[JUMLAH]]-NOTA[[#This Row],[DISC]])</f>
        <v>2784000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07" s="50">
        <f>IF(OR(NOTA[[#This Row],[QTY]]="",NOTA[[#This Row],[HARGA SATUAN]]="",),"",NOTA[[#This Row],[QTY]]*NOTA[[#This Row],[HARGA SATUAN]])</f>
        <v>2784000</v>
      </c>
      <c r="AI507" s="39">
        <f ca="1">IF(NOTA[ID_H]="","",INDEX(NOTA[TANGGAL],MATCH(,INDIRECT(ADDRESS(ROW(NOTA[TANGGAL]),COLUMN(NOTA[TANGGAL]))&amp;":"&amp;ADDRESS(ROW(),COLUMN(NOTA[TANGGAL]))),-1)))</f>
        <v>45184</v>
      </c>
      <c r="AJ507" s="41" t="str">
        <f ca="1">IF(NOTA[[#This Row],[NAMA BARANG]]="","",INDEX(NOTA[SUPPLIER],MATCH(,INDIRECT(ADDRESS(ROW(NOTA[ID]),COLUMN(NOTA[ID]))&amp;":"&amp;ADDRESS(ROW(),COLUMN(NOTA[ID]))),-1)))</f>
        <v>DB STATIONERY</v>
      </c>
      <c r="AK507" s="41" t="str">
        <f ca="1">IF(NOTA[[#This Row],[ID_H]]="","",IF(NOTA[[#This Row],[FAKTUR]]="",INDIRECT(ADDRESS(ROW()-1,COLUMN())),NOTA[[#This Row],[FAKTUR]]))</f>
        <v>UNTANA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9</v>
      </c>
      <c r="AN507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1844</v>
      </c>
      <c r="AT507" s="38" t="b">
        <f>IF(NOTA[[#This Row],[QTY/ CTN]]="","",TRUE)</f>
        <v>1</v>
      </c>
      <c r="AU507" s="38" t="str">
        <f ca="1">IF(NOTA[[#This Row],[ID_H]]="","",IF(NOTA[[#This Row],[Column3]]=TRUE,NOTA[[#This Row],[QTY/ CTN]],INDEX([3]!db[QTY/ CTN],NOTA[[#This Row],[//DB]])))</f>
        <v>96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92</v>
      </c>
      <c r="E508" s="46"/>
      <c r="F508" s="37"/>
      <c r="G508" s="37"/>
      <c r="H508" s="47"/>
      <c r="I508" s="37"/>
      <c r="J508" s="39"/>
      <c r="K508" s="37"/>
      <c r="L508" s="37" t="s">
        <v>625</v>
      </c>
      <c r="M508" s="40">
        <v>1</v>
      </c>
      <c r="N508" s="38">
        <v>96</v>
      </c>
      <c r="O508" s="37" t="s">
        <v>139</v>
      </c>
      <c r="P508" s="41">
        <v>29000</v>
      </c>
      <c r="Q508" s="42"/>
      <c r="R508" s="48" t="s">
        <v>301</v>
      </c>
      <c r="S508" s="49"/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2784000</v>
      </c>
      <c r="Y508" s="50">
        <f>IF(NOTA[[#This Row],[JUMLAH]]="","",NOTA[[#This Row],[JUMLAH]]*NOTA[[#This Row],[DISC 1]])</f>
        <v>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0</v>
      </c>
      <c r="AC508" s="50">
        <f>IF(NOTA[[#This Row],[JUMLAH]]="","",NOTA[[#This Row],[JUMLAH]]-NOTA[[#This Row],[DISC]])</f>
        <v>2784000</v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08" s="50">
        <f>IF(OR(NOTA[[#This Row],[QTY]]="",NOTA[[#This Row],[HARGA SATUAN]]="",),"",NOTA[[#This Row],[QTY]]*NOTA[[#This Row],[HARGA SATUAN]])</f>
        <v>2784000</v>
      </c>
      <c r="AI508" s="39">
        <f ca="1">IF(NOTA[ID_H]="","",INDEX(NOTA[TANGGAL],MATCH(,INDIRECT(ADDRESS(ROW(NOTA[TANGGAL]),COLUMN(NOTA[TANGGAL]))&amp;":"&amp;ADDRESS(ROW(),COLUMN(NOTA[TANGGAL]))),-1)))</f>
        <v>45184</v>
      </c>
      <c r="AJ508" s="41" t="str">
        <f ca="1">IF(NOTA[[#This Row],[NAMA BARANG]]="","",INDEX(NOTA[SUPPLIER],MATCH(,INDIRECT(ADDRESS(ROW(NOTA[ID]),COLUMN(NOTA[ID]))&amp;":"&amp;ADDRESS(ROW(),COLUMN(NOTA[ID]))),-1)))</f>
        <v>DB STATIONERY</v>
      </c>
      <c r="AK508" s="41" t="str">
        <f ca="1">IF(NOTA[[#This Row],[ID_H]]="","",IF(NOTA[[#This Row],[FAKTUR]]="",INDIRECT(ADDRESS(ROW()-1,COLUMN())),NOTA[[#This Row],[FAKTUR]]))</f>
        <v>UNTANA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9</v>
      </c>
      <c r="AN508" s="3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1811</v>
      </c>
      <c r="AT508" s="38" t="b">
        <f>IF(NOTA[[#This Row],[QTY/ CTN]]="","",TRUE)</f>
        <v>1</v>
      </c>
      <c r="AU508" s="38" t="str">
        <f ca="1">IF(NOTA[[#This Row],[ID_H]]="","",IF(NOTA[[#This Row],[Column3]]=TRUE,NOTA[[#This Row],[QTY/ CTN]],INDEX([3]!db[QTY/ CTN],NOTA[[#This Row],[//DB]])))</f>
        <v>96 LSN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mekpensil20batiktm030d96lsnuntana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92</v>
      </c>
      <c r="E509" s="46"/>
      <c r="F509" s="37"/>
      <c r="G509" s="37"/>
      <c r="H509" s="47"/>
      <c r="I509" s="37"/>
      <c r="J509" s="39"/>
      <c r="K509" s="37"/>
      <c r="L509" s="37" t="s">
        <v>627</v>
      </c>
      <c r="M509" s="40">
        <v>1</v>
      </c>
      <c r="N509" s="38">
        <v>96</v>
      </c>
      <c r="O509" s="37" t="s">
        <v>139</v>
      </c>
      <c r="P509" s="41">
        <v>29000</v>
      </c>
      <c r="Q509" s="42"/>
      <c r="R509" s="48" t="s">
        <v>301</v>
      </c>
      <c r="S509" s="49"/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2784000</v>
      </c>
      <c r="Y509" s="50">
        <f>IF(NOTA[[#This Row],[JUMLAH]]="","",NOTA[[#This Row],[JUMLAH]]*NOTA[[#This Row],[DISC 1]])</f>
        <v>0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0</v>
      </c>
      <c r="AC509" s="50">
        <f>IF(NOTA[[#This Row],[JUMLAH]]="","",NOTA[[#This Row],[JUMLAH]]-NOTA[[#This Row],[DISC]])</f>
        <v>2784000</v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09" s="50">
        <f>IF(OR(NOTA[[#This Row],[QTY]]="",NOTA[[#This Row],[HARGA SATUAN]]="",),"",NOTA[[#This Row],[QTY]]*NOTA[[#This Row],[HARGA SATUAN]])</f>
        <v>2784000</v>
      </c>
      <c r="AI509" s="39">
        <f ca="1">IF(NOTA[ID_H]="","",INDEX(NOTA[TANGGAL],MATCH(,INDIRECT(ADDRESS(ROW(NOTA[TANGGAL]),COLUMN(NOTA[TANGGAL]))&amp;":"&amp;ADDRESS(ROW(),COLUMN(NOTA[TANGGAL]))),-1)))</f>
        <v>45184</v>
      </c>
      <c r="AJ509" s="41" t="str">
        <f ca="1">IF(NOTA[[#This Row],[NAMA BARANG]]="","",INDEX(NOTA[SUPPLIER],MATCH(,INDIRECT(ADDRESS(ROW(NOTA[ID]),COLUMN(NOTA[ID]))&amp;":"&amp;ADDRESS(ROW(),COLUMN(NOTA[ID]))),-1)))</f>
        <v>DB STATIONERY</v>
      </c>
      <c r="AK509" s="41" t="str">
        <f ca="1">IF(NOTA[[#This Row],[ID_H]]="","",IF(NOTA[[#This Row],[FAKTUR]]="",INDIRECT(ADDRESS(ROW()-1,COLUMN())),NOTA[[#This Row],[FAKTUR]]))</f>
        <v>UNTANA</v>
      </c>
      <c r="AL509" s="38" t="str">
        <f ca="1">IF(NOTA[[#This Row],[ID]]="","",COUNTIF(NOTA[ID_H],NOTA[[#This Row],[ID_H]]))</f>
        <v/>
      </c>
      <c r="AM509" s="38">
        <f ca="1">IF(NOTA[[#This Row],[TGL.NOTA]]="",IF(NOTA[[#This Row],[SUPPLIER_H]]="","",AM508),MONTH(NOTA[[#This Row],[TGL.NOTA]]))</f>
        <v>9</v>
      </c>
      <c r="AN50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>
        <f>IF(NOTA[[#This Row],[CONCAT1]]="","",MATCH(NOTA[[#This Row],[CONCAT1]],[3]!db[NB NOTA_C],0))</f>
        <v>1836</v>
      </c>
      <c r="AT509" s="38" t="b">
        <f>IF(NOTA[[#This Row],[QTY/ CTN]]="","",TRUE)</f>
        <v>1</v>
      </c>
      <c r="AU509" s="38" t="str">
        <f ca="1">IF(NOTA[[#This Row],[ID_H]]="","",IF(NOTA[[#This Row],[Column3]]=TRUE,NOTA[[#This Row],[QTY/ CTN]],INDEX([3]!db[QTY/ CTN],NOTA[[#This Row],[//DB]])))</f>
        <v>96 LSN</v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509" s="38" t="e">
        <f ca="1">IF(NOTA[[#This Row],[ID_H]]="","",MATCH(NOTA[[#This Row],[NB NOTA_C_QTY]],[4]!db[NB NOTA_C_QTY+F],0))</f>
        <v>#REF!</v>
      </c>
      <c r="AX509" s="53">
        <f ca="1">IF(NOTA[[#This Row],[NB NOTA_C_QTY]]="","",ROW()-2)</f>
        <v>507</v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>
        <f ca="1">IF(NOTA[[#This Row],[NAMA BARANG]]="","",INDEX(NOTA[ID],MATCH(,INDIRECT(ADDRESS(ROW(NOTA[ID]),COLUMN(NOTA[ID]))&amp;":"&amp;ADDRESS(ROW(),COLUMN(NOTA[ID]))),-1)))</f>
        <v>92</v>
      </c>
      <c r="E510" s="46"/>
      <c r="F510" s="37"/>
      <c r="G510" s="37"/>
      <c r="H510" s="47"/>
      <c r="I510" s="37"/>
      <c r="J510" s="39"/>
      <c r="K510" s="37"/>
      <c r="L510" s="37" t="s">
        <v>626</v>
      </c>
      <c r="M510" s="40">
        <v>1</v>
      </c>
      <c r="N510" s="38">
        <v>96</v>
      </c>
      <c r="O510" s="37" t="s">
        <v>139</v>
      </c>
      <c r="P510" s="41">
        <v>29000</v>
      </c>
      <c r="Q510" s="42"/>
      <c r="R510" s="48" t="s">
        <v>301</v>
      </c>
      <c r="S510" s="49"/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2784000</v>
      </c>
      <c r="Y510" s="50">
        <f>IF(NOTA[[#This Row],[JUMLAH]]="","",NOTA[[#This Row],[JUMLAH]]*NOTA[[#This Row],[DISC 1]])</f>
        <v>0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0</v>
      </c>
      <c r="AC510" s="50">
        <f>IF(NOTA[[#This Row],[JUMLAH]]="","",NOTA[[#This Row],[JUMLAH]]-NOTA[[#This Row],[DISC]])</f>
        <v>2784000</v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10" s="50">
        <f>IF(OR(NOTA[[#This Row],[QTY]]="",NOTA[[#This Row],[HARGA SATUAN]]="",),"",NOTA[[#This Row],[QTY]]*NOTA[[#This Row],[HARGA SATUAN]])</f>
        <v>2784000</v>
      </c>
      <c r="AI510" s="39">
        <f ca="1">IF(NOTA[ID_H]="","",INDEX(NOTA[TANGGAL],MATCH(,INDIRECT(ADDRESS(ROW(NOTA[TANGGAL]),COLUMN(NOTA[TANGGAL]))&amp;":"&amp;ADDRESS(ROW(),COLUMN(NOTA[TANGGAL]))),-1)))</f>
        <v>45184</v>
      </c>
      <c r="AJ510" s="41" t="str">
        <f ca="1">IF(NOTA[[#This Row],[NAMA BARANG]]="","",INDEX(NOTA[SUPPLIER],MATCH(,INDIRECT(ADDRESS(ROW(NOTA[ID]),COLUMN(NOTA[ID]))&amp;":"&amp;ADDRESS(ROW(),COLUMN(NOTA[ID]))),-1)))</f>
        <v>DB STATIONERY</v>
      </c>
      <c r="AK510" s="41" t="str">
        <f ca="1">IF(NOTA[[#This Row],[ID_H]]="","",IF(NOTA[[#This Row],[FAKTUR]]="",INDIRECT(ADDRESS(ROW()-1,COLUMN())),NOTA[[#This Row],[FAKTUR]]))</f>
        <v>UNTANA</v>
      </c>
      <c r="AL510" s="38" t="str">
        <f ca="1">IF(NOTA[[#This Row],[ID]]="","",COUNTIF(NOTA[ID_H],NOTA[[#This Row],[ID_H]]))</f>
        <v/>
      </c>
      <c r="AM510" s="38">
        <f ca="1">IF(NOTA[[#This Row],[TGL.NOTA]]="",IF(NOTA[[#This Row],[SUPPLIER_H]]="","",AM509),MONTH(NOTA[[#This Row],[TGL.NOTA]]))</f>
        <v>9</v>
      </c>
      <c r="AN510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>
        <f>IF(NOTA[[#This Row],[CONCAT1]]="","",MATCH(NOTA[[#This Row],[CONCAT1]],[3]!db[NB NOTA_C],0))</f>
        <v>1813</v>
      </c>
      <c r="AT510" s="38" t="b">
        <f>IF(NOTA[[#This Row],[QTY/ CTN]]="","",TRUE)</f>
        <v>1</v>
      </c>
      <c r="AU510" s="38" t="str">
        <f ca="1">IF(NOTA[[#This Row],[ID_H]]="","",IF(NOTA[[#This Row],[Column3]]=TRUE,NOTA[[#This Row],[QTY/ CTN]],INDEX([3]!db[QTY/ CTN],NOTA[[#This Row],[//DB]])))</f>
        <v>96 LSN</v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mekpensil20tizotm030h96lsnuntana</v>
      </c>
      <c r="AW510" s="38" t="e">
        <f ca="1">IF(NOTA[[#This Row],[ID_H]]="","",MATCH(NOTA[[#This Row],[NB NOTA_C_QTY]],[4]!db[NB NOTA_C_QTY+F],0))</f>
        <v>#REF!</v>
      </c>
      <c r="AX510" s="53">
        <f ca="1">IF(NOTA[[#This Row],[NB NOTA_C_QTY]]="","",ROW()-2)</f>
        <v>508</v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>
        <f ca="1">IF(NOTA[[#This Row],[NAMA BARANG]]="","",INDEX(NOTA[ID],MATCH(,INDIRECT(ADDRESS(ROW(NOTA[ID]),COLUMN(NOTA[ID]))&amp;":"&amp;ADDRESS(ROW(),COLUMN(NOTA[ID]))),-1)))</f>
        <v>92</v>
      </c>
      <c r="E511" s="46"/>
      <c r="F511" s="37"/>
      <c r="G511" s="37"/>
      <c r="H511" s="47"/>
      <c r="I511" s="37"/>
      <c r="J511" s="39"/>
      <c r="K511" s="37"/>
      <c r="L511" s="37" t="s">
        <v>628</v>
      </c>
      <c r="M511" s="40">
        <v>1</v>
      </c>
      <c r="N511" s="38">
        <v>144</v>
      </c>
      <c r="O511" s="37" t="s">
        <v>139</v>
      </c>
      <c r="P511" s="41">
        <v>13500</v>
      </c>
      <c r="Q511" s="42"/>
      <c r="R511" s="48" t="s">
        <v>217</v>
      </c>
      <c r="S511" s="49"/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1944000</v>
      </c>
      <c r="Y511" s="50">
        <f>IF(NOTA[[#This Row],[JUMLAH]]="","",NOTA[[#This Row],[JUMLAH]]*NOTA[[#This Row],[DISC 1]])</f>
        <v>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0</v>
      </c>
      <c r="AC511" s="50">
        <f>IF(NOTA[[#This Row],[JUMLAH]]="","",NOTA[[#This Row],[JUMLAH]]-NOTA[[#This Row],[DISC]])</f>
        <v>1944000</v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511" s="50">
        <f>IF(OR(NOTA[[#This Row],[QTY]]="",NOTA[[#This Row],[HARGA SATUAN]]="",),"",NOTA[[#This Row],[QTY]]*NOTA[[#This Row],[HARGA SATUAN]])</f>
        <v>1944000</v>
      </c>
      <c r="AI511" s="39">
        <f ca="1">IF(NOTA[ID_H]="","",INDEX(NOTA[TANGGAL],MATCH(,INDIRECT(ADDRESS(ROW(NOTA[TANGGAL]),COLUMN(NOTA[TANGGAL]))&amp;":"&amp;ADDRESS(ROW(),COLUMN(NOTA[TANGGAL]))),-1)))</f>
        <v>45184</v>
      </c>
      <c r="AJ511" s="41" t="str">
        <f ca="1">IF(NOTA[[#This Row],[NAMA BARANG]]="","",INDEX(NOTA[SUPPLIER],MATCH(,INDIRECT(ADDRESS(ROW(NOTA[ID]),COLUMN(NOTA[ID]))&amp;":"&amp;ADDRESS(ROW(),COLUMN(NOTA[ID]))),-1)))</f>
        <v>DB STATIONERY</v>
      </c>
      <c r="AK511" s="41" t="str">
        <f ca="1">IF(NOTA[[#This Row],[ID_H]]="","",IF(NOTA[[#This Row],[FAKTUR]]="",INDIRECT(ADDRESS(ROW()-1,COLUMN())),NOTA[[#This Row],[FAKTUR]]))</f>
        <v>UNTANA</v>
      </c>
      <c r="AL511" s="38" t="str">
        <f ca="1">IF(NOTA[[#This Row],[ID]]="","",COUNTIF(NOTA[ID_H],NOTA[[#This Row],[ID_H]]))</f>
        <v/>
      </c>
      <c r="AM511" s="38">
        <f ca="1">IF(NOTA[[#This Row],[TGL.NOTA]]="",IF(NOTA[[#This Row],[SUPPLIER_H]]="","",AM510),MONTH(NOTA[[#This Row],[TGL.NOTA]]))</f>
        <v>9</v>
      </c>
      <c r="AN51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>
        <f>IF(NOTA[[#This Row],[CONCAT1]]="","",MATCH(NOTA[[#This Row],[CONCAT1]],[3]!db[NB NOTA_C],0))</f>
        <v>1846</v>
      </c>
      <c r="AT511" s="38" t="b">
        <f>IF(NOTA[[#This Row],[QTY/ CTN]]="","",TRUE)</f>
        <v>1</v>
      </c>
      <c r="AU511" s="38" t="str">
        <f ca="1">IF(NOTA[[#This Row],[ID_H]]="","",IF(NOTA[[#This Row],[Column3]]=TRUE,NOTA[[#This Row],[QTY/ CTN]],INDEX([3]!db[QTY/ CTN],NOTA[[#This Row],[//DB]])))</f>
        <v>144 LSN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92</v>
      </c>
      <c r="E512" s="46"/>
      <c r="F512" s="37"/>
      <c r="G512" s="37"/>
      <c r="H512" s="47"/>
      <c r="I512" s="37"/>
      <c r="J512" s="39"/>
      <c r="K512" s="37"/>
      <c r="L512" s="37" t="s">
        <v>629</v>
      </c>
      <c r="M512" s="40">
        <v>1</v>
      </c>
      <c r="N512" s="38">
        <v>144</v>
      </c>
      <c r="O512" s="37" t="s">
        <v>139</v>
      </c>
      <c r="P512" s="41">
        <v>23000</v>
      </c>
      <c r="Q512" s="42"/>
      <c r="R512" s="48" t="s">
        <v>217</v>
      </c>
      <c r="S512" s="49"/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3312000</v>
      </c>
      <c r="Y512" s="50">
        <f>IF(NOTA[[#This Row],[JUMLAH]]="","",NOTA[[#This Row],[JUMLAH]]*NOTA[[#This Row],[DISC 1]])</f>
        <v>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0</v>
      </c>
      <c r="AC512" s="50">
        <f>IF(NOTA[[#This Row],[JUMLAH]]="","",NOTA[[#This Row],[JUMLAH]]-NOTA[[#This Row],[DISC]])</f>
        <v>3312000</v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12" s="50">
        <f>IF(OR(NOTA[[#This Row],[QTY]]="",NOTA[[#This Row],[HARGA SATUAN]]="",),"",NOTA[[#This Row],[QTY]]*NOTA[[#This Row],[HARGA SATUAN]])</f>
        <v>3312000</v>
      </c>
      <c r="AI512" s="39">
        <f ca="1">IF(NOTA[ID_H]="","",INDEX(NOTA[TANGGAL],MATCH(,INDIRECT(ADDRESS(ROW(NOTA[TANGGAL]),COLUMN(NOTA[TANGGAL]))&amp;":"&amp;ADDRESS(ROW(),COLUMN(NOTA[TANGGAL]))),-1)))</f>
        <v>45184</v>
      </c>
      <c r="AJ512" s="41" t="str">
        <f ca="1">IF(NOTA[[#This Row],[NAMA BARANG]]="","",INDEX(NOTA[SUPPLIER],MATCH(,INDIRECT(ADDRESS(ROW(NOTA[ID]),COLUMN(NOTA[ID]))&amp;":"&amp;ADDRESS(ROW(),COLUMN(NOTA[ID]))),-1)))</f>
        <v>DB STATIONERY</v>
      </c>
      <c r="AK512" s="41" t="str">
        <f ca="1">IF(NOTA[[#This Row],[ID_H]]="","",IF(NOTA[[#This Row],[FAKTUR]]="",INDIRECT(ADDRESS(ROW()-1,COLUMN())),NOTA[[#This Row],[FAKTUR]]))</f>
        <v>UNTANA</v>
      </c>
      <c r="AL512" s="38" t="str">
        <f ca="1">IF(NOTA[[#This Row],[ID]]="","",COUNTIF(NOTA[ID_H],NOTA[[#This Row],[ID_H]]))</f>
        <v/>
      </c>
      <c r="AM512" s="38">
        <f ca="1">IF(NOTA[[#This Row],[TGL.NOTA]]="",IF(NOTA[[#This Row],[SUPPLIER_H]]="","",AM511),MONTH(NOTA[[#This Row],[TGL.NOTA]]))</f>
        <v>9</v>
      </c>
      <c r="AN512" s="38" t="str">
        <f>LOWER(SUBSTITUTE(SUBSTITUTE(SUBSTITUTE(SUBSTITUTE(SUBSTITUTE(SUBSTITUTE(SUBSTITUTE(SUBSTITUTE(SUBSTITUTE(NOTA[NAMA BARANG]," ",),".",""),"-",""),"(",""),")",""),",",""),"/",""),"""",""),"+",""))</f>
        <v>mekpensil20tizotm02930</v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mekpensil20tizotm029303312000</v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mekpensil20tizotm029303312000</v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e">
        <f>IF(NOTA[[#This Row],[CONCAT1]]="","",MATCH(NOTA[[#This Row],[CONCAT1]],[3]!db[NB NOTA_C],0))</f>
        <v>#N/A</v>
      </c>
      <c r="AT512" s="38" t="b">
        <f>IF(NOTA[[#This Row],[QTY/ CTN]]="","",TRUE)</f>
        <v>1</v>
      </c>
      <c r="AU512" s="38" t="str">
        <f ca="1">IF(NOTA[[#This Row],[ID_H]]="","",IF(NOTA[[#This Row],[Column3]]=TRUE,NOTA[[#This Row],[QTY/ CTN]],INDEX([3]!db[QTY/ CTN],NOTA[[#This Row],[//DB]])))</f>
        <v>144 LSN</v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mekpensil20tizotm02930144lsnuntana</v>
      </c>
      <c r="AW512" s="38" t="e">
        <f ca="1">IF(NOTA[[#This Row],[ID_H]]="","",MATCH(NOTA[[#This Row],[NB NOTA_C_QTY]],[4]!db[NB NOTA_C_QTY+F],0))</f>
        <v>#REF!</v>
      </c>
      <c r="AX512" s="53">
        <f ca="1">IF(NOTA[[#This Row],[NB NOTA_C_QTY]]="","",ROW()-2)</f>
        <v>510</v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>
        <f ca="1">IF(NOTA[[#This Row],[NAMA BARANG]]="","",INDEX(NOTA[ID],MATCH(,INDIRECT(ADDRESS(ROW(NOTA[ID]),COLUMN(NOTA[ID]))&amp;":"&amp;ADDRESS(ROW(),COLUMN(NOTA[ID]))),-1)))</f>
        <v>92</v>
      </c>
      <c r="E513" s="46"/>
      <c r="F513" s="37"/>
      <c r="G513" s="37"/>
      <c r="H513" s="47"/>
      <c r="I513" s="37"/>
      <c r="J513" s="39"/>
      <c r="K513" s="37"/>
      <c r="L513" s="37" t="s">
        <v>630</v>
      </c>
      <c r="M513" s="40">
        <v>1</v>
      </c>
      <c r="N513" s="38">
        <v>144</v>
      </c>
      <c r="O513" s="37" t="s">
        <v>139</v>
      </c>
      <c r="P513" s="41">
        <v>13250</v>
      </c>
      <c r="Q513" s="42"/>
      <c r="R513" s="48" t="s">
        <v>217</v>
      </c>
      <c r="S513" s="49"/>
      <c r="T513" s="44"/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1908000</v>
      </c>
      <c r="Y513" s="50">
        <f>IF(NOTA[[#This Row],[JUMLAH]]="","",NOTA[[#This Row],[JUMLAH]]*NOTA[[#This Row],[DISC 1]])</f>
        <v>0</v>
      </c>
      <c r="Z513" s="50">
        <f>IF(NOTA[[#This Row],[JUMLAH]]="","",(NOTA[[#This Row],[JUMLAH]]-NOTA[[#This Row],[DISC 1-]])*NOTA[[#This Row],[DISC 2]])</f>
        <v>0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0</v>
      </c>
      <c r="AC513" s="50">
        <f>IF(NOTA[[#This Row],[JUMLAH]]="","",NOTA[[#This Row],[JUMLAH]]-NOTA[[#This Row],[DISC]])</f>
        <v>1908000</v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513" s="50">
        <f>IF(OR(NOTA[[#This Row],[QTY]]="",NOTA[[#This Row],[HARGA SATUAN]]="",),"",NOTA[[#This Row],[QTY]]*NOTA[[#This Row],[HARGA SATUAN]])</f>
        <v>1908000</v>
      </c>
      <c r="AI513" s="39">
        <f ca="1">IF(NOTA[ID_H]="","",INDEX(NOTA[TANGGAL],MATCH(,INDIRECT(ADDRESS(ROW(NOTA[TANGGAL]),COLUMN(NOTA[TANGGAL]))&amp;":"&amp;ADDRESS(ROW(),COLUMN(NOTA[TANGGAL]))),-1)))</f>
        <v>45184</v>
      </c>
      <c r="AJ513" s="41" t="str">
        <f ca="1">IF(NOTA[[#This Row],[NAMA BARANG]]="","",INDEX(NOTA[SUPPLIER],MATCH(,INDIRECT(ADDRESS(ROW(NOTA[ID]),COLUMN(NOTA[ID]))&amp;":"&amp;ADDRESS(ROW(),COLUMN(NOTA[ID]))),-1)))</f>
        <v>DB STATIONERY</v>
      </c>
      <c r="AK513" s="41" t="str">
        <f ca="1">IF(NOTA[[#This Row],[ID_H]]="","",IF(NOTA[[#This Row],[FAKTUR]]="",INDIRECT(ADDRESS(ROW()-1,COLUMN())),NOTA[[#This Row],[FAKTUR]]))</f>
        <v>UNTANA</v>
      </c>
      <c r="AL513" s="38" t="str">
        <f ca="1">IF(NOTA[[#This Row],[ID]]="","",COUNTIF(NOTA[ID_H],NOTA[[#This Row],[ID_H]]))</f>
        <v/>
      </c>
      <c r="AM513" s="38">
        <f ca="1">IF(NOTA[[#This Row],[TGL.NOTA]]="",IF(NOTA[[#This Row],[SUPPLIER_H]]="","",AM512),MONTH(NOTA[[#This Row],[TGL.NOTA]]))</f>
        <v>9</v>
      </c>
      <c r="AN513" s="3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e">
        <f>IF(NOTA[[#This Row],[CONCAT1]]="","",MATCH(NOTA[[#This Row],[CONCAT1]],[3]!db[NB NOTA_C],0))</f>
        <v>#N/A</v>
      </c>
      <c r="AT513" s="38" t="b">
        <f>IF(NOTA[[#This Row],[QTY/ CTN]]="","",TRUE)</f>
        <v>1</v>
      </c>
      <c r="AU513" s="38" t="str">
        <f ca="1">IF(NOTA[[#This Row],[ID_H]]="","",IF(NOTA[[#This Row],[Column3]]=TRUE,NOTA[[#This Row],[QTY/ CTN]],INDEX([3]!db[QTY/ CTN],NOTA[[#This Row],[//DB]])))</f>
        <v>144 LSN</v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mekpensiltizog9000a144lsnuntana</v>
      </c>
      <c r="AW513" s="38" t="e">
        <f ca="1">IF(NOTA[[#This Row],[ID_H]]="","",MATCH(NOTA[[#This Row],[NB NOTA_C_QTY]],[4]!db[NB NOTA_C_QTY+F],0))</f>
        <v>#REF!</v>
      </c>
      <c r="AX513" s="53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92</v>
      </c>
      <c r="E514" s="57"/>
      <c r="F514" s="58"/>
      <c r="G514" s="58"/>
      <c r="H514" s="59"/>
      <c r="I514" s="58"/>
      <c r="J514" s="60"/>
      <c r="K514" s="58"/>
      <c r="L514" s="37" t="s">
        <v>631</v>
      </c>
      <c r="M514" s="61">
        <v>1</v>
      </c>
      <c r="N514" s="56">
        <v>144</v>
      </c>
      <c r="O514" s="37" t="s">
        <v>139</v>
      </c>
      <c r="P514" s="55">
        <v>13250</v>
      </c>
      <c r="Q514" s="62"/>
      <c r="R514" s="48" t="s">
        <v>217</v>
      </c>
      <c r="S514" s="64"/>
      <c r="T514" s="65"/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1908000</v>
      </c>
      <c r="Y514" s="66">
        <f>IF(NOTA[[#This Row],[JUMLAH]]="","",NOTA[[#This Row],[JUMLAH]]*NOTA[[#This Row],[DISC 1]])</f>
        <v>0</v>
      </c>
      <c r="Z514" s="66">
        <f>IF(NOTA[[#This Row],[JUMLAH]]="","",(NOTA[[#This Row],[JUMLAH]]-NOTA[[#This Row],[DISC 1-]])*NOTA[[#This Row],[DISC 2]])</f>
        <v>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0</v>
      </c>
      <c r="AC514" s="66">
        <f>IF(NOTA[[#This Row],[JUMLAH]]="","",NOTA[[#This Row],[JUMLAH]]-NOTA[[#This Row],[DISC]])</f>
        <v>1908000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514" s="66">
        <f>IF(OR(NOTA[[#This Row],[QTY]]="",NOTA[[#This Row],[HARGA SATUAN]]="",),"",NOTA[[#This Row],[QTY]]*NOTA[[#This Row],[HARGA SATUAN]])</f>
        <v>1908000</v>
      </c>
      <c r="AI514" s="60">
        <f ca="1">IF(NOTA[ID_H]="","",INDEX(NOTA[TANGGAL],MATCH(,INDIRECT(ADDRESS(ROW(NOTA[TANGGAL]),COLUMN(NOTA[TANGGAL]))&amp;":"&amp;ADDRESS(ROW(),COLUMN(NOTA[TANGGAL]))),-1)))</f>
        <v>45184</v>
      </c>
      <c r="AJ514" s="55" t="str">
        <f ca="1">IF(NOTA[[#This Row],[NAMA BARANG]]="","",INDEX(NOTA[SUPPLIER],MATCH(,INDIRECT(ADDRESS(ROW(NOTA[ID]),COLUMN(NOTA[ID]))&amp;":"&amp;ADDRESS(ROW(),COLUMN(NOTA[ID]))),-1)))</f>
        <v>DB STATIONERY</v>
      </c>
      <c r="AK514" s="55" t="str">
        <f ca="1">IF(NOTA[[#This Row],[ID_H]]="","",IF(NOTA[[#This Row],[FAKTUR]]="",INDIRECT(ADDRESS(ROW()-1,COLUMN())),NOTA[[#This Row],[FAKTUR]]))</f>
        <v>UNTANA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9</v>
      </c>
      <c r="AN514" s="5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 t="e">
        <f>IF(NOTA[[#This Row],[CONCAT1]]="","",MATCH(NOTA[[#This Row],[CONCAT1]],[3]!db[NB NOTA_C],0))</f>
        <v>#N/A</v>
      </c>
      <c r="AT514" s="56" t="b">
        <f>IF(NOTA[[#This Row],[QTY/ CTN]]="","",TRUE)</f>
        <v>1</v>
      </c>
      <c r="AU514" s="56" t="str">
        <f ca="1">IF(NOTA[[#This Row],[ID_H]]="","",IF(NOTA[[#This Row],[Column3]]=TRUE,NOTA[[#This Row],[QTY/ CTN]],INDEX([3]!db[QTY/ CTN],NOTA[[#This Row],[//DB]])))</f>
        <v>144 LSN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mekpensiltizog9001a144lsnuntana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92</v>
      </c>
      <c r="E515" s="57"/>
      <c r="F515" s="58"/>
      <c r="G515" s="58"/>
      <c r="H515" s="59"/>
      <c r="I515" s="58"/>
      <c r="J515" s="60"/>
      <c r="K515" s="58"/>
      <c r="L515" s="37" t="s">
        <v>632</v>
      </c>
      <c r="M515" s="61">
        <v>1</v>
      </c>
      <c r="N515" s="56">
        <v>144</v>
      </c>
      <c r="O515" s="37" t="s">
        <v>139</v>
      </c>
      <c r="P515" s="55">
        <v>13250</v>
      </c>
      <c r="Q515" s="62"/>
      <c r="R515" s="48" t="s">
        <v>217</v>
      </c>
      <c r="S515" s="64"/>
      <c r="T515" s="65"/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1908000</v>
      </c>
      <c r="Y515" s="66">
        <f>IF(NOTA[[#This Row],[JUMLAH]]="","",NOTA[[#This Row],[JUMLAH]]*NOTA[[#This Row],[DISC 1]])</f>
        <v>0</v>
      </c>
      <c r="Z515" s="66">
        <f>IF(NOTA[[#This Row],[JUMLAH]]="","",(NOTA[[#This Row],[JUMLAH]]-NOTA[[#This Row],[DISC 1-]])*NOTA[[#This Row],[DISC 2]])</f>
        <v>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0</v>
      </c>
      <c r="AC515" s="66">
        <f>IF(NOTA[[#This Row],[JUMLAH]]="","",NOTA[[#This Row],[JUMLAH]]-NOTA[[#This Row],[DISC]])</f>
        <v>1908000</v>
      </c>
      <c r="AD515" s="66"/>
      <c r="AE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24900000</v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515" s="66">
        <f>IF(OR(NOTA[[#This Row],[QTY]]="",NOTA[[#This Row],[HARGA SATUAN]]="",),"",NOTA[[#This Row],[QTY]]*NOTA[[#This Row],[HARGA SATUAN]])</f>
        <v>1908000</v>
      </c>
      <c r="AI515" s="60">
        <f ca="1">IF(NOTA[ID_H]="","",INDEX(NOTA[TANGGAL],MATCH(,INDIRECT(ADDRESS(ROW(NOTA[TANGGAL]),COLUMN(NOTA[TANGGAL]))&amp;":"&amp;ADDRESS(ROW(),COLUMN(NOTA[TANGGAL]))),-1)))</f>
        <v>45184</v>
      </c>
      <c r="AJ515" s="55" t="str">
        <f ca="1">IF(NOTA[[#This Row],[NAMA BARANG]]="","",INDEX(NOTA[SUPPLIER],MATCH(,INDIRECT(ADDRESS(ROW(NOTA[ID]),COLUMN(NOTA[ID]))&amp;":"&amp;ADDRESS(ROW(),COLUMN(NOTA[ID]))),-1)))</f>
        <v>DB STATIONERY</v>
      </c>
      <c r="AK515" s="55" t="str">
        <f ca="1">IF(NOTA[[#This Row],[ID_H]]="","",IF(NOTA[[#This Row],[FAKTUR]]="",INDIRECT(ADDRESS(ROW()-1,COLUMN())),NOTA[[#This Row],[FAKTUR]]))</f>
        <v>UNTANA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9</v>
      </c>
      <c r="AN515" s="5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1842</v>
      </c>
      <c r="AT515" s="56" t="b">
        <f>IF(NOTA[[#This Row],[QTY/ CTN]]="","",TRUE)</f>
        <v>1</v>
      </c>
      <c r="AU515" s="56" t="str">
        <f ca="1">IF(NOTA[[#This Row],[ID_H]]="","",IF(NOTA[[#This Row],[Column3]]=TRUE,NOTA[[#This Row],[QTY/ CTN]],INDEX([3]!db[QTY/ CTN],NOTA[[#This Row],[//DB]])))</f>
        <v>144 LSN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mekpensiltizog9003a144lsnuntana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58"/>
      <c r="M516" s="61"/>
      <c r="N516" s="56"/>
      <c r="O516" s="58"/>
      <c r="P516" s="55"/>
      <c r="Q516" s="62"/>
      <c r="R516" s="63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KEN_2709_078-5</v>
      </c>
      <c r="C517" s="56" t="e">
        <f ca="1">IF(NOTA[[#This Row],[ID_P]]="","",MATCH(NOTA[[#This Row],[ID_P]],[1]!B_MSK[N_ID],0))</f>
        <v>#REF!</v>
      </c>
      <c r="D517" s="56">
        <f ca="1">IF(NOTA[[#This Row],[NAMA BARANG]]="","",INDEX(NOTA[ID],MATCH(,INDIRECT(ADDRESS(ROW(NOTA[ID]),COLUMN(NOTA[ID]))&amp;":"&amp;ADDRESS(ROW(),COLUMN(NOTA[ID]))),-1)))</f>
        <v>93</v>
      </c>
      <c r="E517" s="57">
        <v>45196</v>
      </c>
      <c r="F517" s="37" t="s">
        <v>22</v>
      </c>
      <c r="G517" s="37" t="s">
        <v>23</v>
      </c>
      <c r="H517" s="47" t="s">
        <v>634</v>
      </c>
      <c r="I517" s="58"/>
      <c r="J517" s="60">
        <v>45192</v>
      </c>
      <c r="K517" s="58"/>
      <c r="L517" s="37" t="s">
        <v>111</v>
      </c>
      <c r="M517" s="61">
        <v>1</v>
      </c>
      <c r="N517" s="56"/>
      <c r="O517" s="58"/>
      <c r="P517" s="55"/>
      <c r="Q517" s="62">
        <v>2980800</v>
      </c>
      <c r="R517" s="63"/>
      <c r="S517" s="64">
        <v>0.17</v>
      </c>
      <c r="T517" s="65"/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2980800</v>
      </c>
      <c r="Y517" s="66">
        <f>IF(NOTA[[#This Row],[JUMLAH]]="","",NOTA[[#This Row],[JUMLAH]]*NOTA[[#This Row],[DISC 1]])</f>
        <v>506736.00000000006</v>
      </c>
      <c r="Z517" s="66">
        <f>IF(NOTA[[#This Row],[JUMLAH]]="","",(NOTA[[#This Row],[JUMLAH]]-NOTA[[#This Row],[DISC 1-]])*NOTA[[#This Row],[DISC 2]])</f>
        <v>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506736.00000000006</v>
      </c>
      <c r="AC517" s="66">
        <f>IF(NOTA[[#This Row],[JUMLAH]]="","",NOTA[[#This Row],[JUMLAH]]-NOTA[[#This Row],[DISC]])</f>
        <v>2474064</v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17" s="66" t="str">
        <f>IF(OR(NOTA[[#This Row],[QTY]]="",NOTA[[#This Row],[HARGA SATUAN]]="",),"",NOTA[[#This Row],[QTY]]*NOTA[[#This Row],[HARGA SATUAN]])</f>
        <v/>
      </c>
      <c r="AI517" s="60">
        <f ca="1">IF(NOTA[ID_H]="","",INDEX(NOTA[TANGGAL],MATCH(,INDIRECT(ADDRESS(ROW(NOTA[TANGGAL]),COLUMN(NOTA[TANGGAL]))&amp;":"&amp;ADDRESS(ROW(),COLUMN(NOTA[TANGGAL]))),-1)))</f>
        <v>45196</v>
      </c>
      <c r="AJ517" s="55" t="str">
        <f ca="1">IF(NOTA[[#This Row],[NAMA BARANG]]="","",INDEX(NOTA[SUPPLIER],MATCH(,INDIRECT(ADDRESS(ROW(NOTA[ID]),COLUMN(NOTA[ID]))&amp;":"&amp;ADDRESS(ROW(),COLUMN(NOTA[ID]))),-1)))</f>
        <v>KENKO SINAR INDONESIA</v>
      </c>
      <c r="AK517" s="55" t="str">
        <f ca="1">IF(NOTA[[#This Row],[ID_H]]="","",IF(NOTA[[#This Row],[FAKTUR]]="",INDIRECT(ADDRESS(ROW()-1,COLUMN())),NOTA[[#This Row],[FAKTUR]]))</f>
        <v>ARTO MORO</v>
      </c>
      <c r="AL517" s="56">
        <f ca="1">IF(NOTA[[#This Row],[ID]]="","",COUNTIF(NOTA[ID_H],NOTA[[#This Row],[ID_H]]))</f>
        <v>5</v>
      </c>
      <c r="AM517" s="56">
        <f>IF(NOTA[[#This Row],[TGL.NOTA]]="",IF(NOTA[[#This Row],[SUPPLIER_H]]="","",AM516),MONTH(NOTA[[#This Row],[TGL.NOTA]]))</f>
        <v>9</v>
      </c>
      <c r="AN517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MORO2309207845192kenko12colorpencilcp12fclassic</v>
      </c>
      <c r="AR517" s="56" t="e">
        <f>IF(NOTA[[#This Row],[CONCAT4]]="","",_xlfn.IFNA(MATCH(NOTA[[#This Row],[CONCAT4]],[2]!RAW[CONCAT_H],0),FALSE))</f>
        <v>#REF!</v>
      </c>
      <c r="AS517" s="56">
        <f>IF(NOTA[[#This Row],[CONCAT1]]="","",MATCH(NOTA[[#This Row],[CONCAT1]],[3]!db[NB NOTA_C],0))</f>
        <v>1268</v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>24 LSN</v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517" s="56" t="e">
        <f ca="1">IF(NOTA[[#This Row],[ID_H]]="","",MATCH(NOTA[[#This Row],[NB NOTA_C_QTY]],[4]!db[NB NOTA_C_QTY+F],0))</f>
        <v>#REF!</v>
      </c>
      <c r="AX517" s="68">
        <f ca="1">IF(NOTA[[#This Row],[NB NOTA_C_QTY]]="","",ROW()-2)</f>
        <v>515</v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>
        <f ca="1">IF(NOTA[[#This Row],[NAMA BARANG]]="","",INDEX(NOTA[ID],MATCH(,INDIRECT(ADDRESS(ROW(NOTA[ID]),COLUMN(NOTA[ID]))&amp;":"&amp;ADDRESS(ROW(),COLUMN(NOTA[ID]))),-1)))</f>
        <v>93</v>
      </c>
      <c r="E518" s="57"/>
      <c r="F518" s="58"/>
      <c r="G518" s="58"/>
      <c r="H518" s="59"/>
      <c r="I518" s="58"/>
      <c r="J518" s="60"/>
      <c r="K518" s="58"/>
      <c r="L518" s="37" t="s">
        <v>635</v>
      </c>
      <c r="M518" s="61">
        <v>1</v>
      </c>
      <c r="N518" s="56"/>
      <c r="O518" s="58"/>
      <c r="P518" s="55"/>
      <c r="Q518" s="62">
        <v>3240000</v>
      </c>
      <c r="R518" s="63"/>
      <c r="S518" s="64">
        <v>0.17</v>
      </c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3240000</v>
      </c>
      <c r="Y518" s="66">
        <f>IF(NOTA[[#This Row],[JUMLAH]]="","",NOTA[[#This Row],[JUMLAH]]*NOTA[[#This Row],[DISC 1]])</f>
        <v>550800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550800</v>
      </c>
      <c r="AC518" s="66">
        <f>IF(NOTA[[#This Row],[JUMLAH]]="","",NOTA[[#This Row],[JUMLAH]]-NOTA[[#This Row],[DISC]])</f>
        <v>2689200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518" s="66" t="str">
        <f>IF(OR(NOTA[[#This Row],[QTY]]="",NOTA[[#This Row],[HARGA SATUAN]]="",),"",NOTA[[#This Row],[QTY]]*NOTA[[#This Row],[HARGA SATUAN]])</f>
        <v/>
      </c>
      <c r="AI518" s="60">
        <f ca="1">IF(NOTA[ID_H]="","",INDEX(NOTA[TANGGAL],MATCH(,INDIRECT(ADDRESS(ROW(NOTA[TANGGAL]),COLUMN(NOTA[TANGGAL]))&amp;":"&amp;ADDRESS(ROW(),COLUMN(NOTA[TANGGAL]))),-1)))</f>
        <v>45196</v>
      </c>
      <c r="AJ518" s="55" t="str">
        <f ca="1">IF(NOTA[[#This Row],[NAMA BARANG]]="","",INDEX(NOTA[SUPPLIER],MATCH(,INDIRECT(ADDRESS(ROW(NOTA[ID]),COLUMN(NOTA[ID]))&amp;":"&amp;ADDRESS(ROW(),COLUMN(NOTA[ID]))),-1)))</f>
        <v>KENKO SINAR INDONESIA</v>
      </c>
      <c r="AK518" s="55" t="str">
        <f ca="1">IF(NOTA[[#This Row],[ID_H]]="","",IF(NOTA[[#This Row],[FAKTUR]]="",INDIRECT(ADDRESS(ROW()-1,COLUMN())),NOTA[[#This Row],[FAKTUR]]))</f>
        <v>ARTO MORO</v>
      </c>
      <c r="AL518" s="56" t="str">
        <f ca="1">IF(NOTA[[#This Row],[ID]]="","",COUNTIF(NOTA[ID_H],NOTA[[#This Row],[ID_H]]))</f>
        <v/>
      </c>
      <c r="AM518" s="56">
        <f ca="1">IF(NOTA[[#This Row],[TGL.NOTA]]="",IF(NOTA[[#This Row],[SUPPLIER_H]]="","",AM517),MONTH(NOTA[[#This Row],[TGL.NOTA]]))</f>
        <v>9</v>
      </c>
      <c r="AN518" s="56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>
        <f>IF(NOTA[[#This Row],[CONCAT1]]="","",MATCH(NOTA[[#This Row],[CONCAT1]],[3]!db[NB NOTA_C],0))</f>
        <v>1515</v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>18 GRS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93</v>
      </c>
      <c r="E519" s="57"/>
      <c r="F519" s="58"/>
      <c r="G519" s="58"/>
      <c r="H519" s="59"/>
      <c r="I519" s="58"/>
      <c r="J519" s="60"/>
      <c r="K519" s="58"/>
      <c r="L519" s="37" t="s">
        <v>170</v>
      </c>
      <c r="M519" s="61">
        <v>2</v>
      </c>
      <c r="N519" s="56"/>
      <c r="O519" s="58"/>
      <c r="P519" s="55"/>
      <c r="Q519" s="62">
        <v>5616000</v>
      </c>
      <c r="R519" s="63"/>
      <c r="S519" s="64">
        <v>0.17</v>
      </c>
      <c r="T519" s="65"/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11232000</v>
      </c>
      <c r="Y519" s="66">
        <f>IF(NOTA[[#This Row],[JUMLAH]]="","",NOTA[[#This Row],[JUMLAH]]*NOTA[[#This Row],[DISC 1]])</f>
        <v>1909440.0000000002</v>
      </c>
      <c r="Z519" s="66">
        <f>IF(NOTA[[#This Row],[JUMLAH]]="","",(NOTA[[#This Row],[JUMLAH]]-NOTA[[#This Row],[DISC 1-]])*NOTA[[#This Row],[DISC 2]])</f>
        <v>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1909440.0000000002</v>
      </c>
      <c r="AC519" s="66">
        <f>IF(NOTA[[#This Row],[JUMLAH]]="","",NOTA[[#This Row],[JUMLAH]]-NOTA[[#This Row],[DISC]])</f>
        <v>9322560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9" s="66" t="str">
        <f>IF(OR(NOTA[[#This Row],[QTY]]="",NOTA[[#This Row],[HARGA SATUAN]]="",),"",NOTA[[#This Row],[QTY]]*NOTA[[#This Row],[HARGA SATUAN]])</f>
        <v/>
      </c>
      <c r="AI519" s="60">
        <f ca="1">IF(NOTA[ID_H]="","",INDEX(NOTA[TANGGAL],MATCH(,INDIRECT(ADDRESS(ROW(NOTA[TANGGAL]),COLUMN(NOTA[TANGGAL]))&amp;":"&amp;ADDRESS(ROW(),COLUMN(NOTA[TANGGAL]))),-1)))</f>
        <v>45196</v>
      </c>
      <c r="AJ519" s="55" t="str">
        <f ca="1">IF(NOTA[[#This Row],[NAMA BARANG]]="","",INDEX(NOTA[SUPPLIER],MATCH(,INDIRECT(ADDRESS(ROW(NOTA[ID]),COLUMN(NOTA[ID]))&amp;":"&amp;ADDRESS(ROW(),COLUMN(NOTA[ID]))),-1)))</f>
        <v>KENKO SINAR INDONESIA</v>
      </c>
      <c r="AK519" s="55" t="str">
        <f ca="1">IF(NOTA[[#This Row],[ID_H]]="","",IF(NOTA[[#This Row],[FAKTUR]]="",INDIRECT(ADDRESS(ROW()-1,COLUMN())),NOTA[[#This Row],[FAKTUR]]))</f>
        <v>ARTO MORO</v>
      </c>
      <c r="AL519" s="56" t="str">
        <f ca="1">IF(NOTA[[#This Row],[ID]]="","",COUNTIF(NOTA[ID_H],NOTA[[#This Row],[ID_H]]))</f>
        <v/>
      </c>
      <c r="AM519" s="56">
        <f ca="1">IF(NOTA[[#This Row],[TGL.NOTA]]="",IF(NOTA[[#This Row],[SUPPLIER_H]]="","",AM518),MONTH(NOTA[[#This Row],[TGL.NOTA]]))</f>
        <v>9</v>
      </c>
      <c r="AN519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>
        <f>IF(NOTA[[#This Row],[CONCAT1]]="","",MATCH(NOTA[[#This Row],[CONCAT1]],[3]!db[NB NOTA_C],0))</f>
        <v>1408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144 LSN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93</v>
      </c>
      <c r="E520" s="57"/>
      <c r="F520" s="58"/>
      <c r="G520" s="58"/>
      <c r="H520" s="59"/>
      <c r="I520" s="58"/>
      <c r="J520" s="60"/>
      <c r="K520" s="58"/>
      <c r="L520" s="37" t="s">
        <v>105</v>
      </c>
      <c r="M520" s="61">
        <v>5</v>
      </c>
      <c r="N520" s="56"/>
      <c r="O520" s="58"/>
      <c r="P520" s="55"/>
      <c r="Q520" s="62">
        <v>1860000</v>
      </c>
      <c r="R520" s="63"/>
      <c r="S520" s="64">
        <v>0.17</v>
      </c>
      <c r="T520" s="65"/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9300000</v>
      </c>
      <c r="Y520" s="66">
        <f>IF(NOTA[[#This Row],[JUMLAH]]="","",NOTA[[#This Row],[JUMLAH]]*NOTA[[#This Row],[DISC 1]])</f>
        <v>1581000</v>
      </c>
      <c r="Z520" s="66">
        <f>IF(NOTA[[#This Row],[JUMLAH]]="","",(NOTA[[#This Row],[JUMLAH]]-NOTA[[#This Row],[DISC 1-]])*NOTA[[#This Row],[DISC 2]])</f>
        <v>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1581000</v>
      </c>
      <c r="AC520" s="66">
        <f>IF(NOTA[[#This Row],[JUMLAH]]="","",NOTA[[#This Row],[JUMLAH]]-NOTA[[#This Row],[DISC]])</f>
        <v>7719000</v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20" s="66" t="str">
        <f>IF(OR(NOTA[[#This Row],[QTY]]="",NOTA[[#This Row],[HARGA SATUAN]]="",),"",NOTA[[#This Row],[QTY]]*NOTA[[#This Row],[HARGA SATUAN]])</f>
        <v/>
      </c>
      <c r="AI520" s="60">
        <f ca="1">IF(NOTA[ID_H]="","",INDEX(NOTA[TANGGAL],MATCH(,INDIRECT(ADDRESS(ROW(NOTA[TANGGAL]),COLUMN(NOTA[TANGGAL]))&amp;":"&amp;ADDRESS(ROW(),COLUMN(NOTA[TANGGAL]))),-1)))</f>
        <v>45196</v>
      </c>
      <c r="AJ520" s="55" t="str">
        <f ca="1">IF(NOTA[[#This Row],[NAMA BARANG]]="","",INDEX(NOTA[SUPPLIER],MATCH(,INDIRECT(ADDRESS(ROW(NOTA[ID]),COLUMN(NOTA[ID]))&amp;":"&amp;ADDRESS(ROW(),COLUMN(NOTA[ID]))),-1)))</f>
        <v>KENKO SINAR INDONESIA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9</v>
      </c>
      <c r="AN520" s="56" t="str">
        <f>LOWER(SUBSTITUTE(SUBSTITUTE(SUBSTITUTE(SUBSTITUTE(SUBSTITUTE(SUBSTITUTE(SUBSTITUTE(SUBSTITUTE(SUBSTITUTE(NOTA[NAMA BARANG]," ",),".",""),"-",""),"(",""),")",""),",",""),"/",""),"""",""),"+",""))</f>
        <v>kenkostaplerhd10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1561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20 LSN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93</v>
      </c>
      <c r="E521" s="57"/>
      <c r="F521" s="58"/>
      <c r="G521" s="58"/>
      <c r="H521" s="59"/>
      <c r="I521" s="58"/>
      <c r="J521" s="60"/>
      <c r="K521" s="58"/>
      <c r="L521" s="37" t="s">
        <v>106</v>
      </c>
      <c r="M521" s="61">
        <v>2</v>
      </c>
      <c r="N521" s="56"/>
      <c r="O521" s="58"/>
      <c r="P521" s="55"/>
      <c r="Q521" s="62">
        <v>2280000</v>
      </c>
      <c r="R521" s="63"/>
      <c r="S521" s="64">
        <v>0.17</v>
      </c>
      <c r="T521" s="65"/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4560000</v>
      </c>
      <c r="Y521" s="66">
        <f>IF(NOTA[[#This Row],[JUMLAH]]="","",NOTA[[#This Row],[JUMLAH]]*NOTA[[#This Row],[DISC 1]])</f>
        <v>775200</v>
      </c>
      <c r="Z521" s="66">
        <f>IF(NOTA[[#This Row],[JUMLAH]]="","",(NOTA[[#This Row],[JUMLAH]]-NOTA[[#This Row],[DISC 1-]])*NOTA[[#This Row],[DISC 2]])</f>
        <v>0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775200</v>
      </c>
      <c r="AC521" s="66">
        <f>IF(NOTA[[#This Row],[JUMLAH]]="","",NOTA[[#This Row],[JUMLAH]]-NOTA[[#This Row],[DISC]])</f>
        <v>3784800</v>
      </c>
      <c r="AD521" s="66"/>
      <c r="AE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5323176</v>
      </c>
      <c r="AF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25989624</v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521" s="66" t="str">
        <f>IF(OR(NOTA[[#This Row],[QTY]]="",NOTA[[#This Row],[HARGA SATUAN]]="",),"",NOTA[[#This Row],[QTY]]*NOTA[[#This Row],[HARGA SATUAN]])</f>
        <v/>
      </c>
      <c r="AI521" s="60">
        <f ca="1">IF(NOTA[ID_H]="","",INDEX(NOTA[TANGGAL],MATCH(,INDIRECT(ADDRESS(ROW(NOTA[TANGGAL]),COLUMN(NOTA[TANGGAL]))&amp;":"&amp;ADDRESS(ROW(),COLUMN(NOTA[TANGGAL]))),-1)))</f>
        <v>45196</v>
      </c>
      <c r="AJ521" s="55" t="str">
        <f ca="1">IF(NOTA[[#This Row],[NAMA BARANG]]="","",INDEX(NOTA[SUPPLIER],MATCH(,INDIRECT(ADDRESS(ROW(NOTA[ID]),COLUMN(NOTA[ID]))&amp;":"&amp;ADDRESS(ROW(),COLUMN(NOTA[ID]))),-1)))</f>
        <v>KENKO SINAR INDONESIA</v>
      </c>
      <c r="AK521" s="55" t="str">
        <f ca="1">IF(NOTA[[#This Row],[ID_H]]="","",IF(NOTA[[#This Row],[FAKTUR]]="",INDIRECT(ADDRESS(ROW()-1,COLUMN())),NOTA[[#This Row],[FAKTUR]]))</f>
        <v>ARTO MORO</v>
      </c>
      <c r="AL521" s="56" t="str">
        <f ca="1">IF(NOTA[[#This Row],[ID]]="","",COUNTIF(NOTA[ID_H],NOTA[[#This Row],[ID_H]]))</f>
        <v/>
      </c>
      <c r="AM521" s="56">
        <f ca="1">IF(NOTA[[#This Row],[TGL.NOTA]]="",IF(NOTA[[#This Row],[SUPPLIER_H]]="","",AM520),MONTH(NOTA[[#This Row],[TGL.NOTA]]))</f>
        <v>9</v>
      </c>
      <c r="AN521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>
        <f>IF(NOTA[[#This Row],[CONCAT1]]="","",MATCH(NOTA[[#This Row],[CONCAT1]],[3]!db[NB NOTA_C],0))</f>
        <v>1567</v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>10 LSN</v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521" s="56" t="e">
        <f ca="1">IF(NOTA[[#This Row],[ID_H]]="","",MATCH(NOTA[[#This Row],[NB NOTA_C_QTY]],[4]!db[NB NOTA_C_QTY+F],0))</f>
        <v>#REF!</v>
      </c>
      <c r="AX521" s="68">
        <f ca="1">IF(NOTA[[#This Row],[NB NOTA_C_QTY]]="","",ROW()-2)</f>
        <v>519</v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58"/>
      <c r="M522" s="61"/>
      <c r="N522" s="56"/>
      <c r="O522" s="58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KEN_2709_995-8</v>
      </c>
      <c r="C523" s="56" t="e">
        <f ca="1">IF(NOTA[[#This Row],[ID_P]]="","",MATCH(NOTA[[#This Row],[ID_P]],[1]!B_MSK[N_ID],0))</f>
        <v>#REF!</v>
      </c>
      <c r="D523" s="56">
        <f ca="1">IF(NOTA[[#This Row],[NAMA BARANG]]="","",INDEX(NOTA[ID],MATCH(,INDIRECT(ADDRESS(ROW(NOTA[ID]),COLUMN(NOTA[ID]))&amp;":"&amp;ADDRESS(ROW(),COLUMN(NOTA[ID]))),-1)))</f>
        <v>94</v>
      </c>
      <c r="E523" s="57"/>
      <c r="F523" s="37" t="s">
        <v>22</v>
      </c>
      <c r="G523" s="37" t="s">
        <v>23</v>
      </c>
      <c r="H523" s="47" t="s">
        <v>636</v>
      </c>
      <c r="I523" s="58"/>
      <c r="J523" s="60">
        <v>45191</v>
      </c>
      <c r="K523" s="58"/>
      <c r="L523" s="37" t="s">
        <v>637</v>
      </c>
      <c r="M523" s="61">
        <v>2</v>
      </c>
      <c r="N523" s="56"/>
      <c r="O523" s="58"/>
      <c r="P523" s="55"/>
      <c r="Q523" s="62">
        <v>2352000</v>
      </c>
      <c r="R523" s="63"/>
      <c r="S523" s="64">
        <v>0.17</v>
      </c>
      <c r="T523" s="65"/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4704000</v>
      </c>
      <c r="Y523" s="66">
        <f>IF(NOTA[[#This Row],[JUMLAH]]="","",NOTA[[#This Row],[JUMLAH]]*NOTA[[#This Row],[DISC 1]])</f>
        <v>799680</v>
      </c>
      <c r="Z523" s="66">
        <f>IF(NOTA[[#This Row],[JUMLAH]]="","",(NOTA[[#This Row],[JUMLAH]]-NOTA[[#This Row],[DISC 1-]])*NOTA[[#This Row],[DISC 2]])</f>
        <v>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799680</v>
      </c>
      <c r="AC523" s="66">
        <f>IF(NOTA[[#This Row],[JUMLAH]]="","",NOTA[[#This Row],[JUMLAH]]-NOTA[[#This Row],[DISC]])</f>
        <v>3904320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23" s="66" t="str">
        <f>IF(OR(NOTA[[#This Row],[QTY]]="",NOTA[[#This Row],[HARGA SATUAN]]="",),"",NOTA[[#This Row],[QTY]]*NOTA[[#This Row],[HARGA SATUAN]])</f>
        <v/>
      </c>
      <c r="AI523" s="60">
        <f ca="1">IF(NOTA[ID_H]="","",INDEX(NOTA[TANGGAL],MATCH(,INDIRECT(ADDRESS(ROW(NOTA[TANGGAL]),COLUMN(NOTA[TANGGAL]))&amp;":"&amp;ADDRESS(ROW(),COLUMN(NOTA[TANGGAL]))),-1)))</f>
        <v>45196</v>
      </c>
      <c r="AJ523" s="55" t="str">
        <f ca="1">IF(NOTA[[#This Row],[NAMA BARANG]]="","",INDEX(NOTA[SUPPLIER],MATCH(,INDIRECT(ADDRESS(ROW(NOTA[ID]),COLUMN(NOTA[ID]))&amp;":"&amp;ADDRESS(ROW(),COLUMN(NOTA[ID]))),-1)))</f>
        <v>KENKO SINAR INDONESIA</v>
      </c>
      <c r="AK523" s="55" t="str">
        <f ca="1">IF(NOTA[[#This Row],[ID_H]]="","",IF(NOTA[[#This Row],[FAKTUR]]="",INDIRECT(ADDRESS(ROW()-1,COLUMN())),NOTA[[#This Row],[FAKTUR]]))</f>
        <v>ARTO MORO</v>
      </c>
      <c r="AL523" s="56">
        <f ca="1">IF(NOTA[[#This Row],[ID]]="","",COUNTIF(NOTA[ID_H],NOTA[[#This Row],[ID_H]]))</f>
        <v>8</v>
      </c>
      <c r="AM523" s="56">
        <f>IF(NOTA[[#This Row],[TGL.NOTA]]="",IF(NOTA[[#This Row],[SUPPLIER_H]]="","",AM522),MONTH(NOTA[[#This Row],[TGL.NOTA]]))</f>
        <v>9</v>
      </c>
      <c r="AN523" s="56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MORO2309199545191kenkostaplerhd10dnewcolor</v>
      </c>
      <c r="AR523" s="56" t="e">
        <f>IF(NOTA[[#This Row],[CONCAT4]]="","",_xlfn.IFNA(MATCH(NOTA[[#This Row],[CONCAT4]],[2]!RAW[CONCAT_H],0),FALSE))</f>
        <v>#REF!</v>
      </c>
      <c r="AS523" s="56">
        <f>IF(NOTA[[#This Row],[CONCAT1]]="","",MATCH(NOTA[[#This Row],[CONCAT1]],[3]!db[NB NOTA_C],0))</f>
        <v>1586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20 LSN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94</v>
      </c>
      <c r="E524" s="57"/>
      <c r="F524" s="58"/>
      <c r="G524" s="58"/>
      <c r="H524" s="59"/>
      <c r="I524" s="58"/>
      <c r="J524" s="60"/>
      <c r="K524" s="58"/>
      <c r="L524" s="37" t="s">
        <v>638</v>
      </c>
      <c r="M524" s="61">
        <v>1</v>
      </c>
      <c r="N524" s="56"/>
      <c r="O524" s="58"/>
      <c r="P524" s="55"/>
      <c r="Q524" s="62">
        <v>2008800</v>
      </c>
      <c r="R524" s="63"/>
      <c r="S524" s="64">
        <v>0.17</v>
      </c>
      <c r="T524" s="65"/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2008800</v>
      </c>
      <c r="Y524" s="66">
        <f>IF(NOTA[[#This Row],[JUMLAH]]="","",NOTA[[#This Row],[JUMLAH]]*NOTA[[#This Row],[DISC 1]])</f>
        <v>341496</v>
      </c>
      <c r="Z524" s="66">
        <f>IF(NOTA[[#This Row],[JUMLAH]]="","",(NOTA[[#This Row],[JUMLAH]]-NOTA[[#This Row],[DISC 1-]])*NOTA[[#This Row],[DISC 2]])</f>
        <v>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341496</v>
      </c>
      <c r="AC524" s="66">
        <f>IF(NOTA[[#This Row],[JUMLAH]]="","",NOTA[[#This Row],[JUMLAH]]-NOTA[[#This Row],[DISC]])</f>
        <v>1667304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524" s="66" t="str">
        <f>IF(OR(NOTA[[#This Row],[QTY]]="",NOTA[[#This Row],[HARGA SATUAN]]="",),"",NOTA[[#This Row],[QTY]]*NOTA[[#This Row],[HARGA SATUAN]])</f>
        <v/>
      </c>
      <c r="AI524" s="60">
        <f ca="1">IF(NOTA[ID_H]="","",INDEX(NOTA[TANGGAL],MATCH(,INDIRECT(ADDRESS(ROW(NOTA[TANGGAL]),COLUMN(NOTA[TANGGAL]))&amp;":"&amp;ADDRESS(ROW(),COLUMN(NOTA[TANGGAL]))),-1)))</f>
        <v>45196</v>
      </c>
      <c r="AJ524" s="55" t="str">
        <f ca="1">IF(NOTA[[#This Row],[NAMA BARANG]]="","",INDEX(NOTA[SUPPLIER],MATCH(,INDIRECT(ADDRESS(ROW(NOTA[ID]),COLUMN(NOTA[ID]))&amp;":"&amp;ADDRESS(ROW(),COLUMN(NOTA[ID]))),-1)))</f>
        <v>KENKO SINAR INDONESIA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9</v>
      </c>
      <c r="AN524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1346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36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94</v>
      </c>
      <c r="E525" s="57"/>
      <c r="F525" s="58"/>
      <c r="G525" s="58"/>
      <c r="H525" s="59"/>
      <c r="I525" s="58"/>
      <c r="J525" s="60"/>
      <c r="K525" s="58"/>
      <c r="L525" s="37" t="s">
        <v>639</v>
      </c>
      <c r="M525" s="61">
        <v>1</v>
      </c>
      <c r="N525" s="56"/>
      <c r="O525" s="58"/>
      <c r="P525" s="55"/>
      <c r="Q525" s="62">
        <v>1710000</v>
      </c>
      <c r="R525" s="63"/>
      <c r="S525" s="64">
        <v>0.17</v>
      </c>
      <c r="T525" s="65"/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1710000</v>
      </c>
      <c r="Y525" s="66">
        <f>IF(NOTA[[#This Row],[JUMLAH]]="","",NOTA[[#This Row],[JUMLAH]]*NOTA[[#This Row],[DISC 1]])</f>
        <v>290700</v>
      </c>
      <c r="Z525" s="66">
        <f>IF(NOTA[[#This Row],[JUMLAH]]="","",(NOTA[[#This Row],[JUMLAH]]-NOTA[[#This Row],[DISC 1-]])*NOTA[[#This Row],[DISC 2]])</f>
        <v>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290700</v>
      </c>
      <c r="AC525" s="66">
        <f>IF(NOTA[[#This Row],[JUMLAH]]="","",NOTA[[#This Row],[JUMLAH]]-NOTA[[#This Row],[DISC]])</f>
        <v>1419300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25" s="66" t="str">
        <f>IF(OR(NOTA[[#This Row],[QTY]]="",NOTA[[#This Row],[HARGA SATUAN]]="",),"",NOTA[[#This Row],[QTY]]*NOTA[[#This Row],[HARGA SATUAN]])</f>
        <v/>
      </c>
      <c r="AI525" s="60">
        <f ca="1">IF(NOTA[ID_H]="","",INDEX(NOTA[TANGGAL],MATCH(,INDIRECT(ADDRESS(ROW(NOTA[TANGGAL]),COLUMN(NOTA[TANGGAL]))&amp;":"&amp;ADDRESS(ROW(),COLUMN(NOTA[TANGGAL]))),-1)))</f>
        <v>45196</v>
      </c>
      <c r="AJ525" s="55" t="str">
        <f ca="1">IF(NOTA[[#This Row],[NAMA BARANG]]="","",INDEX(NOTA[SUPPLIER],MATCH(,INDIRECT(ADDRESS(ROW(NOTA[ID]),COLUMN(NOTA[ID]))&amp;":"&amp;ADDRESS(ROW(),COLUMN(NOTA[ID]))),-1)))</f>
        <v>KENKO SINAR INDONESIA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9</v>
      </c>
      <c r="AN52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1382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30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94</v>
      </c>
      <c r="E526" s="57"/>
      <c r="F526" s="58"/>
      <c r="G526" s="58"/>
      <c r="H526" s="59"/>
      <c r="I526" s="58"/>
      <c r="J526" s="60"/>
      <c r="K526" s="58"/>
      <c r="L526" s="37" t="s">
        <v>640</v>
      </c>
      <c r="M526" s="61">
        <v>1</v>
      </c>
      <c r="N526" s="56"/>
      <c r="O526" s="58"/>
      <c r="P526" s="55"/>
      <c r="Q526" s="62">
        <v>5702400</v>
      </c>
      <c r="R526" s="63"/>
      <c r="S526" s="64">
        <v>0.17</v>
      </c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5702400</v>
      </c>
      <c r="Y526" s="66">
        <f>IF(NOTA[[#This Row],[JUMLAH]]="","",NOTA[[#This Row],[JUMLAH]]*NOTA[[#This Row],[DISC 1]])</f>
        <v>969408.00000000012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969408.00000000012</v>
      </c>
      <c r="AC526" s="66">
        <f>IF(NOTA[[#This Row],[JUMLAH]]="","",NOTA[[#This Row],[JUMLAH]]-NOTA[[#This Row],[DISC]])</f>
        <v>4732992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26" s="66" t="str">
        <f>IF(OR(NOTA[[#This Row],[QTY]]="",NOTA[[#This Row],[HARGA SATUAN]]="",),"",NOTA[[#This Row],[QTY]]*NOTA[[#This Row],[HARGA SATUAN]])</f>
        <v/>
      </c>
      <c r="AI526" s="60">
        <f ca="1">IF(NOTA[ID_H]="","",INDEX(NOTA[TANGGAL],MATCH(,INDIRECT(ADDRESS(ROW(NOTA[TANGGAL]),COLUMN(NOTA[TANGGAL]))&amp;":"&amp;ADDRESS(ROW(),COLUMN(NOTA[TANGGAL]))),-1)))</f>
        <v>45196</v>
      </c>
      <c r="AJ526" s="55" t="str">
        <f ca="1">IF(NOTA[[#This Row],[NAMA BARANG]]="","",INDEX(NOTA[SUPPLIER],MATCH(,INDIRECT(ADDRESS(ROW(NOTA[ID]),COLUMN(NOTA[ID]))&amp;":"&amp;ADDRESS(ROW(),COLUMN(NOTA[ID]))),-1)))</f>
        <v>KENKO SINAR INDONESIA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9</v>
      </c>
      <c r="AN526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1421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144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94</v>
      </c>
      <c r="E527" s="57"/>
      <c r="F527" s="58"/>
      <c r="G527" s="58"/>
      <c r="H527" s="59"/>
      <c r="I527" s="58"/>
      <c r="J527" s="60"/>
      <c r="K527" s="58"/>
      <c r="L527" s="37" t="s">
        <v>190</v>
      </c>
      <c r="M527" s="61"/>
      <c r="N527" s="56">
        <v>12</v>
      </c>
      <c r="O527" s="37" t="s">
        <v>184</v>
      </c>
      <c r="P527" s="55">
        <v>30500</v>
      </c>
      <c r="Q527" s="62"/>
      <c r="R527" s="63"/>
      <c r="S527" s="64">
        <v>0.17</v>
      </c>
      <c r="T527" s="65"/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366000</v>
      </c>
      <c r="Y527" s="66">
        <f>IF(NOTA[[#This Row],[JUMLAH]]="","",NOTA[[#This Row],[JUMLAH]]*NOTA[[#This Row],[DISC 1]])</f>
        <v>62220.000000000007</v>
      </c>
      <c r="Z527" s="66">
        <f>IF(NOTA[[#This Row],[JUMLAH]]="","",(NOTA[[#This Row],[JUMLAH]]-NOTA[[#This Row],[DISC 1-]])*NOTA[[#This Row],[DISC 2]])</f>
        <v>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62220.000000000007</v>
      </c>
      <c r="AC527" s="66">
        <f>IF(NOTA[[#This Row],[JUMLAH]]="","",NOTA[[#This Row],[JUMLAH]]-NOTA[[#This Row],[DISC]])</f>
        <v>303780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527" s="66">
        <f>IF(OR(NOTA[[#This Row],[QTY]]="",NOTA[[#This Row],[HARGA SATUAN]]="",),"",NOTA[[#This Row],[QTY]]*NOTA[[#This Row],[HARGA SATUAN]])</f>
        <v>366000</v>
      </c>
      <c r="AI527" s="60">
        <f ca="1">IF(NOTA[ID_H]="","",INDEX(NOTA[TANGGAL],MATCH(,INDIRECT(ADDRESS(ROW(NOTA[TANGGAL]),COLUMN(NOTA[TANGGAL]))&amp;":"&amp;ADDRESS(ROW(),COLUMN(NOTA[TANGGAL]))),-1)))</f>
        <v>45196</v>
      </c>
      <c r="AJ527" s="55" t="str">
        <f ca="1">IF(NOTA[[#This Row],[NAMA BARANG]]="","",INDEX(NOTA[SUPPLIER],MATCH(,INDIRECT(ADDRESS(ROW(NOTA[ID]),COLUMN(NOTA[ID]))&amp;":"&amp;ADDRESS(ROW(),COLUMN(NOTA[ID]))),-1)))</f>
        <v>KENKO SINAR INDONESIA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9</v>
      </c>
      <c r="AN527" s="56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1461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48 BOX (10 PCS)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94</v>
      </c>
      <c r="E528" s="57"/>
      <c r="F528" s="58"/>
      <c r="G528" s="58"/>
      <c r="H528" s="59"/>
      <c r="I528" s="58"/>
      <c r="J528" s="60"/>
      <c r="K528" s="58"/>
      <c r="L528" s="37" t="s">
        <v>185</v>
      </c>
      <c r="M528" s="61"/>
      <c r="N528" s="56">
        <v>12</v>
      </c>
      <c r="O528" s="37" t="s">
        <v>184</v>
      </c>
      <c r="P528" s="55">
        <v>30500</v>
      </c>
      <c r="Q528" s="62"/>
      <c r="R528" s="63"/>
      <c r="S528" s="64">
        <v>0.17</v>
      </c>
      <c r="T528" s="65"/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366000</v>
      </c>
      <c r="Y528" s="66">
        <f>IF(NOTA[[#This Row],[JUMLAH]]="","",NOTA[[#This Row],[JUMLAH]]*NOTA[[#This Row],[DISC 1]])</f>
        <v>62220.000000000007</v>
      </c>
      <c r="Z528" s="66">
        <f>IF(NOTA[[#This Row],[JUMLAH]]="","",(NOTA[[#This Row],[JUMLAH]]-NOTA[[#This Row],[DISC 1-]])*NOTA[[#This Row],[DISC 2]])</f>
        <v>0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62220.000000000007</v>
      </c>
      <c r="AC528" s="66">
        <f>IF(NOTA[[#This Row],[JUMLAH]]="","",NOTA[[#This Row],[JUMLAH]]-NOTA[[#This Row],[DISC]])</f>
        <v>303780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528" s="66">
        <f>IF(OR(NOTA[[#This Row],[QTY]]="",NOTA[[#This Row],[HARGA SATUAN]]="",),"",NOTA[[#This Row],[QTY]]*NOTA[[#This Row],[HARGA SATUAN]])</f>
        <v>366000</v>
      </c>
      <c r="AI528" s="60">
        <f ca="1">IF(NOTA[ID_H]="","",INDEX(NOTA[TANGGAL],MATCH(,INDIRECT(ADDRESS(ROW(NOTA[TANGGAL]),COLUMN(NOTA[TANGGAL]))&amp;":"&amp;ADDRESS(ROW(),COLUMN(NOTA[TANGGAL]))),-1)))</f>
        <v>45196</v>
      </c>
      <c r="AJ528" s="55" t="str">
        <f ca="1">IF(NOTA[[#This Row],[NAMA BARANG]]="","",INDEX(NOTA[SUPPLIER],MATCH(,INDIRECT(ADDRESS(ROW(NOTA[ID]),COLUMN(NOTA[ID]))&amp;":"&amp;ADDRESS(ROW(),COLUMN(NOTA[ID]))),-1)))</f>
        <v>KENKO SINAR INDONESIA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9</v>
      </c>
      <c r="AN528" s="56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1463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48 BOX (10 PCS)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94</v>
      </c>
      <c r="E529" s="57"/>
      <c r="F529" s="58"/>
      <c r="G529" s="58"/>
      <c r="H529" s="59"/>
      <c r="I529" s="58"/>
      <c r="J529" s="60"/>
      <c r="K529" s="58"/>
      <c r="L529" s="37" t="s">
        <v>191</v>
      </c>
      <c r="M529" s="61"/>
      <c r="N529" s="56">
        <v>12</v>
      </c>
      <c r="O529" s="37" t="s">
        <v>184</v>
      </c>
      <c r="P529" s="55">
        <v>30500</v>
      </c>
      <c r="Q529" s="62"/>
      <c r="R529" s="63"/>
      <c r="S529" s="64">
        <v>0.17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366000</v>
      </c>
      <c r="Y529" s="66">
        <f>IF(NOTA[[#This Row],[JUMLAH]]="","",NOTA[[#This Row],[JUMLAH]]*NOTA[[#This Row],[DISC 1]])</f>
        <v>62220.000000000007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62220.000000000007</v>
      </c>
      <c r="AC529" s="66">
        <f>IF(NOTA[[#This Row],[JUMLAH]]="","",NOTA[[#This Row],[JUMLAH]]-NOTA[[#This Row],[DISC]])</f>
        <v>303780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529" s="66">
        <f>IF(OR(NOTA[[#This Row],[QTY]]="",NOTA[[#This Row],[HARGA SATUAN]]="",),"",NOTA[[#This Row],[QTY]]*NOTA[[#This Row],[HARGA SATUAN]])</f>
        <v>366000</v>
      </c>
      <c r="AI529" s="60">
        <f ca="1">IF(NOTA[ID_H]="","",INDEX(NOTA[TANGGAL],MATCH(,INDIRECT(ADDRESS(ROW(NOTA[TANGGAL]),COLUMN(NOTA[TANGGAL]))&amp;":"&amp;ADDRESS(ROW(),COLUMN(NOTA[TANGGAL]))),-1)))</f>
        <v>45196</v>
      </c>
      <c r="AJ529" s="55" t="str">
        <f ca="1">IF(NOTA[[#This Row],[NAMA BARANG]]="","",INDEX(NOTA[SUPPLIER],MATCH(,INDIRECT(ADDRESS(ROW(NOTA[ID]),COLUMN(NOTA[ID]))&amp;":"&amp;ADDRESS(ROW(),COLUMN(NOTA[ID]))),-1)))</f>
        <v>KENKO SINAR INDONESIA</v>
      </c>
      <c r="AK529" s="55" t="str">
        <f ca="1">IF(NOTA[[#This Row],[ID_H]]="","",IF(NOTA[[#This Row],[FAKTUR]]="",INDIRECT(ADDRESS(ROW()-1,COLUMN())),NOTA[[#This Row],[FAKTUR]]))</f>
        <v>ARTO MORO</v>
      </c>
      <c r="AL529" s="56" t="str">
        <f ca="1">IF(NOTA[[#This Row],[ID]]="","",COUNTIF(NOTA[ID_H],NOTA[[#This Row],[ID_H]]))</f>
        <v/>
      </c>
      <c r="AM529" s="56">
        <f ca="1">IF(NOTA[[#This Row],[TGL.NOTA]]="",IF(NOTA[[#This Row],[SUPPLIER_H]]="","",AM528),MONTH(NOTA[[#This Row],[TGL.NOTA]]))</f>
        <v>9</v>
      </c>
      <c r="AN529" s="56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>
        <f>IF(NOTA[[#This Row],[CONCAT1]]="","",MATCH(NOTA[[#This Row],[CONCAT1]],[3]!db[NB NOTA_C],0))</f>
        <v>1464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>48 BOX (10 PCS)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94</v>
      </c>
      <c r="E530" s="57"/>
      <c r="F530" s="58"/>
      <c r="G530" s="58"/>
      <c r="H530" s="59"/>
      <c r="I530" s="58"/>
      <c r="J530" s="60"/>
      <c r="K530" s="58"/>
      <c r="L530" s="37" t="s">
        <v>186</v>
      </c>
      <c r="M530" s="61"/>
      <c r="N530" s="56">
        <v>12</v>
      </c>
      <c r="O530" s="37" t="s">
        <v>184</v>
      </c>
      <c r="P530" s="55">
        <v>30500</v>
      </c>
      <c r="Q530" s="62"/>
      <c r="R530" s="63"/>
      <c r="S530" s="64">
        <v>0.17</v>
      </c>
      <c r="T530" s="65"/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366000</v>
      </c>
      <c r="Y530" s="66">
        <f>IF(NOTA[[#This Row],[JUMLAH]]="","",NOTA[[#This Row],[JUMLAH]]*NOTA[[#This Row],[DISC 1]])</f>
        <v>62220.000000000007</v>
      </c>
      <c r="Z530" s="66">
        <f>IF(NOTA[[#This Row],[JUMLAH]]="","",(NOTA[[#This Row],[JUMLAH]]-NOTA[[#This Row],[DISC 1-]])*NOTA[[#This Row],[DISC 2]])</f>
        <v>0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62220.000000000007</v>
      </c>
      <c r="AC530" s="66">
        <f>IF(NOTA[[#This Row],[JUMLAH]]="","",NOTA[[#This Row],[JUMLAH]]-NOTA[[#This Row],[DISC]])</f>
        <v>303780</v>
      </c>
      <c r="AD530" s="66"/>
      <c r="AE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2650164</v>
      </c>
      <c r="AF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12939036</v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530" s="66">
        <f>IF(OR(NOTA[[#This Row],[QTY]]="",NOTA[[#This Row],[HARGA SATUAN]]="",),"",NOTA[[#This Row],[QTY]]*NOTA[[#This Row],[HARGA SATUAN]])</f>
        <v>366000</v>
      </c>
      <c r="AI530" s="60">
        <f ca="1">IF(NOTA[ID_H]="","",INDEX(NOTA[TANGGAL],MATCH(,INDIRECT(ADDRESS(ROW(NOTA[TANGGAL]),COLUMN(NOTA[TANGGAL]))&amp;":"&amp;ADDRESS(ROW(),COLUMN(NOTA[TANGGAL]))),-1)))</f>
        <v>45196</v>
      </c>
      <c r="AJ530" s="55" t="str">
        <f ca="1">IF(NOTA[[#This Row],[NAMA BARANG]]="","",INDEX(NOTA[SUPPLIER],MATCH(,INDIRECT(ADDRESS(ROW(NOTA[ID]),COLUMN(NOTA[ID]))&amp;":"&amp;ADDRESS(ROW(),COLUMN(NOTA[ID]))),-1)))</f>
        <v>KENKO SINAR INDONESIA</v>
      </c>
      <c r="AK530" s="55" t="str">
        <f ca="1">IF(NOTA[[#This Row],[ID_H]]="","",IF(NOTA[[#This Row],[FAKTUR]]="",INDIRECT(ADDRESS(ROW()-1,COLUMN())),NOTA[[#This Row],[FAKTUR]]))</f>
        <v>ARTO MORO</v>
      </c>
      <c r="AL530" s="56" t="str">
        <f ca="1">IF(NOTA[[#This Row],[ID]]="","",COUNTIF(NOTA[ID_H],NOTA[[#This Row],[ID_H]]))</f>
        <v/>
      </c>
      <c r="AM530" s="56">
        <f ca="1">IF(NOTA[[#This Row],[TGL.NOTA]]="",IF(NOTA[[#This Row],[SUPPLIER_H]]="","",AM529),MONTH(NOTA[[#This Row],[TGL.NOTA]]))</f>
        <v>9</v>
      </c>
      <c r="AN530" s="56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>
        <f>IF(NOTA[[#This Row],[CONCAT1]]="","",MATCH(NOTA[[#This Row],[CONCAT1]],[3]!db[NB NOTA_C],0))</f>
        <v>1465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48 BOX (10 PCS)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KEN_2709_008-1</v>
      </c>
      <c r="C532" s="56" t="e">
        <f ca="1">IF(NOTA[[#This Row],[ID_P]]="","",MATCH(NOTA[[#This Row],[ID_P]],[1]!B_MSK[N_ID],0))</f>
        <v>#REF!</v>
      </c>
      <c r="D532" s="56">
        <f ca="1">IF(NOTA[[#This Row],[NAMA BARANG]]="","",INDEX(NOTA[ID],MATCH(,INDIRECT(ADDRESS(ROW(NOTA[ID]),COLUMN(NOTA[ID]))&amp;":"&amp;ADDRESS(ROW(),COLUMN(NOTA[ID]))),-1)))</f>
        <v>95</v>
      </c>
      <c r="E532" s="57"/>
      <c r="F532" s="37" t="s">
        <v>22</v>
      </c>
      <c r="G532" s="37" t="s">
        <v>23</v>
      </c>
      <c r="H532" s="47" t="s">
        <v>641</v>
      </c>
      <c r="I532" s="58"/>
      <c r="J532" s="60">
        <v>45191</v>
      </c>
      <c r="K532" s="58"/>
      <c r="L532" s="37" t="s">
        <v>640</v>
      </c>
      <c r="M532" s="61">
        <v>2</v>
      </c>
      <c r="N532" s="56"/>
      <c r="O532" s="58"/>
      <c r="P532" s="55"/>
      <c r="Q532" s="62">
        <v>5702400</v>
      </c>
      <c r="R532" s="63"/>
      <c r="S532" s="64">
        <v>0.17</v>
      </c>
      <c r="T532" s="65"/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11404800</v>
      </c>
      <c r="Y532" s="66">
        <f>IF(NOTA[[#This Row],[JUMLAH]]="","",NOTA[[#This Row],[JUMLAH]]*NOTA[[#This Row],[DISC 1]])</f>
        <v>1938816.0000000002</v>
      </c>
      <c r="Z532" s="66">
        <f>IF(NOTA[[#This Row],[JUMLAH]]="","",(NOTA[[#This Row],[JUMLAH]]-NOTA[[#This Row],[DISC 1-]])*NOTA[[#This Row],[DISC 2]])</f>
        <v>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1938816.0000000002</v>
      </c>
      <c r="AC532" s="66">
        <f>IF(NOTA[[#This Row],[JUMLAH]]="","",NOTA[[#This Row],[JUMLAH]]-NOTA[[#This Row],[DISC]])</f>
        <v>9465984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1938816.0000000002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9465984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32" s="66" t="str">
        <f>IF(OR(NOTA[[#This Row],[QTY]]="",NOTA[[#This Row],[HARGA SATUAN]]="",),"",NOTA[[#This Row],[QTY]]*NOTA[[#This Row],[HARGA SATUAN]])</f>
        <v/>
      </c>
      <c r="AI532" s="60">
        <f ca="1">IF(NOTA[ID_H]="","",INDEX(NOTA[TANGGAL],MATCH(,INDIRECT(ADDRESS(ROW(NOTA[TANGGAL]),COLUMN(NOTA[TANGGAL]))&amp;":"&amp;ADDRESS(ROW(),COLUMN(NOTA[TANGGAL]))),-1)))</f>
        <v>45196</v>
      </c>
      <c r="AJ532" s="55" t="str">
        <f ca="1">IF(NOTA[[#This Row],[NAMA BARANG]]="","",INDEX(NOTA[SUPPLIER],MATCH(,INDIRECT(ADDRESS(ROW(NOTA[ID]),COLUMN(NOTA[ID]))&amp;":"&amp;ADDRESS(ROW(),COLUMN(NOTA[ID]))),-1)))</f>
        <v>KENKO SINAR INDONESIA</v>
      </c>
      <c r="AK532" s="55" t="str">
        <f ca="1">IF(NOTA[[#This Row],[ID_H]]="","",IF(NOTA[[#This Row],[FAKTUR]]="",INDIRECT(ADDRESS(ROW()-1,COLUMN())),NOTA[[#This Row],[FAKTUR]]))</f>
        <v>ARTO MORO</v>
      </c>
      <c r="AL532" s="56">
        <f ca="1">IF(NOTA[[#This Row],[ID]]="","",COUNTIF(NOTA[ID_H],NOTA[[#This Row],[ID_H]]))</f>
        <v>1</v>
      </c>
      <c r="AM532" s="56">
        <f>IF(NOTA[[#This Row],[TGL.NOTA]]="",IF(NOTA[[#This Row],[SUPPLIER_H]]="","",AM531),MONTH(NOTA[[#This Row],[TGL.NOTA]]))</f>
        <v>9</v>
      </c>
      <c r="AN532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MORO2309200845191kenkogelpenk1black</v>
      </c>
      <c r="AR532" s="56" t="e">
        <f>IF(NOTA[[#This Row],[CONCAT4]]="","",_xlfn.IFNA(MATCH(NOTA[[#This Row],[CONCAT4]],[2]!RAW[CONCAT_H],0),FALSE))</f>
        <v>#REF!</v>
      </c>
      <c r="AS532" s="56">
        <f>IF(NOTA[[#This Row],[CONCAT1]]="","",MATCH(NOTA[[#This Row],[CONCAT1]],[3]!db[NB NOTA_C],0))</f>
        <v>1421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144 LSN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ATA_2709_837-3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96</v>
      </c>
      <c r="E534" s="57"/>
      <c r="F534" s="37" t="s">
        <v>24</v>
      </c>
      <c r="G534" s="37" t="s">
        <v>23</v>
      </c>
      <c r="H534" s="47" t="s">
        <v>642</v>
      </c>
      <c r="I534" s="58"/>
      <c r="J534" s="60">
        <v>45191</v>
      </c>
      <c r="K534" s="58"/>
      <c r="L534" s="37" t="s">
        <v>474</v>
      </c>
      <c r="M534" s="61">
        <v>1</v>
      </c>
      <c r="N534" s="56">
        <v>48</v>
      </c>
      <c r="O534" s="37" t="s">
        <v>133</v>
      </c>
      <c r="P534" s="55">
        <v>29600</v>
      </c>
      <c r="Q534" s="62"/>
      <c r="R534" s="63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1420800</v>
      </c>
      <c r="Y534" s="66">
        <f>IF(NOTA[[#This Row],[JUMLAH]]="","",NOTA[[#This Row],[JUMLAH]]*NOTA[[#This Row],[DISC 1]])</f>
        <v>177600</v>
      </c>
      <c r="Z534" s="66">
        <f>IF(NOTA[[#This Row],[JUMLAH]]="","",(NOTA[[#This Row],[JUMLAH]]-NOTA[[#This Row],[DISC 1-]])*NOTA[[#This Row],[DISC 2]])</f>
        <v>62160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239760</v>
      </c>
      <c r="AC534" s="66">
        <f>IF(NOTA[[#This Row],[JUMLAH]]="","",NOTA[[#This Row],[JUMLAH]]-NOTA[[#This Row],[DISC]])</f>
        <v>1181040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34" s="66">
        <f>IF(OR(NOTA[[#This Row],[QTY]]="",NOTA[[#This Row],[HARGA SATUAN]]="",),"",NOTA[[#This Row],[QTY]]*NOTA[[#This Row],[HARGA SATUAN]])</f>
        <v>1420800</v>
      </c>
      <c r="AI534" s="60">
        <f ca="1">IF(NOTA[ID_H]="","",INDEX(NOTA[TANGGAL],MATCH(,INDIRECT(ADDRESS(ROW(NOTA[TANGGAL]),COLUMN(NOTA[TANGGAL]))&amp;":"&amp;ADDRESS(ROW(),COLUMN(NOTA[TANGGAL]))),-1)))</f>
        <v>45196</v>
      </c>
      <c r="AJ534" s="55" t="str">
        <f ca="1">IF(NOTA[[#This Row],[NAMA BARANG]]="","",INDEX(NOTA[SUPPLIER],MATCH(,INDIRECT(ADDRESS(ROW(NOTA[ID]),COLUMN(NOTA[ID]))&amp;":"&amp;ADDRESS(ROW(),COLUMN(NOTA[ID]))),-1)))</f>
        <v>ATALI MAKMUR</v>
      </c>
      <c r="AK534" s="55" t="str">
        <f ca="1">IF(NOTA[[#This Row],[ID_H]]="","",IF(NOTA[[#This Row],[FAKTUR]]="",INDIRECT(ADDRESS(ROW()-1,COLUMN())),NOTA[[#This Row],[FAKTUR]]))</f>
        <v>ARTO MORO</v>
      </c>
      <c r="AL534" s="56">
        <f ca="1">IF(NOTA[[#This Row],[ID]]="","",COUNTIF(NOTA[ID_H],NOTA[[#This Row],[ID_H]]))</f>
        <v>3</v>
      </c>
      <c r="AM534" s="56">
        <f>IF(NOTA[[#This Row],[TGL.NOTA]]="",IF(NOTA[[#This Row],[SUPPLIER_H]]="","",AM533),MONTH(NOTA[[#This Row],[TGL.NOTA]]))</f>
        <v>9</v>
      </c>
      <c r="AN534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MOROSA23091683745191oilpastelop24sppcaseseaworldjk</v>
      </c>
      <c r="AR534" s="56" t="e">
        <f>IF(NOTA[[#This Row],[CONCAT4]]="","",_xlfn.IFNA(MATCH(NOTA[[#This Row],[CONCAT4]],[2]!RAW[CONCAT_H],0),FALSE))</f>
        <v>#REF!</v>
      </c>
      <c r="AS534" s="56">
        <f>IF(NOTA[[#This Row],[CONCAT1]]="","",MATCH(NOTA[[#This Row],[CONCAT1]],[3]!db[NB NOTA_C],0))</f>
        <v>1899</v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>8 BOX (6 SET)</v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34" s="56" t="e">
        <f ca="1">IF(NOTA[[#This Row],[ID_H]]="","",MATCH(NOTA[[#This Row],[NB NOTA_C_QTY]],[4]!db[NB NOTA_C_QTY+F],0))</f>
        <v>#REF!</v>
      </c>
      <c r="AX534" s="68">
        <f ca="1">IF(NOTA[[#This Row],[NB NOTA_C_QTY]]="","",ROW()-2)</f>
        <v>532</v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96</v>
      </c>
      <c r="E535" s="57"/>
      <c r="F535" s="58"/>
      <c r="G535" s="58"/>
      <c r="H535" s="59"/>
      <c r="I535" s="58"/>
      <c r="J535" s="60"/>
      <c r="K535" s="58"/>
      <c r="L535" s="37" t="s">
        <v>643</v>
      </c>
      <c r="M535" s="61">
        <v>1</v>
      </c>
      <c r="N535" s="56">
        <v>12</v>
      </c>
      <c r="O535" s="37" t="s">
        <v>213</v>
      </c>
      <c r="P535" s="55">
        <v>176400</v>
      </c>
      <c r="Q535" s="62"/>
      <c r="R535" s="63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2116800</v>
      </c>
      <c r="Y535" s="66">
        <f>IF(NOTA[[#This Row],[JUMLAH]]="","",NOTA[[#This Row],[JUMLAH]]*NOTA[[#This Row],[DISC 1]])</f>
        <v>264600</v>
      </c>
      <c r="Z535" s="66">
        <f>IF(NOTA[[#This Row],[JUMLAH]]="","",(NOTA[[#This Row],[JUMLAH]]-NOTA[[#This Row],[DISC 1-]])*NOTA[[#This Row],[DISC 2]])</f>
        <v>92610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357210</v>
      </c>
      <c r="AC535" s="66">
        <f>IF(NOTA[[#This Row],[JUMLAH]]="","",NOTA[[#This Row],[JUMLAH]]-NOTA[[#This Row],[DISC]])</f>
        <v>1759590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35" s="66">
        <f>IF(OR(NOTA[[#This Row],[QTY]]="",NOTA[[#This Row],[HARGA SATUAN]]="",),"",NOTA[[#This Row],[QTY]]*NOTA[[#This Row],[HARGA SATUAN]])</f>
        <v>2116800</v>
      </c>
      <c r="AI535" s="60">
        <f ca="1">IF(NOTA[ID_H]="","",INDEX(NOTA[TANGGAL],MATCH(,INDIRECT(ADDRESS(ROW(NOTA[TANGGAL]),COLUMN(NOTA[TANGGAL]))&amp;":"&amp;ADDRESS(ROW(),COLUMN(NOTA[TANGGAL]))),-1)))</f>
        <v>45196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 t="str">
        <f ca="1">IF(NOTA[[#This Row],[ID]]="","",COUNTIF(NOTA[ID_H],NOTA[[#This Row],[ID_H]]))</f>
        <v/>
      </c>
      <c r="AM535" s="56">
        <f ca="1">IF(NOTA[[#This Row],[TGL.NOTA]]="",IF(NOTA[[#This Row],[SUPPLIER_H]]="","",AM534),MONTH(NOTA[[#This Row],[TGL.NOTA]]))</f>
        <v>9</v>
      </c>
      <c r="AN535" s="5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>
        <f>IF(NOTA[[#This Row],[CONCAT1]]="","",MATCH(NOTA[[#This Row],[CONCAT1]],[3]!db[NB NOTA_C],0))</f>
        <v>2170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12 GRS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96</v>
      </c>
      <c r="E536" s="57"/>
      <c r="F536" s="58"/>
      <c r="G536" s="58"/>
      <c r="H536" s="59"/>
      <c r="I536" s="58"/>
      <c r="J536" s="60"/>
      <c r="K536" s="58"/>
      <c r="L536" s="37" t="s">
        <v>209</v>
      </c>
      <c r="M536" s="61">
        <v>1</v>
      </c>
      <c r="N536" s="56">
        <v>144</v>
      </c>
      <c r="O536" s="37" t="s">
        <v>133</v>
      </c>
      <c r="P536" s="55">
        <v>23900</v>
      </c>
      <c r="Q536" s="62"/>
      <c r="R536" s="63"/>
      <c r="S536" s="64">
        <v>0.125</v>
      </c>
      <c r="T536" s="65">
        <v>0.05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3441600</v>
      </c>
      <c r="Y536" s="66">
        <f>IF(NOTA[[#This Row],[JUMLAH]]="","",NOTA[[#This Row],[JUMLAH]]*NOTA[[#This Row],[DISC 1]])</f>
        <v>430200</v>
      </c>
      <c r="Z536" s="66">
        <f>IF(NOTA[[#This Row],[JUMLAH]]="","",(NOTA[[#This Row],[JUMLAH]]-NOTA[[#This Row],[DISC 1-]])*NOTA[[#This Row],[DISC 2]])</f>
        <v>150570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580770</v>
      </c>
      <c r="AC536" s="66">
        <f>IF(NOTA[[#This Row],[JUMLAH]]="","",NOTA[[#This Row],[JUMLAH]]-NOTA[[#This Row],[DISC]])</f>
        <v>2860830</v>
      </c>
      <c r="AD536" s="66"/>
      <c r="AE5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1177740</v>
      </c>
      <c r="AF5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5801460</v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36" s="66">
        <f>IF(OR(NOTA[[#This Row],[QTY]]="",NOTA[[#This Row],[HARGA SATUAN]]="",),"",NOTA[[#This Row],[QTY]]*NOTA[[#This Row],[HARGA SATUAN]])</f>
        <v>3441600</v>
      </c>
      <c r="AI536" s="60">
        <f ca="1">IF(NOTA[ID_H]="","",INDEX(NOTA[TANGGAL],MATCH(,INDIRECT(ADDRESS(ROW(NOTA[TANGGAL]),COLUMN(NOTA[TANGGAL]))&amp;":"&amp;ADDRESS(ROW(),COLUMN(NOTA[TANGGAL]))),-1)))</f>
        <v>45196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9</v>
      </c>
      <c r="AN536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671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12 LSN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ERA_2709_ 22-1</v>
      </c>
      <c r="C538" s="56" t="e">
        <f ca="1">IF(NOTA[[#This Row],[ID_P]]="","",MATCH(NOTA[[#This Row],[ID_P]],[1]!B_MSK[N_ID],0))</f>
        <v>#REF!</v>
      </c>
      <c r="D538" s="56">
        <f ca="1">IF(NOTA[[#This Row],[NAMA BARANG]]="","",INDEX(NOTA[ID],MATCH(,INDIRECT(ADDRESS(ROW(NOTA[ID]),COLUMN(NOTA[ID]))&amp;":"&amp;ADDRESS(ROW(),COLUMN(NOTA[ID]))),-1)))</f>
        <v>97</v>
      </c>
      <c r="E538" s="46">
        <v>45196</v>
      </c>
      <c r="F538" s="37" t="s">
        <v>644</v>
      </c>
      <c r="G538" s="37" t="s">
        <v>124</v>
      </c>
      <c r="H538" s="47" t="s">
        <v>645</v>
      </c>
      <c r="I538" s="58"/>
      <c r="J538" s="60">
        <v>45191</v>
      </c>
      <c r="K538" s="58"/>
      <c r="L538" s="37" t="s">
        <v>646</v>
      </c>
      <c r="M538" s="61">
        <v>10</v>
      </c>
      <c r="N538" s="56">
        <v>120</v>
      </c>
      <c r="O538" s="37" t="s">
        <v>139</v>
      </c>
      <c r="P538" s="55">
        <v>34000</v>
      </c>
      <c r="Q538" s="62"/>
      <c r="R538" s="48" t="s">
        <v>216</v>
      </c>
      <c r="S538" s="64"/>
      <c r="T538" s="65"/>
      <c r="U538" s="65"/>
      <c r="V538" s="66"/>
      <c r="W538" s="45" t="s">
        <v>647</v>
      </c>
      <c r="X538" s="66">
        <f>IF(NOTA[[#This Row],[HARGA/ CTN]]="",NOTA[[#This Row],[JUMLAH_H]],NOTA[[#This Row],[HARGA/ CTN]]*IF(NOTA[[#This Row],[C]]="",0,NOTA[[#This Row],[C]]))</f>
        <v>4080000</v>
      </c>
      <c r="Y538" s="66">
        <f>IF(NOTA[[#This Row],[JUMLAH]]="","",NOTA[[#This Row],[JUMLAH]]*NOTA[[#This Row],[DISC 1]])</f>
        <v>0</v>
      </c>
      <c r="Z538" s="66">
        <f>IF(NOTA[[#This Row],[JUMLAH]]="","",(NOTA[[#This Row],[JUMLAH]]-NOTA[[#This Row],[DISC 1-]])*NOTA[[#This Row],[DISC 2]])</f>
        <v>0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0</v>
      </c>
      <c r="AC538" s="66">
        <f>IF(NOTA[[#This Row],[JUMLAH]]="","",NOTA[[#This Row],[JUMLAH]]-NOTA[[#This Row],[DISC]])</f>
        <v>4080000</v>
      </c>
      <c r="AD538" s="66"/>
      <c r="AE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G538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538" s="66">
        <f>IF(OR(NOTA[[#This Row],[QTY]]="",NOTA[[#This Row],[HARGA SATUAN]]="",),"",NOTA[[#This Row],[QTY]]*NOTA[[#This Row],[HARGA SATUAN]])</f>
        <v>4080000</v>
      </c>
      <c r="AI538" s="60">
        <f ca="1">IF(NOTA[ID_H]="","",INDEX(NOTA[TANGGAL],MATCH(,INDIRECT(ADDRESS(ROW(NOTA[TANGGAL]),COLUMN(NOTA[TANGGAL]))&amp;":"&amp;ADDRESS(ROW(),COLUMN(NOTA[TANGGAL]))),-1)))</f>
        <v>45196</v>
      </c>
      <c r="AJ538" s="55" t="str">
        <f ca="1">IF(NOTA[[#This Row],[NAMA BARANG]]="","",INDEX(NOTA[SUPPLIER],MATCH(,INDIRECT(ADDRESS(ROW(NOTA[ID]),COLUMN(NOTA[ID]))&amp;":"&amp;ADDRESS(ROW(),COLUMN(NOTA[ID]))),-1)))</f>
        <v>ERA JAYA</v>
      </c>
      <c r="AK538" s="55" t="str">
        <f ca="1">IF(NOTA[[#This Row],[ID_H]]="","",IF(NOTA[[#This Row],[FAKTUR]]="",INDIRECT(ADDRESS(ROW()-1,COLUMN())),NOTA[[#This Row],[FAKTUR]]))</f>
        <v>UNTANA</v>
      </c>
      <c r="AL538" s="56">
        <f ca="1">IF(NOTA[[#This Row],[ID]]="","",COUNTIF(NOTA[ID_H],NOTA[[#This Row],[ID_H]]))</f>
        <v>1</v>
      </c>
      <c r="AM538" s="56">
        <f>IF(NOTA[[#This Row],[TGL.NOTA]]="",IF(NOTA[[#This Row],[SUPPLIER_H]]="","",AM537),MONTH(NOTA[[#This Row],[TGL.NOTA]]))</f>
        <v>9</v>
      </c>
      <c r="AN538" s="56" t="str">
        <f>LOWER(SUBSTITUTE(SUBSTITUTE(SUBSTITUTE(SUBSTITUTE(SUBSTITUTE(SUBSTITUTE(SUBSTITUTE(SUBSTITUTE(SUBSTITUTE(NOTA[NAMA BARANG]," ",),".",""),"-",""),"(",""),")",""),",",""),"/",""),"""",""),"+",""))</f>
        <v>clipboardkayuphoenix</v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clipboardkayuphoenix408000</v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clipboardkayuphoenix408000</v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005839/ V/ 2245191clipboardkayuphoenix</v>
      </c>
      <c r="AR538" s="56" t="e">
        <f>IF(NOTA[[#This Row],[CONCAT4]]="","",_xlfn.IFNA(MATCH(NOTA[[#This Row],[CONCAT4]],[2]!RAW[CONCAT_H],0),FALSE))</f>
        <v>#REF!</v>
      </c>
      <c r="AS538" s="56" t="e">
        <f>IF(NOTA[[#This Row],[CONCAT1]]="","",MATCH(NOTA[[#This Row],[CONCAT1]],[3]!db[NB NOTA_C],0))</f>
        <v>#N/A</v>
      </c>
      <c r="AT538" s="56" t="b">
        <f>IF(NOTA[[#This Row],[QTY/ CTN]]="","",TRUE)</f>
        <v>1</v>
      </c>
      <c r="AU538" s="56" t="str">
        <f ca="1">IF(NOTA[[#This Row],[ID_H]]="","",IF(NOTA[[#This Row],[Column3]]=TRUE,NOTA[[#This Row],[QTY/ CTN]],INDEX([3]!db[QTY/ CTN],NOTA[[#This Row],[//DB]])))</f>
        <v>12 LSN</v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clipboardkayuphoenix12lsnuntana</v>
      </c>
      <c r="AW538" s="56" t="e">
        <f ca="1">IF(NOTA[[#This Row],[ID_H]]="","",MATCH(NOTA[[#This Row],[NB NOTA_C_QTY]],[4]!db[NB NOTA_C_QTY+F],0))</f>
        <v>#REF!</v>
      </c>
      <c r="AX538" s="68">
        <f ca="1">IF(NOTA[[#This Row],[NB NOTA_C_QTY]]="","",ROW()-2)</f>
        <v>536</v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PPW_2709_X23-2</v>
      </c>
      <c r="C540" s="56" t="e">
        <f ca="1">IF(NOTA[[#This Row],[ID_P]]="","",MATCH(NOTA[[#This Row],[ID_P]],[1]!B_MSK[N_ID],0))</f>
        <v>#REF!</v>
      </c>
      <c r="D540" s="56">
        <f ca="1">IF(NOTA[[#This Row],[NAMA BARANG]]="","",INDEX(NOTA[ID],MATCH(,INDIRECT(ADDRESS(ROW(NOTA[ID]),COLUMN(NOTA[ID]))&amp;":"&amp;ADDRESS(ROW(),COLUMN(NOTA[ID]))),-1)))</f>
        <v>98</v>
      </c>
      <c r="E540" s="57">
        <v>45196</v>
      </c>
      <c r="F540" s="37" t="s">
        <v>291</v>
      </c>
      <c r="G540" s="37" t="s">
        <v>124</v>
      </c>
      <c r="H540" s="47" t="s">
        <v>648</v>
      </c>
      <c r="I540" s="58"/>
      <c r="J540" s="60">
        <v>45192</v>
      </c>
      <c r="K540" s="58"/>
      <c r="L540" s="37" t="s">
        <v>295</v>
      </c>
      <c r="M540" s="61"/>
      <c r="N540" s="56">
        <v>16</v>
      </c>
      <c r="O540" s="37" t="s">
        <v>139</v>
      </c>
      <c r="P540" s="55">
        <v>63180</v>
      </c>
      <c r="Q540" s="62"/>
      <c r="R540" s="48" t="s">
        <v>296</v>
      </c>
      <c r="S540" s="64">
        <v>0.2</v>
      </c>
      <c r="T540" s="65">
        <v>0.04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1010880</v>
      </c>
      <c r="Y540" s="66">
        <f>IF(NOTA[[#This Row],[JUMLAH]]="","",NOTA[[#This Row],[JUMLAH]]*NOTA[[#This Row],[DISC 1]])</f>
        <v>202176</v>
      </c>
      <c r="Z540" s="66">
        <f>IF(NOTA[[#This Row],[JUMLAH]]="","",(NOTA[[#This Row],[JUMLAH]]-NOTA[[#This Row],[DISC 1-]])*NOTA[[#This Row],[DISC 2]])</f>
        <v>32348.16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234524.16</v>
      </c>
      <c r="AC540" s="66">
        <f>IF(NOTA[[#This Row],[JUMLAH]]="","",NOTA[[#This Row],[JUMLAH]]-NOTA[[#This Row],[DISC]])</f>
        <v>776355.83999999997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540" s="66">
        <f>IF(OR(NOTA[[#This Row],[QTY]]="",NOTA[[#This Row],[HARGA SATUAN]]="",),"",NOTA[[#This Row],[QTY]]*NOTA[[#This Row],[HARGA SATUAN]])</f>
        <v>1010880</v>
      </c>
      <c r="AI540" s="60">
        <f ca="1">IF(NOTA[ID_H]="","",INDEX(NOTA[TANGGAL],MATCH(,INDIRECT(ADDRESS(ROW(NOTA[TANGGAL]),COLUMN(NOTA[TANGGAL]))&amp;":"&amp;ADDRESS(ROW(),COLUMN(NOTA[TANGGAL]))),-1)))</f>
        <v>45196</v>
      </c>
      <c r="AJ540" s="55" t="str">
        <f ca="1">IF(NOTA[[#This Row],[NAMA BARANG]]="","",INDEX(NOTA[SUPPLIER],MATCH(,INDIRECT(ADDRESS(ROW(NOTA[ID]),COLUMN(NOTA[ID]))&amp;":"&amp;ADDRESS(ROW(),COLUMN(NOTA[ID]))),-1)))</f>
        <v>PPW</v>
      </c>
      <c r="AK540" s="55" t="str">
        <f ca="1">IF(NOTA[[#This Row],[ID_H]]="","",IF(NOTA[[#This Row],[FAKTUR]]="",INDIRECT(ADDRESS(ROW()-1,COLUMN())),NOTA[[#This Row],[FAKTUR]]))</f>
        <v>UNTANA</v>
      </c>
      <c r="AL540" s="56">
        <f ca="1">IF(NOTA[[#This Row],[ID]]="","",COUNTIF(NOTA[ID_H],NOTA[[#This Row],[ID_H]]))</f>
        <v>2</v>
      </c>
      <c r="AM540" s="56">
        <f>IF(NOTA[[#This Row],[TGL.NOTA]]="",IF(NOTA[[#This Row],[SUPPLIER_H]]="","",AM539),MONTH(NOTA[[#This Row],[TGL.NOTA]]))</f>
        <v>9</v>
      </c>
      <c r="AN540" s="56" t="str">
        <f>LOWER(SUBSTITUTE(SUBSTITUTE(SUBSTITUTE(SUBSTITUTE(SUBSTITUTE(SUBSTITUTE(SUBSTITUTE(SUBSTITUTE(SUBSTITUTE(NOTA[NAMA BARANG]," ",),".",""),"-",""),"(",""),")",""),",",""),"/",""),"""",""),"+",""))</f>
        <v>segitigabtno6</v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segitigabtno6631800.20.04</v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PPWUNTANA0290/HW/IX/2345192segitigabtno6</v>
      </c>
      <c r="AR540" s="56" t="e">
        <f>IF(NOTA[[#This Row],[CONCAT4]]="","",_xlfn.IFNA(MATCH(NOTA[[#This Row],[CONCAT4]],[2]!RAW[CONCAT_H],0),FALSE))</f>
        <v>#REF!</v>
      </c>
      <c r="AS540" s="56">
        <f>IF(NOTA[[#This Row],[CONCAT1]]="","",MATCH(NOTA[[#This Row],[CONCAT1]],[3]!db[NB NOTA_C],0))</f>
        <v>2417</v>
      </c>
      <c r="AT540" s="56" t="b">
        <f>IF(NOTA[[#This Row],[QTY/ CTN]]="","",TRUE)</f>
        <v>1</v>
      </c>
      <c r="AU540" s="56" t="str">
        <f ca="1">IF(NOTA[[#This Row],[ID_H]]="","",IF(NOTA[[#This Row],[Column3]]=TRUE,NOTA[[#This Row],[QTY/ CTN]],INDEX([3]!db[QTY/ CTN],NOTA[[#This Row],[//DB]])))</f>
        <v>16 LSN</v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W540" s="56" t="e">
        <f ca="1">IF(NOTA[[#This Row],[ID_H]]="","",MATCH(NOTA[[#This Row],[NB NOTA_C_QTY]],[4]!db[NB NOTA_C_QTY+F],0))</f>
        <v>#REF!</v>
      </c>
      <c r="AX540" s="68">
        <f ca="1">IF(NOTA[[#This Row],[NB NOTA_C_QTY]]="","",ROW()-2)</f>
        <v>538</v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98</v>
      </c>
      <c r="E541" s="57"/>
      <c r="F541" s="58"/>
      <c r="G541" s="58"/>
      <c r="H541" s="59"/>
      <c r="I541" s="58"/>
      <c r="J541" s="60"/>
      <c r="K541" s="69"/>
      <c r="L541" s="37" t="s">
        <v>649</v>
      </c>
      <c r="M541" s="61"/>
      <c r="N541" s="38">
        <v>16</v>
      </c>
      <c r="O541" s="37" t="s">
        <v>139</v>
      </c>
      <c r="P541" s="55">
        <v>179780</v>
      </c>
      <c r="Q541" s="62"/>
      <c r="R541" s="48" t="s">
        <v>296</v>
      </c>
      <c r="S541" s="64">
        <v>0.2</v>
      </c>
      <c r="T541" s="65">
        <v>0.04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2876480</v>
      </c>
      <c r="Y541" s="66">
        <f>IF(NOTA[[#This Row],[JUMLAH]]="","",NOTA[[#This Row],[JUMLAH]]*NOTA[[#This Row],[DISC 1]])</f>
        <v>575296</v>
      </c>
      <c r="Z541" s="66">
        <f>IF(NOTA[[#This Row],[JUMLAH]]="","",(NOTA[[#This Row],[JUMLAH]]-NOTA[[#This Row],[DISC 1-]])*NOTA[[#This Row],[DISC 2]])</f>
        <v>92047.360000000001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667343.35999999999</v>
      </c>
      <c r="AC541" s="66">
        <f>IF(NOTA[[#This Row],[JUMLAH]]="","",NOTA[[#This Row],[JUMLAH]]-NOTA[[#This Row],[DISC]])</f>
        <v>2209136.6400000001</v>
      </c>
      <c r="AD541" s="66"/>
      <c r="AE54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901867.52000000002</v>
      </c>
      <c r="AF54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2985492.48</v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541" s="66">
        <f>IF(OR(NOTA[[#This Row],[QTY]]="",NOTA[[#This Row],[HARGA SATUAN]]="",),"",NOTA[[#This Row],[QTY]]*NOTA[[#This Row],[HARGA SATUAN]])</f>
        <v>2876480</v>
      </c>
      <c r="AI541" s="60">
        <f ca="1">IF(NOTA[ID_H]="","",INDEX(NOTA[TANGGAL],MATCH(,INDIRECT(ADDRESS(ROW(NOTA[TANGGAL]),COLUMN(NOTA[TANGGAL]))&amp;":"&amp;ADDRESS(ROW(),COLUMN(NOTA[TANGGAL]))),-1)))</f>
        <v>45196</v>
      </c>
      <c r="AJ541" s="55" t="str">
        <f ca="1">IF(NOTA[[#This Row],[NAMA BARANG]]="","",INDEX(NOTA[SUPPLIER],MATCH(,INDIRECT(ADDRESS(ROW(NOTA[ID]),COLUMN(NOTA[ID]))&amp;":"&amp;ADDRESS(ROW(),COLUMN(NOTA[ID]))),-1)))</f>
        <v>PPW</v>
      </c>
      <c r="AK541" s="55" t="str">
        <f ca="1">IF(NOTA[[#This Row],[ID_H]]="","",IF(NOTA[[#This Row],[FAKTUR]]="",INDIRECT(ADDRESS(ROW()-1,COLUMN())),NOTA[[#This Row],[FAKTUR]]))</f>
        <v>UNTANA</v>
      </c>
      <c r="AL541" s="56" t="str">
        <f ca="1">IF(NOTA[[#This Row],[ID]]="","",COUNTIF(NOTA[ID_H],NOTA[[#This Row],[ID_H]]))</f>
        <v/>
      </c>
      <c r="AM541" s="56">
        <f ca="1">IF(NOTA[[#This Row],[TGL.NOTA]]="",IF(NOTA[[#This Row],[SUPPLIER_H]]="","",AM540),MONTH(NOTA[[#This Row],[TGL.NOTA]]))</f>
        <v>9</v>
      </c>
      <c r="AN541" s="56" t="str">
        <f>LOWER(SUBSTITUTE(SUBSTITUTE(SUBSTITUTE(SUBSTITUTE(SUBSTITUTE(SUBSTITUTE(SUBSTITUTE(SUBSTITUTE(SUBSTITUTE(NOTA[NAMA BARANG]," ",),".",""),"-",""),"(",""),")",""),",",""),"/",""),"""",""),"+",""))</f>
        <v>segitigabtno10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segitigabtno101797800.20.04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>
        <f>IF(NOTA[[#This Row],[CONCAT1]]="","",MATCH(NOTA[[#This Row],[CONCAT1]],[3]!db[NB NOTA_C],0))</f>
        <v>2413</v>
      </c>
      <c r="AT541" s="56" t="b">
        <f>IF(NOTA[[#This Row],[QTY/ CTN]]="","",TRUE)</f>
        <v>1</v>
      </c>
      <c r="AU541" s="56" t="str">
        <f ca="1">IF(NOTA[[#This Row],[ID_H]]="","",IF(NOTA[[#This Row],[Column3]]=TRUE,NOTA[[#This Row],[QTY/ CTN]],INDEX([3]!db[QTY/ CTN],NOTA[[#This Row],[//DB]])))</f>
        <v>16 LSN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GUN_2709_164-1</v>
      </c>
      <c r="C543" s="56" t="e">
        <f ca="1">IF(NOTA[[#This Row],[ID_P]]="","",MATCH(NOTA[[#This Row],[ID_P]],[1]!B_MSK[N_ID],0))</f>
        <v>#REF!</v>
      </c>
      <c r="D543" s="56">
        <f ca="1">IF(NOTA[[#This Row],[NAMA BARANG]]="","",INDEX(NOTA[ID],MATCH(,INDIRECT(ADDRESS(ROW(NOTA[ID]),COLUMN(NOTA[ID]))&amp;":"&amp;ADDRESS(ROW(),COLUMN(NOTA[ID]))),-1)))</f>
        <v>99</v>
      </c>
      <c r="E543" s="57">
        <v>45196</v>
      </c>
      <c r="F543" s="37" t="s">
        <v>310</v>
      </c>
      <c r="G543" s="37" t="s">
        <v>124</v>
      </c>
      <c r="H543" s="47" t="s">
        <v>650</v>
      </c>
      <c r="I543" s="58"/>
      <c r="J543" s="60">
        <v>45190</v>
      </c>
      <c r="K543" s="58"/>
      <c r="L543" s="37" t="s">
        <v>651</v>
      </c>
      <c r="M543" s="61">
        <v>2</v>
      </c>
      <c r="N543" s="56">
        <v>120</v>
      </c>
      <c r="O543" s="37" t="s">
        <v>139</v>
      </c>
      <c r="P543" s="55">
        <v>49200</v>
      </c>
      <c r="Q543" s="62"/>
      <c r="R543" s="48" t="s">
        <v>315</v>
      </c>
      <c r="S543" s="64">
        <v>0.05</v>
      </c>
      <c r="T543" s="65">
        <v>0.1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5904000</v>
      </c>
      <c r="Y543" s="66">
        <f>IF(NOTA[[#This Row],[JUMLAH]]="","",NOTA[[#This Row],[JUMLAH]]*NOTA[[#This Row],[DISC 1]])</f>
        <v>295200</v>
      </c>
      <c r="Z543" s="66">
        <f>IF(NOTA[[#This Row],[JUMLAH]]="","",(NOTA[[#This Row],[JUMLAH]]-NOTA[[#This Row],[DISC 1-]])*NOTA[[#This Row],[DISC 2]])</f>
        <v>560880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856080</v>
      </c>
      <c r="AC543" s="66">
        <f>IF(NOTA[[#This Row],[JUMLAH]]="","",NOTA[[#This Row],[JUMLAH]]-NOTA[[#This Row],[DISC]])</f>
        <v>5047920</v>
      </c>
      <c r="AD543" s="66"/>
      <c r="AE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F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43" s="66">
        <f>IF(OR(NOTA[[#This Row],[QTY]]="",NOTA[[#This Row],[HARGA SATUAN]]="",),"",NOTA[[#This Row],[QTY]]*NOTA[[#This Row],[HARGA SATUAN]])</f>
        <v>5904000</v>
      </c>
      <c r="AI543" s="60">
        <f ca="1">IF(NOTA[ID_H]="","",INDEX(NOTA[TANGGAL],MATCH(,INDIRECT(ADDRESS(ROW(NOTA[TANGGAL]),COLUMN(NOTA[TANGGAL]))&amp;":"&amp;ADDRESS(ROW(),COLUMN(NOTA[TANGGAL]))),-1)))</f>
        <v>45196</v>
      </c>
      <c r="AJ543" s="55" t="str">
        <f ca="1">IF(NOTA[[#This Row],[NAMA BARANG]]="","",INDEX(NOTA[SUPPLIER],MATCH(,INDIRECT(ADDRESS(ROW(NOTA[ID]),COLUMN(NOTA[ID]))&amp;":"&amp;ADDRESS(ROW(),COLUMN(NOTA[ID]))),-1)))</f>
        <v>GUNINDO</v>
      </c>
      <c r="AK543" s="55" t="str">
        <f ca="1">IF(NOTA[[#This Row],[ID_H]]="","",IF(NOTA[[#This Row],[FAKTUR]]="",INDIRECT(ADDRESS(ROW()-1,COLUMN())),NOTA[[#This Row],[FAKTUR]]))</f>
        <v>UNTANA</v>
      </c>
      <c r="AL543" s="56">
        <f ca="1">IF(NOTA[[#This Row],[ID]]="","",COUNTIF(NOTA[ID_H],NOTA[[#This Row],[ID_H]]))</f>
        <v>1</v>
      </c>
      <c r="AM543" s="56">
        <f>IF(NOTA[[#This Row],[TGL.NOTA]]="",IF(NOTA[[#This Row],[SUPPLIER_H]]="","",AM542),MONTH(NOTA[[#This Row],[TGL.NOTA]]))</f>
        <v>9</v>
      </c>
      <c r="AN543" s="56" t="str">
        <f>LOWER(SUBSTITUTE(SUBSTITUTE(SUBSTITUTE(SUBSTITUTE(SUBSTITUTE(SUBSTITUTE(SUBSTITUTE(SUBSTITUTE(SUBSTITUTE(NOTA[NAMA BARANG]," ",),".",""),"-",""),"(",""),")",""),",",""),"/",""),"""",""),"+",""))</f>
        <v>ossgunindo</v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GUNINDOUNTANA230916445190ossgunindo</v>
      </c>
      <c r="AR543" s="56" t="e">
        <f>IF(NOTA[[#This Row],[CONCAT4]]="","",_xlfn.IFNA(MATCH(NOTA[[#This Row],[CONCAT4]],[2]!RAW[CONCAT_H],0),FALSE))</f>
        <v>#REF!</v>
      </c>
      <c r="AS543" s="56">
        <f>IF(NOTA[[#This Row],[CONCAT1]]="","",MATCH(NOTA[[#This Row],[CONCAT1]],[3]!db[NB NOTA_C],0))</f>
        <v>1918</v>
      </c>
      <c r="AT543" s="56" t="b">
        <f>IF(NOTA[[#This Row],[QTY/ CTN]]="","",TRUE)</f>
        <v>1</v>
      </c>
      <c r="AU543" s="56" t="str">
        <f ca="1">IF(NOTA[[#This Row],[ID_H]]="","",IF(NOTA[[#This Row],[Column3]]=TRUE,NOTA[[#This Row],[QTY/ CTN]],INDEX([3]!db[QTY/ CTN],NOTA[[#This Row],[//DB]])))</f>
        <v>60 LSN</v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543" s="56" t="e">
        <f ca="1">IF(NOTA[[#This Row],[ID_H]]="","",MATCH(NOTA[[#This Row],[NB NOTA_C_QTY]],[4]!db[NB NOTA_C_QTY+F],0))</f>
        <v>#REF!</v>
      </c>
      <c r="AX543" s="68">
        <f ca="1">IF(NOTA[[#This Row],[NB NOTA_C_QTY]]="","",ROW()-2)</f>
        <v>541</v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HAN_2709_251-1</v>
      </c>
      <c r="C545" s="56" t="e">
        <f ca="1">IF(NOTA[[#This Row],[ID_P]]="","",MATCH(NOTA[[#This Row],[ID_P]],[1]!B_MSK[N_ID],0))</f>
        <v>#REF!</v>
      </c>
      <c r="D545" s="56">
        <f ca="1">IF(NOTA[[#This Row],[NAMA BARANG]]="","",INDEX(NOTA[ID],MATCH(,INDIRECT(ADDRESS(ROW(NOTA[ID]),COLUMN(NOTA[ID]))&amp;":"&amp;ADDRESS(ROW(),COLUMN(NOTA[ID]))),-1)))</f>
        <v>100</v>
      </c>
      <c r="E545" s="57">
        <v>45196</v>
      </c>
      <c r="F545" s="37" t="s">
        <v>123</v>
      </c>
      <c r="G545" s="37" t="s">
        <v>124</v>
      </c>
      <c r="H545" s="47" t="s">
        <v>652</v>
      </c>
      <c r="I545" s="58"/>
      <c r="J545" s="60">
        <v>45196</v>
      </c>
      <c r="K545" s="58"/>
      <c r="L545" s="37" t="s">
        <v>501</v>
      </c>
      <c r="M545" s="61"/>
      <c r="N545" s="56">
        <v>4</v>
      </c>
      <c r="O545" s="37" t="s">
        <v>139</v>
      </c>
      <c r="P545" s="55">
        <v>13000</v>
      </c>
      <c r="Q545" s="62"/>
      <c r="R545" s="63"/>
      <c r="S545" s="64"/>
      <c r="T545" s="65"/>
      <c r="U545" s="65"/>
      <c r="V545" s="66"/>
      <c r="W545" s="45" t="s">
        <v>653</v>
      </c>
      <c r="X545" s="66">
        <f>IF(NOTA[[#This Row],[HARGA/ CTN]]="",NOTA[[#This Row],[JUMLAH_H]],NOTA[[#This Row],[HARGA/ CTN]]*IF(NOTA[[#This Row],[C]]="",0,NOTA[[#This Row],[C]]))</f>
        <v>52000</v>
      </c>
      <c r="Y545" s="66">
        <f>IF(NOTA[[#This Row],[JUMLAH]]="","",NOTA[[#This Row],[JUMLAH]]*NOTA[[#This Row],[DISC 1]])</f>
        <v>0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0</v>
      </c>
      <c r="AC545" s="66">
        <f>IF(NOTA[[#This Row],[JUMLAH]]="","",NOTA[[#This Row],[JUMLAH]]-NOTA[[#This Row],[DISC]])</f>
        <v>52000</v>
      </c>
      <c r="AD545" s="66"/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545" s="66">
        <f>IF(OR(NOTA[[#This Row],[QTY]]="",NOTA[[#This Row],[HARGA SATUAN]]="",),"",NOTA[[#This Row],[QTY]]*NOTA[[#This Row],[HARGA SATUAN]])</f>
        <v>52000</v>
      </c>
      <c r="AI545" s="60">
        <f ca="1">IF(NOTA[ID_H]="","",INDEX(NOTA[TANGGAL],MATCH(,INDIRECT(ADDRESS(ROW(NOTA[TANGGAL]),COLUMN(NOTA[TANGGAL]))&amp;":"&amp;ADDRESS(ROW(),COLUMN(NOTA[TANGGAL]))),-1)))</f>
        <v>45196</v>
      </c>
      <c r="AJ545" s="55" t="str">
        <f ca="1">IF(NOTA[[#This Row],[NAMA BARANG]]="","",INDEX(NOTA[SUPPLIER],MATCH(,INDIRECT(ADDRESS(ROW(NOTA[ID]),COLUMN(NOTA[ID]))&amp;":"&amp;ADDRESS(ROW(),COLUMN(NOTA[ID]))),-1)))</f>
        <v>HANSA</v>
      </c>
      <c r="AK545" s="55" t="str">
        <f ca="1">IF(NOTA[[#This Row],[ID_H]]="","",IF(NOTA[[#This Row],[FAKTUR]]="",INDIRECT(ADDRESS(ROW()-1,COLUMN())),NOTA[[#This Row],[FAKTUR]]))</f>
        <v>UNTANA</v>
      </c>
      <c r="AL545" s="56">
        <f ca="1">IF(NOTA[[#This Row],[ID]]="","",COUNTIF(NOTA[ID_H],NOTA[[#This Row],[ID_H]]))</f>
        <v>1</v>
      </c>
      <c r="AM545" s="56">
        <f>IF(NOTA[[#This Row],[TGL.NOTA]]="",IF(NOTA[[#This Row],[SUPPLIER_H]]="","",AM544),MONTH(NOTA[[#This Row],[TGL.NOTA]]))</f>
        <v>9</v>
      </c>
      <c r="AN545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HANSAUNTANAHN09202325145196lilinangkashintoeng</v>
      </c>
      <c r="AR545" s="56" t="e">
        <f>IF(NOTA[[#This Row],[CONCAT4]]="","",_xlfn.IFNA(MATCH(NOTA[[#This Row],[CONCAT4]],[2]!RAW[CONCAT_H],0),FALSE))</f>
        <v>#REF!</v>
      </c>
      <c r="AS545" s="56">
        <f>IF(NOTA[[#This Row],[CONCAT1]]="","",MATCH(NOTA[[#This Row],[CONCAT1]],[3]!db[NB NOTA_C],0))</f>
        <v>1657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100 LSN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DUT_2909_23H-1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101</v>
      </c>
      <c r="E547" s="57">
        <v>45198</v>
      </c>
      <c r="F547" s="37" t="s">
        <v>419</v>
      </c>
      <c r="G547" s="37" t="s">
        <v>124</v>
      </c>
      <c r="H547" s="47" t="s">
        <v>654</v>
      </c>
      <c r="I547" s="58"/>
      <c r="J547" s="60">
        <v>45194</v>
      </c>
      <c r="K547" s="58"/>
      <c r="L547" s="37" t="s">
        <v>655</v>
      </c>
      <c r="M547" s="61">
        <v>3</v>
      </c>
      <c r="N547" s="56">
        <v>288</v>
      </c>
      <c r="O547" s="37" t="s">
        <v>139</v>
      </c>
      <c r="P547" s="55">
        <v>30500</v>
      </c>
      <c r="Q547" s="62"/>
      <c r="R547" s="48" t="s">
        <v>301</v>
      </c>
      <c r="S547" s="64">
        <v>0.03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8784000</v>
      </c>
      <c r="Y547" s="66">
        <f>IF(NOTA[[#This Row],[JUMLAH]]="","",NOTA[[#This Row],[JUMLAH]]*NOTA[[#This Row],[DISC 1]])</f>
        <v>263520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263520</v>
      </c>
      <c r="AC547" s="66">
        <f>IF(NOTA[[#This Row],[JUMLAH]]="","",NOTA[[#This Row],[JUMLAH]]-NOTA[[#This Row],[DISC]])</f>
        <v>8520480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263520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8520480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47" s="66">
        <f>IF(OR(NOTA[[#This Row],[QTY]]="",NOTA[[#This Row],[HARGA SATUAN]]="",),"",NOTA[[#This Row],[QTY]]*NOTA[[#This Row],[HARGA SATUAN]])</f>
        <v>8784000</v>
      </c>
      <c r="AI547" s="60">
        <f ca="1">IF(NOTA[ID_H]="","",INDEX(NOTA[TANGGAL],MATCH(,INDIRECT(ADDRESS(ROW(NOTA[TANGGAL]),COLUMN(NOTA[TANGGAL]))&amp;":"&amp;ADDRESS(ROW(),COLUMN(NOTA[TANGGAL]))),-1)))</f>
        <v>45198</v>
      </c>
      <c r="AJ547" s="55" t="str">
        <f ca="1">IF(NOTA[[#This Row],[NAMA BARANG]]="","",INDEX(NOTA[SUPPLIER],MATCH(,INDIRECT(ADDRESS(ROW(NOTA[ID]),COLUMN(NOTA[ID]))&amp;":"&amp;ADDRESS(ROW(),COLUMN(NOTA[ID]))),-1)))</f>
        <v>DUTA BUANA</v>
      </c>
      <c r="AK547" s="55" t="str">
        <f ca="1">IF(NOTA[[#This Row],[ID_H]]="","",IF(NOTA[[#This Row],[FAKTUR]]="",INDIRECT(ADDRESS(ROW()-1,COLUMN())),NOTA[[#This Row],[FAKTUR]]))</f>
        <v>UNTANA</v>
      </c>
      <c r="AL547" s="56">
        <f ca="1">IF(NOTA[[#This Row],[ID]]="","",COUNTIF(NOTA[ID_H],NOTA[[#This Row],[ID_H]]))</f>
        <v>1</v>
      </c>
      <c r="AM547" s="56">
        <f>IF(NOTA[[#This Row],[TGL.NOTA]]="",IF(NOTA[[#This Row],[SUPPLIER_H]]="","",AM546),MONTH(NOTA[[#This Row],[TGL.NOTA]]))</f>
        <v>9</v>
      </c>
      <c r="AN547" s="56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BUANAUNTANAHM/266/09-23H45194ballpengeltf311503mmhightechknock</v>
      </c>
      <c r="AR547" s="56" t="e">
        <f>IF(NOTA[[#This Row],[CONCAT4]]="","",_xlfn.IFNA(MATCH(NOTA[[#This Row],[CONCAT4]],[2]!RAW[CONCAT_H],0),FALSE))</f>
        <v>#REF!</v>
      </c>
      <c r="AS547" s="56">
        <f>IF(NOTA[[#This Row],[CONCAT1]]="","",MATCH(NOTA[[#This Row],[CONCAT1]],[3]!db[NB NOTA_C],0))</f>
        <v>120</v>
      </c>
      <c r="AT547" s="56" t="b">
        <f>IF(NOTA[[#This Row],[QTY/ CTN]]="","",TRUE)</f>
        <v>1</v>
      </c>
      <c r="AU547" s="56" t="str">
        <f ca="1">IF(NOTA[[#This Row],[ID_H]]="","",IF(NOTA[[#This Row],[Column3]]=TRUE,NOTA[[#This Row],[QTY/ CTN]],INDEX([3]!db[QTY/ CTN],NOTA[[#This Row],[//DB]])))</f>
        <v>96 LSN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S_2709_601-1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102</v>
      </c>
      <c r="E549" s="57">
        <v>45196</v>
      </c>
      <c r="F549" s="37" t="s">
        <v>656</v>
      </c>
      <c r="G549" s="37" t="s">
        <v>124</v>
      </c>
      <c r="H549" s="47" t="s">
        <v>657</v>
      </c>
      <c r="I549" s="58"/>
      <c r="J549" s="60">
        <v>45196</v>
      </c>
      <c r="K549" s="58"/>
      <c r="L549" s="37" t="s">
        <v>658</v>
      </c>
      <c r="M549" s="61">
        <v>18</v>
      </c>
      <c r="N549" s="56">
        <v>900</v>
      </c>
      <c r="O549" s="37" t="s">
        <v>127</v>
      </c>
      <c r="P549" s="55">
        <v>30000</v>
      </c>
      <c r="Q549" s="62"/>
      <c r="R549" s="48" t="s">
        <v>659</v>
      </c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27000000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27000000</v>
      </c>
      <c r="AD549" s="66"/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549" s="66">
        <f>IF(OR(NOTA[[#This Row],[QTY]]="",NOTA[[#This Row],[HARGA SATUAN]]="",),"",NOTA[[#This Row],[QTY]]*NOTA[[#This Row],[HARGA SATUAN]])</f>
        <v>27000000</v>
      </c>
      <c r="AI549" s="60">
        <f ca="1">IF(NOTA[ID_H]="","",INDEX(NOTA[TANGGAL],MATCH(,INDIRECT(ADDRESS(ROW(NOTA[TANGGAL]),COLUMN(NOTA[TANGGAL]))&amp;":"&amp;ADDRESS(ROW(),COLUMN(NOTA[TANGGAL]))),-1)))</f>
        <v>45196</v>
      </c>
      <c r="AJ549" s="55" t="str">
        <f ca="1">IF(NOTA[[#This Row],[NAMA BARANG]]="","",INDEX(NOTA[SUPPLIER],MATCH(,INDIRECT(ADDRESS(ROW(NOTA[ID]),COLUMN(NOTA[ID]))&amp;":"&amp;ADDRESS(ROW(),COLUMN(NOTA[ID]))),-1)))</f>
        <v>S</v>
      </c>
      <c r="AK549" s="55" t="str">
        <f ca="1">IF(NOTA[[#This Row],[ID_H]]="","",IF(NOTA[[#This Row],[FAKTUR]]="",INDIRECT(ADDRESS(ROW()-1,COLUMN())),NOTA[[#This Row],[FAKTUR]]))</f>
        <v>UNTANA</v>
      </c>
      <c r="AL549" s="56">
        <f ca="1">IF(NOTA[[#This Row],[ID]]="","",COUNTIF(NOTA[ID_H],NOTA[[#This Row],[ID_H]]))</f>
        <v>1</v>
      </c>
      <c r="AM549" s="56">
        <f>IF(NOTA[[#This Row],[TGL.NOTA]]="",IF(NOTA[[#This Row],[SUPPLIER_H]]="","",AM548),MONTH(NOTA[[#This Row],[TGL.NOTA]]))</f>
        <v>9</v>
      </c>
      <c r="AN549" s="56" t="str">
        <f>LOWER(SUBSTITUTE(SUBSTITUTE(SUBSTITUTE(SUBSTITUTE(SUBSTITUTE(SUBSTITUTE(SUBSTITUTE(SUBSTITUTE(SUBSTITUTE(NOTA[NAMA BARANG]," ",),".",""),"-",""),"(",""),")",""),",",""),"/",""),"""",""),"+",""))</f>
        <v>sulingyamaha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sulingyamaha1500000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sulingyamaha1500000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>SUNTANA07960145196sulingyamaha</v>
      </c>
      <c r="AR549" s="56" t="e">
        <f>IF(NOTA[[#This Row],[CONCAT4]]="","",_xlfn.IFNA(MATCH(NOTA[[#This Row],[CONCAT4]],[2]!RAW[CONCAT_H],0),FALSE))</f>
        <v>#REF!</v>
      </c>
      <c r="AS549" s="56">
        <f>IF(NOTA[[#This Row],[CONCAT1]]="","",MATCH(NOTA[[#This Row],[CONCAT1]],[3]!db[NB NOTA_C],0))</f>
        <v>2495</v>
      </c>
      <c r="AT549" s="56" t="b">
        <f>IF(NOTA[[#This Row],[QTY/ CTN]]="","",TRUE)</f>
        <v>1</v>
      </c>
      <c r="AU549" s="56" t="str">
        <f ca="1">IF(NOTA[[#This Row],[ID_H]]="","",IF(NOTA[[#This Row],[Column3]]=TRUE,NOTA[[#This Row],[QTY/ CTN]],INDEX([3]!db[QTY/ CTN],NOTA[[#This Row],[//DB]])))</f>
        <v>50 PCS</v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sulingyamaha50pcsuntana</v>
      </c>
      <c r="AW549" s="56" t="e">
        <f ca="1">IF(NOTA[[#This Row],[ID_H]]="","",MATCH(NOTA[[#This Row],[NB NOTA_C_QTY]],[4]!db[NB NOTA_C_QTY+F],0))</f>
        <v>#REF!</v>
      </c>
      <c r="AX549" s="68">
        <f ca="1">IF(NOTA[[#This Row],[NB NOTA_C_QTY]]="","",ROW()-2)</f>
        <v>547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ATA_2909_941-6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103</v>
      </c>
      <c r="E551" s="57">
        <v>45198</v>
      </c>
      <c r="F551" s="37" t="s">
        <v>24</v>
      </c>
      <c r="G551" s="37" t="s">
        <v>23</v>
      </c>
      <c r="H551" s="47" t="s">
        <v>660</v>
      </c>
      <c r="I551" s="58"/>
      <c r="J551" s="60">
        <v>45192</v>
      </c>
      <c r="K551" s="58"/>
      <c r="L551" s="37" t="s">
        <v>242</v>
      </c>
      <c r="M551" s="61">
        <v>1</v>
      </c>
      <c r="N551" s="56">
        <v>720</v>
      </c>
      <c r="O551" s="37" t="s">
        <v>127</v>
      </c>
      <c r="P551" s="55">
        <v>3700</v>
      </c>
      <c r="Q551" s="62"/>
      <c r="R551" s="63"/>
      <c r="S551" s="64">
        <v>0.125</v>
      </c>
      <c r="T551" s="65">
        <v>0.05</v>
      </c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2664000</v>
      </c>
      <c r="Y551" s="66">
        <f>IF(NOTA[[#This Row],[JUMLAH]]="","",NOTA[[#This Row],[JUMLAH]]*NOTA[[#This Row],[DISC 1]])</f>
        <v>333000</v>
      </c>
      <c r="Z551" s="66">
        <f>IF(NOTA[[#This Row],[JUMLAH]]="","",(NOTA[[#This Row],[JUMLAH]]-NOTA[[#This Row],[DISC 1-]])*NOTA[[#This Row],[DISC 2]])</f>
        <v>116550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449550</v>
      </c>
      <c r="AC551" s="66">
        <f>IF(NOTA[[#This Row],[JUMLAH]]="","",NOTA[[#This Row],[JUMLAH]]-NOTA[[#This Row],[DISC]])</f>
        <v>2214450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551" s="66">
        <f>IF(OR(NOTA[[#This Row],[QTY]]="",NOTA[[#This Row],[HARGA SATUAN]]="",),"",NOTA[[#This Row],[QTY]]*NOTA[[#This Row],[HARGA SATUAN]])</f>
        <v>2664000</v>
      </c>
      <c r="AI551" s="60">
        <f ca="1">IF(NOTA[ID_H]="","",INDEX(NOTA[TANGGAL],MATCH(,INDIRECT(ADDRESS(ROW(NOTA[TANGGAL]),COLUMN(NOTA[TANGGAL]))&amp;":"&amp;ADDRESS(ROW(),COLUMN(NOTA[TANGGAL]))),-1)))</f>
        <v>45198</v>
      </c>
      <c r="AJ551" s="55" t="str">
        <f ca="1">IF(NOTA[[#This Row],[NAMA BARANG]]="","",INDEX(NOTA[SUPPLIER],MATCH(,INDIRECT(ADDRESS(ROW(NOTA[ID]),COLUMN(NOTA[ID]))&amp;":"&amp;ADDRESS(ROW(),COLUMN(NOTA[ID]))),-1)))</f>
        <v>ATALI MAKMUR</v>
      </c>
      <c r="AK551" s="55" t="str">
        <f ca="1">IF(NOTA[[#This Row],[ID_H]]="","",IF(NOTA[[#This Row],[FAKTUR]]="",INDIRECT(ADDRESS(ROW()-1,COLUMN())),NOTA[[#This Row],[FAKTUR]]))</f>
        <v>ARTO MORO</v>
      </c>
      <c r="AL551" s="56">
        <f ca="1">IF(NOTA[[#This Row],[ID]]="","",COUNTIF(NOTA[ID_H],NOTA[[#This Row],[ID_H]]))</f>
        <v>6</v>
      </c>
      <c r="AM551" s="56">
        <f>IF(NOTA[[#This Row],[TGL.NOTA]]="",IF(NOTA[[#This Row],[SUPPLIER_H]]="","",AM550),MONTH(NOTA[[#This Row],[TGL.NOTA]]))</f>
        <v>9</v>
      </c>
      <c r="AN55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MOROSA23091694145192highlighterhl1yellowjk</v>
      </c>
      <c r="AR551" s="56" t="e">
        <f>IF(NOTA[[#This Row],[CONCAT4]]="","",_xlfn.IFNA(MATCH(NOTA[[#This Row],[CONCAT4]],[2]!RAW[CONCAT_H],0),FALSE))</f>
        <v>#REF!</v>
      </c>
      <c r="AS551" s="56">
        <f>IF(NOTA[[#This Row],[CONCAT1]]="","",MATCH(NOTA[[#This Row],[CONCAT1]],[3]!db[NB NOTA_C],0))</f>
        <v>1194</v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>72 BOX (10 PCS)</v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551" s="56" t="e">
        <f ca="1">IF(NOTA[[#This Row],[ID_H]]="","",MATCH(NOTA[[#This Row],[NB NOTA_C_QTY]],[4]!db[NB NOTA_C_QTY+F],0))</f>
        <v>#REF!</v>
      </c>
      <c r="AX551" s="68">
        <f ca="1">IF(NOTA[[#This Row],[NB NOTA_C_QTY]]="","",ROW()-2)</f>
        <v>549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103</v>
      </c>
      <c r="E552" s="57"/>
      <c r="F552" s="58"/>
      <c r="G552" s="58"/>
      <c r="H552" s="59"/>
      <c r="I552" s="58"/>
      <c r="J552" s="60"/>
      <c r="K552" s="58"/>
      <c r="L552" s="37" t="s">
        <v>661</v>
      </c>
      <c r="M552" s="61"/>
      <c r="N552" s="56">
        <v>180</v>
      </c>
      <c r="O552" s="37" t="s">
        <v>127</v>
      </c>
      <c r="P552" s="55">
        <v>3700</v>
      </c>
      <c r="Q552" s="62"/>
      <c r="R552" s="63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666000</v>
      </c>
      <c r="Y552" s="66">
        <f>IF(NOTA[[#This Row],[JUMLAH]]="","",NOTA[[#This Row],[JUMLAH]]*NOTA[[#This Row],[DISC 1]])</f>
        <v>83250</v>
      </c>
      <c r="Z552" s="66">
        <f>IF(NOTA[[#This Row],[JUMLAH]]="","",(NOTA[[#This Row],[JUMLAH]]-NOTA[[#This Row],[DISC 1-]])*NOTA[[#This Row],[DISC 2]])</f>
        <v>29137.5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112387.5</v>
      </c>
      <c r="AC552" s="66">
        <f>IF(NOTA[[#This Row],[JUMLAH]]="","",NOTA[[#This Row],[JUMLAH]]-NOTA[[#This Row],[DISC]])</f>
        <v>553612.5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52" s="66">
        <f>IF(OR(NOTA[[#This Row],[QTY]]="",NOTA[[#This Row],[HARGA SATUAN]]="",),"",NOTA[[#This Row],[QTY]]*NOTA[[#This Row],[HARGA SATUAN]])</f>
        <v>666000</v>
      </c>
      <c r="AI552" s="60">
        <f ca="1">IF(NOTA[ID_H]="","",INDEX(NOTA[TANGGAL],MATCH(,INDIRECT(ADDRESS(ROW(NOTA[TANGGAL]),COLUMN(NOTA[TANGGAL]))&amp;":"&amp;ADDRESS(ROW(),COLUMN(NOTA[TANGGAL]))),-1)))</f>
        <v>45198</v>
      </c>
      <c r="AJ552" s="55" t="str">
        <f ca="1">IF(NOTA[[#This Row],[NAMA BARANG]]="","",INDEX(NOTA[SUPPLIER],MATCH(,INDIRECT(ADDRESS(ROW(NOTA[ID]),COLUMN(NOTA[ID]))&amp;":"&amp;ADDRESS(ROW(),COLUMN(NOTA[ID]))),-1)))</f>
        <v>ATALI MAKMUR</v>
      </c>
      <c r="AK552" s="55" t="str">
        <f ca="1">IF(NOTA[[#This Row],[ID_H]]="","",IF(NOTA[[#This Row],[FAKTUR]]="",INDIRECT(ADDRESS(ROW()-1,COLUMN())),NOTA[[#This Row],[FAKTUR]]))</f>
        <v>ARTO MORO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9</v>
      </c>
      <c r="AN55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>
        <f>IF(NOTA[[#This Row],[CONCAT1]]="","",MATCH(NOTA[[#This Row],[CONCAT1]],[3]!db[NB NOTA_C],0))</f>
        <v>1196</v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>72 BOX (10 PCS)</v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552" s="56" t="e">
        <f ca="1">IF(NOTA[[#This Row],[ID_H]]="","",MATCH(NOTA[[#This Row],[NB NOTA_C_QTY]],[4]!db[NB NOTA_C_QTY+F],0))</f>
        <v>#REF!</v>
      </c>
      <c r="AX552" s="68">
        <f ca="1">IF(NOTA[[#This Row],[NB NOTA_C_QTY]]="","",ROW()-2)</f>
        <v>550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103</v>
      </c>
      <c r="E553" s="57"/>
      <c r="F553" s="58"/>
      <c r="G553" s="58"/>
      <c r="H553" s="59"/>
      <c r="I553" s="58"/>
      <c r="J553" s="60"/>
      <c r="K553" s="58"/>
      <c r="L553" s="37" t="s">
        <v>247</v>
      </c>
      <c r="M553" s="61"/>
      <c r="N553" s="56">
        <v>180</v>
      </c>
      <c r="O553" s="37" t="s">
        <v>127</v>
      </c>
      <c r="P553" s="55">
        <v>3700</v>
      </c>
      <c r="Q553" s="62"/>
      <c r="R553" s="63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666000</v>
      </c>
      <c r="Y553" s="66">
        <f>IF(NOTA[[#This Row],[JUMLAH]]="","",NOTA[[#This Row],[JUMLAH]]*NOTA[[#This Row],[DISC 1]])</f>
        <v>83250</v>
      </c>
      <c r="Z553" s="66">
        <f>IF(NOTA[[#This Row],[JUMLAH]]="","",(NOTA[[#This Row],[JUMLAH]]-NOTA[[#This Row],[DISC 1-]])*NOTA[[#This Row],[DISC 2]])</f>
        <v>29137.5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112387.5</v>
      </c>
      <c r="AC553" s="66">
        <f>IF(NOTA[[#This Row],[JUMLAH]]="","",NOTA[[#This Row],[JUMLAH]]-NOTA[[#This Row],[DISC]])</f>
        <v>553612.5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53" s="66">
        <f>IF(OR(NOTA[[#This Row],[QTY]]="",NOTA[[#This Row],[HARGA SATUAN]]="",),"",NOTA[[#This Row],[QTY]]*NOTA[[#This Row],[HARGA SATUAN]])</f>
        <v>666000</v>
      </c>
      <c r="AI553" s="60">
        <f ca="1">IF(NOTA[ID_H]="","",INDEX(NOTA[TANGGAL],MATCH(,INDIRECT(ADDRESS(ROW(NOTA[TANGGAL]),COLUMN(NOTA[TANGGAL]))&amp;":"&amp;ADDRESS(ROW(),COLUMN(NOTA[TANGGAL]))),-1)))</f>
        <v>45198</v>
      </c>
      <c r="AJ553" s="55" t="str">
        <f ca="1">IF(NOTA[[#This Row],[NAMA BARANG]]="","",INDEX(NOTA[SUPPLIER],MATCH(,INDIRECT(ADDRESS(ROW(NOTA[ID]),COLUMN(NOTA[ID]))&amp;":"&amp;ADDRESS(ROW(),COLUMN(NOTA[ID]))),-1)))</f>
        <v>ATALI MAKMUR</v>
      </c>
      <c r="AK553" s="55" t="str">
        <f ca="1">IF(NOTA[[#This Row],[ID_H]]="","",IF(NOTA[[#This Row],[FAKTUR]]="",INDIRECT(ADDRESS(ROW()-1,COLUMN())),NOTA[[#This Row],[FAKTUR]]))</f>
        <v>ARTO MORO</v>
      </c>
      <c r="AL553" s="56" t="str">
        <f ca="1">IF(NOTA[[#This Row],[ID]]="","",COUNTIF(NOTA[ID_H],NOTA[[#This Row],[ID_H]]))</f>
        <v/>
      </c>
      <c r="AM553" s="56">
        <f ca="1">IF(NOTA[[#This Row],[TGL.NOTA]]="",IF(NOTA[[#This Row],[SUPPLIER_H]]="","",AM552),MONTH(NOTA[[#This Row],[TGL.NOTA]]))</f>
        <v>9</v>
      </c>
      <c r="AN55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>
        <f>IF(NOTA[[#This Row],[CONCAT1]]="","",MATCH(NOTA[[#This Row],[CONCAT1]],[3]!db[NB NOTA_C],0))</f>
        <v>1197</v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>72 BOX (10 PCS)</v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553" s="56" t="e">
        <f ca="1">IF(NOTA[[#This Row],[ID_H]]="","",MATCH(NOTA[[#This Row],[NB NOTA_C_QTY]],[4]!db[NB NOTA_C_QTY+F],0))</f>
        <v>#REF!</v>
      </c>
      <c r="AX553" s="68">
        <f ca="1">IF(NOTA[[#This Row],[NB NOTA_C_QTY]]="","",ROW()-2)</f>
        <v>551</v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103</v>
      </c>
      <c r="E554" s="57"/>
      <c r="F554" s="58"/>
      <c r="G554" s="58"/>
      <c r="H554" s="59"/>
      <c r="I554" s="58"/>
      <c r="J554" s="60"/>
      <c r="K554" s="58"/>
      <c r="L554" s="37" t="s">
        <v>243</v>
      </c>
      <c r="M554" s="61"/>
      <c r="N554" s="56">
        <v>180</v>
      </c>
      <c r="O554" s="37" t="s">
        <v>127</v>
      </c>
      <c r="P554" s="55">
        <v>3700</v>
      </c>
      <c r="Q554" s="62"/>
      <c r="R554" s="63"/>
      <c r="S554" s="64">
        <v>0.125</v>
      </c>
      <c r="T554" s="65">
        <v>0.05</v>
      </c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666000</v>
      </c>
      <c r="Y554" s="66">
        <f>IF(NOTA[[#This Row],[JUMLAH]]="","",NOTA[[#This Row],[JUMLAH]]*NOTA[[#This Row],[DISC 1]])</f>
        <v>83250</v>
      </c>
      <c r="Z554" s="66">
        <f>IF(NOTA[[#This Row],[JUMLAH]]="","",(NOTA[[#This Row],[JUMLAH]]-NOTA[[#This Row],[DISC 1-]])*NOTA[[#This Row],[DISC 2]])</f>
        <v>29137.5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112387.5</v>
      </c>
      <c r="AC554" s="66">
        <f>IF(NOTA[[#This Row],[JUMLAH]]="","",NOTA[[#This Row],[JUMLAH]]-NOTA[[#This Row],[DISC]])</f>
        <v>553612.5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54" s="66">
        <f>IF(OR(NOTA[[#This Row],[QTY]]="",NOTA[[#This Row],[HARGA SATUAN]]="",),"",NOTA[[#This Row],[QTY]]*NOTA[[#This Row],[HARGA SATUAN]])</f>
        <v>666000</v>
      </c>
      <c r="AI554" s="60">
        <f ca="1">IF(NOTA[ID_H]="","",INDEX(NOTA[TANGGAL],MATCH(,INDIRECT(ADDRESS(ROW(NOTA[TANGGAL]),COLUMN(NOTA[TANGGAL]))&amp;":"&amp;ADDRESS(ROW(),COLUMN(NOTA[TANGGAL]))),-1)))</f>
        <v>45198</v>
      </c>
      <c r="AJ554" s="55" t="str">
        <f ca="1">IF(NOTA[[#This Row],[NAMA BARANG]]="","",INDEX(NOTA[SUPPLIER],MATCH(,INDIRECT(ADDRESS(ROW(NOTA[ID]),COLUMN(NOTA[ID]))&amp;":"&amp;ADDRESS(ROW(),COLUMN(NOTA[ID]))),-1)))</f>
        <v>ATALI MAKMUR</v>
      </c>
      <c r="AK554" s="55" t="str">
        <f ca="1">IF(NOTA[[#This Row],[ID_H]]="","",IF(NOTA[[#This Row],[FAKTUR]]="",INDIRECT(ADDRESS(ROW()-1,COLUMN())),NOTA[[#This Row],[FAKTUR]]))</f>
        <v>ARTO MORO</v>
      </c>
      <c r="AL554" s="56" t="str">
        <f ca="1">IF(NOTA[[#This Row],[ID]]="","",COUNTIF(NOTA[ID_H],NOTA[[#This Row],[ID_H]]))</f>
        <v/>
      </c>
      <c r="AM554" s="56">
        <f ca="1">IF(NOTA[[#This Row],[TGL.NOTA]]="",IF(NOTA[[#This Row],[SUPPLIER_H]]="","",AM553),MONTH(NOTA[[#This Row],[TGL.NOTA]]))</f>
        <v>9</v>
      </c>
      <c r="AN55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>
        <f>IF(NOTA[[#This Row],[CONCAT1]]="","",MATCH(NOTA[[#This Row],[CONCAT1]],[3]!db[NB NOTA_C],0))</f>
        <v>1198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72 BOX (10 PCS)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103</v>
      </c>
      <c r="E555" s="57"/>
      <c r="F555" s="58"/>
      <c r="G555" s="58"/>
      <c r="H555" s="59"/>
      <c r="I555" s="58"/>
      <c r="J555" s="60"/>
      <c r="K555" s="58"/>
      <c r="L555" s="37" t="s">
        <v>244</v>
      </c>
      <c r="M555" s="61"/>
      <c r="N555" s="56">
        <v>180</v>
      </c>
      <c r="O555" s="37" t="s">
        <v>127</v>
      </c>
      <c r="P555" s="55">
        <v>3700</v>
      </c>
      <c r="Q555" s="62"/>
      <c r="R555" s="63"/>
      <c r="S555" s="64">
        <v>0.125</v>
      </c>
      <c r="T555" s="65">
        <v>0.05</v>
      </c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666000</v>
      </c>
      <c r="Y555" s="66">
        <f>IF(NOTA[[#This Row],[JUMLAH]]="","",NOTA[[#This Row],[JUMLAH]]*NOTA[[#This Row],[DISC 1]])</f>
        <v>83250</v>
      </c>
      <c r="Z555" s="66">
        <f>IF(NOTA[[#This Row],[JUMLAH]]="","",(NOTA[[#This Row],[JUMLAH]]-NOTA[[#This Row],[DISC 1-]])*NOTA[[#This Row],[DISC 2]])</f>
        <v>29137.5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112387.5</v>
      </c>
      <c r="AC555" s="66">
        <f>IF(NOTA[[#This Row],[JUMLAH]]="","",NOTA[[#This Row],[JUMLAH]]-NOTA[[#This Row],[DISC]])</f>
        <v>553612.5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55" s="66">
        <f>IF(OR(NOTA[[#This Row],[QTY]]="",NOTA[[#This Row],[HARGA SATUAN]]="",),"",NOTA[[#This Row],[QTY]]*NOTA[[#This Row],[HARGA SATUAN]])</f>
        <v>666000</v>
      </c>
      <c r="AI555" s="60">
        <f ca="1">IF(NOTA[ID_H]="","",INDEX(NOTA[TANGGAL],MATCH(,INDIRECT(ADDRESS(ROW(NOTA[TANGGAL]),COLUMN(NOTA[TANGGAL]))&amp;":"&amp;ADDRESS(ROW(),COLUMN(NOTA[TANGGAL]))),-1)))</f>
        <v>45198</v>
      </c>
      <c r="AJ555" s="55" t="str">
        <f ca="1">IF(NOTA[[#This Row],[NAMA BARANG]]="","",INDEX(NOTA[SUPPLIER],MATCH(,INDIRECT(ADDRESS(ROW(NOTA[ID]),COLUMN(NOTA[ID]))&amp;":"&amp;ADDRESS(ROW(),COLUMN(NOTA[ID]))),-1)))</f>
        <v>ATALI MAKMUR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9</v>
      </c>
      <c r="AN55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1199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72 BOX (10 PCS)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103</v>
      </c>
      <c r="E556" s="57"/>
      <c r="F556" s="58"/>
      <c r="G556" s="58"/>
      <c r="H556" s="59"/>
      <c r="I556" s="58"/>
      <c r="J556" s="60"/>
      <c r="K556" s="58"/>
      <c r="L556" s="37" t="s">
        <v>241</v>
      </c>
      <c r="M556" s="61">
        <v>4</v>
      </c>
      <c r="N556" s="56">
        <v>2880</v>
      </c>
      <c r="O556" s="37" t="s">
        <v>127</v>
      </c>
      <c r="P556" s="55">
        <v>4800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13824000</v>
      </c>
      <c r="Y556" s="66">
        <f>IF(NOTA[[#This Row],[JUMLAH]]="","",NOTA[[#This Row],[JUMLAH]]*NOTA[[#This Row],[DISC 1]])</f>
        <v>1728000</v>
      </c>
      <c r="Z556" s="66">
        <f>IF(NOTA[[#This Row],[JUMLAH]]="","",(NOTA[[#This Row],[JUMLAH]]-NOTA[[#This Row],[DISC 1-]])*NOTA[[#This Row],[DISC 2]])</f>
        <v>604800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2332800</v>
      </c>
      <c r="AC556" s="66">
        <f>IF(NOTA[[#This Row],[JUMLAH]]="","",NOTA[[#This Row],[JUMLAH]]-NOTA[[#This Row],[DISC]])</f>
        <v>11491200</v>
      </c>
      <c r="AD556" s="66"/>
      <c r="AE5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3231900</v>
      </c>
      <c r="AF5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15920100</v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556" s="66">
        <f>IF(OR(NOTA[[#This Row],[QTY]]="",NOTA[[#This Row],[HARGA SATUAN]]="",),"",NOTA[[#This Row],[QTY]]*NOTA[[#This Row],[HARGA SATUAN]])</f>
        <v>13824000</v>
      </c>
      <c r="AI556" s="60">
        <f ca="1">IF(NOTA[ID_H]="","",INDEX(NOTA[TANGGAL],MATCH(,INDIRECT(ADDRESS(ROW(NOTA[TANGGAL]),COLUMN(NOTA[TANGGAL]))&amp;":"&amp;ADDRESS(ROW(),COLUMN(NOTA[TANGGAL]))),-1)))</f>
        <v>45198</v>
      </c>
      <c r="AJ556" s="55" t="str">
        <f ca="1">IF(NOTA[[#This Row],[NAMA BARANG]]="","",INDEX(NOTA[SUPPLIER],MATCH(,INDIRECT(ADDRESS(ROW(NOTA[ID]),COLUMN(NOTA[ID]))&amp;":"&amp;ADDRESS(ROW(),COLUMN(NOTA[ID]))),-1)))</f>
        <v>ATALI MAKMUR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9</v>
      </c>
      <c r="AN556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633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60 LSN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KEN_2909_171-7</v>
      </c>
      <c r="C558" s="56" t="e">
        <f ca="1">IF(NOTA[[#This Row],[ID_P]]="","",MATCH(NOTA[[#This Row],[ID_P]],[1]!B_MSK[N_ID],0))</f>
        <v>#REF!</v>
      </c>
      <c r="D558" s="56">
        <f ca="1">IF(NOTA[[#This Row],[NAMA BARANG]]="","",INDEX(NOTA[ID],MATCH(,INDIRECT(ADDRESS(ROW(NOTA[ID]),COLUMN(NOTA[ID]))&amp;":"&amp;ADDRESS(ROW(),COLUMN(NOTA[ID]))),-1)))</f>
        <v>104</v>
      </c>
      <c r="E558" s="57">
        <v>45198</v>
      </c>
      <c r="F558" s="37" t="s">
        <v>22</v>
      </c>
      <c r="G558" s="37" t="s">
        <v>23</v>
      </c>
      <c r="H558" s="47" t="s">
        <v>662</v>
      </c>
      <c r="I558" s="58"/>
      <c r="J558" s="60">
        <v>45194</v>
      </c>
      <c r="K558" s="58"/>
      <c r="L558" s="37" t="s">
        <v>105</v>
      </c>
      <c r="M558" s="61">
        <v>50</v>
      </c>
      <c r="N558" s="56"/>
      <c r="O558" s="58"/>
      <c r="P558" s="55"/>
      <c r="Q558" s="62">
        <v>1860000</v>
      </c>
      <c r="R558" s="63"/>
      <c r="S558" s="64">
        <v>0.17</v>
      </c>
      <c r="T558" s="65">
        <v>0.03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93000000</v>
      </c>
      <c r="Y558" s="66">
        <f>IF(NOTA[[#This Row],[JUMLAH]]="","",NOTA[[#This Row],[JUMLAH]]*NOTA[[#This Row],[DISC 1]])</f>
        <v>15810000.000000002</v>
      </c>
      <c r="Z558" s="66">
        <f>IF(NOTA[[#This Row],[JUMLAH]]="","",(NOTA[[#This Row],[JUMLAH]]-NOTA[[#This Row],[DISC 1-]])*NOTA[[#This Row],[DISC 2]])</f>
        <v>2315700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18125700</v>
      </c>
      <c r="AC558" s="66">
        <f>IF(NOTA[[#This Row],[JUMLAH]]="","",NOTA[[#This Row],[JUMLAH]]-NOTA[[#This Row],[DISC]])</f>
        <v>74874300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58" s="66" t="str">
        <f>IF(OR(NOTA[[#This Row],[QTY]]="",NOTA[[#This Row],[HARGA SATUAN]]="",),"",NOTA[[#This Row],[QTY]]*NOTA[[#This Row],[HARGA SATUAN]])</f>
        <v/>
      </c>
      <c r="AI558" s="60">
        <f ca="1">IF(NOTA[ID_H]="","",INDEX(NOTA[TANGGAL],MATCH(,INDIRECT(ADDRESS(ROW(NOTA[TANGGAL]),COLUMN(NOTA[TANGGAL]))&amp;":"&amp;ADDRESS(ROW(),COLUMN(NOTA[TANGGAL]))),-1)))</f>
        <v>45198</v>
      </c>
      <c r="AJ558" s="55" t="str">
        <f ca="1">IF(NOTA[[#This Row],[NAMA BARANG]]="","",INDEX(NOTA[SUPPLIER],MATCH(,INDIRECT(ADDRESS(ROW(NOTA[ID]),COLUMN(NOTA[ID]))&amp;":"&amp;ADDRESS(ROW(),COLUMN(NOTA[ID]))),-1)))</f>
        <v>KENKO SINAR INDONESIA</v>
      </c>
      <c r="AK558" s="55" t="str">
        <f ca="1">IF(NOTA[[#This Row],[ID_H]]="","",IF(NOTA[[#This Row],[FAKTUR]]="",INDIRECT(ADDRESS(ROW()-1,COLUMN())),NOTA[[#This Row],[FAKTUR]]))</f>
        <v>ARTO MORO</v>
      </c>
      <c r="AL558" s="56">
        <f ca="1">IF(NOTA[[#This Row],[ID]]="","",COUNTIF(NOTA[ID_H],NOTA[[#This Row],[ID_H]]))</f>
        <v>7</v>
      </c>
      <c r="AM558" s="56">
        <f>IF(NOTA[[#This Row],[TGL.NOTA]]="",IF(NOTA[[#This Row],[SUPPLIER_H]]="","",AM557),MONTH(NOTA[[#This Row],[TGL.NOTA]]))</f>
        <v>9</v>
      </c>
      <c r="AN558" s="56" t="str">
        <f>LOWER(SUBSTITUTE(SUBSTITUTE(SUBSTITUTE(SUBSTITUTE(SUBSTITUTE(SUBSTITUTE(SUBSTITUTE(SUBSTITUTE(SUBSTITUTE(NOTA[NAMA BARANG]," ",),".",""),"-",""),"(",""),")",""),",",""),"/",""),"""",""),"+",""))</f>
        <v>kenkostaplerhd10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kenkostaplerhd1018600000.170.03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kenkostaplerhd1018600000.170.03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MORO2309217145194kenkostaplerhd10</v>
      </c>
      <c r="AR558" s="56" t="e">
        <f>IF(NOTA[[#This Row],[CONCAT4]]="","",_xlfn.IFNA(MATCH(NOTA[[#This Row],[CONCAT4]],[2]!RAW[CONCAT_H],0),FALSE))</f>
        <v>#REF!</v>
      </c>
      <c r="AS558" s="56">
        <f>IF(NOTA[[#This Row],[CONCAT1]]="","",MATCH(NOTA[[#This Row],[CONCAT1]],[3]!db[NB NOTA_C],0))</f>
        <v>1561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20 LSN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104</v>
      </c>
      <c r="E559" s="57"/>
      <c r="F559" s="58"/>
      <c r="G559" s="58"/>
      <c r="H559" s="59"/>
      <c r="I559" s="58"/>
      <c r="J559" s="60"/>
      <c r="K559" s="58"/>
      <c r="L559" s="37" t="s">
        <v>147</v>
      </c>
      <c r="M559" s="61">
        <v>7</v>
      </c>
      <c r="N559" s="56"/>
      <c r="O559" s="58"/>
      <c r="P559" s="55"/>
      <c r="Q559" s="62">
        <v>2376000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16632000</v>
      </c>
      <c r="Y559" s="66">
        <f>IF(NOTA[[#This Row],[JUMLAH]]="","",NOTA[[#This Row],[JUMLAH]]*NOTA[[#This Row],[DISC 1]])</f>
        <v>2827440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2827440</v>
      </c>
      <c r="AC559" s="66">
        <f>IF(NOTA[[#This Row],[JUMLAH]]="","",NOTA[[#This Row],[JUMLAH]]-NOTA[[#This Row],[DISC]])</f>
        <v>13804560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559" s="66" t="str">
        <f>IF(OR(NOTA[[#This Row],[QTY]]="",NOTA[[#This Row],[HARGA SATUAN]]="",),"",NOTA[[#This Row],[QTY]]*NOTA[[#This Row],[HARGA SATUAN]])</f>
        <v/>
      </c>
      <c r="AI559" s="60">
        <f ca="1">IF(NOTA[ID_H]="","",INDEX(NOTA[TANGGAL],MATCH(,INDIRECT(ADDRESS(ROW(NOTA[TANGGAL]),COLUMN(NOTA[TANGGAL]))&amp;":"&amp;ADDRESS(ROW(),COLUMN(NOTA[TANGGAL]))),-1)))</f>
        <v>45198</v>
      </c>
      <c r="AJ559" s="55" t="str">
        <f ca="1">IF(NOTA[[#This Row],[NAMA BARANG]]="","",INDEX(NOTA[SUPPLIER],MATCH(,INDIRECT(ADDRESS(ROW(NOTA[ID]),COLUMN(NOTA[ID]))&amp;":"&amp;ADDRESS(ROW(),COLUMN(NOTA[ID]))),-1)))</f>
        <v>KENKO SINAR INDONESIA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9</v>
      </c>
      <c r="AN559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1449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36 BOX (30 PCS)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104</v>
      </c>
      <c r="E560" s="57"/>
      <c r="F560" s="58"/>
      <c r="G560" s="58"/>
      <c r="H560" s="59"/>
      <c r="I560" s="58"/>
      <c r="J560" s="60"/>
      <c r="K560" s="58"/>
      <c r="L560" s="37" t="s">
        <v>148</v>
      </c>
      <c r="M560" s="61">
        <v>1</v>
      </c>
      <c r="N560" s="56"/>
      <c r="O560" s="58"/>
      <c r="P560" s="55"/>
      <c r="Q560" s="62">
        <v>2592000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2592000</v>
      </c>
      <c r="Y560" s="66">
        <f>IF(NOTA[[#This Row],[JUMLAH]]="","",NOTA[[#This Row],[JUMLAH]]*NOTA[[#This Row],[DISC 1]])</f>
        <v>440640.00000000006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440640.00000000006</v>
      </c>
      <c r="AC560" s="66">
        <f>IF(NOTA[[#This Row],[JUMLAH]]="","",NOTA[[#This Row],[JUMLAH]]-NOTA[[#This Row],[DISC]])</f>
        <v>2151360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560" s="66" t="str">
        <f>IF(OR(NOTA[[#This Row],[QTY]]="",NOTA[[#This Row],[HARGA SATUAN]]="",),"",NOTA[[#This Row],[QTY]]*NOTA[[#This Row],[HARGA SATUAN]])</f>
        <v/>
      </c>
      <c r="AI560" s="60">
        <f ca="1">IF(NOTA[ID_H]="","",INDEX(NOTA[TANGGAL],MATCH(,INDIRECT(ADDRESS(ROW(NOTA[TANGGAL]),COLUMN(NOTA[TANGGAL]))&amp;":"&amp;ADDRESS(ROW(),COLUMN(NOTA[TANGGAL]))),-1)))</f>
        <v>45198</v>
      </c>
      <c r="AJ560" s="55" t="str">
        <f ca="1">IF(NOTA[[#This Row],[NAMA BARANG]]="","",INDEX(NOTA[SUPPLIER],MATCH(,INDIRECT(ADDRESS(ROW(NOTA[ID]),COLUMN(NOTA[ID]))&amp;":"&amp;ADDRESS(ROW(),COLUMN(NOTA[ID]))),-1)))</f>
        <v>KENKO SINAR INDONESIA</v>
      </c>
      <c r="AK560" s="55" t="str">
        <f ca="1">IF(NOTA[[#This Row],[ID_H]]="","",IF(NOTA[[#This Row],[FAKTUR]]="",INDIRECT(ADDRESS(ROW()-1,COLUMN())),NOTA[[#This Row],[FAKTUR]]))</f>
        <v>ARTO MORO</v>
      </c>
      <c r="AL560" s="56" t="str">
        <f ca="1">IF(NOTA[[#This Row],[ID]]="","",COUNTIF(NOTA[ID_H],NOTA[[#This Row],[ID_H]]))</f>
        <v/>
      </c>
      <c r="AM560" s="56">
        <f ca="1">IF(NOTA[[#This Row],[TGL.NOTA]]="",IF(NOTA[[#This Row],[SUPPLIER_H]]="","",AM559),MONTH(NOTA[[#This Row],[TGL.NOTA]]))</f>
        <v>9</v>
      </c>
      <c r="AN560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>
        <f>IF(NOTA[[#This Row],[CONCAT1]]="","",MATCH(NOTA[[#This Row],[CONCAT1]],[3]!db[NB NOTA_C],0))</f>
        <v>1447</v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>36 BOX (20 PCS)</v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560" s="56" t="e">
        <f ca="1">IF(NOTA[[#This Row],[ID_H]]="","",MATCH(NOTA[[#This Row],[NB NOTA_C_QTY]],[4]!db[NB NOTA_C_QTY+F],0))</f>
        <v>#REF!</v>
      </c>
      <c r="AX560" s="68">
        <f ca="1">IF(NOTA[[#This Row],[NB NOTA_C_QTY]]="","",ROW()-2)</f>
        <v>558</v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104</v>
      </c>
      <c r="E561" s="57"/>
      <c r="F561" s="58"/>
      <c r="G561" s="58"/>
      <c r="H561" s="59"/>
      <c r="I561" s="58"/>
      <c r="J561" s="60"/>
      <c r="K561" s="58"/>
      <c r="L561" s="37" t="s">
        <v>149</v>
      </c>
      <c r="M561" s="61">
        <v>2</v>
      </c>
      <c r="N561" s="56"/>
      <c r="O561" s="58"/>
      <c r="P561" s="55"/>
      <c r="Q561" s="62">
        <v>2160000</v>
      </c>
      <c r="R561" s="63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4320000</v>
      </c>
      <c r="Y561" s="66">
        <f>IF(NOTA[[#This Row],[JUMLAH]]="","",NOTA[[#This Row],[JUMLAH]]*NOTA[[#This Row],[DISC 1]])</f>
        <v>734400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734400</v>
      </c>
      <c r="AC561" s="66">
        <f>IF(NOTA[[#This Row],[JUMLAH]]="","",NOTA[[#This Row],[JUMLAH]]-NOTA[[#This Row],[DISC]])</f>
        <v>3585600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45198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 t="str">
        <f ca="1">IF(NOTA[[#This Row],[ID]]="","",COUNTIF(NOTA[ID_H],NOTA[[#This Row],[ID_H]]))</f>
        <v/>
      </c>
      <c r="AM561" s="56">
        <f ca="1">IF(NOTA[[#This Row],[TGL.NOTA]]="",IF(NOTA[[#This Row],[SUPPLIER_H]]="","",AM560),MONTH(NOTA[[#This Row],[TGL.NOTA]]))</f>
        <v>9</v>
      </c>
      <c r="AN561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>
        <f>IF(NOTA[[#This Row],[CONCAT1]]="","",MATCH(NOTA[[#This Row],[CONCAT1]],[3]!db[NB NOTA_C],0))</f>
        <v>1448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36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104</v>
      </c>
      <c r="E562" s="57"/>
      <c r="F562" s="58"/>
      <c r="G562" s="58"/>
      <c r="H562" s="59"/>
      <c r="I562" s="58"/>
      <c r="J562" s="60"/>
      <c r="K562" s="58"/>
      <c r="L562" s="37" t="s">
        <v>156</v>
      </c>
      <c r="M562" s="61">
        <v>2</v>
      </c>
      <c r="N562" s="56"/>
      <c r="O562" s="58"/>
      <c r="P562" s="55"/>
      <c r="Q562" s="62">
        <v>1695600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3391200</v>
      </c>
      <c r="Y562" s="66">
        <f>IF(NOTA[[#This Row],[JUMLAH]]="","",NOTA[[#This Row],[JUMLAH]]*NOTA[[#This Row],[DISC 1]])</f>
        <v>576504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576504</v>
      </c>
      <c r="AC562" s="66">
        <f>IF(NOTA[[#This Row],[JUMLAH]]="","",NOTA[[#This Row],[JUMLAH]]-NOTA[[#This Row],[DISC]])</f>
        <v>2814696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45198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9</v>
      </c>
      <c r="AN562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1347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36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104</v>
      </c>
      <c r="E563" s="57"/>
      <c r="F563" s="58"/>
      <c r="G563" s="58"/>
      <c r="H563" s="59"/>
      <c r="I563" s="58"/>
      <c r="J563" s="60"/>
      <c r="K563" s="58"/>
      <c r="L563" s="37" t="s">
        <v>663</v>
      </c>
      <c r="M563" s="61">
        <v>1</v>
      </c>
      <c r="N563" s="56"/>
      <c r="O563" s="58"/>
      <c r="P563" s="55"/>
      <c r="Q563" s="62">
        <v>1200000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1200000</v>
      </c>
      <c r="Y563" s="66">
        <f>IF(NOTA[[#This Row],[JUMLAH]]="","",NOTA[[#This Row],[JUMLAH]]*NOTA[[#This Row],[DISC 1]])</f>
        <v>204000.00000000003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204000.00000000003</v>
      </c>
      <c r="AC563" s="66">
        <f>IF(NOTA[[#This Row],[JUMLAH]]="","",NOTA[[#This Row],[JUMLAH]]-NOTA[[#This Row],[DISC]])</f>
        <v>996000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45198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9</v>
      </c>
      <c r="AN563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1288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10 GRS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104</v>
      </c>
      <c r="E564" s="57"/>
      <c r="F564" s="58"/>
      <c r="G564" s="58"/>
      <c r="H564" s="59"/>
      <c r="I564" s="58"/>
      <c r="J564" s="60"/>
      <c r="K564" s="58"/>
      <c r="L564" s="37" t="s">
        <v>107</v>
      </c>
      <c r="M564" s="61">
        <v>1</v>
      </c>
      <c r="N564" s="56"/>
      <c r="O564" s="58"/>
      <c r="P564" s="55"/>
      <c r="Q564" s="62">
        <v>900000</v>
      </c>
      <c r="R564" s="63"/>
      <c r="S564" s="64">
        <v>0.17</v>
      </c>
      <c r="T564" s="65"/>
      <c r="U564" s="65"/>
      <c r="V564" s="66"/>
      <c r="W564" s="67"/>
      <c r="X564" s="66">
        <f>IF(NOTA[[#This Row],[HARGA/ CTN]]="",NOTA[[#This Row],[JUMLAH_H]],NOTA[[#This Row],[HARGA/ CTN]]*IF(NOTA[[#This Row],[C]]="",0,NOTA[[#This Row],[C]]))</f>
        <v>900000</v>
      </c>
      <c r="Y564" s="66">
        <f>IF(NOTA[[#This Row],[JUMLAH]]="","",NOTA[[#This Row],[JUMLAH]]*NOTA[[#This Row],[DISC 1]])</f>
        <v>153000</v>
      </c>
      <c r="Z564" s="66">
        <f>IF(NOTA[[#This Row],[JUMLAH]]="","",(NOTA[[#This Row],[JUMLAH]]-NOTA[[#This Row],[DISC 1-]])*NOTA[[#This Row],[DISC 2]])</f>
        <v>0</v>
      </c>
      <c r="AA564" s="66">
        <f>IF(NOTA[[#This Row],[JUMLAH]]="","",(NOTA[[#This Row],[JUMLAH]]-NOTA[[#This Row],[DISC 1-]]-NOTA[[#This Row],[DISC 2-]])*NOTA[[#This Row],[DISC 3]])</f>
        <v>0</v>
      </c>
      <c r="AB564" s="66">
        <f>IF(NOTA[[#This Row],[JUMLAH]]="","",NOTA[[#This Row],[DISC 1-]]+NOTA[[#This Row],[DISC 2-]]+NOTA[[#This Row],[DISC 3-]])</f>
        <v>153000</v>
      </c>
      <c r="AC564" s="66">
        <f>IF(NOTA[[#This Row],[JUMLAH]]="","",NOTA[[#This Row],[JUMLAH]]-NOTA[[#This Row],[DISC]])</f>
        <v>747000</v>
      </c>
      <c r="AD564" s="66"/>
      <c r="AE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23061684</v>
      </c>
      <c r="AF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98973516</v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4" s="66" t="str">
        <f>IF(OR(NOTA[[#This Row],[QTY]]="",NOTA[[#This Row],[HARGA SATUAN]]="",),"",NOTA[[#This Row],[QTY]]*NOTA[[#This Row],[HARGA SATUAN]])</f>
        <v/>
      </c>
      <c r="AI564" s="60">
        <f ca="1">IF(NOTA[ID_H]="","",INDEX(NOTA[TANGGAL],MATCH(,INDIRECT(ADDRESS(ROW(NOTA[TANGGAL]),COLUMN(NOTA[TANGGAL]))&amp;":"&amp;ADDRESS(ROW(),COLUMN(NOTA[TANGGAL]))),-1)))</f>
        <v>45198</v>
      </c>
      <c r="AJ564" s="55" t="str">
        <f ca="1">IF(NOTA[[#This Row],[NAMA BARANG]]="","",INDEX(NOTA[SUPPLIER],MATCH(,INDIRECT(ADDRESS(ROW(NOTA[ID]),COLUMN(NOTA[ID]))&amp;":"&amp;ADDRESS(ROW(),COLUMN(NOTA[ID]))),-1)))</f>
        <v>KENKO SINAR INDONESIA</v>
      </c>
      <c r="AK564" s="55" t="str">
        <f ca="1">IF(NOTA[[#This Row],[ID_H]]="","",IF(NOTA[[#This Row],[FAKTUR]]="",INDIRECT(ADDRESS(ROW()-1,COLUMN())),NOTA[[#This Row],[FAKTUR]]))</f>
        <v>ARTO MORO</v>
      </c>
      <c r="AL564" s="56" t="str">
        <f ca="1">IF(NOTA[[#This Row],[ID]]="","",COUNTIF(NOTA[ID_H],NOTA[[#This Row],[ID_H]]))</f>
        <v/>
      </c>
      <c r="AM564" s="56">
        <f ca="1">IF(NOTA[[#This Row],[TGL.NOTA]]="",IF(NOTA[[#This Row],[SUPPLIER_H]]="","",AM563),MONTH(NOTA[[#This Row],[TGL.NOTA]]))</f>
        <v>9</v>
      </c>
      <c r="AN56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>
        <f>IF(NOTA[[#This Row],[CONCAT1]]="","",MATCH(NOTA[[#This Row],[CONCAT1]],[3]!db[NB NOTA_C],0))</f>
        <v>1289</v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>5 GRS</v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4" s="56" t="e">
        <f ca="1">IF(NOTA[[#This Row],[ID_H]]="","",MATCH(NOTA[[#This Row],[NB NOTA_C_QTY]],[4]!db[NB NOTA_C_QTY+F],0))</f>
        <v>#REF!</v>
      </c>
      <c r="AX564" s="68">
        <f ca="1">IF(NOTA[[#This Row],[NB NOTA_C_QTY]]="","",ROW()-2)</f>
        <v>562</v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58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58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58"/>
      <c r="M572" s="61"/>
      <c r="N572" s="56"/>
      <c r="O572" s="58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8"/>
      <c r="I574" s="60"/>
      <c r="J574" s="60"/>
      <c r="K574" s="58"/>
      <c r="L574" s="58"/>
      <c r="M574" s="61"/>
      <c r="N574" s="56"/>
      <c r="O574" s="58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58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58"/>
      <c r="M576" s="61"/>
      <c r="N576" s="56"/>
      <c r="O576" s="58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58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58"/>
      <c r="M578" s="61"/>
      <c r="N578" s="56"/>
      <c r="O578" s="58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58"/>
      <c r="M579" s="61"/>
      <c r="N579" s="56"/>
      <c r="O579" s="58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58"/>
      <c r="M581" s="61"/>
      <c r="N581" s="56"/>
      <c r="O581" s="58"/>
      <c r="P581" s="55"/>
      <c r="Q581" s="62"/>
      <c r="R581" s="63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58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58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58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58"/>
      <c r="P587" s="55"/>
      <c r="Q587" s="62"/>
      <c r="R587" s="63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58"/>
      <c r="M589" s="61"/>
      <c r="N589" s="56"/>
      <c r="O589" s="58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58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58"/>
      <c r="M594" s="61"/>
      <c r="N594" s="56"/>
      <c r="O594" s="58"/>
      <c r="P594" s="55"/>
      <c r="Q594" s="6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58"/>
      <c r="M600" s="61"/>
      <c r="N600" s="56"/>
      <c r="O600" s="58"/>
      <c r="P600" s="55"/>
      <c r="Q600" s="62"/>
      <c r="R600" s="63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58"/>
      <c r="M602" s="61"/>
      <c r="N602" s="56"/>
      <c r="O602" s="58"/>
      <c r="P602" s="55"/>
      <c r="Q602" s="62"/>
      <c r="R602" s="63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58"/>
      <c r="M604" s="61"/>
      <c r="N604" s="56"/>
      <c r="O604" s="58"/>
      <c r="P604" s="55"/>
      <c r="Q604" s="62"/>
      <c r="R604" s="63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58"/>
      <c r="M607" s="61"/>
      <c r="N607" s="56"/>
      <c r="O607" s="58"/>
      <c r="P607" s="55"/>
      <c r="Q607" s="62"/>
      <c r="R607" s="63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58"/>
      <c r="M608" s="61"/>
      <c r="N608" s="56"/>
      <c r="O608" s="58"/>
      <c r="P608" s="55"/>
      <c r="Q608" s="62"/>
      <c r="R608" s="63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58"/>
      <c r="M610" s="61"/>
      <c r="N610" s="56"/>
      <c r="O610" s="58"/>
      <c r="P610" s="55"/>
      <c r="Q610" s="62"/>
      <c r="R610" s="63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58"/>
      <c r="M611" s="61"/>
      <c r="N611" s="56"/>
      <c r="O611" s="58"/>
      <c r="P611" s="55"/>
      <c r="Q611" s="62"/>
      <c r="R611" s="63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58"/>
      <c r="M612" s="61"/>
      <c r="N612" s="56"/>
      <c r="O612" s="58"/>
      <c r="P612" s="55"/>
      <c r="Q612" s="62"/>
      <c r="R612" s="63"/>
      <c r="S612" s="64"/>
      <c r="T612" s="65"/>
      <c r="U612" s="65"/>
      <c r="V612" s="66"/>
      <c r="W612" s="67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</sheetData>
  <conditionalFormatting sqref="B24:C1048576 B1:C21">
    <cfRule type="duplicateValues" dxfId="312" priority="1634"/>
    <cfRule type="duplicateValues" dxfId="311" priority="1635"/>
  </conditionalFormatting>
  <conditionalFormatting sqref="B24:B1048576 B1:B21">
    <cfRule type="duplicateValues" dxfId="310" priority="1640"/>
  </conditionalFormatting>
  <conditionalFormatting sqref="H575:H1048576 H34 H1:H13 H41:H573">
    <cfRule type="duplicateValues" dxfId="309" priority="1702"/>
  </conditionalFormatting>
  <conditionalFormatting sqref="AQ3:AQ21 AQ24:AQ944">
    <cfRule type="duplicateValues" dxfId="308" priority="1705"/>
  </conditionalFormatting>
  <conditionalFormatting sqref="H14:H21 H24:H33">
    <cfRule type="duplicateValues" dxfId="307" priority="17"/>
  </conditionalFormatting>
  <conditionalFormatting sqref="H35:H40">
    <cfRule type="duplicateValues" dxfId="306" priority="16"/>
  </conditionalFormatting>
  <conditionalFormatting sqref="L429">
    <cfRule type="duplicateValues" dxfId="305" priority="15"/>
  </conditionalFormatting>
  <conditionalFormatting sqref="L429">
    <cfRule type="duplicateValues" dxfId="304" priority="14"/>
  </conditionalFormatting>
  <conditionalFormatting sqref="L433">
    <cfRule type="duplicateValues" dxfId="303" priority="13"/>
  </conditionalFormatting>
  <conditionalFormatting sqref="L433">
    <cfRule type="duplicateValues" dxfId="302" priority="12"/>
  </conditionalFormatting>
  <conditionalFormatting sqref="L459">
    <cfRule type="duplicateValues" dxfId="301" priority="11"/>
  </conditionalFormatting>
  <conditionalFormatting sqref="L459">
    <cfRule type="duplicateValues" dxfId="300" priority="10"/>
  </conditionalFormatting>
  <conditionalFormatting sqref="L460">
    <cfRule type="duplicateValues" dxfId="299" priority="9"/>
  </conditionalFormatting>
  <conditionalFormatting sqref="L460">
    <cfRule type="duplicateValues" dxfId="298" priority="8"/>
  </conditionalFormatting>
  <conditionalFormatting sqref="L461">
    <cfRule type="duplicateValues" dxfId="297" priority="7"/>
  </conditionalFormatting>
  <conditionalFormatting sqref="L461">
    <cfRule type="duplicateValues" dxfId="296" priority="6"/>
  </conditionalFormatting>
  <conditionalFormatting sqref="B22:C23">
    <cfRule type="duplicateValues" dxfId="295" priority="1"/>
    <cfRule type="duplicateValues" dxfId="294" priority="2"/>
  </conditionalFormatting>
  <conditionalFormatting sqref="B22:B23">
    <cfRule type="duplicateValues" dxfId="293" priority="3"/>
  </conditionalFormatting>
  <conditionalFormatting sqref="H22:H23">
    <cfRule type="duplicateValues" dxfId="292" priority="4"/>
  </conditionalFormatting>
  <conditionalFormatting sqref="AR22:AR23">
    <cfRule type="duplicateValues" dxfId="291" priority="5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EXP\BARU\2023\09 SEPTEMBER\[NOTA 09 SEPTEMBER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EXP\BARU\2023\09 SEPTEMBER\[NOTA 09 SEPTEMBER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HYPERLINK("[NOTA_.xlsx]NOTA!A"&amp;MATCH(NCL[[#This Row],[ID]],NOTA[ID],0)+2,IF(NCL[[#This Row],[//PAJAK]]="","",MATCH(NCL[[#This Row],[ID]],NOTA[ID],0)+2))</f>
        <v>173</v>
      </c>
      <c r="B3" s="5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HYPERLINK("[NOTA_.xlsx]PAJAK!b"&amp;NCL[[#This Row],[//PAJAK]],IF(NCL[[#This Row],[//PAJAK]]="","",INDEX(INDIRECT("PAJAK["&amp;NCL[#Headers]&amp;"]"),NCL[[#This Row],[//PAJAK]]-1)))</f>
        <v>23</v>
      </c>
      <c r="D3" s="3" t="str">
        <f ca="1">IF(NCL[[#This Row],[//PAJAK]]="","",INDEX(INDIRECT("PAJAK["&amp;NCL[#Headers]&amp;"]"),NCL[[#This Row],[//PAJAK]]-1))</f>
        <v>NATURAL CAHAYA LESTARI</v>
      </c>
      <c r="E3" s="2">
        <f ca="1">IF(NCL[[#This Row],[//PAJAK]]="","",INDEX(INDIRECT("PAJAK["&amp;NCL[#Headers]&amp;"]"),NCL[[#This Row],[//PAJAK]]-1))</f>
        <v>45180</v>
      </c>
      <c r="F3" s="2">
        <f ca="1">IF(NCL[[#This Row],[//PAJAK]]="","",INDEX(INDIRECT("PAJAK["&amp;NCL[#Headers]&amp;"]"),NCL[[#This Row],[//PAJAK]]-1))</f>
        <v>45176</v>
      </c>
      <c r="G3" s="14" t="str">
        <f ca="1">IF(NCL[[#This Row],[//PAJAK]]="","",INDEX(INDIRECT("PAJAK["&amp;NCL[#Headers]&amp;"]"),NCL[[#This Row],[//PAJAK]]-1))</f>
        <v>NCL-R2309000010</v>
      </c>
      <c r="H3" s="3" t="str">
        <f ca="1">IF(NCL[[#This Row],[//PAJAK]]="","",INDEX(INDIRECT("PAJAK["&amp;NCL[#Headers]&amp;"]"),NCL[[#This Row],[//PAJAK]]-1))</f>
        <v/>
      </c>
      <c r="I3" s="1">
        <f ca="1">IF(NCL[[#This Row],[//PAJAK]]="","",INDEX(PAJAK[SUB T-DISC],NCL[[#This Row],[//PAJAK]]-1)*1.11)</f>
        <v>3240010.08</v>
      </c>
      <c r="J3" s="1">
        <f ca="1">IF(NCL[[#This Row],[//PAJAK]]="","",INDEX(PAJAK[DISC DLL],NCL[[#This Row],[//PAJAK]]-1))</f>
        <v>0</v>
      </c>
      <c r="K3" s="1">
        <f ca="1">(NCL[[#This Row],[SUB TOTAL]]-NCL[[#This Row],[DISKON]])/1.11</f>
        <v>2918928</v>
      </c>
      <c r="L3" s="1">
        <f ca="1">NCL[[#This Row],[DPP]]*11%</f>
        <v>321082.08</v>
      </c>
      <c r="M3" s="1">
        <f ca="1">NCL[[#This Row],[DPP]]+NCL[[#This Row],[PPN (11%)]]</f>
        <v>3240010.08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D15" sqref="D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104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558</v>
      </c>
      <c r="D2" t="s">
        <v>22</v>
      </c>
      <c r="E2" t="s">
        <v>59</v>
      </c>
      <c r="F2" t="s">
        <v>69</v>
      </c>
      <c r="G2">
        <f>COUNTIF(NOTA[SUPPLIER],CONV[[#This Row],[1]])</f>
        <v>24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24</v>
      </c>
    </row>
    <row r="4" spans="1:7" x14ac:dyDescent="0.25">
      <c r="A4" t="s">
        <v>34</v>
      </c>
      <c r="B4">
        <f>COUNTIF(NOTA[FAKTUR],NM_FAKTUR)</f>
        <v>54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1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1</v>
      </c>
    </row>
    <row r="13" spans="1:7" x14ac:dyDescent="0.25">
      <c r="D13" t="s">
        <v>95</v>
      </c>
      <c r="E13" t="s">
        <v>112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547</v>
      </c>
      <c r="E14" t="s">
        <v>279</v>
      </c>
      <c r="F14" t="s">
        <v>547</v>
      </c>
      <c r="G14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25" zoomScale="85" zoomScaleNormal="85" workbookViewId="0">
      <selection activeCell="C47" sqref="C47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KEN_3108_036-2</v>
      </c>
      <c r="D2" s="15" t="e">
        <f ca="1">MATCH(PAJAK[[#This Row],[ID]],[6]!Table1[ID],0)</f>
        <v>#REF!</v>
      </c>
      <c r="E2" s="16">
        <f ca="1">IF(PAJAK[[#This Row],[ID]]="","",COUNTIF(NOTA[ID_H],PAJAK[[#This Row],[ID]]))</f>
        <v>2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45169</v>
      </c>
      <c r="H2" s="17">
        <f ca="1">IF(PAJAK[[#This Row],[//]]="","",INDEX(INDIRECT("NOTA["&amp;PAJAK[#Headers]&amp;"]"),PAJAK[[#This Row],[//]]-2))</f>
        <v>45170</v>
      </c>
      <c r="I2" s="16" t="str">
        <f ca="1">IF(PAJAK[[#This Row],[//]]="","",INDEX(INDIRECT("NOTA["&amp;PAJAK[#Headers]&amp;"]"),PAJAK[[#This Row],[//]]-2))</f>
        <v>23090036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14352000</v>
      </c>
      <c r="L2" s="23">
        <f ca="1">IF(PAJAK[[#This Row],[//]]="","",SUMIF(NOTA[ID_H],PAJAK[[#This Row],[ID]],NOTA[DISC]))</f>
        <v>2439840</v>
      </c>
      <c r="M2" s="23">
        <f ca="1">PAJAK[[#This Row],[SUB TOTAL]]-PAJAK[[#This Row],[DISKON]]</f>
        <v>11912160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10731675.675675675</v>
      </c>
      <c r="P2" s="23">
        <f ca="1">PAJAK[[#This Row],[DPP]]*PAJAK[[#This Row],[PPN]]</f>
        <v>1180484.3243243243</v>
      </c>
      <c r="Q2" s="23">
        <f ca="1">PAJAK[[#This Row],[DPP]]+PAJAK[[#This Row],[PPN 11%]]</f>
        <v>11912160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KEN_0509_252-6</v>
      </c>
      <c r="D3" s="19" t="e">
        <f ca="1">MATCH(PAJAK[[#This Row],[ID]],[6]!Table1[ID],0)</f>
        <v>#REF!</v>
      </c>
      <c r="E3" s="20">
        <f ca="1">IF(PAJAK[[#This Row],[ID]]="","",COUNTIF(NOTA[ID_H],PAJAK[[#This Row],[ID]]))</f>
        <v>6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45174</v>
      </c>
      <c r="H3" s="17">
        <f ca="1">IF(PAJAK[[#This Row],[//]]="","",INDEX(INDIRECT("NOTA["&amp;PAJAK[#Headers]&amp;"]"),PAJAK[[#This Row],[//]]-2))</f>
        <v>45173</v>
      </c>
      <c r="I3" s="16" t="str">
        <f ca="1">IF(PAJAK[[#This Row],[//]]="","",INDEX(INDIRECT("NOTA["&amp;PAJAK[#Headers]&amp;"]"),PAJAK[[#This Row],[//]]-2))</f>
        <v>23090252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22416000</v>
      </c>
      <c r="L3" s="23">
        <f ca="1">IF(PAJAK[[#This Row],[//]]="","",SUMIF(NOTA[ID_H],PAJAK[[#This Row],[ID]],NOTA[DISC]))</f>
        <v>3810720</v>
      </c>
      <c r="M3" s="23">
        <f ca="1">PAJAK[[#This Row],[SUB TOTAL]]-PAJAK[[#This Row],[DISKON]]</f>
        <v>18605280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16761513.513513513</v>
      </c>
      <c r="P3" s="23">
        <f ca="1">PAJAK[[#This Row],[DPP]]*PAJAK[[#This Row],[PPN]]</f>
        <v>1843766.4864864864</v>
      </c>
      <c r="Q3" s="23">
        <f ca="1">PAJAK[[#This Row],[DPP]]+PAJAK[[#This Row],[PPN 11%]]</f>
        <v>18605280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13</v>
      </c>
      <c r="B4" s="22">
        <f ca="1">HYPERLINK("[NOTA_.XLSX]NOTA!c"&amp;PAJAK[[#This Row],[//]],IF(PAJAK[[#This Row],[//]]="","",INDEX(INDIRECT("NOTA["&amp;PAJAK[#Headers]&amp;"]"),PAJAK[[#This Row],[//]]-2)))</f>
        <v>3</v>
      </c>
      <c r="C4" s="15" t="str">
        <f ca="1">IF(PAJAK[[#This Row],[//]]="","",INDEX(INDIRECT("NOTA["&amp;PAJAK[#Headers]&amp;"]"),PAJAK[[#This Row],[//]]-2))</f>
        <v>KEN_0209_082-4</v>
      </c>
      <c r="D4" s="15" t="e">
        <f ca="1">MATCH(PAJAK[[#This Row],[ID]],[6]!Table1[ID],0)</f>
        <v>#REF!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45171</v>
      </c>
      <c r="H4" s="17">
        <f ca="1">IF(PAJAK[[#This Row],[//]]="","",INDEX(INDIRECT("NOTA["&amp;PAJAK[#Headers]&amp;"]"),PAJAK[[#This Row],[//]]-2))</f>
        <v>45170</v>
      </c>
      <c r="I4" s="16" t="str">
        <f ca="1">IF(PAJAK[[#This Row],[//]]="","",INDEX(INDIRECT("NOTA["&amp;PAJAK[#Headers]&amp;"]"),PAJAK[[#This Row],[//]]-2))</f>
        <v>23090082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25488000</v>
      </c>
      <c r="L4" s="23">
        <f ca="1">IF(PAJAK[[#This Row],[//]]="","",SUMIF(NOTA[ID_H],PAJAK[[#This Row],[ID]],NOTA[DISC]))</f>
        <v>4332960</v>
      </c>
      <c r="M4" s="23">
        <f ca="1">PAJAK[[#This Row],[SUB TOTAL]]-PAJAK[[#This Row],[DISKON]]</f>
        <v>21155040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19058594.594594594</v>
      </c>
      <c r="P4" s="23">
        <f ca="1">PAJAK[[#This Row],[DPP]]*PAJAK[[#This Row],[PPN]]</f>
        <v>2096445.4054054054</v>
      </c>
      <c r="Q4" s="23">
        <f ca="1">PAJAK[[#This Row],[DPP]]+PAJAK[[#This Row],[PPN 11%]]</f>
        <v>21155040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18</v>
      </c>
      <c r="B5" s="21">
        <f ca="1">HYPERLINK("[NOTA_.XLSX]NOTA!c"&amp;PAJAK[[#This Row],[//]],IF(PAJAK[[#This Row],[//]]="","",INDEX(INDIRECT("NOTA["&amp;PAJAK[#Headers]&amp;"]"),PAJAK[[#This Row],[//]]-2)))</f>
        <v>4</v>
      </c>
      <c r="C5" s="19" t="str">
        <f ca="1">IF(PAJAK[[#This Row],[//]]="","",INDEX(INDIRECT("NOTA["&amp;PAJAK[#Headers]&amp;"]"),PAJAK[[#This Row],[//]]-2))</f>
        <v>KEN_0209_138-5</v>
      </c>
      <c r="D5" s="19" t="e">
        <f ca="1">MATCH(PAJAK[[#This Row],[ID]],[6]!Table1[ID],0)</f>
        <v>#REF!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45171</v>
      </c>
      <c r="H5" s="17">
        <f ca="1">IF(PAJAK[[#This Row],[//]]="","",INDEX(INDIRECT("NOTA["&amp;PAJAK[#Headers]&amp;"]"),PAJAK[[#This Row],[//]]-2))</f>
        <v>45170</v>
      </c>
      <c r="I5" s="16" t="str">
        <f ca="1">IF(PAJAK[[#This Row],[//]]="","",INDEX(INDIRECT("NOTA["&amp;PAJAK[#Headers]&amp;"]"),PAJAK[[#This Row],[//]]-2))</f>
        <v>23090138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17313600</v>
      </c>
      <c r="L5" s="23">
        <f ca="1">IF(PAJAK[[#This Row],[//]]="","",SUMIF(NOTA[ID_H],PAJAK[[#This Row],[ID]],NOTA[DISC]))</f>
        <v>2943312</v>
      </c>
      <c r="M5" s="23">
        <f ca="1">PAJAK[[#This Row],[SUB TOTAL]]-PAJAK[[#This Row],[DISKON]]</f>
        <v>14370288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12946205.405405404</v>
      </c>
      <c r="P5" s="23">
        <f ca="1">PAJAK[[#This Row],[DPP]]*PAJAK[[#This Row],[PPN]]</f>
        <v>1424082.5945945946</v>
      </c>
      <c r="Q5" s="23">
        <f ca="1">PAJAK[[#This Row],[DPP]]+PAJAK[[#This Row],[PPN 11%]]</f>
        <v>14370287.999999998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31</v>
      </c>
      <c r="B6" s="15">
        <f ca="1">HYPERLINK("[NOTA_.XLSX]NOTA!c"&amp;PAJAK[[#This Row],[//]],IF(PAJAK[[#This Row],[//]]="","",INDEX(INDIRECT("NOTA["&amp;PAJAK[#Headers]&amp;"]"),PAJAK[[#This Row],[//]]-2)))</f>
        <v>8</v>
      </c>
      <c r="C6" s="15" t="str">
        <f ca="1">IF(PAJAK[[#This Row],[//]]="","",INDEX(INDIRECT("NOTA["&amp;PAJAK[#Headers]&amp;"]"),PAJAK[[#This Row],[//]]-2))</f>
        <v>KEN_1109_701-10</v>
      </c>
      <c r="D6" s="15" t="e">
        <f ca="1">MATCH(PAJAK[[#This Row],[ID]],[6]!Table1[ID],0)</f>
        <v>#REF!</v>
      </c>
      <c r="E6" s="16">
        <f ca="1">IF(PAJAK[[#This Row],[ID]]="","",COUNTIF(NOTA[ID_H],PAJAK[[#This Row],[ID]]))</f>
        <v>10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45180</v>
      </c>
      <c r="H6" s="17">
        <f ca="1">IF(PAJAK[[#This Row],[//]]="","",INDEX(INDIRECT("NOTA["&amp;PAJAK[#Headers]&amp;"]"),PAJAK[[#This Row],[//]]-2))</f>
        <v>45177</v>
      </c>
      <c r="I6" s="16" t="str">
        <f ca="1">IF(PAJAK[[#This Row],[//]]="","",INDEX(INDIRECT("NOTA["&amp;PAJAK[#Headers]&amp;"]"),PAJAK[[#This Row],[//]]-2))</f>
        <v>23090701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69846600</v>
      </c>
      <c r="L6" s="23">
        <f ca="1">IF(PAJAK[[#This Row],[//]]="","",SUMIF(NOTA[ID_H],PAJAK[[#This Row],[ID]],NOTA[DISC]))</f>
        <v>12250410</v>
      </c>
      <c r="M6" s="23">
        <f ca="1">PAJAK[[#This Row],[SUB TOTAL]]-PAJAK[[#This Row],[DISKON]]</f>
        <v>57596190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51888459.459459454</v>
      </c>
      <c r="P6" s="23">
        <f ca="1">PAJAK[[#This Row],[DPP]]*PAJAK[[#This Row],[PPN]]</f>
        <v>5707730.5405405397</v>
      </c>
      <c r="Q6" s="23">
        <f ca="1">PAJAK[[#This Row],[DPP]]+PAJAK[[#This Row],[PPN 11%]]</f>
        <v>57596189.999999993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42</v>
      </c>
      <c r="B7" s="15">
        <f ca="1">HYPERLINK("[NOTA_.XLSX]NOTA!c"&amp;PAJAK[[#This Row],[//]],IF(PAJAK[[#This Row],[//]]="","",INDEX(INDIRECT("NOTA["&amp;PAJAK[#Headers]&amp;"]"),PAJAK[[#This Row],[//]]-2)))</f>
        <v>9</v>
      </c>
      <c r="C7" s="15" t="str">
        <f ca="1">IF(PAJAK[[#This Row],[//]]="","",INDEX(INDIRECT("NOTA["&amp;PAJAK[#Headers]&amp;"]"),PAJAK[[#This Row],[//]]-2))</f>
        <v>KEN_1109_747-2</v>
      </c>
      <c r="D7" s="15" t="e">
        <f ca="1">MATCH(PAJAK[[#This Row],[ID]],[6]!Table1[ID],0)</f>
        <v>#REF!</v>
      </c>
      <c r="E7" s="16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45180</v>
      </c>
      <c r="H7" s="17">
        <f ca="1">IF(PAJAK[[#This Row],[//]]="","",INDEX(INDIRECT("NOTA["&amp;PAJAK[#Headers]&amp;"]"),PAJAK[[#This Row],[//]]-2))</f>
        <v>45177</v>
      </c>
      <c r="I7" s="16" t="str">
        <f ca="1">IF(PAJAK[[#This Row],[//]]="","",INDEX(INDIRECT("NOTA["&amp;PAJAK[#Headers]&amp;"]"),PAJAK[[#This Row],[//]]-2))</f>
        <v>23090747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5750000</v>
      </c>
      <c r="L7" s="23">
        <f ca="1">IF(PAJAK[[#This Row],[//]]="","",SUMIF(NOTA[ID_H],PAJAK[[#This Row],[ID]],NOTA[DISC]))</f>
        <v>977500.00000000012</v>
      </c>
      <c r="M7" s="23">
        <f ca="1">PAJAK[[#This Row],[SUB TOTAL]]-PAJAK[[#This Row],[DISKON]]</f>
        <v>4772500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4299549.5495495489</v>
      </c>
      <c r="P7" s="23">
        <f ca="1">PAJAK[[#This Row],[DPP]]*PAJAK[[#This Row],[PPN]]</f>
        <v>472950.45045045036</v>
      </c>
      <c r="Q7" s="23">
        <f ca="1">PAJAK[[#This Row],[DPP]]+PAJAK[[#This Row],[PPN 11%]]</f>
        <v>4772499.9999999991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45</v>
      </c>
      <c r="B8" s="21">
        <f ca="1">HYPERLINK("[NOTA_.XLSX]NOTA!c"&amp;PAJAK[[#This Row],[//]],IF(PAJAK[[#This Row],[//]]="","",INDEX(INDIRECT("NOTA["&amp;PAJAK[#Headers]&amp;"]"),PAJAK[[#This Row],[//]]-2)))</f>
        <v>10</v>
      </c>
      <c r="C8" s="19" t="str">
        <f ca="1">IF(PAJAK[[#This Row],[//]]="","",INDEX(INDIRECT("NOTA["&amp;PAJAK[#Headers]&amp;"]"),PAJAK[[#This Row],[//]]-2))</f>
        <v>KEN_1209_817-10</v>
      </c>
      <c r="D8" s="19" t="e">
        <f ca="1">MATCH(PAJAK[[#This Row],[ID]],[6]!Table1[ID],0)</f>
        <v>#REF!</v>
      </c>
      <c r="E8" s="20">
        <f ca="1">IF(PAJAK[[#This Row],[ID]]="","",COUNTIF(NOTA[ID_H],PAJAK[[#This Row],[ID]]))</f>
        <v>10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45181</v>
      </c>
      <c r="H8" s="17">
        <f ca="1">IF(PAJAK[[#This Row],[//]]="","",INDEX(INDIRECT("NOTA["&amp;PAJAK[#Headers]&amp;"]"),PAJAK[[#This Row],[//]]-2))</f>
        <v>45178</v>
      </c>
      <c r="I8" s="16" t="str">
        <f ca="1">IF(PAJAK[[#This Row],[//]]="","",INDEX(INDIRECT("NOTA["&amp;PAJAK[#Headers]&amp;"]"),PAJAK[[#This Row],[//]]-2))</f>
        <v>23090817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43171200</v>
      </c>
      <c r="L8" s="23">
        <f ca="1">IF(PAJAK[[#This Row],[//]]="","",SUMIF(NOTA[ID_H],PAJAK[[#This Row],[ID]],NOTA[DISC]))</f>
        <v>7339104</v>
      </c>
      <c r="M8" s="23">
        <f ca="1">PAJAK[[#This Row],[SUB TOTAL]]-PAJAK[[#This Row],[DISKON]]</f>
        <v>35832096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32281167.567567565</v>
      </c>
      <c r="P8" s="23">
        <f ca="1">PAJAK[[#This Row],[DPP]]*PAJAK[[#This Row],[PPN]]</f>
        <v>3550928.4324324322</v>
      </c>
      <c r="Q8" s="23">
        <f ca="1">PAJAK[[#This Row],[DPP]]+PAJAK[[#This Row],[PPN 11%]]</f>
        <v>35832096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56</v>
      </c>
      <c r="B9" s="21">
        <f ca="1">HYPERLINK("[NOTA_.XLSX]NOTA!c"&amp;PAJAK[[#This Row],[//]],IF(PAJAK[[#This Row],[//]]="","",INDEX(INDIRECT("NOTA["&amp;PAJAK[#Headers]&amp;"]"),PAJAK[[#This Row],[//]]-2)))</f>
        <v>11</v>
      </c>
      <c r="C9" s="19" t="str">
        <f ca="1">IF(PAJAK[[#This Row],[//]]="","",INDEX(INDIRECT("NOTA["&amp;PAJAK[#Headers]&amp;"]"),PAJAK[[#This Row],[//]]-2))</f>
        <v>KEN_0909_463-8</v>
      </c>
      <c r="D9" s="19" t="e">
        <f ca="1">MATCH(PAJAK[[#This Row],[ID]],[6]!Table1[ID],0)</f>
        <v>#REF!</v>
      </c>
      <c r="E9" s="20">
        <f ca="1">IF(PAJAK[[#This Row],[ID]]="","",COUNTIF(NOTA[ID_H],PAJAK[[#This Row],[ID]]))</f>
        <v>8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45178</v>
      </c>
      <c r="H9" s="17">
        <f ca="1">IF(PAJAK[[#This Row],[//]]="","",INDEX(INDIRECT("NOTA["&amp;PAJAK[#Headers]&amp;"]"),PAJAK[[#This Row],[//]]-2))</f>
        <v>45175</v>
      </c>
      <c r="I9" s="16" t="str">
        <f ca="1">IF(PAJAK[[#This Row],[//]]="","",INDEX(INDIRECT("NOTA["&amp;PAJAK[#Headers]&amp;"]"),PAJAK[[#This Row],[//]]-2))</f>
        <v>23090463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51392400</v>
      </c>
      <c r="L9" s="23">
        <f ca="1">IF(PAJAK[[#This Row],[//]]="","",SUMIF(NOTA[ID_H],PAJAK[[#This Row],[ID]],NOTA[DISC]))</f>
        <v>8736708</v>
      </c>
      <c r="M9" s="23">
        <f ca="1">PAJAK[[#This Row],[SUB TOTAL]]-PAJAK[[#This Row],[DISKON]]</f>
        <v>42655692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38428551.351351351</v>
      </c>
      <c r="P9" s="23">
        <f ca="1">PAJAK[[#This Row],[DPP]]*PAJAK[[#This Row],[PPN]]</f>
        <v>4227140.6486486485</v>
      </c>
      <c r="Q9" s="23">
        <f ca="1">PAJAK[[#This Row],[DPP]]+PAJAK[[#This Row],[PPN 11%]]</f>
        <v>42655692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12</v>
      </c>
      <c r="C10" s="19" t="str">
        <f ca="1">IF(PAJAK[[#This Row],[//]]="","",INDEX(INDIRECT("NOTA["&amp;PAJAK[#Headers]&amp;"]"),PAJAK[[#This Row],[//]]-2))</f>
        <v>KEN_0909_468-8</v>
      </c>
      <c r="D10" s="19" t="e">
        <f ca="1">MATCH(PAJAK[[#This Row],[ID]],[6]!Table1[ID],0)</f>
        <v>#REF!</v>
      </c>
      <c r="E10" s="20">
        <f ca="1">IF(PAJAK[[#This Row],[ID]]="","",COUNTIF(NOTA[ID_H],PAJAK[[#This Row],[ID]]))</f>
        <v>8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45178</v>
      </c>
      <c r="H10" s="17">
        <f ca="1">IF(PAJAK[[#This Row],[//]]="","",INDEX(INDIRECT("NOTA["&amp;PAJAK[#Headers]&amp;"]"),PAJAK[[#This Row],[//]]-2))</f>
        <v>45175</v>
      </c>
      <c r="I10" s="16" t="str">
        <f ca="1">IF(PAJAK[[#This Row],[//]]="","",INDEX(INDIRECT("NOTA["&amp;PAJAK[#Headers]&amp;"]"),PAJAK[[#This Row],[//]]-2))</f>
        <v>23090468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50478600</v>
      </c>
      <c r="L10" s="23">
        <f ca="1">IF(PAJAK[[#This Row],[//]]="","",SUMIF(NOTA[ID_H],PAJAK[[#This Row],[ID]],NOTA[DISC]))</f>
        <v>10436312.4</v>
      </c>
      <c r="M10" s="23">
        <f ca="1">PAJAK[[#This Row],[SUB TOTAL]]-PAJAK[[#This Row],[DISKON]]</f>
        <v>40042287.600000001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36074132.972972974</v>
      </c>
      <c r="P10" s="23">
        <f ca="1">PAJAK[[#This Row],[DPP]]*PAJAK[[#This Row],[PPN]]</f>
        <v>3968154.6270270273</v>
      </c>
      <c r="Q10" s="23">
        <f ca="1">PAJAK[[#This Row],[DPP]]+PAJAK[[#This Row],[PPN 11%]]</f>
        <v>40042287.600000001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74</v>
      </c>
      <c r="B11" s="21">
        <f ca="1">HYPERLINK("[NOTA_.XLSX]NOTA!c"&amp;PAJAK[[#This Row],[//]],IF(PAJAK[[#This Row],[//]]="","",INDEX(INDIRECT("NOTA["&amp;PAJAK[#Headers]&amp;"]"),PAJAK[[#This Row],[//]]-2)))</f>
        <v>13</v>
      </c>
      <c r="C11" s="19" t="str">
        <f ca="1">IF(PAJAK[[#This Row],[//]]="","",INDEX(INDIRECT("NOTA["&amp;PAJAK[#Headers]&amp;"]"),PAJAK[[#This Row],[//]]-2))</f>
        <v>KEN_1209_971-9</v>
      </c>
      <c r="D11" s="19" t="e">
        <f ca="1">MATCH(PAJAK[[#This Row],[ID]],[6]!Table1[ID],0)</f>
        <v>#REF!</v>
      </c>
      <c r="E11" s="20">
        <f ca="1">IF(PAJAK[[#This Row],[ID]]="","",COUNTIF(NOTA[ID_H],PAJAK[[#This Row],[ID]]))</f>
        <v>9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45181</v>
      </c>
      <c r="H11" s="17">
        <f ca="1">IF(PAJAK[[#This Row],[//]]="","",INDEX(INDIRECT("NOTA["&amp;PAJAK[#Headers]&amp;"]"),PAJAK[[#This Row],[//]]-2))</f>
        <v>45180</v>
      </c>
      <c r="I11" s="16" t="str">
        <f ca="1">IF(PAJAK[[#This Row],[//]]="","",INDEX(INDIRECT("NOTA["&amp;PAJAK[#Headers]&amp;"]"),PAJAK[[#This Row],[//]]-2))</f>
        <v>23090971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13008000</v>
      </c>
      <c r="L11" s="23">
        <f ca="1">IF(PAJAK[[#This Row],[//]]="","",SUMIF(NOTA[ID_H],PAJAK[[#This Row],[ID]],NOTA[DISC]))</f>
        <v>2211360</v>
      </c>
      <c r="M11" s="23">
        <f ca="1">PAJAK[[#This Row],[SUB TOTAL]]-PAJAK[[#This Row],[DISKON]]</f>
        <v>10796640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9726702.7027027011</v>
      </c>
      <c r="P11" s="23">
        <f ca="1">PAJAK[[#This Row],[DPP]]*PAJAK[[#This Row],[PPN]]</f>
        <v>1069937.297297297</v>
      </c>
      <c r="Q11" s="23">
        <f ca="1">PAJAK[[#This Row],[DPP]]+PAJAK[[#This Row],[PPN 11%]]</f>
        <v>10796639.999999998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84</v>
      </c>
      <c r="B12" s="21">
        <f ca="1">HYPERLINK("[NOTA_.XLSX]NOTA!c"&amp;PAJAK[[#This Row],[//]],IF(PAJAK[[#This Row],[//]]="","",INDEX(INDIRECT("NOTA["&amp;PAJAK[#Headers]&amp;"]"),PAJAK[[#This Row],[//]]-2)))</f>
        <v>14</v>
      </c>
      <c r="C12" s="19" t="str">
        <f ca="1">IF(PAJAK[[#This Row],[//]]="","",INDEX(INDIRECT("NOTA["&amp;PAJAK[#Headers]&amp;"]"),PAJAK[[#This Row],[//]]-2))</f>
        <v>KEN_1209_968-10</v>
      </c>
      <c r="D12" s="19" t="e">
        <f ca="1">MATCH(PAJAK[[#This Row],[ID]],[6]!Table1[ID],0)</f>
        <v>#REF!</v>
      </c>
      <c r="E12" s="20">
        <f ca="1">IF(PAJAK[[#This Row],[ID]]="","",COUNTIF(NOTA[ID_H],PAJAK[[#This Row],[ID]]))</f>
        <v>10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45181</v>
      </c>
      <c r="H12" s="17">
        <f ca="1">IF(PAJAK[[#This Row],[//]]="","",INDEX(INDIRECT("NOTA["&amp;PAJAK[#Headers]&amp;"]"),PAJAK[[#This Row],[//]]-2))</f>
        <v>45180</v>
      </c>
      <c r="I12" s="16" t="str">
        <f ca="1">IF(PAJAK[[#This Row],[//]]="","",INDEX(INDIRECT("NOTA["&amp;PAJAK[#Headers]&amp;"]"),PAJAK[[#This Row],[//]]-2))</f>
        <v>23090968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48660000</v>
      </c>
      <c r="L12" s="23">
        <f ca="1">IF(PAJAK[[#This Row],[//]]="","",SUMIF(NOTA[ID_H],PAJAK[[#This Row],[ID]],NOTA[DISC]))</f>
        <v>8272200</v>
      </c>
      <c r="M12" s="23">
        <f ca="1">PAJAK[[#This Row],[SUB TOTAL]]-PAJAK[[#This Row],[DISKON]]</f>
        <v>40387800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36385405.405405402</v>
      </c>
      <c r="P12" s="23">
        <f ca="1">PAJAK[[#This Row],[DPP]]*PAJAK[[#This Row],[PPN]]</f>
        <v>4002394.5945945941</v>
      </c>
      <c r="Q12" s="23">
        <f ca="1">PAJAK[[#This Row],[DPP]]+PAJAK[[#This Row],[PPN 11%]]</f>
        <v>40387800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95</v>
      </c>
      <c r="B13" s="15">
        <f ca="1">HYPERLINK("[NOTA_.XLSX]NOTA!c"&amp;PAJAK[[#This Row],[//]],IF(PAJAK[[#This Row],[//]]="","",INDEX(INDIRECT("NOTA["&amp;PAJAK[#Headers]&amp;"]"),PAJAK[[#This Row],[//]]-2)))</f>
        <v>15</v>
      </c>
      <c r="C13" s="15" t="str">
        <f ca="1">IF(PAJAK[[#This Row],[//]]="","",INDEX(INDIRECT("NOTA["&amp;PAJAK[#Headers]&amp;"]"),PAJAK[[#This Row],[//]]-2))</f>
        <v>KEN_0909_583-10</v>
      </c>
      <c r="D13" s="15" t="e">
        <f ca="1">MATCH(PAJAK[[#This Row],[ID]],[6]!Table1[ID],0)</f>
        <v>#REF!</v>
      </c>
      <c r="E13" s="16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45178</v>
      </c>
      <c r="H13" s="17">
        <f ca="1">IF(PAJAK[[#This Row],[//]]="","",INDEX(INDIRECT("NOTA["&amp;PAJAK[#Headers]&amp;"]"),PAJAK[[#This Row],[//]]-2))</f>
        <v>45176</v>
      </c>
      <c r="I13" s="16" t="str">
        <f ca="1">IF(PAJAK[[#This Row],[//]]="","",INDEX(INDIRECT("NOTA["&amp;PAJAK[#Headers]&amp;"]"),PAJAK[[#This Row],[//]]-2))</f>
        <v>23090583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33652800</v>
      </c>
      <c r="L13" s="23">
        <f ca="1">IF(PAJAK[[#This Row],[//]]="","",SUMIF(NOTA[ID_H],PAJAK[[#This Row],[ID]],NOTA[DISC]))</f>
        <v>5720976</v>
      </c>
      <c r="M13" s="23">
        <f ca="1">PAJAK[[#This Row],[SUB TOTAL]]-PAJAK[[#This Row],[DISKON]]</f>
        <v>27931824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25163805.405405402</v>
      </c>
      <c r="P13" s="23">
        <f ca="1">PAJAK[[#This Row],[DPP]]*PAJAK[[#This Row],[PPN]]</f>
        <v>2768018.5945945941</v>
      </c>
      <c r="Q13" s="23">
        <f ca="1">PAJAK[[#This Row],[DPP]]+PAJAK[[#This Row],[PPN 11%]]</f>
        <v>27931823.999999996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106</v>
      </c>
      <c r="B14" s="21">
        <f ca="1">HYPERLINK("[NOTA_.XLSX]NOTA!c"&amp;PAJAK[[#This Row],[//]],IF(PAJAK[[#This Row],[//]]="","",INDEX(INDIRECT("NOTA["&amp;PAJAK[#Headers]&amp;"]"),PAJAK[[#This Row],[//]]-2)))</f>
        <v>16</v>
      </c>
      <c r="C14" s="19" t="str">
        <f ca="1">IF(PAJAK[[#This Row],[//]]="","",INDEX(INDIRECT("NOTA["&amp;PAJAK[#Headers]&amp;"]"),PAJAK[[#This Row],[//]]-2))</f>
        <v>ATA_0909_860-2</v>
      </c>
      <c r="D14" s="19" t="e">
        <f ca="1">MATCH(PAJAK[[#This Row],[ID]],[6]!Table1[ID],0)</f>
        <v>#REF!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45178</v>
      </c>
      <c r="H14" s="17">
        <f ca="1">IF(PAJAK[[#This Row],[//]]="","",INDEX(INDIRECT("NOTA["&amp;PAJAK[#Headers]&amp;"]"),PAJAK[[#This Row],[//]]-2))</f>
        <v>45175</v>
      </c>
      <c r="I14" s="16" t="str">
        <f ca="1">IF(PAJAK[[#This Row],[//]]="","",INDEX(INDIRECT("NOTA["&amp;PAJAK[#Headers]&amp;"]"),PAJAK[[#This Row],[//]]-2))</f>
        <v>SA230915860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12240000</v>
      </c>
      <c r="L14" s="23">
        <f ca="1">IF(PAJAK[[#This Row],[//]]="","",SUMIF(NOTA[ID_H],PAJAK[[#This Row],[ID]],NOTA[DISC]))</f>
        <v>2065500</v>
      </c>
      <c r="M14" s="23">
        <f ca="1">PAJAK[[#This Row],[SUB TOTAL]]-PAJAK[[#This Row],[DISKON]]</f>
        <v>10174500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9166216.2162162159</v>
      </c>
      <c r="P14" s="23">
        <f ca="1">PAJAK[[#This Row],[DPP]]*PAJAK[[#This Row],[PPN]]</f>
        <v>1008283.7837837838</v>
      </c>
      <c r="Q14" s="23">
        <f ca="1">PAJAK[[#This Row],[DPP]]+PAJAK[[#This Row],[PPN 11%]]</f>
        <v>10174500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109</v>
      </c>
      <c r="B15" s="15">
        <f ca="1">HYPERLINK("[NOTA_.XLSX]NOTA!c"&amp;PAJAK[[#This Row],[//]],IF(PAJAK[[#This Row],[//]]="","",INDEX(INDIRECT("NOTA["&amp;PAJAK[#Headers]&amp;"]"),PAJAK[[#This Row],[//]]-2)))</f>
        <v>17</v>
      </c>
      <c r="C15" s="15" t="str">
        <f ca="1">IF(PAJAK[[#This Row],[//]]="","",INDEX(INDIRECT("NOTA["&amp;PAJAK[#Headers]&amp;"]"),PAJAK[[#This Row],[//]]-2))</f>
        <v>ATA_0909_846-4</v>
      </c>
      <c r="D15" s="15" t="e">
        <f ca="1">MATCH(PAJAK[[#This Row],[ID]],[6]!Table1[ID],0)</f>
        <v>#REF!</v>
      </c>
      <c r="E15" s="16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45178</v>
      </c>
      <c r="H15" s="17">
        <f ca="1">IF(PAJAK[[#This Row],[//]]="","",INDEX(INDIRECT("NOTA["&amp;PAJAK[#Headers]&amp;"]"),PAJAK[[#This Row],[//]]-2))</f>
        <v>45174</v>
      </c>
      <c r="I15" s="16" t="str">
        <f ca="1">IF(PAJAK[[#This Row],[//]]="","",INDEX(INDIRECT("NOTA["&amp;PAJAK[#Headers]&amp;"]"),PAJAK[[#This Row],[//]]-2))</f>
        <v>SA230915846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4909200</v>
      </c>
      <c r="L15" s="23">
        <f ca="1">IF(PAJAK[[#This Row],[//]]="","",SUMIF(NOTA[ID_H],PAJAK[[#This Row],[ID]],NOTA[DISC]))</f>
        <v>824665.5</v>
      </c>
      <c r="M15" s="23">
        <f ca="1">PAJAK[[#This Row],[SUB TOTAL]]-PAJAK[[#This Row],[DISKON]]</f>
        <v>4084534.5</v>
      </c>
      <c r="N15" s="23">
        <f ca="1">IF(PAJAK[[#This Row],[//]]="","",INDEX(INDIRECT("NOTA["&amp;PAJAK[#Headers]&amp;"]"),PAJAK[[#This Row],[//]]-2+PAJAK[[#This Row],[QB]]-1))</f>
        <v>135432</v>
      </c>
      <c r="O15" s="23">
        <f ca="1">(PAJAK[[#This Row],[SUB T-DISC]]-PAJAK[[#This Row],[DISC DLL]])/111%</f>
        <v>3557749.9999999995</v>
      </c>
      <c r="P15" s="23">
        <f ca="1">PAJAK[[#This Row],[DPP]]*PAJAK[[#This Row],[PPN]]</f>
        <v>391352.49999999994</v>
      </c>
      <c r="Q15" s="23">
        <f ca="1">PAJAK[[#This Row],[DPP]]+PAJAK[[#This Row],[PPN 11%]]</f>
        <v>3949102.4999999995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114</v>
      </c>
      <c r="B16" s="21">
        <f ca="1">HYPERLINK("[NOTA_.XLSX]NOTA!c"&amp;PAJAK[[#This Row],[//]],IF(PAJAK[[#This Row],[//]]="","",INDEX(INDIRECT("NOTA["&amp;PAJAK[#Headers]&amp;"]"),PAJAK[[#This Row],[//]]-2)))</f>
        <v>18</v>
      </c>
      <c r="C16" s="19" t="str">
        <f ca="1">IF(PAJAK[[#This Row],[//]]="","",INDEX(INDIRECT("NOTA["&amp;PAJAK[#Headers]&amp;"]"),PAJAK[[#This Row],[//]]-2))</f>
        <v>ATA_0909_845-11</v>
      </c>
      <c r="D16" s="19" t="e">
        <f ca="1">MATCH(PAJAK[[#This Row],[ID]],[6]!Table1[ID],0)</f>
        <v>#REF!</v>
      </c>
      <c r="E16" s="20">
        <f ca="1">IF(PAJAK[[#This Row],[ID]]="","",COUNTIF(NOTA[ID_H],PAJAK[[#This Row],[ID]]))</f>
        <v>11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45178</v>
      </c>
      <c r="H16" s="17">
        <f ca="1">IF(PAJAK[[#This Row],[//]]="","",INDEX(INDIRECT("NOTA["&amp;PAJAK[#Headers]&amp;"]"),PAJAK[[#This Row],[//]]-2))</f>
        <v>45174</v>
      </c>
      <c r="I16" s="16" t="str">
        <f ca="1">IF(PAJAK[[#This Row],[//]]="","",INDEX(INDIRECT("NOTA["&amp;PAJAK[#Headers]&amp;"]"),PAJAK[[#This Row],[//]]-2))</f>
        <v>SA230915845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17421600</v>
      </c>
      <c r="L16" s="23">
        <f ca="1">IF(PAJAK[[#This Row],[//]]="","",SUMIF(NOTA[ID_H],PAJAK[[#This Row],[ID]],NOTA[DISC]))</f>
        <v>2939895</v>
      </c>
      <c r="M16" s="23">
        <f ca="1">PAJAK[[#This Row],[SUB TOTAL]]-PAJAK[[#This Row],[DISKON]]</f>
        <v>14481705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13046581.081081079</v>
      </c>
      <c r="P16" s="23">
        <f ca="1">PAJAK[[#This Row],[DPP]]*PAJAK[[#This Row],[PPN]]</f>
        <v>1435123.9189189188</v>
      </c>
      <c r="Q16" s="23">
        <f ca="1">PAJAK[[#This Row],[DPP]]+PAJAK[[#This Row],[PPN 11%]]</f>
        <v>14481704.999999998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126</v>
      </c>
      <c r="B17" s="21">
        <f ca="1">HYPERLINK("[NOTA_.XLSX]NOTA!c"&amp;PAJAK[[#This Row],[//]],IF(PAJAK[[#This Row],[//]]="","",INDEX(INDIRECT("NOTA["&amp;PAJAK[#Headers]&amp;"]"),PAJAK[[#This Row],[//]]-2)))</f>
        <v>19</v>
      </c>
      <c r="C17" s="19" t="str">
        <f ca="1">IF(PAJAK[[#This Row],[//]]="","",INDEX(INDIRECT("NOTA["&amp;PAJAK[#Headers]&amp;"]"),PAJAK[[#This Row],[//]]-2))</f>
        <v>ATA_0909_844-12</v>
      </c>
      <c r="D17" s="19" t="e">
        <f ca="1">MATCH(PAJAK[[#This Row],[ID]],[6]!Table1[ID],0)</f>
        <v>#REF!</v>
      </c>
      <c r="E17" s="20">
        <f ca="1">IF(PAJAK[[#This Row],[ID]]="","",COUNTIF(NOTA[ID_H],PAJAK[[#This Row],[ID]]))</f>
        <v>12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45178</v>
      </c>
      <c r="H17" s="17">
        <f ca="1">IF(PAJAK[[#This Row],[//]]="","",INDEX(INDIRECT("NOTA["&amp;PAJAK[#Headers]&amp;"]"),PAJAK[[#This Row],[//]]-2))</f>
        <v>45174</v>
      </c>
      <c r="I17" s="16" t="str">
        <f ca="1">IF(PAJAK[[#This Row],[//]]="","",INDEX(INDIRECT("NOTA["&amp;PAJAK[#Headers]&amp;"]"),PAJAK[[#This Row],[//]]-2))</f>
        <v>SA230915844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38996000</v>
      </c>
      <c r="L17" s="23">
        <f ca="1">IF(PAJAK[[#This Row],[//]]="","",SUMIF(NOTA[ID_H],PAJAK[[#This Row],[ID]],NOTA[DISC]))</f>
        <v>6580575</v>
      </c>
      <c r="M17" s="23">
        <f ca="1">PAJAK[[#This Row],[SUB TOTAL]]-PAJAK[[#This Row],[DISKON]]</f>
        <v>32415425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29203085.585585583</v>
      </c>
      <c r="P17" s="23">
        <f ca="1">PAJAK[[#This Row],[DPP]]*PAJAK[[#This Row],[PPN]]</f>
        <v>3212339.4144144142</v>
      </c>
      <c r="Q17" s="23">
        <f ca="1">PAJAK[[#This Row],[DPP]]+PAJAK[[#This Row],[PPN 11%]]</f>
        <v>32415424.999999996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139</v>
      </c>
      <c r="B18" s="15">
        <f ca="1">HYPERLINK("[NOTA_.XLSX]NOTA!c"&amp;PAJAK[[#This Row],[//]],IF(PAJAK[[#This Row],[//]]="","",INDEX(INDIRECT("NOTA["&amp;PAJAK[#Headers]&amp;"]"),PAJAK[[#This Row],[//]]-2)))</f>
        <v>20</v>
      </c>
      <c r="C18" s="15" t="str">
        <f ca="1">IF(PAJAK[[#This Row],[//]]="","",INDEX(INDIRECT("NOTA["&amp;PAJAK[#Headers]&amp;"]"),PAJAK[[#This Row],[//]]-2))</f>
        <v>ATA_0909_843-11</v>
      </c>
      <c r="D18" s="15" t="e">
        <f ca="1">MATCH(PAJAK[[#This Row],[ID]],[6]!Table1[ID],0)</f>
        <v>#REF!</v>
      </c>
      <c r="E18" s="16">
        <f ca="1">IF(PAJAK[[#This Row],[ID]]="","",COUNTIF(NOTA[ID_H],PAJAK[[#This Row],[ID]]))</f>
        <v>11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45178</v>
      </c>
      <c r="H18" s="17">
        <f ca="1">IF(PAJAK[[#This Row],[//]]="","",INDEX(INDIRECT("NOTA["&amp;PAJAK[#Headers]&amp;"]"),PAJAK[[#This Row],[//]]-2))</f>
        <v>45174</v>
      </c>
      <c r="I18" s="16" t="str">
        <f ca="1">IF(PAJAK[[#This Row],[//]]="","",INDEX(INDIRECT("NOTA["&amp;PAJAK[#Headers]&amp;"]"),PAJAK[[#This Row],[//]]-2))</f>
        <v>SA230915843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38900200</v>
      </c>
      <c r="L18" s="23">
        <f ca="1">IF(PAJAK[[#This Row],[//]]="","",SUMIF(NOTA[ID_H],PAJAK[[#This Row],[ID]],NOTA[DISC]))</f>
        <v>6560646.75</v>
      </c>
      <c r="M18" s="23">
        <f ca="1">PAJAK[[#This Row],[SUB TOTAL]]-PAJAK[[#This Row],[DISKON]]</f>
        <v>32339553.25</v>
      </c>
      <c r="N18" s="23">
        <f ca="1">IF(PAJAK[[#This Row],[//]]="","",INDEX(INDIRECT("NOTA["&amp;PAJAK[#Headers]&amp;"]"),PAJAK[[#This Row],[//]]-2+PAJAK[[#This Row],[QB]]-1))</f>
        <v>135432</v>
      </c>
      <c r="O18" s="23">
        <f ca="1">(PAJAK[[#This Row],[SUB T-DISC]]-PAJAK[[#This Row],[DISC DLL]])/111%</f>
        <v>29012721.846846845</v>
      </c>
      <c r="P18" s="23">
        <f ca="1">PAJAK[[#This Row],[DPP]]*PAJAK[[#This Row],[PPN]]</f>
        <v>3191399.4031531531</v>
      </c>
      <c r="Q18" s="23">
        <f ca="1">PAJAK[[#This Row],[DPP]]+PAJAK[[#This Row],[PPN 11%]]</f>
        <v>32204121.25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151</v>
      </c>
      <c r="B19" s="21">
        <f ca="1">HYPERLINK("[NOTA_.XLSX]NOTA!c"&amp;PAJAK[[#This Row],[//]],IF(PAJAK[[#This Row],[//]]="","",INDEX(INDIRECT("NOTA["&amp;PAJAK[#Headers]&amp;"]"),PAJAK[[#This Row],[//]]-2)))</f>
        <v>21</v>
      </c>
      <c r="C19" s="19" t="str">
        <f ca="1">IF(PAJAK[[#This Row],[//]]="","",INDEX(INDIRECT("NOTA["&amp;PAJAK[#Headers]&amp;"]"),PAJAK[[#This Row],[//]]-2))</f>
        <v>ATA_0909_894-12</v>
      </c>
      <c r="D19" s="19" t="e">
        <f ca="1">MATCH(PAJAK[[#This Row],[ID]],[6]!Table1[ID],0)</f>
        <v>#REF!</v>
      </c>
      <c r="E19" s="20">
        <f ca="1">IF(PAJAK[[#This Row],[ID]]="","",COUNTIF(NOTA[ID_H],PAJAK[[#This Row],[ID]]))</f>
        <v>12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45178</v>
      </c>
      <c r="H19" s="17">
        <f ca="1">IF(PAJAK[[#This Row],[//]]="","",INDEX(INDIRECT("NOTA["&amp;PAJAK[#Headers]&amp;"]"),PAJAK[[#This Row],[//]]-2))</f>
        <v>45175</v>
      </c>
      <c r="I19" s="16" t="str">
        <f ca="1">IF(PAJAK[[#This Row],[//]]="","",INDEX(INDIRECT("NOTA["&amp;PAJAK[#Headers]&amp;"]"),PAJAK[[#This Row],[//]]-2))</f>
        <v>SA230915894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27640800</v>
      </c>
      <c r="L19" s="23">
        <f ca="1">IF(PAJAK[[#This Row],[//]]="","",SUMIF(NOTA[ID_H],PAJAK[[#This Row],[ID]],NOTA[DISC]))</f>
        <v>4664385</v>
      </c>
      <c r="M19" s="23">
        <f ca="1">PAJAK[[#This Row],[SUB TOTAL]]-PAJAK[[#This Row],[DISKON]]</f>
        <v>22976415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20699472.97297297</v>
      </c>
      <c r="P19" s="23">
        <f ca="1">PAJAK[[#This Row],[DPP]]*PAJAK[[#This Row],[PPN]]</f>
        <v>2276942.0270270268</v>
      </c>
      <c r="Q19" s="23">
        <f ca="1">PAJAK[[#This Row],[DPP]]+PAJAK[[#This Row],[PPN 11%]]</f>
        <v>22976414.999999996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164</v>
      </c>
      <c r="B20" s="22">
        <f ca="1">HYPERLINK("[NOTA_.XLSX]NOTA!c"&amp;PAJAK[[#This Row],[//]],IF(PAJAK[[#This Row],[//]]="","",INDEX(INDIRECT("NOTA["&amp;PAJAK[#Headers]&amp;"]"),PAJAK[[#This Row],[//]]-2)))</f>
        <v>22</v>
      </c>
      <c r="C20" s="15" t="str">
        <f ca="1">IF(PAJAK[[#This Row],[//]]="","",INDEX(INDIRECT("NOTA["&amp;PAJAK[#Headers]&amp;"]"),PAJAK[[#This Row],[//]]-2))</f>
        <v>ATA_0909_895-8</v>
      </c>
      <c r="D20" s="15" t="e">
        <f ca="1">MATCH(PAJAK[[#This Row],[ID]],[6]!Table1[ID],0)</f>
        <v>#REF!</v>
      </c>
      <c r="E20" s="16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45178</v>
      </c>
      <c r="H20" s="17">
        <f ca="1">IF(PAJAK[[#This Row],[//]]="","",INDEX(INDIRECT("NOTA["&amp;PAJAK[#Headers]&amp;"]"),PAJAK[[#This Row],[//]]-2))</f>
        <v>45175</v>
      </c>
      <c r="I20" s="16" t="str">
        <f ca="1">IF(PAJAK[[#This Row],[//]]="","",INDEX(INDIRECT("NOTA["&amp;PAJAK[#Headers]&amp;"]"),PAJAK[[#This Row],[//]]-2))</f>
        <v>SA230915895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9100800</v>
      </c>
      <c r="L20" s="23">
        <f ca="1">IF(PAJAK[[#This Row],[//]]="","",SUMIF(NOTA[ID_H],PAJAK[[#This Row],[ID]],NOTA[DISC]))</f>
        <v>1535760</v>
      </c>
      <c r="M20" s="23">
        <f ca="1">PAJAK[[#This Row],[SUB TOTAL]]-PAJAK[[#This Row],[DISKON]]</f>
        <v>7565040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6815351.3513513505</v>
      </c>
      <c r="P20" s="23">
        <f ca="1">PAJAK[[#This Row],[DPP]]*PAJAK[[#This Row],[PPN]]</f>
        <v>749688.64864864852</v>
      </c>
      <c r="Q20" s="23">
        <f ca="1">PAJAK[[#This Row],[DPP]]+PAJAK[[#This Row],[PPN 11%]]</f>
        <v>7565039.9999999991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173</v>
      </c>
      <c r="B21" s="21">
        <f ca="1">HYPERLINK("[NOTA_.XLSX]NOTA!c"&amp;PAJAK[[#This Row],[//]],IF(PAJAK[[#This Row],[//]]="","",INDEX(INDIRECT("NOTA["&amp;PAJAK[#Headers]&amp;"]"),PAJAK[[#This Row],[//]]-2)))</f>
        <v>23</v>
      </c>
      <c r="C21" s="19" t="str">
        <f ca="1">IF(PAJAK[[#This Row],[//]]="","",INDEX(INDIRECT("NOTA["&amp;PAJAK[#Headers]&amp;"]"),PAJAK[[#This Row],[//]]-2))</f>
        <v>NCL_1109_010-1</v>
      </c>
      <c r="D21" s="19" t="e">
        <f ca="1">MATCH(PAJAK[[#This Row],[ID]],[6]!Table1[ID],0)</f>
        <v>#REF!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NATURAL CAHAYA LESTARI</v>
      </c>
      <c r="G21" s="17">
        <f ca="1">IF(PAJAK[[#This Row],[//]]="","",INDEX(NOTA[TGL_H],PAJAK[[#This Row],[//]]-2))</f>
        <v>45180</v>
      </c>
      <c r="H21" s="17">
        <f ca="1">IF(PAJAK[[#This Row],[//]]="","",INDEX(INDIRECT("NOTA["&amp;PAJAK[#Headers]&amp;"]"),PAJAK[[#This Row],[//]]-2))</f>
        <v>45176</v>
      </c>
      <c r="I21" s="16" t="str">
        <f ca="1">IF(PAJAK[[#This Row],[//]]="","",INDEX(INDIRECT("NOTA["&amp;PAJAK[#Headers]&amp;"]"),PAJAK[[#This Row],[//]]-2))</f>
        <v>NCL-R2309000010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3648660</v>
      </c>
      <c r="L21" s="23">
        <f ca="1">IF(PAJAK[[#This Row],[//]]="","",SUMIF(NOTA[ID_H],PAJAK[[#This Row],[ID]],NOTA[DISC]))</f>
        <v>729732</v>
      </c>
      <c r="M21" s="23">
        <f ca="1">PAJAK[[#This Row],[SUB TOTAL]]-PAJAK[[#This Row],[DISKON]]</f>
        <v>2918928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2629664.8648648649</v>
      </c>
      <c r="P21" s="23">
        <f ca="1">PAJAK[[#This Row],[DPP]]*PAJAK[[#This Row],[PPN]]</f>
        <v>289263.13513513515</v>
      </c>
      <c r="Q21" s="23">
        <f ca="1">PAJAK[[#This Row],[DPP]]+PAJAK[[#This Row],[PPN 11%]]</f>
        <v>2918928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175</v>
      </c>
      <c r="B22" s="21">
        <f ca="1">HYPERLINK("[NOTA_.XLSX]NOTA!c"&amp;PAJAK[[#This Row],[//]],IF(PAJAK[[#This Row],[//]]="","",INDEX(INDIRECT("NOTA["&amp;PAJAK[#Headers]&amp;"]"),PAJAK[[#This Row],[//]]-2)))</f>
        <v>24</v>
      </c>
      <c r="C22" s="19" t="str">
        <f ca="1">IF(PAJAK[[#This Row],[//]]="","",INDEX(INDIRECT("NOTA["&amp;PAJAK[#Headers]&amp;"]"),PAJAK[[#This Row],[//]]-2))</f>
        <v>LAY_0909_035-1</v>
      </c>
      <c r="D22" s="19" t="e">
        <f ca="1">MATCH(PAJAK[[#This Row],[ID]],[6]!Table1[ID],0)</f>
        <v>#REF!</v>
      </c>
      <c r="E22" s="20">
        <f ca="1">IF(PAJAK[[#This Row],[ID]]="","",COUNTIF(NOTA[ID_H],PAJAK[[#This Row],[ID]]))</f>
        <v>1</v>
      </c>
      <c r="F22" s="15" t="str">
        <f ca="1">IF(PAJAK[[#This Row],[//]]="","",INDEX(CONV[2],MATCH(INDEX(INDIRECT("NOTA["&amp;PAJAK[#Headers]&amp;"]"),PAJAK[[#This Row],[//]]-2),CONV[1],0),0))</f>
        <v>PT MITRA GLOBAL NIAGA</v>
      </c>
      <c r="G22" s="17">
        <f ca="1">IF(PAJAK[[#This Row],[//]]="","",INDEX(NOTA[TGL_H],PAJAK[[#This Row],[//]]-2))</f>
        <v>45178</v>
      </c>
      <c r="H22" s="17" t="str">
        <f ca="1">IF(PAJAK[[#This Row],[//]]="","",INDEX(INDIRECT("NOTA["&amp;PAJAK[#Headers]&amp;"]"),PAJAK[[#This Row],[//]]-2))</f>
        <v>0709/2023</v>
      </c>
      <c r="I22" s="16" t="str">
        <f ca="1">IF(PAJAK[[#This Row],[//]]="","",INDEX(INDIRECT("NOTA["&amp;PAJAK[#Headers]&amp;"]"),PAJAK[[#This Row],[//]]-2))</f>
        <v>L109035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28000000</v>
      </c>
      <c r="L22" s="23">
        <f ca="1">IF(PAJAK[[#This Row],[//]]="","",SUMIF(NOTA[ID_H],PAJAK[[#This Row],[ID]],NOTA[DISC]))</f>
        <v>2800000</v>
      </c>
      <c r="M22" s="23">
        <f ca="1">PAJAK[[#This Row],[SUB TOTAL]]-PAJAK[[#This Row],[DISKON]]</f>
        <v>25200000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22702702.702702701</v>
      </c>
      <c r="P22" s="23">
        <f ca="1">PAJAK[[#This Row],[DPP]]*PAJAK[[#This Row],[PPN]]</f>
        <v>2497297.297297297</v>
      </c>
      <c r="Q22" s="23">
        <f ca="1">PAJAK[[#This Row],[DPP]]+PAJAK[[#This Row],[PPN 11%]]</f>
        <v>25200000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220</v>
      </c>
      <c r="B23" s="21">
        <f ca="1">HYPERLINK("[NOTA_.XLSX]NOTA!c"&amp;PAJAK[[#This Row],[//]],IF(PAJAK[[#This Row],[//]]="","",INDEX(INDIRECT("NOTA["&amp;PAJAK[#Headers]&amp;"]"),PAJAK[[#This Row],[//]]-2)))</f>
        <v>37</v>
      </c>
      <c r="C23" s="19" t="str">
        <f ca="1">IF(PAJAK[[#This Row],[//]]="","",INDEX(INDIRECT("NOTA["&amp;PAJAK[#Headers]&amp;"]"),PAJAK[[#This Row],[//]]-2))</f>
        <v>KEN_1409_177-7</v>
      </c>
      <c r="D23" s="19" t="e">
        <f ca="1">MATCH(PAJAK[[#This Row],[ID]],[6]!Table1[ID],0)</f>
        <v>#REF!</v>
      </c>
      <c r="E23" s="20">
        <f ca="1">IF(PAJAK[[#This Row],[ID]]="","",COUNTIF(NOTA[ID_H],PAJAK[[#This Row],[ID]]))</f>
        <v>7</v>
      </c>
      <c r="F23" s="15" t="str">
        <f ca="1">IF(PAJAK[[#This Row],[//]]="","",INDEX(CONV[2],MATCH(INDEX(INDIRECT("NOTA["&amp;PAJAK[#Headers]&amp;"]"),PAJAK[[#This Row],[//]]-2),CONV[1],0),0))</f>
        <v>PT KENKO SINAR INDONESIA</v>
      </c>
      <c r="G23" s="17">
        <f ca="1">IF(PAJAK[[#This Row],[//]]="","",INDEX(NOTA[TGL_H],PAJAK[[#This Row],[//]]-2))</f>
        <v>45183</v>
      </c>
      <c r="H23" s="17">
        <f ca="1">IF(PAJAK[[#This Row],[//]]="","",INDEX(INDIRECT("NOTA["&amp;PAJAK[#Headers]&amp;"]"),PAJAK[[#This Row],[//]]-2))</f>
        <v>45182</v>
      </c>
      <c r="I23" s="16" t="str">
        <f ca="1">IF(PAJAK[[#This Row],[//]]="","",INDEX(INDIRECT("NOTA["&amp;PAJAK[#Headers]&amp;"]"),PAJAK[[#This Row],[//]]-2))</f>
        <v>23091177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12462400</v>
      </c>
      <c r="L23" s="23">
        <f ca="1">IF(PAJAK[[#This Row],[//]]="","",SUMIF(NOTA[ID_H],PAJAK[[#This Row],[ID]],NOTA[DISC]))</f>
        <v>2118608</v>
      </c>
      <c r="M23" s="23">
        <f ca="1">PAJAK[[#This Row],[SUB TOTAL]]-PAJAK[[#This Row],[DISKON]]</f>
        <v>10343792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9318731.5315315314</v>
      </c>
      <c r="P23" s="23">
        <f ca="1">PAJAK[[#This Row],[DPP]]*PAJAK[[#This Row],[PPN]]</f>
        <v>1025060.4684684684</v>
      </c>
      <c r="Q23" s="23">
        <f ca="1">PAJAK[[#This Row],[DPP]]+PAJAK[[#This Row],[PPN 11%]]</f>
        <v>10343792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22">
        <f ca="1">HYPERLINK("[NOTA_.XLSX]NOTA!c"&amp;PAJAK[[#This Row],[//]],IF(PAJAK[[#This Row],[//]]="","",INDEX(INDIRECT("NOTA["&amp;PAJAK[#Headers]&amp;"]"),PAJAK[[#This Row],[//]]-2)))</f>
        <v>38</v>
      </c>
      <c r="C24" s="15" t="str">
        <f ca="1">IF(PAJAK[[#This Row],[//]]="","",INDEX(INDIRECT("NOTA["&amp;PAJAK[#Headers]&amp;"]"),PAJAK[[#This Row],[//]]-2))</f>
        <v>KEN_1409_114-3</v>
      </c>
      <c r="D24" s="15" t="e">
        <f ca="1">MATCH(PAJAK[[#This Row],[ID]],[6]!Table1[ID],0)</f>
        <v>#REF!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45183</v>
      </c>
      <c r="H24" s="17">
        <f ca="1">IF(PAJAK[[#This Row],[//]]="","",INDEX(INDIRECT("NOTA["&amp;PAJAK[#Headers]&amp;"]"),PAJAK[[#This Row],[//]]-2))</f>
        <v>45181</v>
      </c>
      <c r="I24" s="16" t="str">
        <f ca="1">IF(PAJAK[[#This Row],[//]]="","",INDEX(INDIRECT("NOTA["&amp;PAJAK[#Headers]&amp;"]"),PAJAK[[#This Row],[//]]-2))</f>
        <v>23091114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15011600</v>
      </c>
      <c r="L24" s="23">
        <f ca="1">IF(PAJAK[[#This Row],[//]]="","",SUMIF(NOTA[ID_H],PAJAK[[#This Row],[ID]],NOTA[DISC]))</f>
        <v>2551972.0000000005</v>
      </c>
      <c r="M24" s="23">
        <f ca="1">PAJAK[[#This Row],[SUB TOTAL]]-PAJAK[[#This Row],[DISKON]]</f>
        <v>12459628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11224890.090090089</v>
      </c>
      <c r="P24" s="23">
        <f ca="1">PAJAK[[#This Row],[DPP]]*PAJAK[[#This Row],[PPN]]</f>
        <v>1234737.9099099098</v>
      </c>
      <c r="Q24" s="23">
        <f ca="1">PAJAK[[#This Row],[DPP]]+PAJAK[[#This Row],[PPN 11%]]</f>
        <v>12459627.999999998</v>
      </c>
      <c r="R24" s="18" t="str">
        <f ca="1">IF(ISNUMBER(PAJAK[[#This Row],[//]]),PPN,"")</f>
        <v>11%</v>
      </c>
    </row>
    <row r="25" spans="1:18" x14ac:dyDescent="0.25">
      <c r="A25" s="3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232</v>
      </c>
      <c r="B25" s="31">
        <f ca="1">HYPERLINK("[NOTA_.XLSX]NOTA!c"&amp;PAJAK[[#This Row],[//]],IF(PAJAK[[#This Row],[//]]="","",INDEX(INDIRECT("NOTA["&amp;PAJAK[#Headers]&amp;"]"),PAJAK[[#This Row],[//]]-2)))</f>
        <v>39</v>
      </c>
      <c r="C25" s="30" t="str">
        <f ca="1">IF(PAJAK[[#This Row],[//]]="","",INDEX(INDIRECT("NOTA["&amp;PAJAK[#Headers]&amp;"]"),PAJAK[[#This Row],[//]]-2))</f>
        <v>KEN_1409_140-11</v>
      </c>
      <c r="D25" s="30" t="e">
        <f ca="1">MATCH(PAJAK[[#This Row],[ID]],[6]!Table1[ID],0)</f>
        <v>#REF!</v>
      </c>
      <c r="E25" s="32">
        <f ca="1">IF(PAJAK[[#This Row],[ID]]="","",COUNTIF(NOTA[ID_H],PAJAK[[#This Row],[ID]]))</f>
        <v>11</v>
      </c>
      <c r="F25" s="27" t="str">
        <f ca="1">IF(PAJAK[[#This Row],[//]]="","",INDEX(CONV[2],MATCH(INDEX(INDIRECT("NOTA["&amp;PAJAK[#Headers]&amp;"]"),PAJAK[[#This Row],[//]]-2),CONV[1],0),0))</f>
        <v>PT KENKO SINAR INDONESIA</v>
      </c>
      <c r="G25" s="29">
        <f ca="1">IF(PAJAK[[#This Row],[//]]="","",INDEX(NOTA[TGL_H],PAJAK[[#This Row],[//]]-2))</f>
        <v>45183</v>
      </c>
      <c r="H25" s="29">
        <f ca="1">IF(PAJAK[[#This Row],[//]]="","",INDEX(INDIRECT("NOTA["&amp;PAJAK[#Headers]&amp;"]"),PAJAK[[#This Row],[//]]-2))</f>
        <v>45181</v>
      </c>
      <c r="I25" s="28" t="str">
        <f ca="1">IF(PAJAK[[#This Row],[//]]="","",INDEX(INDIRECT("NOTA["&amp;PAJAK[#Headers]&amp;"]"),PAJAK[[#This Row],[//]]-2))</f>
        <v>23091140</v>
      </c>
      <c r="J25" s="27" t="str">
        <f ca="1">IF(OR(PAJAK[[#This Row],[//]]="",INDEX(INDIRECT("NOTA["&amp;PAJAK[#Headers]&amp;"]"),PAJAK[[#This Row],[//]]-2)=""),"",INDEX(INDIRECT("NOTA["&amp;PAJAK[#Headers]&amp;"]"),PAJAK[[#This Row],[//]]-2))</f>
        <v/>
      </c>
      <c r="K25" s="33">
        <f ca="1">IF(PAJAK[[#This Row],[//]]="","",SUMIF(NOTA[ID_H],PAJAK[[#This Row],[ID]],NOTA[JUMLAH]))</f>
        <v>26663600</v>
      </c>
      <c r="L25" s="33">
        <f ca="1">IF(PAJAK[[#This Row],[//]]="","",SUMIF(NOTA[ID_H],PAJAK[[#This Row],[ID]],NOTA[DISC]))</f>
        <v>4532812</v>
      </c>
      <c r="M25" s="33">
        <f ca="1">PAJAK[[#This Row],[SUB TOTAL]]-PAJAK[[#This Row],[DISKON]]</f>
        <v>22130788</v>
      </c>
      <c r="N25" s="33">
        <f ca="1">IF(PAJAK[[#This Row],[//]]="","",INDEX(INDIRECT("NOTA["&amp;PAJAK[#Headers]&amp;"]"),PAJAK[[#This Row],[//]]-2+PAJAK[[#This Row],[QB]]-1))</f>
        <v>0</v>
      </c>
      <c r="O25" s="33">
        <f ca="1">(PAJAK[[#This Row],[SUB T-DISC]]-PAJAK[[#This Row],[DISC DLL]])/111%</f>
        <v>19937646.846846845</v>
      </c>
      <c r="P25" s="33">
        <f ca="1">PAJAK[[#This Row],[DPP]]*PAJAK[[#This Row],[PPN]]</f>
        <v>2193141.1531531531</v>
      </c>
      <c r="Q25" s="33">
        <f ca="1">PAJAK[[#This Row],[DPP]]+PAJAK[[#This Row],[PPN 11%]]</f>
        <v>22130788</v>
      </c>
      <c r="R25" s="34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244</v>
      </c>
      <c r="B26" s="21">
        <f ca="1">HYPERLINK("[NOTA_.XLSX]NOTA!c"&amp;PAJAK[[#This Row],[//]],IF(PAJAK[[#This Row],[//]]="","",INDEX(INDIRECT("NOTA["&amp;PAJAK[#Headers]&amp;"]"),PAJAK[[#This Row],[//]]-2)))</f>
        <v>40</v>
      </c>
      <c r="C26" s="19" t="str">
        <f ca="1">IF(PAJAK[[#This Row],[//]]="","",INDEX(INDIRECT("NOTA["&amp;PAJAK[#Headers]&amp;"]"),PAJAK[[#This Row],[//]]-2))</f>
        <v>SDI_1409_198-2</v>
      </c>
      <c r="D26" s="19" t="e">
        <f ca="1">MATCH(PAJAK[[#This Row],[ID]],[6]!Table1[ID],0)</f>
        <v>#REF!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DWI TUNGGAL INDAH JAYA</v>
      </c>
      <c r="G26" s="17">
        <f ca="1">IF(PAJAK[[#This Row],[//]]="","",INDEX(NOTA[TGL_H],PAJAK[[#This Row],[//]]-2))</f>
        <v>45183</v>
      </c>
      <c r="H26" s="17">
        <f ca="1">IF(PAJAK[[#This Row],[//]]="","",INDEX(INDIRECT("NOTA["&amp;PAJAK[#Headers]&amp;"]"),PAJAK[[#This Row],[//]]-2))</f>
        <v>45181</v>
      </c>
      <c r="I26" s="16" t="str">
        <f ca="1">IF(PAJAK[[#This Row],[//]]="","",INDEX(INDIRECT("NOTA["&amp;PAJAK[#Headers]&amp;"]"),PAJAK[[#This Row],[//]]-2))</f>
        <v>SINV99-230900000198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4364027</v>
      </c>
      <c r="L26" s="23">
        <f ca="1">IF(PAJAK[[#This Row],[//]]="","",SUMIF(NOTA[ID_H],PAJAK[[#This Row],[ID]],NOTA[DISC]))</f>
        <v>0</v>
      </c>
      <c r="M26" s="23">
        <f ca="1">PAJAK[[#This Row],[SUB TOTAL]]-PAJAK[[#This Row],[DISKON]]</f>
        <v>4364027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3931555.8558558556</v>
      </c>
      <c r="P26" s="23">
        <f ca="1">PAJAK[[#This Row],[DPP]]*PAJAK[[#This Row],[PPN]]</f>
        <v>432471.14414414414</v>
      </c>
      <c r="Q26" s="23">
        <f ca="1">PAJAK[[#This Row],[DPP]]+PAJAK[[#This Row],[PPN 11%]]</f>
        <v>4364027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253</v>
      </c>
      <c r="B27" s="21">
        <f ca="1">HYPERLINK("[NOTA_.XLSX]NOTA!c"&amp;PAJAK[[#This Row],[//]],IF(PAJAK[[#This Row],[//]]="","",INDEX(INDIRECT("NOTA["&amp;PAJAK[#Headers]&amp;"]"),PAJAK[[#This Row],[//]]-2)))</f>
        <v>42</v>
      </c>
      <c r="C27" s="19" t="str">
        <f ca="1">IF(PAJAK[[#This Row],[//]]="","",INDEX(INDIRECT("NOTA["&amp;PAJAK[#Headers]&amp;"]"),PAJAK[[#This Row],[//]]-2))</f>
        <v>KEN_1609_397-3</v>
      </c>
      <c r="D27" s="19" t="e">
        <f ca="1">MATCH(PAJAK[[#This Row],[ID]],[6]!Table1[ID],0)</f>
        <v>#REF!</v>
      </c>
      <c r="E27" s="20">
        <f ca="1">IF(PAJAK[[#This Row],[ID]]="","",COUNTIF(NOTA[ID_H],PAJAK[[#This Row],[ID]]))</f>
        <v>3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45185</v>
      </c>
      <c r="H27" s="17">
        <f ca="1">IF(PAJAK[[#This Row],[//]]="","",INDEX(INDIRECT("NOTA["&amp;PAJAK[#Headers]&amp;"]"),PAJAK[[#This Row],[//]]-2))</f>
        <v>45184</v>
      </c>
      <c r="I27" s="16" t="str">
        <f ca="1">IF(PAJAK[[#This Row],[//]]="","",INDEX(INDIRECT("NOTA["&amp;PAJAK[#Headers]&amp;"]"),PAJAK[[#This Row],[//]]-2))</f>
        <v>23091397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8982400</v>
      </c>
      <c r="L27" s="23">
        <f ca="1">IF(PAJAK[[#This Row],[//]]="","",SUMIF(NOTA[ID_H],PAJAK[[#This Row],[ID]],NOTA[DISC]))</f>
        <v>1527008</v>
      </c>
      <c r="M27" s="23">
        <f ca="1">PAJAK[[#This Row],[SUB TOTAL]]-PAJAK[[#This Row],[DISKON]]</f>
        <v>7455392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6716569.369369369</v>
      </c>
      <c r="P27" s="23">
        <f ca="1">PAJAK[[#This Row],[DPP]]*PAJAK[[#This Row],[PPN]]</f>
        <v>738822.63063063065</v>
      </c>
      <c r="Q27" s="23">
        <f ca="1">PAJAK[[#This Row],[DPP]]+PAJAK[[#This Row],[PPN 11%]]</f>
        <v>7455392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257</v>
      </c>
      <c r="B28" s="21">
        <f ca="1">HYPERLINK("[NOTA_.XLSX]NOTA!c"&amp;PAJAK[[#This Row],[//]],IF(PAJAK[[#This Row],[//]]="","",INDEX(INDIRECT("NOTA["&amp;PAJAK[#Headers]&amp;"]"),PAJAK[[#This Row],[//]]-2)))</f>
        <v>43</v>
      </c>
      <c r="C28" s="19" t="str">
        <f ca="1">IF(PAJAK[[#This Row],[//]]="","",INDEX(INDIRECT("NOTA["&amp;PAJAK[#Headers]&amp;"]"),PAJAK[[#This Row],[//]]-2))</f>
        <v>ATA_1609_213-4</v>
      </c>
      <c r="D28" s="19" t="e">
        <f ca="1">MATCH(PAJAK[[#This Row],[ID]],[6]!Table1[ID],0)</f>
        <v>#REF!</v>
      </c>
      <c r="E28" s="20">
        <f ca="1">IF(PAJAK[[#This Row],[ID]]="","",COUNTIF(NOTA[ID_H],PAJAK[[#This Row],[ID]]))</f>
        <v>4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45185</v>
      </c>
      <c r="H28" s="17">
        <f ca="1">IF(PAJAK[[#This Row],[//]]="","",INDEX(INDIRECT("NOTA["&amp;PAJAK[#Headers]&amp;"]"),PAJAK[[#This Row],[//]]-2))</f>
        <v>45181</v>
      </c>
      <c r="I28" s="16" t="str">
        <f ca="1">IF(PAJAK[[#This Row],[//]]="","",INDEX(INDIRECT("NOTA["&amp;PAJAK[#Headers]&amp;"]"),PAJAK[[#This Row],[//]]-2))</f>
        <v>SA230916213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12410400</v>
      </c>
      <c r="L28" s="23">
        <f ca="1">IF(PAJAK[[#This Row],[//]]="","",SUMIF(NOTA[ID_H],PAJAK[[#This Row],[ID]],NOTA[DISC]))</f>
        <v>2094255</v>
      </c>
      <c r="M28" s="23">
        <f ca="1">PAJAK[[#This Row],[SUB TOTAL]]-PAJAK[[#This Row],[DISKON]]</f>
        <v>10316145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9293824.3243243229</v>
      </c>
      <c r="P28" s="23">
        <f ca="1">PAJAK[[#This Row],[DPP]]*PAJAK[[#This Row],[PPN]]</f>
        <v>1022320.6756756755</v>
      </c>
      <c r="Q28" s="23">
        <f ca="1">PAJAK[[#This Row],[DPP]]+PAJAK[[#This Row],[PPN 11%]]</f>
        <v>10316144.999999998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262</v>
      </c>
      <c r="B29" s="21">
        <f ca="1">HYPERLINK("[NOTA_.XLSX]NOTA!c"&amp;PAJAK[[#This Row],[//]],IF(PAJAK[[#This Row],[//]]="","",INDEX(INDIRECT("NOTA["&amp;PAJAK[#Headers]&amp;"]"),PAJAK[[#This Row],[//]]-2)))</f>
        <v>44</v>
      </c>
      <c r="C29" s="19" t="str">
        <f ca="1">IF(PAJAK[[#This Row],[//]]="","",INDEX(INDIRECT("NOTA["&amp;PAJAK[#Headers]&amp;"]"),PAJAK[[#This Row],[//]]-2))</f>
        <v>ATA_1609_235-11</v>
      </c>
      <c r="D29" s="19" t="e">
        <f ca="1">MATCH(PAJAK[[#This Row],[ID]],[6]!Table1[ID],0)</f>
        <v>#REF!</v>
      </c>
      <c r="E29" s="20">
        <f ca="1">IF(PAJAK[[#This Row],[ID]]="","",COUNTIF(NOTA[ID_H],PAJAK[[#This Row],[ID]]))</f>
        <v>11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45185</v>
      </c>
      <c r="H29" s="17">
        <f ca="1">IF(PAJAK[[#This Row],[//]]="","",INDEX(INDIRECT("NOTA["&amp;PAJAK[#Headers]&amp;"]"),PAJAK[[#This Row],[//]]-2))</f>
        <v>45181</v>
      </c>
      <c r="I29" s="16" t="str">
        <f ca="1">IF(PAJAK[[#This Row],[//]]="","",INDEX(INDIRECT("NOTA["&amp;PAJAK[#Headers]&amp;"]"),PAJAK[[#This Row],[//]]-2))</f>
        <v>SA230916235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31660280</v>
      </c>
      <c r="L29" s="23">
        <f ca="1">IF(PAJAK[[#This Row],[//]]="","",SUMIF(NOTA[ID_H],PAJAK[[#This Row],[ID]],NOTA[DISC]))</f>
        <v>5342672.25</v>
      </c>
      <c r="M29" s="23">
        <f ca="1">PAJAK[[#This Row],[SUB TOTAL]]-PAJAK[[#This Row],[DISKON]]</f>
        <v>26317607.75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23709556.531531528</v>
      </c>
      <c r="P29" s="23">
        <f ca="1">PAJAK[[#This Row],[DPP]]*PAJAK[[#This Row],[PPN]]</f>
        <v>2608051.2184684682</v>
      </c>
      <c r="Q29" s="23">
        <f ca="1">PAJAK[[#This Row],[DPP]]+PAJAK[[#This Row],[PPN 11%]]</f>
        <v>26317607.749999996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274</v>
      </c>
      <c r="B30" s="21">
        <f ca="1">HYPERLINK("[NOTA_.XLSX]NOTA!c"&amp;PAJAK[[#This Row],[//]],IF(PAJAK[[#This Row],[//]]="","",INDEX(INDIRECT("NOTA["&amp;PAJAK[#Headers]&amp;"]"),PAJAK[[#This Row],[//]]-2)))</f>
        <v>45</v>
      </c>
      <c r="C30" s="19" t="str">
        <f ca="1">IF(PAJAK[[#This Row],[//]]="","",INDEX(INDIRECT("NOTA["&amp;PAJAK[#Headers]&amp;"]"),PAJAK[[#This Row],[//]]-2))</f>
        <v>ATA_1609_212-12</v>
      </c>
      <c r="D30" s="19" t="e">
        <f ca="1">MATCH(PAJAK[[#This Row],[ID]],[6]!Table1[ID],0)</f>
        <v>#REF!</v>
      </c>
      <c r="E30" s="20">
        <f ca="1">IF(PAJAK[[#This Row],[ID]]="","",COUNTIF(NOTA[ID_H],PAJAK[[#This Row],[ID]]))</f>
        <v>12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45185</v>
      </c>
      <c r="H30" s="17">
        <f ca="1">IF(PAJAK[[#This Row],[//]]="","",INDEX(INDIRECT("NOTA["&amp;PAJAK[#Headers]&amp;"]"),PAJAK[[#This Row],[//]]-2))</f>
        <v>45181</v>
      </c>
      <c r="I30" s="16" t="str">
        <f ca="1">IF(PAJAK[[#This Row],[//]]="","",INDEX(INDIRECT("NOTA["&amp;PAJAK[#Headers]&amp;"]"),PAJAK[[#This Row],[//]]-2))</f>
        <v>SA230916212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37674400</v>
      </c>
      <c r="L30" s="23">
        <f ca="1">IF(PAJAK[[#This Row],[//]]="","",SUMIF(NOTA[ID_H],PAJAK[[#This Row],[ID]],NOTA[DISC]))</f>
        <v>6357555</v>
      </c>
      <c r="M30" s="23">
        <f ca="1">PAJAK[[#This Row],[SUB TOTAL]]-PAJAK[[#This Row],[DISKON]]</f>
        <v>31316845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28213373.873873871</v>
      </c>
      <c r="P30" s="23">
        <f ca="1">PAJAK[[#This Row],[DPP]]*PAJAK[[#This Row],[PPN]]</f>
        <v>3103471.1261261259</v>
      </c>
      <c r="Q30" s="23">
        <f ca="1">PAJAK[[#This Row],[DPP]]+PAJAK[[#This Row],[PPN 11%]]</f>
        <v>31316844.999999996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287</v>
      </c>
      <c r="B31" s="21">
        <f ca="1">HYPERLINK("[NOTA_.XLSX]NOTA!c"&amp;PAJAK[[#This Row],[//]],IF(PAJAK[[#This Row],[//]]="","",INDEX(INDIRECT("NOTA["&amp;PAJAK[#Headers]&amp;"]"),PAJAK[[#This Row],[//]]-2)))</f>
        <v>46</v>
      </c>
      <c r="C31" s="19" t="str">
        <f ca="1">IF(PAJAK[[#This Row],[//]]="","",INDEX(INDIRECT("NOTA["&amp;PAJAK[#Headers]&amp;"]"),PAJAK[[#This Row],[//]]-2))</f>
        <v>ATA_1609_290-1</v>
      </c>
      <c r="D31" s="19" t="e">
        <f ca="1">MATCH(PAJAK[[#This Row],[ID]],[6]!Table1[ID],0)</f>
        <v>#REF!</v>
      </c>
      <c r="E31" s="20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45185</v>
      </c>
      <c r="H31" s="17">
        <f ca="1">IF(PAJAK[[#This Row],[//]]="","",INDEX(INDIRECT("NOTA["&amp;PAJAK[#Headers]&amp;"]"),PAJAK[[#This Row],[//]]-2))</f>
        <v>45182</v>
      </c>
      <c r="I31" s="16" t="str">
        <f ca="1">IF(PAJAK[[#This Row],[//]]="","",INDEX(INDIRECT("NOTA["&amp;PAJAK[#Headers]&amp;"]"),PAJAK[[#This Row],[//]]-2))</f>
        <v>SA230916290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8064000</v>
      </c>
      <c r="L31" s="23">
        <f ca="1">IF(PAJAK[[#This Row],[//]]="","",SUMIF(NOTA[ID_H],PAJAK[[#This Row],[ID]],NOTA[DISC]))</f>
        <v>1360800</v>
      </c>
      <c r="M31" s="23">
        <f ca="1">PAJAK[[#This Row],[SUB TOTAL]]-PAJAK[[#This Row],[DISKON]]</f>
        <v>6703200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6038918.9189189188</v>
      </c>
      <c r="P31" s="23">
        <f ca="1">PAJAK[[#This Row],[DPP]]*PAJAK[[#This Row],[PPN]]</f>
        <v>664281.08108108107</v>
      </c>
      <c r="Q31" s="23">
        <f ca="1">PAJAK[[#This Row],[DPP]]+PAJAK[[#This Row],[PPN 11%]]</f>
        <v>6703200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305</v>
      </c>
      <c r="B32" s="15">
        <f ca="1">HYPERLINK("[NOTA_.XLSX]NOTA!c"&amp;PAJAK[[#This Row],[//]],IF(PAJAK[[#This Row],[//]]="","",INDEX(INDIRECT("NOTA["&amp;PAJAK[#Headers]&amp;"]"),PAJAK[[#This Row],[//]]-2)))</f>
        <v>51</v>
      </c>
      <c r="C32" s="15" t="str">
        <f ca="1">IF(PAJAK[[#This Row],[//]]="","",INDEX(INDIRECT("NOTA["&amp;PAJAK[#Headers]&amp;"]"),PAJAK[[#This Row],[//]]-2))</f>
        <v>SAM_1809_553-7</v>
      </c>
      <c r="D32" s="15" t="e">
        <f ca="1">MATCH(PAJAK[[#This Row],[ID]],[6]!Table1[ID],0)</f>
        <v>#REF!</v>
      </c>
      <c r="E32" s="16">
        <f ca="1">IF(PAJAK[[#This Row],[ID]]="","",COUNTIF(NOTA[ID_H],PAJAK[[#This Row],[ID]]))</f>
        <v>7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45187</v>
      </c>
      <c r="H32" s="17">
        <f ca="1">IF(PAJAK[[#This Row],[//]]="","",INDEX(INDIRECT("NOTA["&amp;PAJAK[#Headers]&amp;"]"),PAJAK[[#This Row],[//]]-2))</f>
        <v>45185</v>
      </c>
      <c r="I32" s="16" t="str">
        <f ca="1">IF(PAJAK[[#This Row],[//]]="","",INDEX(INDIRECT("NOTA["&amp;PAJAK[#Headers]&amp;"]"),PAJAK[[#This Row],[//]]-2))</f>
        <v>JL-16553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50962000</v>
      </c>
      <c r="L32" s="23">
        <f ca="1">IF(PAJAK[[#This Row],[//]]="","",SUMIF(NOTA[ID_H],PAJAK[[#This Row],[ID]],NOTA[DISC]))</f>
        <v>3567340.0000000005</v>
      </c>
      <c r="M32" s="23">
        <f ca="1">PAJAK[[#This Row],[SUB TOTAL]]-PAJAK[[#This Row],[DISKON]]</f>
        <v>47394660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42697891.891891889</v>
      </c>
      <c r="P32" s="23">
        <f ca="1">PAJAK[[#This Row],[DPP]]*PAJAK[[#This Row],[PPN]]</f>
        <v>4696768.1081081079</v>
      </c>
      <c r="Q32" s="23">
        <f ca="1">PAJAK[[#This Row],[DPP]]+PAJAK[[#This Row],[PPN 11%]]</f>
        <v>47394660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313</v>
      </c>
      <c r="B33" s="21">
        <f ca="1">HYPERLINK("[NOTA_.XLSX]NOTA!c"&amp;PAJAK[[#This Row],[//]],IF(PAJAK[[#This Row],[//]]="","",INDEX(INDIRECT("NOTA["&amp;PAJAK[#Headers]&amp;"]"),PAJAK[[#This Row],[//]]-2)))</f>
        <v>52</v>
      </c>
      <c r="C33" s="19" t="str">
        <f ca="1">IF(PAJAK[[#This Row],[//]]="","",INDEX(INDIRECT("NOTA["&amp;PAJAK[#Headers]&amp;"]"),PAJAK[[#This Row],[//]]-2))</f>
        <v>ATA_1809_347-9</v>
      </c>
      <c r="D33" s="19" t="e">
        <f ca="1">MATCH(PAJAK[[#This Row],[ID]],[6]!Table1[ID],0)</f>
        <v>#REF!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45187</v>
      </c>
      <c r="H33" s="17">
        <f ca="1">IF(PAJAK[[#This Row],[//]]="","",INDEX(INDIRECT("NOTA["&amp;PAJAK[#Headers]&amp;"]"),PAJAK[[#This Row],[//]]-2))</f>
        <v>45183</v>
      </c>
      <c r="I33" s="16" t="str">
        <f ca="1">IF(PAJAK[[#This Row],[//]]="","",INDEX(INDIRECT("NOTA["&amp;PAJAK[#Headers]&amp;"]"),PAJAK[[#This Row],[//]]-2))</f>
        <v>SA230916347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16631600</v>
      </c>
      <c r="L33" s="23">
        <f ca="1">IF(PAJAK[[#This Row],[//]]="","",SUMIF(NOTA[ID_H],PAJAK[[#This Row],[ID]],NOTA[DISC]))</f>
        <v>2802820.5</v>
      </c>
      <c r="M33" s="23">
        <f ca="1">PAJAK[[#This Row],[SUB TOTAL]]-PAJAK[[#This Row],[DISKON]]</f>
        <v>13828779.5</v>
      </c>
      <c r="N33" s="23">
        <f ca="1">IF(PAJAK[[#This Row],[//]]="","",INDEX(INDIRECT("NOTA["&amp;PAJAK[#Headers]&amp;"]"),PAJAK[[#This Row],[//]]-2+PAJAK[[#This Row],[QB]]-1))</f>
        <v>135432</v>
      </c>
      <c r="O33" s="23">
        <f ca="1">(PAJAK[[#This Row],[SUB T-DISC]]-PAJAK[[#This Row],[DISC DLL]])/111%</f>
        <v>12336349.099099098</v>
      </c>
      <c r="P33" s="23">
        <f ca="1">PAJAK[[#This Row],[DPP]]*PAJAK[[#This Row],[PPN]]</f>
        <v>1356998.4009009008</v>
      </c>
      <c r="Q33" s="23">
        <f ca="1">PAJAK[[#This Row],[DPP]]+PAJAK[[#This Row],[PPN 11%]]</f>
        <v>13693347.499999998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323</v>
      </c>
      <c r="B34" s="15">
        <f ca="1">HYPERLINK("[NOTA_.XLSX]NOTA!c"&amp;PAJAK[[#This Row],[//]],IF(PAJAK[[#This Row],[//]]="","",INDEX(INDIRECT("NOTA["&amp;PAJAK[#Headers]&amp;"]"),PAJAK[[#This Row],[//]]-2)))</f>
        <v>53</v>
      </c>
      <c r="C34" s="15" t="str">
        <f ca="1">IF(PAJAK[[#This Row],[//]]="","",INDEX(INDIRECT("NOTA["&amp;PAJAK[#Headers]&amp;"]"),PAJAK[[#This Row],[//]]-2))</f>
        <v>ATA_1809_381-8</v>
      </c>
      <c r="D34" s="15" t="e">
        <f ca="1">MATCH(PAJAK[[#This Row],[ID]],[6]!Table1[ID],0)</f>
        <v>#REF!</v>
      </c>
      <c r="E34" s="16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45187</v>
      </c>
      <c r="H34" s="17">
        <f ca="1">IF(PAJAK[[#This Row],[//]]="","",INDEX(INDIRECT("NOTA["&amp;PAJAK[#Headers]&amp;"]"),PAJAK[[#This Row],[//]]-2))</f>
        <v>45183</v>
      </c>
      <c r="I34" s="16" t="str">
        <f ca="1">IF(PAJAK[[#This Row],[//]]="","",INDEX(INDIRECT("NOTA["&amp;PAJAK[#Headers]&amp;"]"),PAJAK[[#This Row],[//]]-2))</f>
        <v>SA230916381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23309400</v>
      </c>
      <c r="L34" s="23">
        <f ca="1">IF(PAJAK[[#This Row],[//]]="","",SUMIF(NOTA[ID_H],PAJAK[[#This Row],[ID]],NOTA[DISC]))</f>
        <v>3933461.25</v>
      </c>
      <c r="M34" s="23">
        <f ca="1">PAJAK[[#This Row],[SUB TOTAL]]-PAJAK[[#This Row],[DISKON]]</f>
        <v>19375938.75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17455800.675675675</v>
      </c>
      <c r="P34" s="23">
        <f ca="1">PAJAK[[#This Row],[DPP]]*PAJAK[[#This Row],[PPN]]</f>
        <v>1920138.0743243243</v>
      </c>
      <c r="Q34" s="23">
        <f ca="1">PAJAK[[#This Row],[DPP]]+PAJAK[[#This Row],[PPN 11%]]</f>
        <v>19375938.75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332</v>
      </c>
      <c r="B35" s="21">
        <f ca="1">HYPERLINK("[NOTA_.XLSX]NOTA!c"&amp;PAJAK[[#This Row],[//]],IF(PAJAK[[#This Row],[//]]="","",INDEX(INDIRECT("NOTA["&amp;PAJAK[#Headers]&amp;"]"),PAJAK[[#This Row],[//]]-2)))</f>
        <v>54</v>
      </c>
      <c r="C35" s="19" t="str">
        <f ca="1">IF(PAJAK[[#This Row],[//]]="","",INDEX(INDIRECT("NOTA["&amp;PAJAK[#Headers]&amp;"]"),PAJAK[[#This Row],[//]]-2))</f>
        <v>KEN_1809_481-7</v>
      </c>
      <c r="D35" s="19" t="e">
        <f ca="1">MATCH(PAJAK[[#This Row],[ID]],[6]!Table1[ID],0)</f>
        <v>#REF!</v>
      </c>
      <c r="E35" s="20">
        <f ca="1">IF(PAJAK[[#This Row],[ID]]="","",COUNTIF(NOTA[ID_H],PAJAK[[#This Row],[ID]]))</f>
        <v>7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45187</v>
      </c>
      <c r="H35" s="17">
        <f ca="1">IF(PAJAK[[#This Row],[//]]="","",INDEX(INDIRECT("NOTA["&amp;PAJAK[#Headers]&amp;"]"),PAJAK[[#This Row],[//]]-2))</f>
        <v>45185</v>
      </c>
      <c r="I35" s="16" t="str">
        <f ca="1">IF(PAJAK[[#This Row],[//]]="","",INDEX(INDIRECT("NOTA["&amp;PAJAK[#Headers]&amp;"]"),PAJAK[[#This Row],[//]]-2))</f>
        <v>23091481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20883000</v>
      </c>
      <c r="L35" s="23">
        <f ca="1">IF(PAJAK[[#This Row],[//]]="","",SUMIF(NOTA[ID_H],PAJAK[[#This Row],[ID]],NOTA[DISC]))</f>
        <v>3550110</v>
      </c>
      <c r="M35" s="23">
        <f ca="1">PAJAK[[#This Row],[SUB TOTAL]]-PAJAK[[#This Row],[DISKON]]</f>
        <v>17332890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15615216.216216214</v>
      </c>
      <c r="P35" s="23">
        <f ca="1">PAJAK[[#This Row],[DPP]]*PAJAK[[#This Row],[PPN]]</f>
        <v>1717673.7837837834</v>
      </c>
      <c r="Q35" s="23">
        <f ca="1">PAJAK[[#This Row],[DPP]]+PAJAK[[#This Row],[PPN 11%]]</f>
        <v>17332889.999999996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340</v>
      </c>
      <c r="B36" s="21">
        <f ca="1">HYPERLINK("[NOTA_.XLSX]NOTA!c"&amp;PAJAK[[#This Row],[//]],IF(PAJAK[[#This Row],[//]]="","",INDEX(INDIRECT("NOTA["&amp;PAJAK[#Headers]&amp;"]"),PAJAK[[#This Row],[//]]-2)))</f>
        <v>55</v>
      </c>
      <c r="C36" s="19" t="str">
        <f ca="1">IF(PAJAK[[#This Row],[//]]="","",INDEX(INDIRECT("NOTA["&amp;PAJAK[#Headers]&amp;"]"),PAJAK[[#This Row],[//]]-2))</f>
        <v>ATA_1809_502-3</v>
      </c>
      <c r="D36" s="19" t="e">
        <f ca="1">MATCH(PAJAK[[#This Row],[ID]],[6]!Table1[ID],0)</f>
        <v>#REF!</v>
      </c>
      <c r="E36" s="20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45187</v>
      </c>
      <c r="H36" s="17">
        <f ca="1">IF(PAJAK[[#This Row],[//]]="","",INDEX(INDIRECT("NOTA["&amp;PAJAK[#Headers]&amp;"]"),PAJAK[[#This Row],[//]]-2))</f>
        <v>45184</v>
      </c>
      <c r="I36" s="16" t="str">
        <f ca="1">IF(PAJAK[[#This Row],[//]]="","",INDEX(INDIRECT("NOTA["&amp;PAJAK[#Headers]&amp;"]"),PAJAK[[#This Row],[//]]-2))</f>
        <v>SA230916502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13960800</v>
      </c>
      <c r="L36" s="23">
        <f ca="1">IF(PAJAK[[#This Row],[//]]="","",SUMIF(NOTA[ID_H],PAJAK[[#This Row],[ID]],NOTA[DISC]))</f>
        <v>2348361</v>
      </c>
      <c r="M36" s="23">
        <f ca="1">PAJAK[[#This Row],[SUB TOTAL]]-PAJAK[[#This Row],[DISKON]]</f>
        <v>11612439</v>
      </c>
      <c r="N36" s="23">
        <f ca="1">IF(PAJAK[[#This Row],[//]]="","",INDEX(INDIRECT("NOTA["&amp;PAJAK[#Headers]&amp;"]"),PAJAK[[#This Row],[//]]-2+PAJAK[[#This Row],[QB]]-1))</f>
        <v>270864</v>
      </c>
      <c r="O36" s="23">
        <f ca="1">(PAJAK[[#This Row],[SUB T-DISC]]-PAJAK[[#This Row],[DISC DLL]])/111%</f>
        <v>10217635.135135135</v>
      </c>
      <c r="P36" s="23">
        <f ca="1">PAJAK[[#This Row],[DPP]]*PAJAK[[#This Row],[PPN]]</f>
        <v>1123939.8648648649</v>
      </c>
      <c r="Q36" s="23">
        <f ca="1">PAJAK[[#This Row],[DPP]]+PAJAK[[#This Row],[PPN 11%]]</f>
        <v>11341575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344</v>
      </c>
      <c r="B37" s="15">
        <f ca="1">HYPERLINK("[NOTA_.XLSX]NOTA!c"&amp;PAJAK[[#This Row],[//]],IF(PAJAK[[#This Row],[//]]="","",INDEX(INDIRECT("NOTA["&amp;PAJAK[#Headers]&amp;"]"),PAJAK[[#This Row],[//]]-2)))</f>
        <v>56</v>
      </c>
      <c r="C37" s="15" t="str">
        <f ca="1">IF(PAJAK[[#This Row],[//]]="","",INDEX(INDIRECT("NOTA["&amp;PAJAK[#Headers]&amp;"]"),PAJAK[[#This Row],[//]]-2))</f>
        <v>ATA_1809_446-2</v>
      </c>
      <c r="D37" s="15" t="e">
        <f ca="1">MATCH(PAJAK[[#This Row],[ID]],[6]!Table1[ID],0)</f>
        <v>#REF!</v>
      </c>
      <c r="E37" s="16">
        <f ca="1">IF(PAJAK[[#This Row],[ID]]="","",COUNTIF(NOTA[ID_H],PAJAK[[#This Row],[ID]]))</f>
        <v>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45187</v>
      </c>
      <c r="H37" s="17">
        <f ca="1">IF(PAJAK[[#This Row],[//]]="","",INDEX(INDIRECT("NOTA["&amp;PAJAK[#Headers]&amp;"]"),PAJAK[[#This Row],[//]]-2))</f>
        <v>45184</v>
      </c>
      <c r="I37" s="16" t="str">
        <f ca="1">IF(PAJAK[[#This Row],[//]]="","",INDEX(INDIRECT("NOTA["&amp;PAJAK[#Headers]&amp;"]"),PAJAK[[#This Row],[//]]-2))</f>
        <v>SA230916446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11248000</v>
      </c>
      <c r="L37" s="23">
        <f ca="1">IF(PAJAK[[#This Row],[//]]="","",SUMIF(NOTA[ID_H],PAJAK[[#This Row],[ID]],NOTA[DISC]))</f>
        <v>1898100</v>
      </c>
      <c r="M37" s="23">
        <f ca="1">PAJAK[[#This Row],[SUB TOTAL]]-PAJAK[[#This Row],[DISKON]]</f>
        <v>9349900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8423333.3333333321</v>
      </c>
      <c r="P37" s="23">
        <f ca="1">PAJAK[[#This Row],[DPP]]*PAJAK[[#This Row],[PPN]]</f>
        <v>926566.66666666651</v>
      </c>
      <c r="Q37" s="23">
        <f ca="1">PAJAK[[#This Row],[DPP]]+PAJAK[[#This Row],[PPN 11%]]</f>
        <v>9349899.9999999981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347</v>
      </c>
      <c r="B38" s="21">
        <f ca="1">HYPERLINK("[NOTA_.XLSX]NOTA!c"&amp;PAJAK[[#This Row],[//]],IF(PAJAK[[#This Row],[//]]="","",INDEX(INDIRECT("NOTA["&amp;PAJAK[#Headers]&amp;"]"),PAJAK[[#This Row],[//]]-2)))</f>
        <v>57</v>
      </c>
      <c r="C38" s="19" t="str">
        <f ca="1">IF(PAJAK[[#This Row],[//]]="","",INDEX(INDIRECT("NOTA["&amp;PAJAK[#Headers]&amp;"]"),PAJAK[[#This Row],[//]]-2))</f>
        <v>ATA_1809_500-11</v>
      </c>
      <c r="D38" s="19" t="e">
        <f ca="1">MATCH(PAJAK[[#This Row],[ID]],[6]!Table1[ID],0)</f>
        <v>#REF!</v>
      </c>
      <c r="E38" s="20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45187</v>
      </c>
      <c r="H38" s="17">
        <f ca="1">IF(PAJAK[[#This Row],[//]]="","",INDEX(INDIRECT("NOTA["&amp;PAJAK[#Headers]&amp;"]"),PAJAK[[#This Row],[//]]-2))</f>
        <v>45184</v>
      </c>
      <c r="I38" s="16" t="str">
        <f ca="1">IF(PAJAK[[#This Row],[//]]="","",INDEX(INDIRECT("NOTA["&amp;PAJAK[#Headers]&amp;"]"),PAJAK[[#This Row],[//]]-2))</f>
        <v>SA230916500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41452600</v>
      </c>
      <c r="L38" s="23">
        <f ca="1">IF(PAJAK[[#This Row],[//]]="","",SUMIF(NOTA[ID_H],PAJAK[[#This Row],[ID]],NOTA[DISC]))</f>
        <v>6995126.25</v>
      </c>
      <c r="M38" s="23">
        <f ca="1">PAJAK[[#This Row],[SUB TOTAL]]-PAJAK[[#This Row],[DISKON]]</f>
        <v>34457473.75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31042769.14414414</v>
      </c>
      <c r="P38" s="23">
        <f ca="1">PAJAK[[#This Row],[DPP]]*PAJAK[[#This Row],[PPN]]</f>
        <v>3414704.6058558556</v>
      </c>
      <c r="Q38" s="23">
        <f ca="1">PAJAK[[#This Row],[DPP]]+PAJAK[[#This Row],[PPN 11%]]</f>
        <v>34457473.749999993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359</v>
      </c>
      <c r="B39" s="21">
        <f ca="1">HYPERLINK("[NOTA_.XLSX]NOTA!c"&amp;PAJAK[[#This Row],[//]],IF(PAJAK[[#This Row],[//]]="","",INDEX(INDIRECT("NOTA["&amp;PAJAK[#Headers]&amp;"]"),PAJAK[[#This Row],[//]]-2)))</f>
        <v>58</v>
      </c>
      <c r="C39" s="19" t="str">
        <f ca="1">IF(PAJAK[[#This Row],[//]]="","",INDEX(INDIRECT("NOTA["&amp;PAJAK[#Headers]&amp;"]"),PAJAK[[#This Row],[//]]-2))</f>
        <v>ATA_1809_501-12</v>
      </c>
      <c r="D39" s="19" t="e">
        <f ca="1">MATCH(PAJAK[[#This Row],[ID]],[6]!Table1[ID],0)</f>
        <v>#REF!</v>
      </c>
      <c r="E39" s="20">
        <f ca="1">IF(PAJAK[[#This Row],[ID]]="","",COUNTIF(NOTA[ID_H],PAJAK[[#This Row],[ID]]))</f>
        <v>12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45187</v>
      </c>
      <c r="H39" s="17">
        <f ca="1">IF(PAJAK[[#This Row],[//]]="","",INDEX(INDIRECT("NOTA["&amp;PAJAK[#Headers]&amp;"]"),PAJAK[[#This Row],[//]]-2))</f>
        <v>45184</v>
      </c>
      <c r="I39" s="16" t="str">
        <f ca="1">IF(PAJAK[[#This Row],[//]]="","",INDEX(INDIRECT("NOTA["&amp;PAJAK[#Headers]&amp;"]"),PAJAK[[#This Row],[//]]-2))</f>
        <v>SA230916501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49060200</v>
      </c>
      <c r="L39" s="23">
        <f ca="1">IF(PAJAK[[#This Row],[//]]="","",SUMIF(NOTA[ID_H],PAJAK[[#This Row],[ID]],NOTA[DISC]))</f>
        <v>8278908.75</v>
      </c>
      <c r="M39" s="23">
        <f ca="1">PAJAK[[#This Row],[SUB TOTAL]]-PAJAK[[#This Row],[DISKON]]</f>
        <v>40781291.25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36739902.027027026</v>
      </c>
      <c r="P39" s="23">
        <f ca="1">PAJAK[[#This Row],[DPP]]*PAJAK[[#This Row],[PPN]]</f>
        <v>4041389.2229729728</v>
      </c>
      <c r="Q39" s="23">
        <f ca="1">PAJAK[[#This Row],[DPP]]+PAJAK[[#This Row],[PPN 11%]]</f>
        <v>40781291.25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400</v>
      </c>
      <c r="B40" s="15">
        <f ca="1">HYPERLINK("[NOTA_.XLSX]NOTA!c"&amp;PAJAK[[#This Row],[//]],IF(PAJAK[[#This Row],[//]]="","",INDEX(INDIRECT("NOTA["&amp;PAJAK[#Headers]&amp;"]"),PAJAK[[#This Row],[//]]-2)))</f>
        <v>67</v>
      </c>
      <c r="C40" s="15" t="str">
        <f ca="1">IF(PAJAK[[#This Row],[//]]="","",INDEX(INDIRECT("NOTA["&amp;PAJAK[#Headers]&amp;"]"),PAJAK[[#This Row],[//]]-2))</f>
        <v>SAM_2009_554-8</v>
      </c>
      <c r="D40" s="15" t="e">
        <f ca="1">MATCH(PAJAK[[#This Row],[ID]],[6]!Table1[ID],0)</f>
        <v>#REF!</v>
      </c>
      <c r="E40" s="16">
        <f ca="1">IF(PAJAK[[#This Row],[ID]]="","",COUNTIF(NOTA[ID_H],PAJAK[[#This Row],[ID]]))</f>
        <v>8</v>
      </c>
      <c r="F40" s="15" t="str">
        <f ca="1">IF(PAJAK[[#This Row],[//]]="","",INDEX(CONV[2],MATCH(INDEX(INDIRECT("NOTA["&amp;PAJAK[#Headers]&amp;"]"),PAJAK[[#This Row],[//]]-2),CONV[1],0),0))</f>
        <v>CV SAMUDERA ANGKASA JAYA</v>
      </c>
      <c r="G40" s="17">
        <f ca="1">IF(PAJAK[[#This Row],[//]]="","",INDEX(NOTA[TGL_H],PAJAK[[#This Row],[//]]-2))</f>
        <v>45189</v>
      </c>
      <c r="H40" s="17">
        <f ca="1">IF(PAJAK[[#This Row],[//]]="","",INDEX(INDIRECT("NOTA["&amp;PAJAK[#Headers]&amp;"]"),PAJAK[[#This Row],[//]]-2))</f>
        <v>45185</v>
      </c>
      <c r="I40" s="16" t="str">
        <f ca="1">IF(PAJAK[[#This Row],[//]]="","",INDEX(INDIRECT("NOTA["&amp;PAJAK[#Headers]&amp;"]"),PAJAK[[#This Row],[//]]-2))</f>
        <v>JL-16554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48856000</v>
      </c>
      <c r="L40" s="23">
        <f ca="1">IF(PAJAK[[#This Row],[//]]="","",SUMIF(NOTA[ID_H],PAJAK[[#This Row],[ID]],NOTA[DISC]))</f>
        <v>3419920</v>
      </c>
      <c r="M40" s="23">
        <f ca="1">PAJAK[[#This Row],[SUB TOTAL]]-PAJAK[[#This Row],[DISKON]]</f>
        <v>45436080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40933405.405405402</v>
      </c>
      <c r="P40" s="23">
        <f ca="1">PAJAK[[#This Row],[DPP]]*PAJAK[[#This Row],[PPN]]</f>
        <v>4502674.5945945941</v>
      </c>
      <c r="Q40" s="23">
        <f ca="1">PAJAK[[#This Row],[DPP]]+PAJAK[[#This Row],[PPN 11%]]</f>
        <v>45436080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418</v>
      </c>
      <c r="B41" s="21">
        <f ca="1">HYPERLINK("[NOTA_.XLSX]NOTA!c"&amp;PAJAK[[#This Row],[//]],IF(PAJAK[[#This Row],[//]]="","",INDEX(INDIRECT("NOTA["&amp;PAJAK[#Headers]&amp;"]"),PAJAK[[#This Row],[//]]-2)))</f>
        <v>71</v>
      </c>
      <c r="C41" s="19" t="str">
        <f ca="1">IF(PAJAK[[#This Row],[//]]="","",INDEX(INDIRECT("NOTA["&amp;PAJAK[#Headers]&amp;"]"),PAJAK[[#This Row],[//]]-2))</f>
        <v>ATA_2109_629-3</v>
      </c>
      <c r="D41" s="19" t="e">
        <f ca="1">MATCH(PAJAK[[#This Row],[ID]],[6]!Table1[ID],0)</f>
        <v>#REF!</v>
      </c>
      <c r="E41" s="20">
        <f ca="1">IF(PAJAK[[#This Row],[ID]]="","",COUNTIF(NOTA[ID_H],PAJAK[[#This Row],[ID]]))</f>
        <v>3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45190</v>
      </c>
      <c r="H41" s="17">
        <f ca="1">IF(PAJAK[[#This Row],[//]]="","",INDEX(INDIRECT("NOTA["&amp;PAJAK[#Headers]&amp;"]"),PAJAK[[#This Row],[//]]-2))</f>
        <v>45187</v>
      </c>
      <c r="I41" s="16" t="str">
        <f ca="1">IF(PAJAK[[#This Row],[//]]="","",INDEX(INDIRECT("NOTA["&amp;PAJAK[#Headers]&amp;"]"),PAJAK[[#This Row],[//]]-2))</f>
        <v>SA230916629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8085600</v>
      </c>
      <c r="L41" s="23">
        <f ca="1">IF(PAJAK[[#This Row],[//]]="","",SUMIF(NOTA[ID_H],PAJAK[[#This Row],[ID]],NOTA[DISC]))</f>
        <v>1364445</v>
      </c>
      <c r="M41" s="23">
        <f ca="1">PAJAK[[#This Row],[SUB TOTAL]]-PAJAK[[#This Row],[DISKON]]</f>
        <v>6721155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6055094.5945945941</v>
      </c>
      <c r="P41" s="23">
        <f ca="1">PAJAK[[#This Row],[DPP]]*PAJAK[[#This Row],[PPN]]</f>
        <v>666060.40540540533</v>
      </c>
      <c r="Q41" s="23">
        <f ca="1">PAJAK[[#This Row],[DPP]]+PAJAK[[#This Row],[PPN 11%]]</f>
        <v>6721154.9999999991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422</v>
      </c>
      <c r="B42" s="21">
        <f ca="1">HYPERLINK("[NOTA_.XLSX]NOTA!c"&amp;PAJAK[[#This Row],[//]],IF(PAJAK[[#This Row],[//]]="","",INDEX(INDIRECT("NOTA["&amp;PAJAK[#Headers]&amp;"]"),PAJAK[[#This Row],[//]]-2)))</f>
        <v>72</v>
      </c>
      <c r="C42" s="19" t="str">
        <f ca="1">IF(PAJAK[[#This Row],[//]]="","",INDEX(INDIRECT("NOTA["&amp;PAJAK[#Headers]&amp;"]"),PAJAK[[#This Row],[//]]-2))</f>
        <v>ATA_2109_590-7</v>
      </c>
      <c r="D42" s="19" t="e">
        <f ca="1">MATCH(PAJAK[[#This Row],[ID]],[6]!Table1[ID],0)</f>
        <v>#REF!</v>
      </c>
      <c r="E42" s="20">
        <f ca="1">IF(PAJAK[[#This Row],[ID]]="","",COUNTIF(NOTA[ID_H],PAJAK[[#This Row],[ID]]))</f>
        <v>7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45190</v>
      </c>
      <c r="H42" s="17">
        <f ca="1">IF(PAJAK[[#This Row],[//]]="","",INDEX(INDIRECT("NOTA["&amp;PAJAK[#Headers]&amp;"]"),PAJAK[[#This Row],[//]]-2))</f>
        <v>45187</v>
      </c>
      <c r="I42" s="16" t="str">
        <f ca="1">IF(PAJAK[[#This Row],[//]]="","",INDEX(INDIRECT("NOTA["&amp;PAJAK[#Headers]&amp;"]"),PAJAK[[#This Row],[//]]-2))</f>
        <v>SA230916590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11652600</v>
      </c>
      <c r="L42" s="23">
        <f ca="1">IF(PAJAK[[#This Row],[//]]="","",SUMIF(NOTA[ID_H],PAJAK[[#This Row],[ID]],NOTA[DISC]))</f>
        <v>1962614.25</v>
      </c>
      <c r="M42" s="23">
        <f ca="1">PAJAK[[#This Row],[SUB TOTAL]]-PAJAK[[#This Row],[DISKON]]</f>
        <v>9689985.75</v>
      </c>
      <c r="N42" s="23">
        <f ca="1">IF(PAJAK[[#This Row],[//]]="","",INDEX(INDIRECT("NOTA["&amp;PAJAK[#Headers]&amp;"]"),PAJAK[[#This Row],[//]]-2+PAJAK[[#This Row],[QB]]-1))</f>
        <v>135432</v>
      </c>
      <c r="O42" s="23">
        <f ca="1">(PAJAK[[#This Row],[SUB T-DISC]]-PAJAK[[#This Row],[DISC DLL]])/111%</f>
        <v>8607706.0810810812</v>
      </c>
      <c r="P42" s="23">
        <f ca="1">PAJAK[[#This Row],[DPP]]*PAJAK[[#This Row],[PPN]]</f>
        <v>946847.66891891893</v>
      </c>
      <c r="Q42" s="23">
        <f ca="1">PAJAK[[#This Row],[DPP]]+PAJAK[[#This Row],[PPN 11%]]</f>
        <v>9554553.75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430</v>
      </c>
      <c r="B43" s="21">
        <f ca="1">HYPERLINK("[NOTA_.XLSX]NOTA!c"&amp;PAJAK[[#This Row],[//]],IF(PAJAK[[#This Row],[//]]="","",INDEX(INDIRECT("NOTA["&amp;PAJAK[#Headers]&amp;"]"),PAJAK[[#This Row],[//]]-2)))</f>
        <v>73</v>
      </c>
      <c r="C43" s="19" t="str">
        <f ca="1">IF(PAJAK[[#This Row],[//]]="","",INDEX(INDIRECT("NOTA["&amp;PAJAK[#Headers]&amp;"]"),PAJAK[[#This Row],[//]]-2))</f>
        <v>KEN_2109_564-2</v>
      </c>
      <c r="D43" s="19" t="e">
        <f ca="1">MATCH(PAJAK[[#This Row],[ID]],[6]!Table1[ID],0)</f>
        <v>#REF!</v>
      </c>
      <c r="E43" s="20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45190</v>
      </c>
      <c r="H43" s="17">
        <f ca="1">IF(PAJAK[[#This Row],[//]]="","",INDEX(INDIRECT("NOTA["&amp;PAJAK[#Headers]&amp;"]"),PAJAK[[#This Row],[//]]-2))</f>
        <v>45187</v>
      </c>
      <c r="I43" s="16" t="str">
        <f ca="1">IF(PAJAK[[#This Row],[//]]="","",INDEX(INDIRECT("NOTA["&amp;PAJAK[#Headers]&amp;"]"),PAJAK[[#This Row],[//]]-2))</f>
        <v>23091564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12301200</v>
      </c>
      <c r="L43" s="23">
        <f ca="1">IF(PAJAK[[#This Row],[//]]="","",SUMIF(NOTA[ID_H],PAJAK[[#This Row],[ID]],NOTA[DISC]))</f>
        <v>2091204.0000000002</v>
      </c>
      <c r="M43" s="23">
        <f ca="1">PAJAK[[#This Row],[SUB TOTAL]]-PAJAK[[#This Row],[DISKON]]</f>
        <v>10209996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9198194.5945945941</v>
      </c>
      <c r="P43" s="23">
        <f ca="1">PAJAK[[#This Row],[DPP]]*PAJAK[[#This Row],[PPN]]</f>
        <v>1011801.4054054053</v>
      </c>
      <c r="Q43" s="23">
        <f ca="1">PAJAK[[#This Row],[DPP]]+PAJAK[[#This Row],[PPN 11%]]</f>
        <v>10209996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433</v>
      </c>
      <c r="B44" s="21">
        <f ca="1">HYPERLINK("[NOTA_.XLSX]NOTA!c"&amp;PAJAK[[#This Row],[//]],IF(PAJAK[[#This Row],[//]]="","",INDEX(INDIRECT("NOTA["&amp;PAJAK[#Headers]&amp;"]"),PAJAK[[#This Row],[//]]-2)))</f>
        <v>74</v>
      </c>
      <c r="C44" s="19" t="str">
        <f ca="1">IF(PAJAK[[#This Row],[//]]="","",INDEX(INDIRECT("NOTA["&amp;PAJAK[#Headers]&amp;"]"),PAJAK[[#This Row],[//]]-2))</f>
        <v>KEN_2109_884-4</v>
      </c>
      <c r="D44" s="19" t="e">
        <f ca="1">MATCH(PAJAK[[#This Row],[ID]],[6]!Table1[ID],0)</f>
        <v>#REF!</v>
      </c>
      <c r="E44" s="20">
        <f ca="1">IF(PAJAK[[#This Row],[ID]]="","",COUNTIF(NOTA[ID_H],PAJAK[[#This Row],[ID]]))</f>
        <v>4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45190</v>
      </c>
      <c r="H44" s="17">
        <f ca="1">IF(PAJAK[[#This Row],[//]]="","",INDEX(INDIRECT("NOTA["&amp;PAJAK[#Headers]&amp;"]"),PAJAK[[#This Row],[//]]-2))</f>
        <v>45190</v>
      </c>
      <c r="I44" s="16" t="str">
        <f ca="1">IF(PAJAK[[#This Row],[//]]="","",INDEX(INDIRECT("NOTA["&amp;PAJAK[#Headers]&amp;"]"),PAJAK[[#This Row],[//]]-2))</f>
        <v>23091884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15415200</v>
      </c>
      <c r="L44" s="23">
        <f ca="1">IF(PAJAK[[#This Row],[//]]="","",SUMIF(NOTA[ID_H],PAJAK[[#This Row],[ID]],NOTA[DISC]))</f>
        <v>2620584</v>
      </c>
      <c r="M44" s="23">
        <f ca="1">PAJAK[[#This Row],[SUB TOTAL]]-PAJAK[[#This Row],[DISKON]]</f>
        <v>12794616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11526681.081081079</v>
      </c>
      <c r="P44" s="23">
        <f ca="1">PAJAK[[#This Row],[DPP]]*PAJAK[[#This Row],[PPN]]</f>
        <v>1267934.9189189188</v>
      </c>
      <c r="Q44" s="23">
        <f ca="1">PAJAK[[#This Row],[DPP]]+PAJAK[[#This Row],[PPN 11%]]</f>
        <v>12794615.999999998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438</v>
      </c>
      <c r="B45" s="27">
        <f ca="1">HYPERLINK("[NOTA_.XLSX]NOTA!c"&amp;PAJAK[[#This Row],[//]],IF(PAJAK[[#This Row],[//]]="","",INDEX(INDIRECT("NOTA["&amp;PAJAK[#Headers]&amp;"]"),PAJAK[[#This Row],[//]]-2)))</f>
        <v>75</v>
      </c>
      <c r="C45" s="27" t="str">
        <f ca="1">IF(PAJAK[[#This Row],[//]]="","",INDEX(INDIRECT("NOTA["&amp;PAJAK[#Headers]&amp;"]"),PAJAK[[#This Row],[//]]-2))</f>
        <v>KEN_2109_769-2</v>
      </c>
      <c r="D45" s="27" t="e">
        <f ca="1">MATCH(PAJAK[[#This Row],[ID]],[6]!Table1[ID],0)</f>
        <v>#REF!</v>
      </c>
      <c r="E45" s="28">
        <f ca="1">IF(PAJAK[[#This Row],[ID]]="","",COUNTIF(NOTA[ID_H],PAJAK[[#This Row],[ID]]))</f>
        <v>2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45190</v>
      </c>
      <c r="H45" s="29">
        <f ca="1">IF(PAJAK[[#This Row],[//]]="","",INDEX(INDIRECT("NOTA["&amp;PAJAK[#Headers]&amp;"]"),PAJAK[[#This Row],[//]]-2))</f>
        <v>45189</v>
      </c>
      <c r="I45" s="28" t="str">
        <f ca="1">IF(PAJAK[[#This Row],[//]]="","",INDEX(INDIRECT("NOTA["&amp;PAJAK[#Headers]&amp;"]"),PAJAK[[#This Row],[//]]-2))</f>
        <v>23091769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7411200</v>
      </c>
      <c r="L45" s="33">
        <f ca="1">IF(PAJAK[[#This Row],[//]]="","",SUMIF(NOTA[ID_H],PAJAK[[#This Row],[ID]],NOTA[DISC]))</f>
        <v>1259904</v>
      </c>
      <c r="M45" s="33">
        <f ca="1">PAJAK[[#This Row],[SUB TOTAL]]-PAJAK[[#This Row],[DISKON]]</f>
        <v>6151296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5541708.1081081079</v>
      </c>
      <c r="P45" s="33">
        <f ca="1">PAJAK[[#This Row],[DPP]]*PAJAK[[#This Row],[PPN]]</f>
        <v>609587.89189189184</v>
      </c>
      <c r="Q45" s="33">
        <f ca="1">PAJAK[[#This Row],[DPP]]+PAJAK[[#This Row],[PPN 11%]]</f>
        <v>6151296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441</v>
      </c>
      <c r="B46" s="21">
        <f ca="1">HYPERLINK("[NOTA_.XLSX]NOTA!c"&amp;PAJAK[[#This Row],[//]],IF(PAJAK[[#This Row],[//]]="","",INDEX(INDIRECT("NOTA["&amp;PAJAK[#Headers]&amp;"]"),PAJAK[[#This Row],[//]]-2)))</f>
        <v>76</v>
      </c>
      <c r="C46" s="19" t="str">
        <f ca="1">IF(PAJAK[[#This Row],[//]]="","",INDEX(INDIRECT("NOTA["&amp;PAJAK[#Headers]&amp;"]"),PAJAK[[#This Row],[//]]-2))</f>
        <v>ATA_2109_668-11</v>
      </c>
      <c r="D46" s="19" t="e">
        <f ca="1">MATCH(PAJAK[[#This Row],[ID]],[6]!Table1[ID],0)</f>
        <v>#REF!</v>
      </c>
      <c r="E46" s="20">
        <f ca="1">IF(PAJAK[[#This Row],[ID]]="","",COUNTIF(NOTA[ID_H],PAJAK[[#This Row],[ID]]))</f>
        <v>11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45190</v>
      </c>
      <c r="H46" s="17">
        <f ca="1">IF(PAJAK[[#This Row],[//]]="","",INDEX(INDIRECT("NOTA["&amp;PAJAK[#Headers]&amp;"]"),PAJAK[[#This Row],[//]]-2))</f>
        <v>45188</v>
      </c>
      <c r="I46" s="16" t="str">
        <f ca="1">IF(PAJAK[[#This Row],[//]]="","",INDEX(INDIRECT("NOTA["&amp;PAJAK[#Headers]&amp;"]"),PAJAK[[#This Row],[//]]-2))</f>
        <v>SA230916668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21525600</v>
      </c>
      <c r="L46" s="23">
        <f ca="1">IF(PAJAK[[#This Row],[//]]="","",SUMIF(NOTA[ID_H],PAJAK[[#This Row],[ID]],NOTA[DISC]))</f>
        <v>3632445</v>
      </c>
      <c r="M46" s="23">
        <f ca="1">PAJAK[[#This Row],[SUB TOTAL]]-PAJAK[[#This Row],[DISKON]]</f>
        <v>17893155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16119959.459459458</v>
      </c>
      <c r="P46" s="23">
        <f ca="1">PAJAK[[#This Row],[DPP]]*PAJAK[[#This Row],[PPN]]</f>
        <v>1773195.5405405404</v>
      </c>
      <c r="Q46" s="23">
        <f ca="1">PAJAK[[#This Row],[DPP]]+PAJAK[[#This Row],[PPN 11%]]</f>
        <v>17893154.999999996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453</v>
      </c>
      <c r="B47" s="21">
        <f ca="1">HYPERLINK("[NOTA_.XLSX]NOTA!c"&amp;PAJAK[[#This Row],[//]],IF(PAJAK[[#This Row],[//]]="","",INDEX(INDIRECT("NOTA["&amp;PAJAK[#Headers]&amp;"]"),PAJAK[[#This Row],[//]]-2)))</f>
        <v>77</v>
      </c>
      <c r="C47" s="19" t="str">
        <f ca="1">IF(PAJAK[[#This Row],[//]]="","",INDEX(INDIRECT("NOTA["&amp;PAJAK[#Headers]&amp;"]"),PAJAK[[#This Row],[//]]-2))</f>
        <v>KAL_2109_177-10</v>
      </c>
      <c r="D47" s="19" t="e">
        <f ca="1">MATCH(PAJAK[[#This Row],[ID]],[6]!Table1[ID],0)</f>
        <v>#REF!</v>
      </c>
      <c r="E47" s="20">
        <f ca="1">IF(PAJAK[[#This Row],[ID]]="","",COUNTIF(NOTA[ID_H],PAJAK[[#This Row],[ID]]))</f>
        <v>10</v>
      </c>
      <c r="F47" s="15" t="str">
        <f ca="1">IF(PAJAK[[#This Row],[//]]="","",INDEX(CONV[2],MATCH(INDEX(INDIRECT("NOTA["&amp;PAJAK[#Headers]&amp;"]"),PAJAK[[#This Row],[//]]-2),CONV[1],0),0))</f>
        <v>PT KALINDO SUKSES</v>
      </c>
      <c r="G47" s="17">
        <f ca="1">IF(PAJAK[[#This Row],[//]]="","",INDEX(NOTA[TGL_H],PAJAK[[#This Row],[//]]-2))</f>
        <v>45190</v>
      </c>
      <c r="H47" s="17">
        <f ca="1">IF(PAJAK[[#This Row],[//]]="","",INDEX(INDIRECT("NOTA["&amp;PAJAK[#Headers]&amp;"]"),PAJAK[[#This Row],[//]]-2))</f>
        <v>45189</v>
      </c>
      <c r="I47" s="16" t="str">
        <f ca="1">IF(PAJAK[[#This Row],[//]]="","",INDEX(INDIRECT("NOTA["&amp;PAJAK[#Headers]&amp;"]"),PAJAK[[#This Row],[//]]-2))</f>
        <v>SN23092177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40540000</v>
      </c>
      <c r="L47" s="23">
        <f ca="1">IF(PAJAK[[#This Row],[//]]="","",SUMIF(NOTA[ID_H],PAJAK[[#This Row],[ID]],NOTA[DISC]))</f>
        <v>6841125</v>
      </c>
      <c r="M47" s="23">
        <f ca="1">PAJAK[[#This Row],[SUB TOTAL]]-PAJAK[[#This Row],[DISKON]]</f>
        <v>33698875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30359346.846846845</v>
      </c>
      <c r="P47" s="23">
        <f ca="1">PAJAK[[#This Row],[DPP]]*PAJAK[[#This Row],[PPN]]</f>
        <v>3339528.1531531531</v>
      </c>
      <c r="Q47" s="23">
        <f ca="1">PAJAK[[#This Row],[DPP]]+PAJAK[[#This Row],[PPN 11%]]</f>
        <v>33698875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464</v>
      </c>
      <c r="B48" s="22">
        <f ca="1">HYPERLINK("[NOTA_.XLSX]NOTA!c"&amp;PAJAK[[#This Row],[//]],IF(PAJAK[[#This Row],[//]]="","",INDEX(INDIRECT("NOTA["&amp;PAJAK[#Headers]&amp;"]"),PAJAK[[#This Row],[//]]-2)))</f>
        <v>78</v>
      </c>
      <c r="C48" s="15" t="str">
        <f ca="1">IF(PAJAK[[#This Row],[//]]="","",INDEX(INDIRECT("NOTA["&amp;PAJAK[#Headers]&amp;"]"),PAJAK[[#This Row],[//]]-2))</f>
        <v>ATA_2109_775-3</v>
      </c>
      <c r="D48" s="15" t="e">
        <f ca="1">MATCH(PAJAK[[#This Row],[ID]],[6]!Table1[ID],0)</f>
        <v>#REF!</v>
      </c>
      <c r="E48" s="16">
        <f ca="1">IF(PAJAK[[#This Row],[ID]]="","",COUNTIF(NOTA[ID_H],PAJAK[[#This Row],[ID]]))</f>
        <v>3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45190</v>
      </c>
      <c r="H48" s="17">
        <f ca="1">IF(PAJAK[[#This Row],[//]]="","",INDEX(INDIRECT("NOTA["&amp;PAJAK[#Headers]&amp;"]"),PAJAK[[#This Row],[//]]-2))</f>
        <v>45190</v>
      </c>
      <c r="I48" s="16" t="str">
        <f ca="1">IF(PAJAK[[#This Row],[//]]="","",INDEX(INDIRECT("NOTA["&amp;PAJAK[#Headers]&amp;"]"),PAJAK[[#This Row],[//]]-2))</f>
        <v>SA230916775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4659400</v>
      </c>
      <c r="L48" s="23">
        <f ca="1">IF(PAJAK[[#This Row],[//]]="","",SUMIF(NOTA[ID_H],PAJAK[[#This Row],[ID]],NOTA[DISC]))</f>
        <v>786273.75</v>
      </c>
      <c r="M48" s="23">
        <f ca="1">PAJAK[[#This Row],[SUB TOTAL]]-PAJAK[[#This Row],[DISKON]]</f>
        <v>3873126.25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3489302.9279279276</v>
      </c>
      <c r="P48" s="23">
        <f ca="1">PAJAK[[#This Row],[DPP]]*PAJAK[[#This Row],[PPN]]</f>
        <v>383823.32207207201</v>
      </c>
      <c r="Q48" s="23">
        <f ca="1">PAJAK[[#This Row],[DPP]]+PAJAK[[#This Row],[PPN 11%]]</f>
        <v>3873126.2499999995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468</v>
      </c>
      <c r="B49" s="15">
        <f ca="1">HYPERLINK("[NOTA_.XLSX]NOTA!c"&amp;PAJAK[[#This Row],[//]],IF(PAJAK[[#This Row],[//]]="","",INDEX(INDIRECT("NOTA["&amp;PAJAK[#Headers]&amp;"]"),PAJAK[[#This Row],[//]]-2)))</f>
        <v>79</v>
      </c>
      <c r="C49" s="15" t="str">
        <f ca="1">IF(PAJAK[[#This Row],[//]]="","",INDEX(INDIRECT("NOTA["&amp;PAJAK[#Headers]&amp;"]"),PAJAK[[#This Row],[//]]-2))</f>
        <v>ATA_2109_817-1</v>
      </c>
      <c r="D49" s="15" t="e">
        <f ca="1">MATCH(PAJAK[[#This Row],[ID]],[6]!Table1[ID],0)</f>
        <v>#REF!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45190</v>
      </c>
      <c r="H49" s="17">
        <f ca="1">IF(PAJAK[[#This Row],[//]]="","",INDEX(INDIRECT("NOTA["&amp;PAJAK[#Headers]&amp;"]"),PAJAK[[#This Row],[//]]-2))</f>
        <v>45190</v>
      </c>
      <c r="I49" s="16" t="str">
        <f ca="1">IF(PAJAK[[#This Row],[//]]="","",INDEX(INDIRECT("NOTA["&amp;PAJAK[#Headers]&amp;"]"),PAJAK[[#This Row],[//]]-2))</f>
        <v>SA230916817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2572800</v>
      </c>
      <c r="L49" s="23">
        <f ca="1">IF(PAJAK[[#This Row],[//]]="","",SUMIF(NOTA[ID_H],PAJAK[[#This Row],[ID]],NOTA[DISC]))</f>
        <v>434160</v>
      </c>
      <c r="M49" s="23">
        <f ca="1">PAJAK[[#This Row],[SUB TOTAL]]-PAJAK[[#This Row],[DISKON]]</f>
        <v>2138640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1926702.7027027025</v>
      </c>
      <c r="P49" s="23">
        <f ca="1">PAJAK[[#This Row],[DPP]]*PAJAK[[#This Row],[PPN]]</f>
        <v>211937.29729729728</v>
      </c>
      <c r="Q49" s="23">
        <f ca="1">PAJAK[[#This Row],[DPP]]+PAJAK[[#This Row],[PPN 11%]]</f>
        <v>2138640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517</v>
      </c>
      <c r="B50" s="21">
        <f ca="1">HYPERLINK("[NOTA_.XLSX]NOTA!c"&amp;PAJAK[[#This Row],[//]],IF(PAJAK[[#This Row],[//]]="","",INDEX(INDIRECT("NOTA["&amp;PAJAK[#Headers]&amp;"]"),PAJAK[[#This Row],[//]]-2)))</f>
        <v>93</v>
      </c>
      <c r="C50" s="19" t="str">
        <f ca="1">IF(PAJAK[[#This Row],[//]]="","",INDEX(INDIRECT("NOTA["&amp;PAJAK[#Headers]&amp;"]"),PAJAK[[#This Row],[//]]-2))</f>
        <v>KEN_2709_078-5</v>
      </c>
      <c r="D50" s="19" t="e">
        <f ca="1">MATCH(PAJAK[[#This Row],[ID]],[6]!Table1[ID],0)</f>
        <v>#REF!</v>
      </c>
      <c r="E50" s="20">
        <f ca="1">IF(PAJAK[[#This Row],[ID]]="","",COUNTIF(NOTA[ID_H],PAJAK[[#This Row],[ID]]))</f>
        <v>5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45196</v>
      </c>
      <c r="H50" s="17">
        <f ca="1">IF(PAJAK[[#This Row],[//]]="","",INDEX(INDIRECT("NOTA["&amp;PAJAK[#Headers]&amp;"]"),PAJAK[[#This Row],[//]]-2))</f>
        <v>45192</v>
      </c>
      <c r="I50" s="16" t="str">
        <f ca="1">IF(PAJAK[[#This Row],[//]]="","",INDEX(INDIRECT("NOTA["&amp;PAJAK[#Headers]&amp;"]"),PAJAK[[#This Row],[//]]-2))</f>
        <v>23092078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31312800</v>
      </c>
      <c r="L50" s="23">
        <f ca="1">IF(PAJAK[[#This Row],[//]]="","",SUMIF(NOTA[ID_H],PAJAK[[#This Row],[ID]],NOTA[DISC]))</f>
        <v>5323176</v>
      </c>
      <c r="M50" s="23">
        <f ca="1">PAJAK[[#This Row],[SUB TOTAL]]-PAJAK[[#This Row],[DISKON]]</f>
        <v>25989624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23414075.675675675</v>
      </c>
      <c r="P50" s="23">
        <f ca="1">PAJAK[[#This Row],[DPP]]*PAJAK[[#This Row],[PPN]]</f>
        <v>2575548.3243243243</v>
      </c>
      <c r="Q50" s="23">
        <f ca="1">PAJAK[[#This Row],[DPP]]+PAJAK[[#This Row],[PPN 11%]]</f>
        <v>25989624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523</v>
      </c>
      <c r="B51" s="22">
        <f ca="1">HYPERLINK("[NOTA_.XLSX]NOTA!c"&amp;PAJAK[[#This Row],[//]],IF(PAJAK[[#This Row],[//]]="","",INDEX(INDIRECT("NOTA["&amp;PAJAK[#Headers]&amp;"]"),PAJAK[[#This Row],[//]]-2)))</f>
        <v>94</v>
      </c>
      <c r="C51" s="15" t="str">
        <f ca="1">IF(PAJAK[[#This Row],[//]]="","",INDEX(INDIRECT("NOTA["&amp;PAJAK[#Headers]&amp;"]"),PAJAK[[#This Row],[//]]-2))</f>
        <v>KEN_2709_995-8</v>
      </c>
      <c r="D51" s="15" t="e">
        <f ca="1">MATCH(PAJAK[[#This Row],[ID]],[6]!Table1[ID],0)</f>
        <v>#REF!</v>
      </c>
      <c r="E51" s="16">
        <f ca="1">IF(PAJAK[[#This Row],[ID]]="","",COUNTIF(NOTA[ID_H],PAJAK[[#This Row],[ID]]))</f>
        <v>8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45196</v>
      </c>
      <c r="H51" s="17">
        <f ca="1">IF(PAJAK[[#This Row],[//]]="","",INDEX(INDIRECT("NOTA["&amp;PAJAK[#Headers]&amp;"]"),PAJAK[[#This Row],[//]]-2))</f>
        <v>45191</v>
      </c>
      <c r="I51" s="16" t="str">
        <f ca="1">IF(PAJAK[[#This Row],[//]]="","",INDEX(INDIRECT("NOTA["&amp;PAJAK[#Headers]&amp;"]"),PAJAK[[#This Row],[//]]-2))</f>
        <v>23091995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15589200</v>
      </c>
      <c r="L51" s="23">
        <f ca="1">IF(PAJAK[[#This Row],[//]]="","",SUMIF(NOTA[ID_H],PAJAK[[#This Row],[ID]],NOTA[DISC]))</f>
        <v>2650164</v>
      </c>
      <c r="M51" s="23">
        <f ca="1">PAJAK[[#This Row],[SUB TOTAL]]-PAJAK[[#This Row],[DISKON]]</f>
        <v>12939036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11656789.189189188</v>
      </c>
      <c r="P51" s="23">
        <f ca="1">PAJAK[[#This Row],[DPP]]*PAJAK[[#This Row],[PPN]]</f>
        <v>1282246.8108108107</v>
      </c>
      <c r="Q51" s="23">
        <f ca="1">PAJAK[[#This Row],[DPP]]+PAJAK[[#This Row],[PPN 11%]]</f>
        <v>12939035.999999998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532</v>
      </c>
      <c r="B52" s="21">
        <f ca="1">HYPERLINK("[NOTA_.XLSX]NOTA!c"&amp;PAJAK[[#This Row],[//]],IF(PAJAK[[#This Row],[//]]="","",INDEX(INDIRECT("NOTA["&amp;PAJAK[#Headers]&amp;"]"),PAJAK[[#This Row],[//]]-2)))</f>
        <v>95</v>
      </c>
      <c r="C52" s="19" t="str">
        <f ca="1">IF(PAJAK[[#This Row],[//]]="","",INDEX(INDIRECT("NOTA["&amp;PAJAK[#Headers]&amp;"]"),PAJAK[[#This Row],[//]]-2))</f>
        <v>KEN_2709_008-1</v>
      </c>
      <c r="D52" s="19" t="e">
        <f ca="1">MATCH(PAJAK[[#This Row],[ID]],[6]!Table1[ID],0)</f>
        <v>#REF!</v>
      </c>
      <c r="E52" s="20">
        <f ca="1">IF(PAJAK[[#This Row],[ID]]="","",COUNTIF(NOTA[ID_H],PAJAK[[#This Row],[ID]]))</f>
        <v>1</v>
      </c>
      <c r="F52" s="15" t="str">
        <f ca="1">IF(PAJAK[[#This Row],[//]]="","",INDEX(CONV[2],MATCH(INDEX(INDIRECT("NOTA["&amp;PAJAK[#Headers]&amp;"]"),PAJAK[[#This Row],[//]]-2),CONV[1],0),0))</f>
        <v>PT KENKO SINAR INDONESIA</v>
      </c>
      <c r="G52" s="17">
        <f ca="1">IF(PAJAK[[#This Row],[//]]="","",INDEX(NOTA[TGL_H],PAJAK[[#This Row],[//]]-2))</f>
        <v>45196</v>
      </c>
      <c r="H52" s="17">
        <f ca="1">IF(PAJAK[[#This Row],[//]]="","",INDEX(INDIRECT("NOTA["&amp;PAJAK[#Headers]&amp;"]"),PAJAK[[#This Row],[//]]-2))</f>
        <v>45191</v>
      </c>
      <c r="I52" s="16" t="str">
        <f ca="1">IF(PAJAK[[#This Row],[//]]="","",INDEX(INDIRECT("NOTA["&amp;PAJAK[#Headers]&amp;"]"),PAJAK[[#This Row],[//]]-2))</f>
        <v>23092008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11404800</v>
      </c>
      <c r="L52" s="23">
        <f ca="1">IF(PAJAK[[#This Row],[//]]="","",SUMIF(NOTA[ID_H],PAJAK[[#This Row],[ID]],NOTA[DISC]))</f>
        <v>1938816.0000000002</v>
      </c>
      <c r="M52" s="23">
        <f ca="1">PAJAK[[#This Row],[SUB TOTAL]]-PAJAK[[#This Row],[DISKON]]</f>
        <v>9465984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8527913.5135135129</v>
      </c>
      <c r="P52" s="23">
        <f ca="1">PAJAK[[#This Row],[DPP]]*PAJAK[[#This Row],[PPN]]</f>
        <v>938070.48648648639</v>
      </c>
      <c r="Q52" s="23">
        <f ca="1">PAJAK[[#This Row],[DPP]]+PAJAK[[#This Row],[PPN 11%]]</f>
        <v>9465984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534</v>
      </c>
      <c r="B53" s="21">
        <f ca="1">HYPERLINK("[NOTA_.XLSX]NOTA!c"&amp;PAJAK[[#This Row],[//]],IF(PAJAK[[#This Row],[//]]="","",INDEX(INDIRECT("NOTA["&amp;PAJAK[#Headers]&amp;"]"),PAJAK[[#This Row],[//]]-2)))</f>
        <v>96</v>
      </c>
      <c r="C53" s="19" t="str">
        <f ca="1">IF(PAJAK[[#This Row],[//]]="","",INDEX(INDIRECT("NOTA["&amp;PAJAK[#Headers]&amp;"]"),PAJAK[[#This Row],[//]]-2))</f>
        <v>ATA_2709_837-3</v>
      </c>
      <c r="D53" s="19" t="e">
        <f ca="1">MATCH(PAJAK[[#This Row],[ID]],[6]!Table1[ID],0)</f>
        <v>#REF!</v>
      </c>
      <c r="E53" s="20">
        <f ca="1">IF(PAJAK[[#This Row],[ID]]="","",COUNTIF(NOTA[ID_H],PAJAK[[#This Row],[ID]]))</f>
        <v>3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45196</v>
      </c>
      <c r="H53" s="17">
        <f ca="1">IF(PAJAK[[#This Row],[//]]="","",INDEX(INDIRECT("NOTA["&amp;PAJAK[#Headers]&amp;"]"),PAJAK[[#This Row],[//]]-2))</f>
        <v>45191</v>
      </c>
      <c r="I53" s="16" t="str">
        <f ca="1">IF(PAJAK[[#This Row],[//]]="","",INDEX(INDIRECT("NOTA["&amp;PAJAK[#Headers]&amp;"]"),PAJAK[[#This Row],[//]]-2))</f>
        <v>SA230916837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6979200</v>
      </c>
      <c r="L53" s="23">
        <f ca="1">IF(PAJAK[[#This Row],[//]]="","",SUMIF(NOTA[ID_H],PAJAK[[#This Row],[ID]],NOTA[DISC]))</f>
        <v>1177740</v>
      </c>
      <c r="M53" s="23">
        <f ca="1">PAJAK[[#This Row],[SUB TOTAL]]-PAJAK[[#This Row],[DISKON]]</f>
        <v>5801460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5226540.5405405397</v>
      </c>
      <c r="P53" s="23">
        <f ca="1">PAJAK[[#This Row],[DPP]]*PAJAK[[#This Row],[PPN]]</f>
        <v>574919.45945945941</v>
      </c>
      <c r="Q53" s="23">
        <f ca="1">PAJAK[[#This Row],[DPP]]+PAJAK[[#This Row],[PPN 11%]]</f>
        <v>5801459.9999999991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551</v>
      </c>
      <c r="B54" s="15">
        <f ca="1">HYPERLINK("[NOTA_.XLSX]NOTA!c"&amp;PAJAK[[#This Row],[//]],IF(PAJAK[[#This Row],[//]]="","",INDEX(INDIRECT("NOTA["&amp;PAJAK[#Headers]&amp;"]"),PAJAK[[#This Row],[//]]-2)))</f>
        <v>103</v>
      </c>
      <c r="C54" s="15" t="str">
        <f ca="1">IF(PAJAK[[#This Row],[//]]="","",INDEX(INDIRECT("NOTA["&amp;PAJAK[#Headers]&amp;"]"),PAJAK[[#This Row],[//]]-2))</f>
        <v>ATA_2909_941-6</v>
      </c>
      <c r="D54" s="15" t="e">
        <f ca="1">MATCH(PAJAK[[#This Row],[ID]],[6]!Table1[ID],0)</f>
        <v>#REF!</v>
      </c>
      <c r="E54" s="16">
        <f ca="1">IF(PAJAK[[#This Row],[ID]]="","",COUNTIF(NOTA[ID_H],PAJAK[[#This Row],[ID]]))</f>
        <v>6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45198</v>
      </c>
      <c r="H54" s="17">
        <f ca="1">IF(PAJAK[[#This Row],[//]]="","",INDEX(INDIRECT("NOTA["&amp;PAJAK[#Headers]&amp;"]"),PAJAK[[#This Row],[//]]-2))</f>
        <v>45192</v>
      </c>
      <c r="I54" s="16" t="str">
        <f ca="1">IF(PAJAK[[#This Row],[//]]="","",INDEX(INDIRECT("NOTA["&amp;PAJAK[#Headers]&amp;"]"),PAJAK[[#This Row],[//]]-2))</f>
        <v>SA230916941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19152000</v>
      </c>
      <c r="L54" s="23">
        <f ca="1">IF(PAJAK[[#This Row],[//]]="","",SUMIF(NOTA[ID_H],PAJAK[[#This Row],[ID]],NOTA[DISC]))</f>
        <v>3231900</v>
      </c>
      <c r="M54" s="23">
        <f ca="1">PAJAK[[#This Row],[SUB TOTAL]]-PAJAK[[#This Row],[DISKON]]</f>
        <v>15920100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14342432.432432432</v>
      </c>
      <c r="P54" s="23">
        <f ca="1">PAJAK[[#This Row],[DPP]]*PAJAK[[#This Row],[PPN]]</f>
        <v>1577667.5675675676</v>
      </c>
      <c r="Q54" s="23">
        <f ca="1">PAJAK[[#This Row],[DPP]]+PAJAK[[#This Row],[PPN 11%]]</f>
        <v>15920100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558</v>
      </c>
      <c r="B55" s="21">
        <f ca="1">HYPERLINK("[NOTA_.XLSX]NOTA!c"&amp;PAJAK[[#This Row],[//]],IF(PAJAK[[#This Row],[//]]="","",INDEX(INDIRECT("NOTA["&amp;PAJAK[#Headers]&amp;"]"),PAJAK[[#This Row],[//]]-2)))</f>
        <v>104</v>
      </c>
      <c r="C55" s="19" t="str">
        <f ca="1">IF(PAJAK[[#This Row],[//]]="","",INDEX(INDIRECT("NOTA["&amp;PAJAK[#Headers]&amp;"]"),PAJAK[[#This Row],[//]]-2))</f>
        <v>KEN_2909_171-7</v>
      </c>
      <c r="D55" s="19" t="e">
        <f ca="1">MATCH(PAJAK[[#This Row],[ID]],[6]!Table1[ID],0)</f>
        <v>#REF!</v>
      </c>
      <c r="E55" s="20">
        <f ca="1">IF(PAJAK[[#This Row],[ID]]="","",COUNTIF(NOTA[ID_H],PAJAK[[#This Row],[ID]]))</f>
        <v>7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45198</v>
      </c>
      <c r="H55" s="17">
        <f ca="1">IF(PAJAK[[#This Row],[//]]="","",INDEX(INDIRECT("NOTA["&amp;PAJAK[#Headers]&amp;"]"),PAJAK[[#This Row],[//]]-2))</f>
        <v>45194</v>
      </c>
      <c r="I55" s="16" t="str">
        <f ca="1">IF(PAJAK[[#This Row],[//]]="","",INDEX(INDIRECT("NOTA["&amp;PAJAK[#Headers]&amp;"]"),PAJAK[[#This Row],[//]]-2))</f>
        <v>23092171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122035200</v>
      </c>
      <c r="L55" s="23">
        <f ca="1">IF(PAJAK[[#This Row],[//]]="","",SUMIF(NOTA[ID_H],PAJAK[[#This Row],[ID]],NOTA[DISC]))</f>
        <v>23061684</v>
      </c>
      <c r="M55" s="23">
        <f ca="1">PAJAK[[#This Row],[SUB TOTAL]]-PAJAK[[#This Row],[DISKON]]</f>
        <v>98973516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89165329.729729727</v>
      </c>
      <c r="P55" s="23">
        <f ca="1">PAJAK[[#This Row],[DPP]]*PAJAK[[#This Row],[PPN]]</f>
        <v>9808186.2702702694</v>
      </c>
      <c r="Q55" s="23">
        <f ca="1">PAJAK[[#This Row],[DPP]]+PAJAK[[#This Row],[PPN 11%]]</f>
        <v>98973516</v>
      </c>
      <c r="R55" s="18" t="str">
        <f ca="1">IF(ISNUMBER(PAJAK[[#This Row],[//]]),PPN,"")</f>
        <v>11%</v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Row],[ID]],[6]!Table1[ID],0)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2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 t="e">
        <f ca="1">MATCH(PAJAK[[#This Row],[ID]],[6]!Table1[ID],0)</f>
        <v>#REF!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 t="e">
        <f ca="1">MATCH(PAJAK[[#This Row],[ID]],[6]!Table1[ID],0)</f>
        <v>#REF!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Row],[ID]],[6]!Table1[ID],0)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 t="e">
        <f ca="1">MATCH(PAJAK[[#This Row],[ID]],[6]!Table1[ID],0)</f>
        <v>#REF!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Row],[ID]],[6]!Table1[ID],0)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Row],[ID]],[6]!Table1[ID],0)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Row],[ID]],[6]!Table1[ID],0)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Row],[ID]],[6]!Table1[ID],0)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Row],[ID]],[6]!Table1[ID],0)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Row],[ID]],[6]!Table1[ID],0)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Row],[ID]],[6]!Table1[ID],0)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Row],[ID]],[6]!Table1[ID],0)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Row],[ID]],[6]!Table1[ID],0)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Row],[ID]],[6]!Table1[ID],0)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Row],[ID]],[6]!Table1[ID],0)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Row],[ID]],[6]!Table1[ID],0)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Row],[ID]],[6]!Table1[ID],0)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Row],[ID]],[6]!Table1[ID],0)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Row],[ID]],[6]!Table1[ID],0)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Row],[ID]],[6]!Table1[ID],0)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Row],[ID]],[6]!Table1[ID],0)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Row],[ID]],[6]!Table1[ID],0)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Row],[ID]],[6]!Table1[ID],0)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Row],[ID]],[6]!Table1[ID],0)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Row],[ID]],[6]!Table1[ID],0)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Row],[ID]],[6]!Table1[ID],0)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Row],[ID]],[6]!Table1[ID],0)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Row],[ID]],[6]!Table1[ID],0)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Row],[ID]],[6]!Table1[ID],0)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Row],[ID]],[6]!Table1[ID],0)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Row],[ID]],[6]!Table1[ID],0)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Row],[ID]],[6]!Table1[ID],0)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Row],[ID]],[6]!Table1[ID],0)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Row],[ID]],[6]!Table1[ID],0)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Row],[ID]],[6]!Table1[ID],0)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Row],[ID]],[6]!Table1[ID],0)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Row],[ID]],[6]!Table1[ID],0)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24</v>
      </c>
      <c r="F1"/>
      <c r="G1" t="str">
        <f ca="1">CELL("filename",G1)</f>
        <v>D:\kerja\BANK EXP\BARU\2023\09 SEPTEMBER\[NOTA 09 SEPTEMBER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45169</v>
      </c>
      <c r="F3" s="2">
        <f ca="1">IF(KENKO[[#This Row],[//PAJAK]]="","",INDEX(INDIRECT("PAJAK["&amp;KENKO[#Headers]&amp;"]"),KENKO[[#This Row],[//PAJAK]]-1))</f>
        <v>45170</v>
      </c>
      <c r="G3" s="9" t="str">
        <f ca="1">IF(KENKO[[#This Row],[//PAJAK]]="","",INDEX(INDIRECT("PAJAK["&amp;KENKO[#Headers]&amp;"]"),KENKO[[#This Row],[//PAJAK]]-1))</f>
        <v>23090036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14352000</v>
      </c>
      <c r="J3" s="1">
        <f ca="1">IF(KENKO[[#This Row],[//PAJAK]]="","",INDEX(INDIRECT("PAJAK["&amp;KENKO[#Headers]&amp;"]"),KENKO[[#This Row],[//PAJAK]]-1))</f>
        <v>2439840</v>
      </c>
      <c r="K3" s="1">
        <f ca="1">(KENKO[[#This Row],[SUB TOTAL]]-KENKO[[#This Row],[DISKON]])/1.11</f>
        <v>10731675.675675675</v>
      </c>
      <c r="L3" s="1">
        <f ca="1">KENKO[[#This Row],[DPP]]*11%</f>
        <v>1180484.3243243243</v>
      </c>
      <c r="M3" s="1">
        <f ca="1">KENKO[[#This Row],[DPP]]+KENKO[[#This Row],[PPN (11%)]]</f>
        <v>11912160</v>
      </c>
      <c r="N3" s="1" t="str">
        <f ca="1">INDEX(PAJAK[ID_P],MATCH(KENKO[[#This Row],[ID]],PAJAK[ID],0))</f>
        <v>KEN_3108_036-2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45174</v>
      </c>
      <c r="F4" s="2">
        <f ca="1">IF(KENKO[[#This Row],[//PAJAK]]="","",INDEX(INDIRECT("PAJAK["&amp;KENKO[#Headers]&amp;"]"),KENKO[[#This Row],[//PAJAK]]-1))</f>
        <v>45173</v>
      </c>
      <c r="G4" s="9" t="str">
        <f ca="1">IF(KENKO[[#This Row],[//PAJAK]]="","",INDEX(INDIRECT("PAJAK["&amp;KENKO[#Headers]&amp;"]"),KENKO[[#This Row],[//PAJAK]]-1))</f>
        <v>23090252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22416000</v>
      </c>
      <c r="J4" s="1">
        <f ca="1">IF(KENKO[[#This Row],[//PAJAK]]="","",INDEX(INDIRECT("PAJAK["&amp;KENKO[#Headers]&amp;"]"),KENKO[[#This Row],[//PAJAK]]-1))</f>
        <v>3810720</v>
      </c>
      <c r="K4" s="1">
        <f ca="1">(KENKO[[#This Row],[SUB TOTAL]]-KENKO[[#This Row],[DISKON]])/1.11</f>
        <v>16761513.513513513</v>
      </c>
      <c r="L4" s="1">
        <f ca="1">KENKO[[#This Row],[DPP]]*11%</f>
        <v>1843766.4864864864</v>
      </c>
      <c r="M4" s="1">
        <f ca="1">KENKO[[#This Row],[DPP]]+KENKO[[#This Row],[PPN (11%)]]</f>
        <v>18605280</v>
      </c>
      <c r="N4" s="1" t="str">
        <f ca="1">INDEX(PAJAK[ID_P],MATCH(KENKO[[#This Row],[ID]],PAJAK[ID],0))</f>
        <v>KEN_0509_252-6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13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45171</v>
      </c>
      <c r="F5" s="2">
        <f ca="1">IF(KENKO[[#This Row],[//PAJAK]]="","",INDEX(INDIRECT("PAJAK["&amp;KENKO[#Headers]&amp;"]"),KENKO[[#This Row],[//PAJAK]]-1))</f>
        <v>45170</v>
      </c>
      <c r="G5" s="9" t="str">
        <f ca="1">IF(KENKO[[#This Row],[//PAJAK]]="","",INDEX(INDIRECT("PAJAK["&amp;KENKO[#Headers]&amp;"]"),KENKO[[#This Row],[//PAJAK]]-1))</f>
        <v>23090082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25488000</v>
      </c>
      <c r="J5" s="1">
        <f ca="1">IF(KENKO[[#This Row],[//PAJAK]]="","",INDEX(INDIRECT("PAJAK["&amp;KENKO[#Headers]&amp;"]"),KENKO[[#This Row],[//PAJAK]]-1))</f>
        <v>4332960</v>
      </c>
      <c r="K5" s="1">
        <f ca="1">(KENKO[[#This Row],[SUB TOTAL]]-KENKO[[#This Row],[DISKON]])/1.11</f>
        <v>19058594.594594594</v>
      </c>
      <c r="L5" s="1">
        <f ca="1">KENKO[[#This Row],[DPP]]*11%</f>
        <v>2096445.4054054054</v>
      </c>
      <c r="M5" s="1">
        <f ca="1">KENKO[[#This Row],[DPP]]+KENKO[[#This Row],[PPN (11%)]]</f>
        <v>21155040</v>
      </c>
      <c r="N5" s="1" t="str">
        <f ca="1">INDEX(PAJAK[ID_P],MATCH(KENKO[[#This Row],[ID]],PAJAK[ID],0))</f>
        <v>KEN_0209_082-4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45171</v>
      </c>
      <c r="F6" s="2">
        <f ca="1">IF(KENKO[[#This Row],[//PAJAK]]="","",INDEX(INDIRECT("PAJAK["&amp;KENKO[#Headers]&amp;"]"),KENKO[[#This Row],[//PAJAK]]-1))</f>
        <v>45170</v>
      </c>
      <c r="G6" s="9" t="str">
        <f ca="1">IF(KENKO[[#This Row],[//PAJAK]]="","",INDEX(INDIRECT("PAJAK["&amp;KENKO[#Headers]&amp;"]"),KENKO[[#This Row],[//PAJAK]]-1))</f>
        <v>23090138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17313600</v>
      </c>
      <c r="J6" s="1">
        <f ca="1">IF(KENKO[[#This Row],[//PAJAK]]="","",INDEX(INDIRECT("PAJAK["&amp;KENKO[#Headers]&amp;"]"),KENKO[[#This Row],[//PAJAK]]-1))</f>
        <v>2943312</v>
      </c>
      <c r="K6" s="1">
        <f ca="1">(KENKO[[#This Row],[SUB TOTAL]]-KENKO[[#This Row],[DISKON]])/1.11</f>
        <v>12946205.405405404</v>
      </c>
      <c r="L6" s="1">
        <f ca="1">KENKO[[#This Row],[DPP]]*11%</f>
        <v>1424082.5945945946</v>
      </c>
      <c r="M6" s="1">
        <f ca="1">KENKO[[#This Row],[DPP]]+KENKO[[#This Row],[PPN (11%)]]</f>
        <v>14370287.999999998</v>
      </c>
      <c r="N6" s="1" t="str">
        <f ca="1">INDEX(PAJAK[ID_P],MATCH(KENKO[[#This Row],[ID]],PAJAK[ID],0))</f>
        <v>KEN_0209_138-5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45180</v>
      </c>
      <c r="F7" s="2">
        <f ca="1">IF(KENKO[[#This Row],[//PAJAK]]="","",INDEX(INDIRECT("PAJAK["&amp;KENKO[#Headers]&amp;"]"),KENKO[[#This Row],[//PAJAK]]-1))</f>
        <v>45177</v>
      </c>
      <c r="G7" s="9" t="str">
        <f ca="1">IF(KENKO[[#This Row],[//PAJAK]]="","",INDEX(INDIRECT("PAJAK["&amp;KENKO[#Headers]&amp;"]"),KENKO[[#This Row],[//PAJAK]]-1))</f>
        <v>23090701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69846600</v>
      </c>
      <c r="J7" s="1">
        <f ca="1">IF(KENKO[[#This Row],[//PAJAK]]="","",INDEX(INDIRECT("PAJAK["&amp;KENKO[#Headers]&amp;"]"),KENKO[[#This Row],[//PAJAK]]-1))</f>
        <v>12250410</v>
      </c>
      <c r="K7" s="1">
        <f ca="1">(KENKO[[#This Row],[SUB TOTAL]]-KENKO[[#This Row],[DISKON]])/1.11</f>
        <v>51888459.459459454</v>
      </c>
      <c r="L7" s="1">
        <f ca="1">KENKO[[#This Row],[DPP]]*11%</f>
        <v>5707730.5405405397</v>
      </c>
      <c r="M7" s="1">
        <f ca="1">KENKO[[#This Row],[DPP]]+KENKO[[#This Row],[PPN (11%)]]</f>
        <v>57596189.999999993</v>
      </c>
      <c r="N7" s="1" t="str">
        <f ca="1">INDEX(PAJAK[ID_P],MATCH(KENKO[[#This Row],[ID]],PAJAK[ID],0))</f>
        <v>KEN_1109_701-10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45180</v>
      </c>
      <c r="F8" s="2">
        <f ca="1">IF(KENKO[[#This Row],[//PAJAK]]="","",INDEX(INDIRECT("PAJAK["&amp;KENKO[#Headers]&amp;"]"),KENKO[[#This Row],[//PAJAK]]-1))</f>
        <v>45177</v>
      </c>
      <c r="G8" s="9" t="str">
        <f ca="1">IF(KENKO[[#This Row],[//PAJAK]]="","",INDEX(INDIRECT("PAJAK["&amp;KENKO[#Headers]&amp;"]"),KENKO[[#This Row],[//PAJAK]]-1))</f>
        <v>23090747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5750000</v>
      </c>
      <c r="J8" s="1">
        <f ca="1">IF(KENKO[[#This Row],[//PAJAK]]="","",INDEX(INDIRECT("PAJAK["&amp;KENKO[#Headers]&amp;"]"),KENKO[[#This Row],[//PAJAK]]-1))</f>
        <v>977500.00000000012</v>
      </c>
      <c r="K8" s="1">
        <f ca="1">(KENKO[[#This Row],[SUB TOTAL]]-KENKO[[#This Row],[DISKON]])/1.11</f>
        <v>4299549.5495495489</v>
      </c>
      <c r="L8" s="1">
        <f ca="1">KENKO[[#This Row],[DPP]]*11%</f>
        <v>472950.45045045036</v>
      </c>
      <c r="M8" s="1">
        <f ca="1">KENKO[[#This Row],[DPP]]+KENKO[[#This Row],[PPN (11%)]]</f>
        <v>4772499.9999999991</v>
      </c>
      <c r="N8" s="1" t="str">
        <f ca="1">INDEX(PAJAK[ID_P],MATCH(KENKO[[#This Row],[ID]],PAJAK[ID],0))</f>
        <v>KEN_1109_747-2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45181</v>
      </c>
      <c r="F9" s="2">
        <f ca="1">IF(KENKO[[#This Row],[//PAJAK]]="","",INDEX(INDIRECT("PAJAK["&amp;KENKO[#Headers]&amp;"]"),KENKO[[#This Row],[//PAJAK]]-1))</f>
        <v>45178</v>
      </c>
      <c r="G9" s="9" t="str">
        <f ca="1">IF(KENKO[[#This Row],[//PAJAK]]="","",INDEX(INDIRECT("PAJAK["&amp;KENKO[#Headers]&amp;"]"),KENKO[[#This Row],[//PAJAK]]-1))</f>
        <v>23090817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43171200</v>
      </c>
      <c r="J9" s="1">
        <f ca="1">IF(KENKO[[#This Row],[//PAJAK]]="","",INDEX(INDIRECT("PAJAK["&amp;KENKO[#Headers]&amp;"]"),KENKO[[#This Row],[//PAJAK]]-1))</f>
        <v>7339104</v>
      </c>
      <c r="K9" s="1">
        <f ca="1">(KENKO[[#This Row],[SUB TOTAL]]-KENKO[[#This Row],[DISKON]])/1.11</f>
        <v>32281167.567567565</v>
      </c>
      <c r="L9" s="1">
        <f ca="1">KENKO[[#This Row],[DPP]]*11%</f>
        <v>3550928.4324324322</v>
      </c>
      <c r="M9" s="1">
        <f ca="1">KENKO[[#This Row],[DPP]]+KENKO[[#This Row],[PPN (11%)]]</f>
        <v>35832096</v>
      </c>
      <c r="N9" s="1" t="str">
        <f ca="1">INDEX(PAJAK[ID_P],MATCH(KENKO[[#This Row],[ID]],PAJAK[ID],0))</f>
        <v>KEN_1209_817-10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45178</v>
      </c>
      <c r="F10" s="2">
        <f ca="1">IF(KENKO[[#This Row],[//PAJAK]]="","",INDEX(INDIRECT("PAJAK["&amp;KENKO[#Headers]&amp;"]"),KENKO[[#This Row],[//PAJAK]]-1))</f>
        <v>45175</v>
      </c>
      <c r="G10" s="9" t="str">
        <f ca="1">IF(KENKO[[#This Row],[//PAJAK]]="","",INDEX(INDIRECT("PAJAK["&amp;KENKO[#Headers]&amp;"]"),KENKO[[#This Row],[//PAJAK]]-1))</f>
        <v>23090463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51392400</v>
      </c>
      <c r="J10" s="1">
        <f ca="1">IF(KENKO[[#This Row],[//PAJAK]]="","",INDEX(INDIRECT("PAJAK["&amp;KENKO[#Headers]&amp;"]"),KENKO[[#This Row],[//PAJAK]]-1))</f>
        <v>8736708</v>
      </c>
      <c r="K10" s="1">
        <f ca="1">(KENKO[[#This Row],[SUB TOTAL]]-KENKO[[#This Row],[DISKON]])/1.11</f>
        <v>38428551.351351351</v>
      </c>
      <c r="L10" s="1">
        <f ca="1">KENKO[[#This Row],[DPP]]*11%</f>
        <v>4227140.6486486485</v>
      </c>
      <c r="M10" s="1">
        <f ca="1">KENKO[[#This Row],[DPP]]+KENKO[[#This Row],[PPN (11%)]]</f>
        <v>42655692</v>
      </c>
      <c r="N10" s="1" t="str">
        <f ca="1">INDEX(PAJAK[ID_P],MATCH(KENKO[[#This Row],[ID]],PAJAK[ID],0))</f>
        <v>KEN_0909_463-8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65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12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45178</v>
      </c>
      <c r="F11" s="2">
        <f ca="1">IF(KENKO[[#This Row],[//PAJAK]]="","",INDEX(INDIRECT("PAJAK["&amp;KENKO[#Headers]&amp;"]"),KENKO[[#This Row],[//PAJAK]]-1))</f>
        <v>45175</v>
      </c>
      <c r="G11" s="9" t="str">
        <f ca="1">IF(KENKO[[#This Row],[//PAJAK]]="","",INDEX(INDIRECT("PAJAK["&amp;KENKO[#Headers]&amp;"]"),KENKO[[#This Row],[//PAJAK]]-1))</f>
        <v>23090468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50478600</v>
      </c>
      <c r="J11" s="1">
        <f ca="1">IF(KENKO[[#This Row],[//PAJAK]]="","",INDEX(INDIRECT("PAJAK["&amp;KENKO[#Headers]&amp;"]"),KENKO[[#This Row],[//PAJAK]]-1))</f>
        <v>10436312.4</v>
      </c>
      <c r="K11" s="1">
        <f ca="1">(KENKO[[#This Row],[SUB TOTAL]]-KENKO[[#This Row],[DISKON]])/1.11</f>
        <v>36074132.972972974</v>
      </c>
      <c r="L11" s="1">
        <f ca="1">KENKO[[#This Row],[DPP]]*11%</f>
        <v>3968154.6270270273</v>
      </c>
      <c r="M11" s="1">
        <f ca="1">KENKO[[#This Row],[DPP]]+KENKO[[#This Row],[PPN (11%)]]</f>
        <v>40042287.600000001</v>
      </c>
      <c r="N11" s="1" t="str">
        <f ca="1">INDEX(PAJAK[ID_P],MATCH(KENKO[[#This Row],[ID]],PAJAK[ID],0))</f>
        <v>KEN_0909_468-8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74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13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45181</v>
      </c>
      <c r="F12" s="2">
        <f ca="1">IF(KENKO[[#This Row],[//PAJAK]]="","",INDEX(INDIRECT("PAJAK["&amp;KENKO[#Headers]&amp;"]"),KENKO[[#This Row],[//PAJAK]]-1))</f>
        <v>45180</v>
      </c>
      <c r="G12" s="9" t="str">
        <f ca="1">IF(KENKO[[#This Row],[//PAJAK]]="","",INDEX(INDIRECT("PAJAK["&amp;KENKO[#Headers]&amp;"]"),KENKO[[#This Row],[//PAJAK]]-1))</f>
        <v>23090971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13008000</v>
      </c>
      <c r="J12" s="1">
        <f ca="1">IF(KENKO[[#This Row],[//PAJAK]]="","",INDEX(INDIRECT("PAJAK["&amp;KENKO[#Headers]&amp;"]"),KENKO[[#This Row],[//PAJAK]]-1))</f>
        <v>2211360</v>
      </c>
      <c r="K12" s="1">
        <f ca="1">(KENKO[[#This Row],[SUB TOTAL]]-KENKO[[#This Row],[DISKON]])/1.11</f>
        <v>9726702.7027027011</v>
      </c>
      <c r="L12" s="1">
        <f ca="1">KENKO[[#This Row],[DPP]]*11%</f>
        <v>1069937.297297297</v>
      </c>
      <c r="M12" s="1">
        <f ca="1">KENKO[[#This Row],[DPP]]+KENKO[[#This Row],[PPN (11%)]]</f>
        <v>10796639.999999998</v>
      </c>
      <c r="N12" s="1" t="str">
        <f ca="1">INDEX(PAJAK[ID_P],MATCH(KENKO[[#This Row],[ID]],PAJAK[ID],0))</f>
        <v>KEN_1209_971-9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14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45181</v>
      </c>
      <c r="F13" s="2">
        <f ca="1">IF(KENKO[[#This Row],[//PAJAK]]="","",INDEX(INDIRECT("PAJAK["&amp;KENKO[#Headers]&amp;"]"),KENKO[[#This Row],[//PAJAK]]-1))</f>
        <v>45180</v>
      </c>
      <c r="G13" s="6" t="str">
        <f ca="1">IF(KENKO[[#This Row],[//PAJAK]]="","",INDEX(INDIRECT("PAJAK["&amp;KENKO[#Headers]&amp;"]"),KENKO[[#This Row],[//PAJAK]]-1))</f>
        <v>23090968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48660000</v>
      </c>
      <c r="J13" s="1">
        <f ca="1">IF(KENKO[[#This Row],[//PAJAK]]="","",INDEX(INDIRECT("PAJAK["&amp;KENKO[#Headers]&amp;"]"),KENKO[[#This Row],[//PAJAK]]-1))</f>
        <v>8272200</v>
      </c>
      <c r="K13" s="1">
        <f ca="1">(KENKO[[#This Row],[SUB TOTAL]]-KENKO[[#This Row],[DISKON]])/1.11</f>
        <v>36385405.405405402</v>
      </c>
      <c r="L13" s="1">
        <f ca="1">KENKO[[#This Row],[DPP]]*11%</f>
        <v>4002394.5945945941</v>
      </c>
      <c r="M13" s="1">
        <f ca="1">KENKO[[#This Row],[DPP]]+KENKO[[#This Row],[PPN (11%)]]</f>
        <v>40387800</v>
      </c>
      <c r="N13" s="1" t="str">
        <f ca="1">INDEX(PAJAK[ID_P],MATCH(KENKO[[#This Row],[ID]],PAJAK[ID],0))</f>
        <v>KEN_1209_968-10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15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45178</v>
      </c>
      <c r="F14" s="2">
        <f ca="1">IF(KENKO[[#This Row],[//PAJAK]]="","",INDEX(INDIRECT("PAJAK["&amp;KENKO[#Headers]&amp;"]"),KENKO[[#This Row],[//PAJAK]]-1))</f>
        <v>45176</v>
      </c>
      <c r="G14" s="6" t="str">
        <f ca="1">IF(KENKO[[#This Row],[//PAJAK]]="","",INDEX(INDIRECT("PAJAK["&amp;KENKO[#Headers]&amp;"]"),KENKO[[#This Row],[//PAJAK]]-1))</f>
        <v>23090583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33652800</v>
      </c>
      <c r="J14" s="1">
        <f ca="1">IF(KENKO[[#This Row],[//PAJAK]]="","",INDEX(INDIRECT("PAJAK["&amp;KENKO[#Headers]&amp;"]"),KENKO[[#This Row],[//PAJAK]]-1))</f>
        <v>5720976</v>
      </c>
      <c r="K14" s="1">
        <f ca="1">(KENKO[[#This Row],[SUB TOTAL]]-KENKO[[#This Row],[DISKON]])/1.11</f>
        <v>25163805.405405402</v>
      </c>
      <c r="L14" s="1">
        <f ca="1">KENKO[[#This Row],[DPP]]*11%</f>
        <v>2768018.5945945941</v>
      </c>
      <c r="M14" s="1">
        <f ca="1">KENKO[[#This Row],[DPP]]+KENKO[[#This Row],[PPN (11%)]]</f>
        <v>27931823.999999996</v>
      </c>
      <c r="N14" s="1" t="str">
        <f ca="1">INDEX(PAJAK[ID_P],MATCH(KENKO[[#This Row],[ID]],PAJAK[ID],0))</f>
        <v>KEN_0909_583-10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HYPERLINK("[NOTA_.xlsx]PAJAK!b"&amp;KENKO[[#This Row],[//PAJAK]],IF(KENKO[[#This Row],[//PAJAK]]="","",INDEX(INDIRECT("PAJAK["&amp;KENKO[#Headers]&amp;"]"),KENKO[[#This Row],[//PAJAK]]-1)))</f>
        <v>37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45183</v>
      </c>
      <c r="F15" s="2">
        <f ca="1">IF(KENKO[[#This Row],[//PAJAK]]="","",INDEX(INDIRECT("PAJAK["&amp;KENKO[#Headers]&amp;"]"),KENKO[[#This Row],[//PAJAK]]-1))</f>
        <v>45182</v>
      </c>
      <c r="G15" s="6" t="str">
        <f ca="1">IF(KENKO[[#This Row],[//PAJAK]]="","",INDEX(INDIRECT("PAJAK["&amp;KENKO[#Headers]&amp;"]"),KENKO[[#This Row],[//PAJAK]]-1))</f>
        <v>23091177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12462400</v>
      </c>
      <c r="J15" s="1">
        <f ca="1">IF(KENKO[[#This Row],[//PAJAK]]="","",INDEX(INDIRECT("PAJAK["&amp;KENKO[#Headers]&amp;"]"),KENKO[[#This Row],[//PAJAK]]-1))</f>
        <v>2118608</v>
      </c>
      <c r="K15" s="1">
        <f ca="1">(KENKO[[#This Row],[SUB TOTAL]]-KENKO[[#This Row],[DISKON]])/1.11</f>
        <v>9318731.5315315314</v>
      </c>
      <c r="L15" s="1">
        <f ca="1">KENKO[[#This Row],[DPP]]*11%</f>
        <v>1025060.4684684684</v>
      </c>
      <c r="M15" s="1">
        <f ca="1">KENKO[[#This Row],[DPP]]+KENKO[[#This Row],[PPN (11%)]]</f>
        <v>10343792</v>
      </c>
      <c r="N15" s="1" t="str">
        <f ca="1">INDEX(PAJAK[ID_P],MATCH(KENKO[[#This Row],[ID]],PAJAK[ID],0))</f>
        <v>KEN_1409_177-7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228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24</v>
      </c>
      <c r="C16" s="7">
        <f ca="1">HYPERLINK("[NOTA_.xlsx]PAJAK!b"&amp;KENKO[[#This Row],[//PAJAK]],IF(KENKO[[#This Row],[//PAJAK]]="","",INDEX(INDIRECT("PAJAK["&amp;KENKO[#Headers]&amp;"]"),KENKO[[#This Row],[//PAJAK]]-1)))</f>
        <v>38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45183</v>
      </c>
      <c r="F16" s="2">
        <f ca="1">IF(KENKO[[#This Row],[//PAJAK]]="","",INDEX(INDIRECT("PAJAK["&amp;KENKO[#Headers]&amp;"]"),KENKO[[#This Row],[//PAJAK]]-1))</f>
        <v>45181</v>
      </c>
      <c r="G16" s="9" t="str">
        <f ca="1">IF(KENKO[[#This Row],[//PAJAK]]="","",INDEX(INDIRECT("PAJAK["&amp;KENKO[#Headers]&amp;"]"),KENKO[[#This Row],[//PAJAK]]-1))</f>
        <v>23091114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15011600</v>
      </c>
      <c r="J16" s="1">
        <f ca="1">IF(KENKO[[#This Row],[//PAJAK]]="","",INDEX(INDIRECT("PAJAK["&amp;KENKO[#Headers]&amp;"]"),KENKO[[#This Row],[//PAJAK]]-1))</f>
        <v>2551972.0000000005</v>
      </c>
      <c r="K16" s="1">
        <f ca="1">(KENKO[[#This Row],[SUB TOTAL]]-KENKO[[#This Row],[DISKON]])/1.11</f>
        <v>11224890.090090089</v>
      </c>
      <c r="L16" s="1">
        <f ca="1">KENKO[[#This Row],[DPP]]*11%</f>
        <v>1234737.9099099098</v>
      </c>
      <c r="M16" s="1">
        <f ca="1">KENKO[[#This Row],[DPP]]+KENKO[[#This Row],[PPN (11%)]]</f>
        <v>12459627.999999998</v>
      </c>
      <c r="N16" s="1" t="str">
        <f ca="1">INDEX(PAJAK[ID_P],MATCH(KENKO[[#This Row],[ID]],PAJAK[ID],0))</f>
        <v>KEN_1409_114-3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HYPERLINK("[NOTA_.xlsx]PAJAK!b"&amp;KENKO[[#This Row],[//PAJAK]],IF(KENKO[[#This Row],[//PAJAK]]="","",INDEX(INDIRECT("PAJAK["&amp;KENKO[#Headers]&amp;"]"),KENKO[[#This Row],[//PAJAK]]-1)))</f>
        <v>39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45183</v>
      </c>
      <c r="F17" s="2">
        <f ca="1">IF(KENKO[[#This Row],[//PAJAK]]="","",INDEX(INDIRECT("PAJAK["&amp;KENKO[#Headers]&amp;"]"),KENKO[[#This Row],[//PAJAK]]-1))</f>
        <v>45181</v>
      </c>
      <c r="G17" s="6" t="str">
        <f ca="1">IF(KENKO[[#This Row],[//PAJAK]]="","",INDEX(INDIRECT("PAJAK["&amp;KENKO[#Headers]&amp;"]"),KENKO[[#This Row],[//PAJAK]]-1))</f>
        <v>23091140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26663600</v>
      </c>
      <c r="J17" s="1">
        <f ca="1">IF(KENKO[[#This Row],[//PAJAK]]="","",INDEX(INDIRECT("PAJAK["&amp;KENKO[#Headers]&amp;"]"),KENKO[[#This Row],[//PAJAK]]-1))</f>
        <v>4532812</v>
      </c>
      <c r="K17" s="1">
        <f ca="1">(KENKO[[#This Row],[SUB TOTAL]]-KENKO[[#This Row],[DISKON]])/1.11</f>
        <v>19937646.846846845</v>
      </c>
      <c r="L17" s="1">
        <f ca="1">KENKO[[#This Row],[DPP]]*11%</f>
        <v>2193141.1531531531</v>
      </c>
      <c r="M17" s="1">
        <f ca="1">KENKO[[#This Row],[DPP]]+KENKO[[#This Row],[PPN (11%)]]</f>
        <v>22130788</v>
      </c>
      <c r="N17" s="1" t="str">
        <f ca="1">INDEX(PAJAK[ID_P],MATCH(KENKO[[#This Row],[ID]],PAJAK[ID],0))</f>
        <v>KEN_1409_140-11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253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45185</v>
      </c>
      <c r="F18" s="2">
        <f ca="1">IF(KENKO[[#This Row],[//PAJAK]]="","",INDEX(INDIRECT("PAJAK["&amp;KENKO[#Headers]&amp;"]"),KENKO[[#This Row],[//PAJAK]]-1))</f>
        <v>45184</v>
      </c>
      <c r="G18" s="9" t="str">
        <f ca="1">IF(KENKO[[#This Row],[//PAJAK]]="","",INDEX(INDIRECT("PAJAK["&amp;KENKO[#Headers]&amp;"]"),KENKO[[#This Row],[//PAJAK]]-1))</f>
        <v>23091397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8982400</v>
      </c>
      <c r="J18" s="1">
        <f ca="1">IF(KENKO[[#This Row],[//PAJAK]]="","",INDEX(INDIRECT("PAJAK["&amp;KENKO[#Headers]&amp;"]"),KENKO[[#This Row],[//PAJAK]]-1))</f>
        <v>1527008</v>
      </c>
      <c r="K18" s="1">
        <f ca="1">(KENKO[[#This Row],[SUB TOTAL]]-KENKO[[#This Row],[DISKON]])/1.11</f>
        <v>6716569.369369369</v>
      </c>
      <c r="L18" s="1">
        <f ca="1">KENKO[[#This Row],[DPP]]*11%</f>
        <v>738822.63063063065</v>
      </c>
      <c r="M18" s="1">
        <f ca="1">KENKO[[#This Row],[DPP]]+KENKO[[#This Row],[PPN (11%)]]</f>
        <v>7455392</v>
      </c>
      <c r="N18" s="1" t="str">
        <f ca="1">INDEX(PAJAK[ID_P],MATCH(KENKO[[#This Row],[ID]],PAJAK[ID],0))</f>
        <v>KEN_1609_397-3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332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HYPERLINK("[NOTA_.xlsx]PAJAK!b"&amp;KENKO[[#This Row],[//PAJAK]],IF(KENKO[[#This Row],[//PAJAK]]="","",INDEX(INDIRECT("PAJAK["&amp;KENKO[#Headers]&amp;"]"),KENKO[[#This Row],[//PAJAK]]-1)))</f>
        <v>54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45187</v>
      </c>
      <c r="F19" s="2">
        <f ca="1">IF(KENKO[[#This Row],[//PAJAK]]="","",INDEX(INDIRECT("PAJAK["&amp;KENKO[#Headers]&amp;"]"),KENKO[[#This Row],[//PAJAK]]-1))</f>
        <v>45185</v>
      </c>
      <c r="G19" s="6" t="str">
        <f ca="1">IF(KENKO[[#This Row],[//PAJAK]]="","",INDEX(INDIRECT("PAJAK["&amp;KENKO[#Headers]&amp;"]"),KENKO[[#This Row],[//PAJAK]]-1))</f>
        <v>23091481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20883000</v>
      </c>
      <c r="J19" s="1">
        <f ca="1">IF(KENKO[[#This Row],[//PAJAK]]="","",INDEX(INDIRECT("PAJAK["&amp;KENKO[#Headers]&amp;"]"),KENKO[[#This Row],[//PAJAK]]-1))</f>
        <v>3550110</v>
      </c>
      <c r="K19" s="1">
        <f ca="1">(KENKO[[#This Row],[SUB TOTAL]]-KENKO[[#This Row],[DISKON]])/1.11</f>
        <v>15615216.216216214</v>
      </c>
      <c r="L19" s="1">
        <f ca="1">KENKO[[#This Row],[DPP]]*11%</f>
        <v>1717673.7837837834</v>
      </c>
      <c r="M19" s="1">
        <f ca="1">KENKO[[#This Row],[DPP]]+KENKO[[#This Row],[PPN (11%)]]</f>
        <v>17332889.999999996</v>
      </c>
      <c r="N19" s="1" t="str">
        <f ca="1">INDEX(PAJAK[ID_P],MATCH(KENKO[[#This Row],[ID]],PAJAK[ID],0))</f>
        <v>KEN_1809_481-7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430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43</v>
      </c>
      <c r="C20" s="7">
        <f ca="1">HYPERLINK("[NOTA_.xlsx]PAJAK!b"&amp;KENKO[[#This Row],[//PAJAK]],IF(KENKO[[#This Row],[//PAJAK]]="","",INDEX(INDIRECT("PAJAK["&amp;KENKO[#Headers]&amp;"]"),KENKO[[#This Row],[//PAJAK]]-1)))</f>
        <v>73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45190</v>
      </c>
      <c r="F20" s="2">
        <f ca="1">IF(KENKO[[#This Row],[//PAJAK]]="","",INDEX(INDIRECT("PAJAK["&amp;KENKO[#Headers]&amp;"]"),KENKO[[#This Row],[//PAJAK]]-1))</f>
        <v>45187</v>
      </c>
      <c r="G20" s="9" t="str">
        <f ca="1">IF(KENKO[[#This Row],[//PAJAK]]="","",INDEX(INDIRECT("PAJAK["&amp;KENKO[#Headers]&amp;"]"),KENKO[[#This Row],[//PAJAK]]-1))</f>
        <v>23091564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12301200</v>
      </c>
      <c r="J20" s="1">
        <f ca="1">IF(KENKO[[#This Row],[//PAJAK]]="","",INDEX(INDIRECT("PAJAK["&amp;KENKO[#Headers]&amp;"]"),KENKO[[#This Row],[//PAJAK]]-1))</f>
        <v>2091204.0000000002</v>
      </c>
      <c r="K20" s="1">
        <f ca="1">(KENKO[[#This Row],[SUB TOTAL]]-KENKO[[#This Row],[DISKON]])/1.11</f>
        <v>9198194.5945945941</v>
      </c>
      <c r="L20" s="1">
        <f ca="1">KENKO[[#This Row],[DPP]]*11%</f>
        <v>1011801.4054054053</v>
      </c>
      <c r="M20" s="1">
        <f ca="1">KENKO[[#This Row],[DPP]]+KENKO[[#This Row],[PPN (11%)]]</f>
        <v>10209996</v>
      </c>
      <c r="N20" s="1" t="str">
        <f ca="1">INDEX(PAJAK[ID_P],MATCH(KENKO[[#This Row],[ID]],PAJAK[ID],0))</f>
        <v>KEN_2109_564-2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433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44</v>
      </c>
      <c r="C21" s="7">
        <f ca="1">HYPERLINK("[NOTA_.xlsx]PAJAK!b"&amp;KENKO[[#This Row],[//PAJAK]],IF(KENKO[[#This Row],[//PAJAK]]="","",INDEX(INDIRECT("PAJAK["&amp;KENKO[#Headers]&amp;"]"),KENKO[[#This Row],[//PAJAK]]-1)))</f>
        <v>74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45190</v>
      </c>
      <c r="F21" s="2">
        <f ca="1">IF(KENKO[[#This Row],[//PAJAK]]="","",INDEX(INDIRECT("PAJAK["&amp;KENKO[#Headers]&amp;"]"),KENKO[[#This Row],[//PAJAK]]-1))</f>
        <v>45190</v>
      </c>
      <c r="G21" s="9" t="str">
        <f ca="1">IF(KENKO[[#This Row],[//PAJAK]]="","",INDEX(INDIRECT("PAJAK["&amp;KENKO[#Headers]&amp;"]"),KENKO[[#This Row],[//PAJAK]]-1))</f>
        <v>23091884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15415200</v>
      </c>
      <c r="J21" s="1">
        <f ca="1">IF(KENKO[[#This Row],[//PAJAK]]="","",INDEX(INDIRECT("PAJAK["&amp;KENKO[#Headers]&amp;"]"),KENKO[[#This Row],[//PAJAK]]-1))</f>
        <v>2620584</v>
      </c>
      <c r="K21" s="1">
        <f ca="1">(KENKO[[#This Row],[SUB TOTAL]]-KENKO[[#This Row],[DISKON]])/1.11</f>
        <v>11526681.081081079</v>
      </c>
      <c r="L21" s="1">
        <f ca="1">KENKO[[#This Row],[DPP]]*11%</f>
        <v>1267934.9189189188</v>
      </c>
      <c r="M21" s="1">
        <f ca="1">KENKO[[#This Row],[DPP]]+KENKO[[#This Row],[PPN (11%)]]</f>
        <v>12794615.999999998</v>
      </c>
      <c r="N21" s="1" t="str">
        <f ca="1">INDEX(PAJAK[ID_P],MATCH(KENKO[[#This Row],[ID]],PAJAK[ID],0))</f>
        <v>KEN_2109_884-4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438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75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45190</v>
      </c>
      <c r="F22" s="2">
        <f ca="1">IF(KENKO[[#This Row],[//PAJAK]]="","",INDEX(INDIRECT("PAJAK["&amp;KENKO[#Headers]&amp;"]"),KENKO[[#This Row],[//PAJAK]]-1))</f>
        <v>45189</v>
      </c>
      <c r="G22" s="9" t="str">
        <f ca="1">IF(KENKO[[#This Row],[//PAJAK]]="","",INDEX(INDIRECT("PAJAK["&amp;KENKO[#Headers]&amp;"]"),KENKO[[#This Row],[//PAJAK]]-1))</f>
        <v>23091769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7411200</v>
      </c>
      <c r="J22" s="1">
        <f ca="1">IF(KENKO[[#This Row],[//PAJAK]]="","",INDEX(INDIRECT("PAJAK["&amp;KENKO[#Headers]&amp;"]"),KENKO[[#This Row],[//PAJAK]]-1))</f>
        <v>1259904</v>
      </c>
      <c r="K22" s="1">
        <f ca="1">(KENKO[[#This Row],[SUB TOTAL]]-KENKO[[#This Row],[DISKON]])/1.11</f>
        <v>5541708.1081081079</v>
      </c>
      <c r="L22" s="1">
        <f ca="1">KENKO[[#This Row],[DPP]]*11%</f>
        <v>609587.89189189184</v>
      </c>
      <c r="M22" s="1">
        <f ca="1">KENKO[[#This Row],[DPP]]+KENKO[[#This Row],[PPN (11%)]]</f>
        <v>6151296</v>
      </c>
      <c r="N22" s="1" t="str">
        <f ca="1">INDEX(PAJAK[ID_P],MATCH(KENKO[[#This Row],[ID]],PAJAK[ID],0))</f>
        <v>KEN_2109_769-2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517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50</v>
      </c>
      <c r="C23" s="7">
        <f ca="1">HYPERLINK("[NOTA_.xlsx]PAJAK!b"&amp;KENKO[[#This Row],[//PAJAK]],IF(KENKO[[#This Row],[//PAJAK]]="","",INDEX(INDIRECT("PAJAK["&amp;KENKO[#Headers]&amp;"]"),KENKO[[#This Row],[//PAJAK]]-1)))</f>
        <v>93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45196</v>
      </c>
      <c r="F23" s="2">
        <f ca="1">IF(KENKO[[#This Row],[//PAJAK]]="","",INDEX(INDIRECT("PAJAK["&amp;KENKO[#Headers]&amp;"]"),KENKO[[#This Row],[//PAJAK]]-1))</f>
        <v>45192</v>
      </c>
      <c r="G23" s="9" t="str">
        <f ca="1">IF(KENKO[[#This Row],[//PAJAK]]="","",INDEX(INDIRECT("PAJAK["&amp;KENKO[#Headers]&amp;"]"),KENKO[[#This Row],[//PAJAK]]-1))</f>
        <v>23092078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31312800</v>
      </c>
      <c r="J23" s="1">
        <f ca="1">IF(KENKO[[#This Row],[//PAJAK]]="","",INDEX(INDIRECT("PAJAK["&amp;KENKO[#Headers]&amp;"]"),KENKO[[#This Row],[//PAJAK]]-1))</f>
        <v>5323176</v>
      </c>
      <c r="K23" s="1">
        <f ca="1">(KENKO[[#This Row],[SUB TOTAL]]-KENKO[[#This Row],[DISKON]])/1.11</f>
        <v>23414075.675675675</v>
      </c>
      <c r="L23" s="1">
        <f ca="1">KENKO[[#This Row],[DPP]]*11%</f>
        <v>2575548.3243243243</v>
      </c>
      <c r="M23" s="1">
        <f ca="1">KENKO[[#This Row],[DPP]]+KENKO[[#This Row],[PPN (11%)]]</f>
        <v>25989624</v>
      </c>
      <c r="N23" s="1" t="str">
        <f ca="1">INDEX(PAJAK[ID_P],MATCH(KENKO[[#This Row],[ID]],PAJAK[ID],0))</f>
        <v>KEN_2709_078-5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523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51</v>
      </c>
      <c r="C24" s="7">
        <f ca="1">HYPERLINK("[NOTA_.xlsx]PAJAK!b"&amp;KENKO[[#This Row],[//PAJAK]],IF(KENKO[[#This Row],[//PAJAK]]="","",INDEX(INDIRECT("PAJAK["&amp;KENKO[#Headers]&amp;"]"),KENKO[[#This Row],[//PAJAK]]-1)))</f>
        <v>94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45196</v>
      </c>
      <c r="F24" s="2">
        <f ca="1">IF(KENKO[[#This Row],[//PAJAK]]="","",INDEX(INDIRECT("PAJAK["&amp;KENKO[#Headers]&amp;"]"),KENKO[[#This Row],[//PAJAK]]-1))</f>
        <v>45191</v>
      </c>
      <c r="G24" s="9" t="str">
        <f ca="1">IF(KENKO[[#This Row],[//PAJAK]]="","",INDEX(INDIRECT("PAJAK["&amp;KENKO[#Headers]&amp;"]"),KENKO[[#This Row],[//PAJAK]]-1))</f>
        <v>23091995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15589200</v>
      </c>
      <c r="J24" s="1">
        <f ca="1">IF(KENKO[[#This Row],[//PAJAK]]="","",INDEX(INDIRECT("PAJAK["&amp;KENKO[#Headers]&amp;"]"),KENKO[[#This Row],[//PAJAK]]-1))</f>
        <v>2650164</v>
      </c>
      <c r="K24" s="1">
        <f ca="1">(KENKO[[#This Row],[SUB TOTAL]]-KENKO[[#This Row],[DISKON]])/1.11</f>
        <v>11656789.189189188</v>
      </c>
      <c r="L24" s="1">
        <f ca="1">KENKO[[#This Row],[DPP]]*11%</f>
        <v>1282246.8108108107</v>
      </c>
      <c r="M24" s="1">
        <f ca="1">KENKO[[#This Row],[DPP]]+KENKO[[#This Row],[PPN (11%)]]</f>
        <v>12939035.999999998</v>
      </c>
      <c r="N24" s="1" t="str">
        <f ca="1">INDEX(PAJAK[ID_P],MATCH(KENKO[[#This Row],[ID]],PAJAK[ID],0))</f>
        <v>KEN_2709_995-8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52</v>
      </c>
      <c r="C25" s="7">
        <f ca="1">HYPERLINK("[NOTA_.xlsx]PAJAK!b"&amp;KENKO[[#This Row],[//PAJAK]],IF(KENKO[[#This Row],[//PAJAK]]="","",INDEX(INDIRECT("PAJAK["&amp;KENKO[#Headers]&amp;"]"),KENKO[[#This Row],[//PAJAK]]-1)))</f>
        <v>95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45196</v>
      </c>
      <c r="F25" s="2">
        <f ca="1">IF(KENKO[[#This Row],[//PAJAK]]="","",INDEX(INDIRECT("PAJAK["&amp;KENKO[#Headers]&amp;"]"),KENKO[[#This Row],[//PAJAK]]-1))</f>
        <v>45191</v>
      </c>
      <c r="G25" s="9" t="str">
        <f ca="1">IF(KENKO[[#This Row],[//PAJAK]]="","",INDEX(INDIRECT("PAJAK["&amp;KENKO[#Headers]&amp;"]"),KENKO[[#This Row],[//PAJAK]]-1))</f>
        <v>23092008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11404800</v>
      </c>
      <c r="J25" s="1">
        <f ca="1">IF(KENKO[[#This Row],[//PAJAK]]="","",INDEX(INDIRECT("PAJAK["&amp;KENKO[#Headers]&amp;"]"),KENKO[[#This Row],[//PAJAK]]-1))</f>
        <v>1938816.0000000002</v>
      </c>
      <c r="K25" s="1">
        <f ca="1">(KENKO[[#This Row],[SUB TOTAL]]-KENKO[[#This Row],[DISKON]])/1.11</f>
        <v>8527913.5135135129</v>
      </c>
      <c r="L25" s="1">
        <f ca="1">KENKO[[#This Row],[DPP]]*11%</f>
        <v>938070.48648648639</v>
      </c>
      <c r="M25" s="1">
        <f ca="1">KENKO[[#This Row],[DPP]]+KENKO[[#This Row],[PPN (11%)]]</f>
        <v>9465984</v>
      </c>
      <c r="N25" s="1" t="str">
        <f ca="1">INDEX(PAJAK[ID_P],MATCH(KENKO[[#This Row],[ID]],PAJAK[ID],0))</f>
        <v>KEN_2709_008-1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558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104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45198</v>
      </c>
      <c r="F26" s="2">
        <f ca="1">IF(KENKO[[#This Row],[//PAJAK]]="","",INDEX(INDIRECT("PAJAK["&amp;KENKO[#Headers]&amp;"]"),KENKO[[#This Row],[//PAJAK]]-1))</f>
        <v>45194</v>
      </c>
      <c r="G26" s="9" t="str">
        <f ca="1">IF(KENKO[[#This Row],[//PAJAK]]="","",INDEX(INDIRECT("PAJAK["&amp;KENKO[#Headers]&amp;"]"),KENKO[[#This Row],[//PAJAK]]-1))</f>
        <v>23092171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122035200</v>
      </c>
      <c r="J26" s="1">
        <f ca="1">IF(KENKO[[#This Row],[//PAJAK]]="","",INDEX(INDIRECT("PAJAK["&amp;KENKO[#Headers]&amp;"]"),KENKO[[#This Row],[//PAJAK]]-1))</f>
        <v>23061684</v>
      </c>
      <c r="K26" s="1">
        <f ca="1">(KENKO[[#This Row],[SUB TOTAL]]-KENKO[[#This Row],[DISKON]])/1.11</f>
        <v>89165329.729729727</v>
      </c>
      <c r="L26" s="1">
        <f ca="1">KENKO[[#This Row],[DPP]]*11%</f>
        <v>9808186.2702702694</v>
      </c>
      <c r="M26" s="1">
        <f ca="1">KENKO[[#This Row],[DPP]]+KENKO[[#This Row],[PPN (11%)]]</f>
        <v>98973516</v>
      </c>
      <c r="N26" s="1" t="str">
        <f ca="1">INDEX(PAJAK[ID_P],MATCH(KENKO[[#This Row],[ID]],PAJAK[ID],0))</f>
        <v>KEN_2909_171-7</v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EXP\BARU\2023\09 SEPTEMBER\[NOTA 09 SEPTEMBER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453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HYPERLINK("[NOTA_.xlsx]PAJAK!b"&amp;KALINDO[[#This Row],[//PAJAK]],IF(KALINDO[[#This Row],[//PAJAK]]="","",INDEX(INDIRECT("PAJAK["&amp;KALINDO[#Headers]&amp;"]"),KALINDO[[#This Row],[//PAJAK]]-1)))</f>
        <v>77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45190</v>
      </c>
      <c r="F3" s="2">
        <f ca="1">IF(KALINDO[[#This Row],[//PAJAK]]="","",INDEX(INDIRECT("PAJAK["&amp;KALINDO[#Headers]&amp;"]"),KALINDO[[#This Row],[//PAJAK]]-1))</f>
        <v>45189</v>
      </c>
      <c r="G3" s="7" t="str">
        <f ca="1">IF(KALINDO[[#This Row],[//PAJAK]]="","",INDEX(INDIRECT("PAJAK["&amp;KALINDO[#Headers]&amp;"]"),KALINDO[[#This Row],[//PAJAK]]-1))</f>
        <v>SN23092177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33698875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30359346.846846845</v>
      </c>
      <c r="L3" s="1">
        <f ca="1">KALINDO[[#This Row],[DPP]]*11%</f>
        <v>3339528.1531531531</v>
      </c>
      <c r="M3" s="1">
        <f ca="1">KALINDO[[#This Row],[DPP]]+KALINDO[[#This Row],[PPN (11%)]]</f>
        <v>33698875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24</v>
      </c>
      <c r="F1" t="str">
        <f ca="1">MID(G1,FIND("]",G1)+1,LEN(G1)-FIND("]",G1))</f>
        <v>ATALI</v>
      </c>
      <c r="G1" s="4" t="str">
        <f ca="1">CELL("filename",G1)</f>
        <v>D:\kerja\BANK EXP\BARU\2023\09 SEPTEMBER\[NOTA 09 SEPTEMBER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16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45178</v>
      </c>
      <c r="F3" s="2">
        <f ca="1">IF(ATALI[[#This Row],[//PAJAK]]="","",INDEX(INDIRECT("PAJAK["&amp;ATALI[#Headers]&amp;"]"),ATALI[[#This Row],[//PAJAK]]-1))</f>
        <v>45175</v>
      </c>
      <c r="G3" s="7" t="str">
        <f ca="1">IF(ATALI[[#This Row],[//PAJAK]]="","",INDEX(INDIRECT("PAJAK["&amp;ATALI[#Headers]&amp;"]"),ATALI[[#This Row],[//PAJAK]]-1))</f>
        <v>SA230915860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10174500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9166216.2162162159</v>
      </c>
      <c r="L3" s="1">
        <f ca="1">ATALI[[#This Row],[DPP]]*11%</f>
        <v>1008283.7837837838</v>
      </c>
      <c r="M3" s="1">
        <f ca="1">ATALI[[#This Row],[DPP]]+ATALI[[#This Row],[PPN (11%)]]</f>
        <v>10174500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109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17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45178</v>
      </c>
      <c r="F4" s="2">
        <f ca="1">IF(ATALI[[#This Row],[//PAJAK]]="","",INDEX(INDIRECT("PAJAK["&amp;ATALI[#Headers]&amp;"]"),ATALI[[#This Row],[//PAJAK]]-1))</f>
        <v>45174</v>
      </c>
      <c r="G4" s="5" t="str">
        <f ca="1">IF(ATALI[[#This Row],[//PAJAK]]="","",INDEX(INDIRECT("PAJAK["&amp;ATALI[#Headers]&amp;"]"),ATALI[[#This Row],[//PAJAK]]-1))</f>
        <v>SA230915846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4084534.5</v>
      </c>
      <c r="J4" s="1">
        <f ca="1">IF(ATALI[[#This Row],[//PAJAK]]="","",INDEX(PAJAK[DISC DLL],ATALI[[#This Row],[//PAJAK]]-1))</f>
        <v>135432</v>
      </c>
      <c r="K4" s="1">
        <f ca="1">(ATALI[[#This Row],[SUB TOTAL]]-ATALI[[#This Row],[DISKON]])/1.11</f>
        <v>3557749.9999999995</v>
      </c>
      <c r="L4" s="1">
        <f ca="1">ATALI[[#This Row],[DPP]]*11%</f>
        <v>391352.49999999994</v>
      </c>
      <c r="M4" s="1">
        <f ca="1">ATALI[[#This Row],[DPP]]+ATALI[[#This Row],[PPN (11%)]]</f>
        <v>3949102.4999999995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114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18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45178</v>
      </c>
      <c r="F5" s="2">
        <f ca="1">IF(ATALI[[#This Row],[//PAJAK]]="","",INDEX(INDIRECT("PAJAK["&amp;ATALI[#Headers]&amp;"]"),ATALI[[#This Row],[//PAJAK]]-1))</f>
        <v>45174</v>
      </c>
      <c r="G5" s="5" t="str">
        <f ca="1">IF(ATALI[[#This Row],[//PAJAK]]="","",INDEX(INDIRECT("PAJAK["&amp;ATALI[#Headers]&amp;"]"),ATALI[[#This Row],[//PAJAK]]-1))</f>
        <v>SA230915845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14481705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13046581.081081079</v>
      </c>
      <c r="L5" s="1">
        <f ca="1">ATALI[[#This Row],[DPP]]*11%</f>
        <v>1435123.9189189188</v>
      </c>
      <c r="M5" s="1">
        <f ca="1">ATALI[[#This Row],[DPP]]+ATALI[[#This Row],[PPN (11%)]]</f>
        <v>14481704.999999998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126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45178</v>
      </c>
      <c r="F6" s="2">
        <f ca="1">IF(ATALI[[#This Row],[//PAJAK]]="","",INDEX(INDIRECT("PAJAK["&amp;ATALI[#Headers]&amp;"]"),ATALI[[#This Row],[//PAJAK]]-1))</f>
        <v>45174</v>
      </c>
      <c r="G6" s="5" t="str">
        <f ca="1">IF(ATALI[[#This Row],[//PAJAK]]="","",INDEX(INDIRECT("PAJAK["&amp;ATALI[#Headers]&amp;"]"),ATALI[[#This Row],[//PAJAK]]-1))</f>
        <v>SA230915844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32415425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29203085.585585583</v>
      </c>
      <c r="L6" s="1">
        <f ca="1">ATALI[[#This Row],[DPP]]*11%</f>
        <v>3212339.4144144142</v>
      </c>
      <c r="M6" s="1">
        <f ca="1">ATALI[[#This Row],[DPP]]+ATALI[[#This Row],[PPN (11%)]]</f>
        <v>32415424.999999996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139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20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45178</v>
      </c>
      <c r="F7" s="2">
        <f ca="1">IF(ATALI[[#This Row],[//PAJAK]]="","",INDEX(INDIRECT("PAJAK["&amp;ATALI[#Headers]&amp;"]"),ATALI[[#This Row],[//PAJAK]]-1))</f>
        <v>45174</v>
      </c>
      <c r="G7" s="5" t="str">
        <f ca="1">IF(ATALI[[#This Row],[//PAJAK]]="","",INDEX(INDIRECT("PAJAK["&amp;ATALI[#Headers]&amp;"]"),ATALI[[#This Row],[//PAJAK]]-1))</f>
        <v>SA230915843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32339553.25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29012721.846846845</v>
      </c>
      <c r="L7" s="1">
        <f ca="1">ATALI[[#This Row],[DPP]]*11%</f>
        <v>3191399.4031531531</v>
      </c>
      <c r="M7" s="1">
        <f ca="1">ATALI[[#This Row],[DPP]]+ATALI[[#This Row],[PPN (11%)]]</f>
        <v>32204121.25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21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45178</v>
      </c>
      <c r="F8" s="2">
        <f ca="1">IF(ATALI[[#This Row],[//PAJAK]]="","",INDEX(INDIRECT("PAJAK["&amp;ATALI[#Headers]&amp;"]"),ATALI[[#This Row],[//PAJAK]]-1))</f>
        <v>45175</v>
      </c>
      <c r="G8" s="5" t="str">
        <f ca="1">IF(ATALI[[#This Row],[//PAJAK]]="","",INDEX(INDIRECT("PAJAK["&amp;ATALI[#Headers]&amp;"]"),ATALI[[#This Row],[//PAJAK]]-1))</f>
        <v>SA230915894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22976415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20699472.97297297</v>
      </c>
      <c r="L8" s="1">
        <f ca="1">ATALI[[#This Row],[DPP]]*11%</f>
        <v>2276942.0270270268</v>
      </c>
      <c r="M8" s="1">
        <f ca="1">ATALI[[#This Row],[DPP]]+ATALI[[#This Row],[PPN (11%)]]</f>
        <v>22976414.999999996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22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45178</v>
      </c>
      <c r="F9" s="2">
        <f ca="1">IF(ATALI[[#This Row],[//PAJAK]]="","",INDEX(INDIRECT("PAJAK["&amp;ATALI[#Headers]&amp;"]"),ATALI[[#This Row],[//PAJAK]]-1))</f>
        <v>45175</v>
      </c>
      <c r="G9" s="5" t="str">
        <f ca="1">IF(ATALI[[#This Row],[//PAJAK]]="","",INDEX(INDIRECT("PAJAK["&amp;ATALI[#Headers]&amp;"]"),ATALI[[#This Row],[//PAJAK]]-1))</f>
        <v>SA230915895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7565040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6815351.3513513505</v>
      </c>
      <c r="L9" s="1">
        <f ca="1">ATALI[[#This Row],[DPP]]*11%</f>
        <v>749688.64864864852</v>
      </c>
      <c r="M9" s="1">
        <f ca="1">ATALI[[#This Row],[DPP]]+ATALI[[#This Row],[PPN (11%)]]</f>
        <v>7565039.9999999991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257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28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45185</v>
      </c>
      <c r="F10" s="2">
        <f ca="1">IF(ATALI[[#This Row],[//PAJAK]]="","",INDEX(INDIRECT("PAJAK["&amp;ATALI[#Headers]&amp;"]"),ATALI[[#This Row],[//PAJAK]]-1))</f>
        <v>45181</v>
      </c>
      <c r="G10" s="5" t="str">
        <f ca="1">IF(ATALI[[#This Row],[//PAJAK]]="","",INDEX(INDIRECT("PAJAK["&amp;ATALI[#Headers]&amp;"]"),ATALI[[#This Row],[//PAJAK]]-1))</f>
        <v>SA230916213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10316145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9293824.3243243229</v>
      </c>
      <c r="L10" s="1">
        <f ca="1">ATALI[[#This Row],[DPP]]*11%</f>
        <v>1022320.6756756755</v>
      </c>
      <c r="M10" s="1">
        <f ca="1">ATALI[[#This Row],[DPP]]+ATALI[[#This Row],[PPN (11%)]]</f>
        <v>10316144.999999998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262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29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45185</v>
      </c>
      <c r="F11" s="2">
        <f ca="1">IF(ATALI[[#This Row],[//PAJAK]]="","",INDEX(INDIRECT("PAJAK["&amp;ATALI[#Headers]&amp;"]"),ATALI[[#This Row],[//PAJAK]]-1))</f>
        <v>45181</v>
      </c>
      <c r="G11" s="5" t="str">
        <f ca="1">IF(ATALI[[#This Row],[//PAJAK]]="","",INDEX(INDIRECT("PAJAK["&amp;ATALI[#Headers]&amp;"]"),ATALI[[#This Row],[//PAJAK]]-1))</f>
        <v>SA230916235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26317607.75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23709556.531531528</v>
      </c>
      <c r="L11" s="1">
        <f ca="1">ATALI[[#This Row],[DPP]]*11%</f>
        <v>2608051.2184684682</v>
      </c>
      <c r="M11" s="1">
        <f ca="1">ATALI[[#This Row],[DPP]]+ATALI[[#This Row],[PPN (11%)]]</f>
        <v>26317607.749999996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274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30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45185</v>
      </c>
      <c r="F12" s="2">
        <f ca="1">IF(ATALI[[#This Row],[//PAJAK]]="","",INDEX(INDIRECT("PAJAK["&amp;ATALI[#Headers]&amp;"]"),ATALI[[#This Row],[//PAJAK]]-1))</f>
        <v>45181</v>
      </c>
      <c r="G12" s="5" t="str">
        <f ca="1">IF(ATALI[[#This Row],[//PAJAK]]="","",INDEX(INDIRECT("PAJAK["&amp;ATALI[#Headers]&amp;"]"),ATALI[[#This Row],[//PAJAK]]-1))</f>
        <v>SA230916212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31316845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28213373.873873871</v>
      </c>
      <c r="L12" s="1">
        <f ca="1">ATALI[[#This Row],[DPP]]*11%</f>
        <v>3103471.1261261259</v>
      </c>
      <c r="M12" s="1">
        <f ca="1">ATALI[[#This Row],[DPP]]+ATALI[[#This Row],[PPN (11%)]]</f>
        <v>31316844.999999996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45185</v>
      </c>
      <c r="F13" s="2">
        <f ca="1">IF(ATALI[[#This Row],[//PAJAK]]="","",INDEX(INDIRECT("PAJAK["&amp;ATALI[#Headers]&amp;"]"),ATALI[[#This Row],[//PAJAK]]-1))</f>
        <v>45182</v>
      </c>
      <c r="G13" s="5" t="str">
        <f ca="1">IF(ATALI[[#This Row],[//PAJAK]]="","",INDEX(INDIRECT("PAJAK["&amp;ATALI[#Headers]&amp;"]"),ATALI[[#This Row],[//PAJAK]]-1))</f>
        <v>SA230916290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6703200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6038918.9189189188</v>
      </c>
      <c r="L13" s="1">
        <f ca="1">ATALI[[#This Row],[DPP]]*11%</f>
        <v>664281.08108108107</v>
      </c>
      <c r="M13" s="1">
        <f ca="1">ATALI[[#This Row],[DPP]]+ATALI[[#This Row],[PPN (11%)]]</f>
        <v>6703200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33</v>
      </c>
      <c r="C14" s="12">
        <f ca="1">HYPERLINK("[NOTA_.xlsx]PAJAK!b"&amp;ATALI[[#This Row],[//PAJAK]],IF(ATALI[[#This Row],[//PAJAK]]="","",INDEX(INDIRECT("PAJAK["&amp;ATALI[#Headers]&amp;"]"),ATALI[[#This Row],[//PAJAK]]-1)))</f>
        <v>52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45187</v>
      </c>
      <c r="F14" s="2">
        <f ca="1">IF(ATALI[[#This Row],[//PAJAK]]="","",INDEX(INDIRECT("PAJAK["&amp;ATALI[#Headers]&amp;"]"),ATALI[[#This Row],[//PAJAK]]-1))</f>
        <v>45183</v>
      </c>
      <c r="G14" s="5" t="str">
        <f ca="1">IF(ATALI[[#This Row],[//PAJAK]]="","",INDEX(INDIRECT("PAJAK["&amp;ATALI[#Headers]&amp;"]"),ATALI[[#This Row],[//PAJAK]]-1))</f>
        <v>SA230916347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13828779.5</v>
      </c>
      <c r="J14" s="1">
        <f ca="1">IF(ATALI[[#This Row],[//PAJAK]]="","",INDEX(PAJAK[DISC DLL],ATALI[[#This Row],[//PAJAK]]-1))</f>
        <v>135432</v>
      </c>
      <c r="K14" s="1">
        <f ca="1">(ATALI[[#This Row],[SUB TOTAL]]-ATALI[[#This Row],[DISKON]])/1.11</f>
        <v>12336349.099099098</v>
      </c>
      <c r="L14" s="1">
        <f ca="1">ATALI[[#This Row],[DPP]]*11%</f>
        <v>1356998.4009009008</v>
      </c>
      <c r="M14" s="1">
        <f ca="1">ATALI[[#This Row],[DPP]]+ATALI[[#This Row],[PPN (11%)]]</f>
        <v>13693347.499999998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323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34</v>
      </c>
      <c r="C15" s="12">
        <f ca="1">HYPERLINK("[NOTA_.xlsx]PAJAK!b"&amp;ATALI[[#This Row],[//PAJAK]],IF(ATALI[[#This Row],[//PAJAK]]="","",INDEX(INDIRECT("PAJAK["&amp;ATALI[#Headers]&amp;"]"),ATALI[[#This Row],[//PAJAK]]-1)))</f>
        <v>53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45187</v>
      </c>
      <c r="F15" s="2">
        <f ca="1">IF(ATALI[[#This Row],[//PAJAK]]="","",INDEX(INDIRECT("PAJAK["&amp;ATALI[#Headers]&amp;"]"),ATALI[[#This Row],[//PAJAK]]-1))</f>
        <v>45183</v>
      </c>
      <c r="G15" s="5" t="str">
        <f ca="1">IF(ATALI[[#This Row],[//PAJAK]]="","",INDEX(INDIRECT("PAJAK["&amp;ATALI[#Headers]&amp;"]"),ATALI[[#This Row],[//PAJAK]]-1))</f>
        <v>SA230916381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19375938.75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17455800.675675675</v>
      </c>
      <c r="L15" s="1">
        <f ca="1">ATALI[[#This Row],[DPP]]*11%</f>
        <v>1920138.0743243243</v>
      </c>
      <c r="M15" s="1">
        <f ca="1">ATALI[[#This Row],[DPP]]+ATALI[[#This Row],[PPN (11%)]]</f>
        <v>19375938.75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340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55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45187</v>
      </c>
      <c r="F16" s="2">
        <f ca="1">IF(ATALI[[#This Row],[//PAJAK]]="","",INDEX(INDIRECT("PAJAK["&amp;ATALI[#Headers]&amp;"]"),ATALI[[#This Row],[//PAJAK]]-1))</f>
        <v>45184</v>
      </c>
      <c r="G16" s="5" t="str">
        <f ca="1">IF(ATALI[[#This Row],[//PAJAK]]="","",INDEX(INDIRECT("PAJAK["&amp;ATALI[#Headers]&amp;"]"),ATALI[[#This Row],[//PAJAK]]-1))</f>
        <v>SA230916502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11612439</v>
      </c>
      <c r="J16" s="1">
        <f ca="1">IF(ATALI[[#This Row],[//PAJAK]]="","",INDEX(PAJAK[DISC DLL],ATALI[[#This Row],[//PAJAK]]-1))</f>
        <v>270864</v>
      </c>
      <c r="K16" s="1">
        <f ca="1">(ATALI[[#This Row],[SUB TOTAL]]-ATALI[[#This Row],[DISKON]])/1.11</f>
        <v>10217635.135135135</v>
      </c>
      <c r="L16" s="1">
        <f ca="1">ATALI[[#This Row],[DPP]]*11%</f>
        <v>1123939.8648648649</v>
      </c>
      <c r="M16" s="1">
        <f ca="1">ATALI[[#This Row],[DPP]]+ATALI[[#This Row],[PPN (11%)]]</f>
        <v>11341575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344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56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45187</v>
      </c>
      <c r="F17" s="2">
        <f ca="1">IF(ATALI[[#This Row],[//PAJAK]]="","",INDEX(INDIRECT("PAJAK["&amp;ATALI[#Headers]&amp;"]"),ATALI[[#This Row],[//PAJAK]]-1))</f>
        <v>45184</v>
      </c>
      <c r="G17" s="5" t="str">
        <f ca="1">IF(ATALI[[#This Row],[//PAJAK]]="","",INDEX(INDIRECT("PAJAK["&amp;ATALI[#Headers]&amp;"]"),ATALI[[#This Row],[//PAJAK]]-1))</f>
        <v>SA230916446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9349900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8423333.3333333321</v>
      </c>
      <c r="L17" s="1">
        <f ca="1">ATALI[[#This Row],[DPP]]*11%</f>
        <v>926566.66666666651</v>
      </c>
      <c r="M17" s="1">
        <f ca="1">ATALI[[#This Row],[DPP]]+ATALI[[#This Row],[PPN (11%)]]</f>
        <v>9349899.9999999981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347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57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45187</v>
      </c>
      <c r="F18" s="2">
        <f ca="1">IF(ATALI[[#This Row],[//PAJAK]]="","",INDEX(INDIRECT("PAJAK["&amp;ATALI[#Headers]&amp;"]"),ATALI[[#This Row],[//PAJAK]]-1))</f>
        <v>45184</v>
      </c>
      <c r="G18" s="7" t="str">
        <f ca="1">IF(ATALI[[#This Row],[//PAJAK]]="","",INDEX(INDIRECT("PAJAK["&amp;ATALI[#Headers]&amp;"]"),ATALI[[#This Row],[//PAJAK]]-1))</f>
        <v>SA230916500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34457473.75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31042769.14414414</v>
      </c>
      <c r="L18" s="1">
        <f ca="1">ATALI[[#This Row],[DPP]]*11%</f>
        <v>3414704.6058558556</v>
      </c>
      <c r="M18" s="1">
        <f ca="1">ATALI[[#This Row],[DPP]]+ATALI[[#This Row],[PPN (11%)]]</f>
        <v>34457473.749999993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359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HYPERLINK("[NOTA_.xlsx]PAJAK!b"&amp;ATALI[[#This Row],[//PAJAK]],IF(ATALI[[#This Row],[//PAJAK]]="","",INDEX(INDIRECT("PAJAK["&amp;ATALI[#Headers]&amp;"]"),ATALI[[#This Row],[//PAJAK]]-1)))</f>
        <v>58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45187</v>
      </c>
      <c r="F19" s="2">
        <f ca="1">IF(ATALI[[#This Row],[//PAJAK]]="","",INDEX(INDIRECT("PAJAK["&amp;ATALI[#Headers]&amp;"]"),ATALI[[#This Row],[//PAJAK]]-1))</f>
        <v>45184</v>
      </c>
      <c r="G19" s="7" t="str">
        <f ca="1">IF(ATALI[[#This Row],[//PAJAK]]="","",INDEX(INDIRECT("PAJAK["&amp;ATALI[#Headers]&amp;"]"),ATALI[[#This Row],[//PAJAK]]-1))</f>
        <v>SA230916501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40781291.25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36739902.027027026</v>
      </c>
      <c r="L19" s="1">
        <f ca="1">ATALI[[#This Row],[DPP]]*11%</f>
        <v>4041389.2229729728</v>
      </c>
      <c r="M19" s="1">
        <f ca="1">ATALI[[#This Row],[DPP]]+ATALI[[#This Row],[PPN (11%)]]</f>
        <v>40781291.25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41</v>
      </c>
      <c r="C20" s="12">
        <f ca="1">HYPERLINK("[NOTA_.xlsx]PAJAK!b"&amp;ATALI[[#This Row],[//PAJAK]],IF(ATALI[[#This Row],[//PAJAK]]="","",INDEX(INDIRECT("PAJAK["&amp;ATALI[#Headers]&amp;"]"),ATALI[[#This Row],[//PAJAK]]-1)))</f>
        <v>71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45190</v>
      </c>
      <c r="F20" s="2">
        <f ca="1">IF(ATALI[[#This Row],[//PAJAK]]="","",INDEX(INDIRECT("PAJAK["&amp;ATALI[#Headers]&amp;"]"),ATALI[[#This Row],[//PAJAK]]-1))</f>
        <v>45187</v>
      </c>
      <c r="G20" s="7" t="str">
        <f ca="1">IF(ATALI[[#This Row],[//PAJAK]]="","",INDEX(INDIRECT("PAJAK["&amp;ATALI[#Headers]&amp;"]"),ATALI[[#This Row],[//PAJAK]]-1))</f>
        <v>SA230916629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6721155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6055094.5945945941</v>
      </c>
      <c r="L20" s="1">
        <f ca="1">ATALI[[#This Row],[DPP]]*11%</f>
        <v>666060.40540540533</v>
      </c>
      <c r="M20" s="1">
        <f ca="1">ATALI[[#This Row],[DPP]]+ATALI[[#This Row],[PPN (11%)]]</f>
        <v>6721154.9999999991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422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42</v>
      </c>
      <c r="C21" s="12">
        <f ca="1">HYPERLINK("[NOTA_.xlsx]PAJAK!b"&amp;ATALI[[#This Row],[//PAJAK]],IF(ATALI[[#This Row],[//PAJAK]]="","",INDEX(INDIRECT("PAJAK["&amp;ATALI[#Headers]&amp;"]"),ATALI[[#This Row],[//PAJAK]]-1)))</f>
        <v>72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45190</v>
      </c>
      <c r="F21" s="2">
        <f ca="1">IF(ATALI[[#This Row],[//PAJAK]]="","",INDEX(INDIRECT("PAJAK["&amp;ATALI[#Headers]&amp;"]"),ATALI[[#This Row],[//PAJAK]]-1))</f>
        <v>45187</v>
      </c>
      <c r="G21" s="7" t="str">
        <f ca="1">IF(ATALI[[#This Row],[//PAJAK]]="","",INDEX(INDIRECT("PAJAK["&amp;ATALI[#Headers]&amp;"]"),ATALI[[#This Row],[//PAJAK]]-1))</f>
        <v>SA230916590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9689985.75</v>
      </c>
      <c r="J21" s="1">
        <f ca="1">IF(ATALI[[#This Row],[//PAJAK]]="","",INDEX(PAJAK[DISC DLL],ATALI[[#This Row],[//PAJAK]]-1))</f>
        <v>135432</v>
      </c>
      <c r="K21" s="1">
        <f ca="1">(ATALI[[#This Row],[SUB TOTAL]]-ATALI[[#This Row],[DISKON]])/1.11</f>
        <v>8607706.0810810812</v>
      </c>
      <c r="L21" s="1">
        <f ca="1">ATALI[[#This Row],[DPP]]*11%</f>
        <v>946847.66891891893</v>
      </c>
      <c r="M21" s="1">
        <f ca="1">ATALI[[#This Row],[DPP]]+ATALI[[#This Row],[PPN (11%)]]</f>
        <v>9554553.75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441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46</v>
      </c>
      <c r="C22" s="12">
        <f ca="1">HYPERLINK("[NOTA_.xlsx]PAJAK!b"&amp;ATALI[[#This Row],[//PAJAK]],IF(ATALI[[#This Row],[//PAJAK]]="","",INDEX(INDIRECT("PAJAK["&amp;ATALI[#Headers]&amp;"]"),ATALI[[#This Row],[//PAJAK]]-1)))</f>
        <v>76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45190</v>
      </c>
      <c r="F22" s="2">
        <f ca="1">IF(ATALI[[#This Row],[//PAJAK]]="","",INDEX(INDIRECT("PAJAK["&amp;ATALI[#Headers]&amp;"]"),ATALI[[#This Row],[//PAJAK]]-1))</f>
        <v>45188</v>
      </c>
      <c r="G22" s="7" t="str">
        <f ca="1">IF(ATALI[[#This Row],[//PAJAK]]="","",INDEX(INDIRECT("PAJAK["&amp;ATALI[#Headers]&amp;"]"),ATALI[[#This Row],[//PAJAK]]-1))</f>
        <v>SA230916668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17893155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16119959.459459458</v>
      </c>
      <c r="L22" s="1">
        <f ca="1">ATALI[[#This Row],[DPP]]*11%</f>
        <v>1773195.5405405404</v>
      </c>
      <c r="M22" s="1">
        <f ca="1">ATALI[[#This Row],[DPP]]+ATALI[[#This Row],[PPN (11%)]]</f>
        <v>17893154.999999996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48</v>
      </c>
      <c r="C23" s="12">
        <f ca="1">HYPERLINK("[NOTA_.xlsx]PAJAK!b"&amp;ATALI[[#This Row],[//PAJAK]],IF(ATALI[[#This Row],[//PAJAK]]="","",INDEX(INDIRECT("PAJAK["&amp;ATALI[#Headers]&amp;"]"),ATALI[[#This Row],[//PAJAK]]-1)))</f>
        <v>78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45190</v>
      </c>
      <c r="F23" s="2">
        <f ca="1">IF(ATALI[[#This Row],[//PAJAK]]="","",INDEX(INDIRECT("PAJAK["&amp;ATALI[#Headers]&amp;"]"),ATALI[[#This Row],[//PAJAK]]-1))</f>
        <v>45190</v>
      </c>
      <c r="G23" s="7" t="str">
        <f ca="1">IF(ATALI[[#This Row],[//PAJAK]]="","",INDEX(INDIRECT("PAJAK["&amp;ATALI[#Headers]&amp;"]"),ATALI[[#This Row],[//PAJAK]]-1))</f>
        <v>SA230916775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3873126.25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3489302.9279279276</v>
      </c>
      <c r="L23" s="1">
        <f ca="1">ATALI[[#This Row],[DPP]]*11%</f>
        <v>383823.32207207201</v>
      </c>
      <c r="M23" s="1">
        <f ca="1">ATALI[[#This Row],[DPP]]+ATALI[[#This Row],[PPN (11%)]]</f>
        <v>3873126.2499999995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49</v>
      </c>
      <c r="C24" s="12">
        <f ca="1">HYPERLINK("[NOTA_.xlsx]PAJAK!b"&amp;ATALI[[#This Row],[//PAJAK]],IF(ATALI[[#This Row],[//PAJAK]]="","",INDEX(INDIRECT("PAJAK["&amp;ATALI[#Headers]&amp;"]"),ATALI[[#This Row],[//PAJAK]]-1)))</f>
        <v>79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45190</v>
      </c>
      <c r="F24" s="2">
        <f ca="1">IF(ATALI[[#This Row],[//PAJAK]]="","",INDEX(INDIRECT("PAJAK["&amp;ATALI[#Headers]&amp;"]"),ATALI[[#This Row],[//PAJAK]]-1))</f>
        <v>45190</v>
      </c>
      <c r="G24" s="7" t="str">
        <f ca="1">IF(ATALI[[#This Row],[//PAJAK]]="","",INDEX(INDIRECT("PAJAK["&amp;ATALI[#Headers]&amp;"]"),ATALI[[#This Row],[//PAJAK]]-1))</f>
        <v>SA230916817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2138640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1926702.7027027025</v>
      </c>
      <c r="L24" s="1">
        <f ca="1">ATALI[[#This Row],[DPP]]*11%</f>
        <v>211937.29729729728</v>
      </c>
      <c r="M24" s="1">
        <f ca="1">ATALI[[#This Row],[DPP]]+ATALI[[#This Row],[PPN (11%)]]</f>
        <v>2138640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534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96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45196</v>
      </c>
      <c r="F25" s="2">
        <f ca="1">IF(ATALI[[#This Row],[//PAJAK]]="","",INDEX(INDIRECT("PAJAK["&amp;ATALI[#Headers]&amp;"]"),ATALI[[#This Row],[//PAJAK]]-1))</f>
        <v>45191</v>
      </c>
      <c r="G25" s="7" t="str">
        <f ca="1">IF(ATALI[[#This Row],[//PAJAK]]="","",INDEX(INDIRECT("PAJAK["&amp;ATALI[#Headers]&amp;"]"),ATALI[[#This Row],[//PAJAK]]-1))</f>
        <v>SA230916837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5801460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5226540.5405405397</v>
      </c>
      <c r="L25" s="1">
        <f ca="1">ATALI[[#This Row],[DPP]]*11%</f>
        <v>574919.45945945941</v>
      </c>
      <c r="M25" s="1">
        <f ca="1">ATALI[[#This Row],[DPP]]+ATALI[[#This Row],[PPN (11%)]]</f>
        <v>5801459.9999999991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551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103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45198</v>
      </c>
      <c r="F26" s="2">
        <f ca="1">IF(ATALI[[#This Row],[//PAJAK]]="","",INDEX(INDIRECT("PAJAK["&amp;ATALI[#Headers]&amp;"]"),ATALI[[#This Row],[//PAJAK]]-1))</f>
        <v>45192</v>
      </c>
      <c r="G26" s="7" t="str">
        <f ca="1">IF(ATALI[[#This Row],[//PAJAK]]="","",INDEX(INDIRECT("PAJAK["&amp;ATALI[#Headers]&amp;"]"),ATALI[[#This Row],[//PAJAK]]-1))</f>
        <v>SA230916941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15920100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14342432.432432432</v>
      </c>
      <c r="L26" s="1">
        <f ca="1">ATALI[[#This Row],[DPP]]*11%</f>
        <v>1577667.5675675676</v>
      </c>
      <c r="M26" s="1">
        <f ca="1">ATALI[[#This Row],[DPP]]+ATALI[[#This Row],[PPN (11%)]]</f>
        <v>15920100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EXP\BARU\2023\09 SEPTEMBER\[NOTA 09 SEPTEMBER 2023.xlsx]SDI</v>
      </c>
      <c r="K1" s="25">
        <f ca="1">(400881.99*(100/11))*1.11+I3</f>
        <v>4045263.7172727278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26</v>
      </c>
      <c r="B3" s="12">
        <f ca="1">HYPERLINK("[NOTA_.xlsx]PAJAK!b"&amp;SDI[[#This Row],[//PAJAK]],IF(SDI[[#This Row],[//PAJAK]]="","",INDEX(INDIRECT("PAJAK["&amp;SDI[#Headers]&amp;"]"),SDI[[#This Row],[//PAJAK]]-1)))</f>
        <v>40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45183</v>
      </c>
      <c r="E3" s="2">
        <f ca="1">IF(SDI[[#This Row],[//PAJAK]]="","",INDEX(INDIRECT("PAJAK["&amp;SDI[#Headers]&amp;"]"),SDI[[#This Row],[//PAJAK]]-1))</f>
        <v>45181</v>
      </c>
      <c r="F3" s="14" t="str">
        <f ca="1">IF(SDI[[#This Row],[//PAJAK]]="","",INDEX(INDIRECT("PAJAK["&amp;SDI[#Headers]&amp;"]"),SDI[[#This Row],[//PAJAK]]-1))</f>
        <v>SINV99-230900000198</v>
      </c>
      <c r="G3" s="3" t="str">
        <f ca="1">IF(SDI[[#This Row],[//PAJAK]]="","",INDEX(INDIRECT("PAJAK["&amp;SDI[#Headers]&amp;"]"),SDI[[#This Row],[//PAJAK]]-1))</f>
        <v/>
      </c>
      <c r="H3" s="24">
        <f ca="1">IF(SDI[[#This Row],[//PAJAK]]="","",(INDEX(INDIRECT("PAJAK["&amp;SDI[#Headers]&amp;"]"),SDI[[#This Row],[//PAJAK]]-1))-SDI[[#This Row],[H_DISKON]])*1.11</f>
        <v>4844069.9700000007</v>
      </c>
      <c r="I3" s="24">
        <f ca="1">IF(SDI[[#This Row],[//PAJAK]]="","",SDI[[#This Row],[H_DISC DLL]])</f>
        <v>0</v>
      </c>
      <c r="J3" s="24">
        <f ca="1">(SDI[[#This Row],[SUB TOTAL]])/1.11</f>
        <v>4364027</v>
      </c>
      <c r="K3" s="24">
        <f ca="1">SDI[[#This Row],[DPP]]*11%</f>
        <v>480042.97000000003</v>
      </c>
      <c r="L3" s="24">
        <f ca="1">SDI[[#This Row],[DPP]]+SDI[[#This Row],[PPN (11%)]]</f>
        <v>4844069.97</v>
      </c>
      <c r="M3" s="24">
        <f ca="1">IF(SDI[[#This Row],[//PAJAK]]="","",INDEX(PAJAK[DISKON],SDI[[#This Row],[//PAJAK]]-1))</f>
        <v>0</v>
      </c>
      <c r="N3" s="24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EXP\BARU\2023\09 SEPTEMBER\[NOTA 09 SEPTEMBER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305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HYPERLINK("[NOTA_.xlsx]PAJAK!b"&amp;SAJ[[#This Row],[//PAJAK]],IF(SAJ[[#This Row],[//PAJAK]]="","",INDEX(INDIRECT("PAJAK["&amp;SAJ[#Headers]&amp;"]"),SAJ[[#This Row],[//PAJAK]]-1)))</f>
        <v>51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45187</v>
      </c>
      <c r="F3" s="2">
        <f ca="1">IF(SAJ[[#This Row],[//PAJAK]]="","",INDEX(INDIRECT("PAJAK["&amp;SAJ[#Headers]&amp;"]"),SAJ[[#This Row],[//PAJAK]]-1))</f>
        <v>45185</v>
      </c>
      <c r="G3" s="14" t="str">
        <f ca="1">IF(SAJ[[#This Row],[//PAJAK]]="","",INDEX(INDIRECT("PAJAK["&amp;SAJ[#Headers]&amp;"]"),SAJ[[#This Row],[//PAJAK]]-1))</f>
        <v>JL-16553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50962000</v>
      </c>
      <c r="J3" s="1">
        <f ca="1">IF(SAJ[[#This Row],[//PAJAK]]="","",INDEX(INDIRECT("PAJAK["&amp;SAJ[#Headers]&amp;"]"),SAJ[[#This Row],[//PAJAK]]-1))</f>
        <v>3567340.0000000005</v>
      </c>
      <c r="K3" s="1">
        <f ca="1">(SAJ[[#This Row],[SUB TOTAL]]-SAJ[[#This Row],[DISKON]])/1.11</f>
        <v>42697891.891891889</v>
      </c>
      <c r="L3" s="1">
        <f ca="1">SAJ[[#This Row],[DPP]]*11%</f>
        <v>4696768.1081081079</v>
      </c>
      <c r="M3" s="1">
        <f ca="1">SAJ[[#This Row],[DPP]]+SAJ[[#This Row],[PPN (11%)]]</f>
        <v>47394660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400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40</v>
      </c>
      <c r="C4" s="12">
        <f ca="1">HYPERLINK("[NOTA_.xlsx]PAJAK!b"&amp;SAJ[[#This Row],[//PAJAK]],IF(SAJ[[#This Row],[//PAJAK]]="","",INDEX(INDIRECT("PAJAK["&amp;SAJ[#Headers]&amp;"]"),SAJ[[#This Row],[//PAJAK]]-1)))</f>
        <v>67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45189</v>
      </c>
      <c r="F4" s="2">
        <f ca="1">IF(SAJ[[#This Row],[//PAJAK]]="","",INDEX(INDIRECT("PAJAK["&amp;SAJ[#Headers]&amp;"]"),SAJ[[#This Row],[//PAJAK]]-1))</f>
        <v>45185</v>
      </c>
      <c r="G4" t="str">
        <f ca="1">IF(SAJ[[#This Row],[//PAJAK]]="","",INDEX(INDIRECT("PAJAK["&amp;SAJ[#Headers]&amp;"]"),SAJ[[#This Row],[//PAJAK]]-1))</f>
        <v>JL-16554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48856000</v>
      </c>
      <c r="J4" s="1">
        <f ca="1">IF(SAJ[[#This Row],[//PAJAK]]="","",INDEX(INDIRECT("PAJAK["&amp;SAJ[#Headers]&amp;"]"),SAJ[[#This Row],[//PAJAK]]-1))</f>
        <v>3419920</v>
      </c>
      <c r="K4" s="1">
        <f ca="1">(SAJ[[#This Row],[SUB TOTAL]]-SAJ[[#This Row],[DISKON]])/1.11</f>
        <v>40933405.405405402</v>
      </c>
      <c r="L4" s="1">
        <f ca="1">SAJ[[#This Row],[DPP]]*11%</f>
        <v>4502674.5945945941</v>
      </c>
      <c r="M4" s="1">
        <f ca="1">SAJ[[#This Row],[DPP]]+SAJ[[#This Row],[PPN (11%)]]</f>
        <v>45436080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24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45178</v>
      </c>
      <c r="F3" s="2" t="str">
        <f ca="1">IF(MGN[[#This Row],[//PAJAK]]="","",INDEX(INDIRECT("PAJAK["&amp;MGN[#Headers]&amp;"]"),MGN[[#This Row],[//PAJAK]]-1))</f>
        <v>0709/2023</v>
      </c>
      <c r="G3" s="14" t="str">
        <f ca="1">IF(MGN[[#This Row],[//PAJAK]]="","",INDEX(INDIRECT("PAJAK["&amp;MGN[#Headers]&amp;"]"),MGN[[#This Row],[//PAJAK]]-1))</f>
        <v>L109035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2023-09-30T07:42:11Z</dcterms:modified>
</cp:coreProperties>
</file>