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SAJ" sheetId="7" r:id="rId6"/>
    <sheet name="SDI" sheetId="9" r:id="rId7"/>
    <sheet name="MGN" sheetId="8" r:id="rId8"/>
    <sheet name="LIE" sheetId="10" r:id="rId9"/>
    <sheet name="var" sheetId="2" r:id="rId10"/>
  </sheets>
  <externalReferences>
    <externalReference r:id="rId11"/>
    <externalReference r:id="rId12"/>
    <externalReference r:id="rId13"/>
    <externalReference r:id="rId14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182" i="3" l="1"/>
  <c r="D182" i="3" s="1"/>
  <c r="B184" i="3"/>
  <c r="G184" i="3" s="1"/>
  <c r="B192" i="3"/>
  <c r="G192" i="3" s="1"/>
  <c r="G182" i="3" l="1"/>
  <c r="I182" i="3"/>
  <c r="C192" i="3"/>
  <c r="H192" i="3"/>
  <c r="C184" i="3"/>
  <c r="H184" i="3"/>
  <c r="I192" i="3"/>
  <c r="D192" i="3"/>
  <c r="I184" i="3"/>
  <c r="D184" i="3"/>
  <c r="C182" i="3"/>
  <c r="H182" i="3"/>
  <c r="B207" i="3"/>
  <c r="C207" i="3" s="1"/>
  <c r="B208" i="3"/>
  <c r="G208" i="3" s="1"/>
  <c r="B209" i="3"/>
  <c r="C209" i="3" s="1"/>
  <c r="B210" i="3"/>
  <c r="D210" i="3" s="1"/>
  <c r="B211" i="3"/>
  <c r="C211" i="3" s="1"/>
  <c r="B212" i="3"/>
  <c r="G212" i="3" s="1"/>
  <c r="B213" i="3"/>
  <c r="C213" i="3" s="1"/>
  <c r="B214" i="3"/>
  <c r="D214" i="3" s="1"/>
  <c r="B215" i="3"/>
  <c r="C215" i="3" s="1"/>
  <c r="B216" i="3"/>
  <c r="G216" i="3" s="1"/>
  <c r="B217" i="3"/>
  <c r="C217" i="3" s="1"/>
  <c r="B196" i="3"/>
  <c r="C196" i="3" s="1"/>
  <c r="B197" i="3"/>
  <c r="C197" i="3" s="1"/>
  <c r="B198" i="3"/>
  <c r="C198" i="3" s="1"/>
  <c r="B199" i="3"/>
  <c r="C199" i="3" s="1"/>
  <c r="B200" i="3"/>
  <c r="C200" i="3" s="1"/>
  <c r="B201" i="3"/>
  <c r="C201" i="3" s="1"/>
  <c r="B202" i="3"/>
  <c r="C202" i="3" s="1"/>
  <c r="B203" i="3"/>
  <c r="C203" i="3" s="1"/>
  <c r="B204" i="3"/>
  <c r="C204" i="3" s="1"/>
  <c r="B205" i="3"/>
  <c r="C205" i="3" s="1"/>
  <c r="H207" i="3" l="1"/>
  <c r="H209" i="3"/>
  <c r="H200" i="3"/>
  <c r="H211" i="3"/>
  <c r="D209" i="3"/>
  <c r="D207" i="3"/>
  <c r="H204" i="3"/>
  <c r="H196" i="3"/>
  <c r="H215" i="3"/>
  <c r="D204" i="3"/>
  <c r="G203" i="3"/>
  <c r="H202" i="3"/>
  <c r="D200" i="3"/>
  <c r="G199" i="3"/>
  <c r="H198" i="3"/>
  <c r="D196" i="3"/>
  <c r="G217" i="3"/>
  <c r="D215" i="3"/>
  <c r="G214" i="3"/>
  <c r="H213" i="3"/>
  <c r="G205" i="3"/>
  <c r="D202" i="3"/>
  <c r="G201" i="3"/>
  <c r="D198" i="3"/>
  <c r="G197" i="3"/>
  <c r="D213" i="3"/>
  <c r="D211" i="3"/>
  <c r="G210" i="3"/>
  <c r="I205" i="3"/>
  <c r="D205" i="3"/>
  <c r="I204" i="3"/>
  <c r="G204" i="3"/>
  <c r="I203" i="3"/>
  <c r="D203" i="3"/>
  <c r="I202" i="3"/>
  <c r="G202" i="3"/>
  <c r="I201" i="3"/>
  <c r="D201" i="3"/>
  <c r="I200" i="3"/>
  <c r="G200" i="3"/>
  <c r="I199" i="3"/>
  <c r="D199" i="3"/>
  <c r="I198" i="3"/>
  <c r="G198" i="3"/>
  <c r="I197" i="3"/>
  <c r="D197" i="3"/>
  <c r="I196" i="3"/>
  <c r="G196" i="3"/>
  <c r="I217" i="3"/>
  <c r="D217" i="3"/>
  <c r="I215" i="3"/>
  <c r="G215" i="3"/>
  <c r="I214" i="3"/>
  <c r="I213" i="3"/>
  <c r="G213" i="3"/>
  <c r="I211" i="3"/>
  <c r="G211" i="3"/>
  <c r="I210" i="3"/>
  <c r="I209" i="3"/>
  <c r="G209" i="3"/>
  <c r="I207" i="3"/>
  <c r="G207" i="3"/>
  <c r="C216" i="3"/>
  <c r="H216" i="3"/>
  <c r="C212" i="3"/>
  <c r="H212" i="3"/>
  <c r="C208" i="3"/>
  <c r="H208" i="3"/>
  <c r="H217" i="3"/>
  <c r="I216" i="3"/>
  <c r="D216" i="3"/>
  <c r="C214" i="3"/>
  <c r="H214" i="3"/>
  <c r="I212" i="3"/>
  <c r="D212" i="3"/>
  <c r="C210" i="3"/>
  <c r="H210" i="3"/>
  <c r="I208" i="3"/>
  <c r="D208" i="3"/>
  <c r="H205" i="3"/>
  <c r="H203" i="3"/>
  <c r="H201" i="3"/>
  <c r="H199" i="3"/>
  <c r="H197" i="3"/>
  <c r="B229" i="3"/>
  <c r="C229" i="3" s="1"/>
  <c r="B230" i="3"/>
  <c r="C230" i="3" s="1"/>
  <c r="B231" i="3"/>
  <c r="C231" i="3" s="1"/>
  <c r="B232" i="3"/>
  <c r="C232" i="3" s="1"/>
  <c r="B227" i="3"/>
  <c r="H227" i="3" s="1"/>
  <c r="B219" i="3"/>
  <c r="C219" i="3" s="1"/>
  <c r="B220" i="3"/>
  <c r="G220" i="3" s="1"/>
  <c r="B221" i="3"/>
  <c r="C221" i="3" s="1"/>
  <c r="B222" i="3"/>
  <c r="B223" i="3"/>
  <c r="B224" i="3"/>
  <c r="G224" i="3" s="1"/>
  <c r="H229" i="3" l="1"/>
  <c r="G232" i="3"/>
  <c r="H231" i="3"/>
  <c r="D229" i="3"/>
  <c r="H221" i="3"/>
  <c r="D231" i="3"/>
  <c r="G230" i="3"/>
  <c r="H219" i="3"/>
  <c r="D221" i="3"/>
  <c r="D219" i="3"/>
  <c r="D227" i="3"/>
  <c r="I232" i="3"/>
  <c r="D232" i="3"/>
  <c r="I231" i="3"/>
  <c r="G231" i="3"/>
  <c r="I230" i="3"/>
  <c r="D230" i="3"/>
  <c r="I229" i="3"/>
  <c r="G229" i="3"/>
  <c r="C223" i="3"/>
  <c r="D223" i="3"/>
  <c r="H223" i="3"/>
  <c r="D222" i="3"/>
  <c r="G222" i="3"/>
  <c r="C227" i="3"/>
  <c r="G227" i="3"/>
  <c r="I227" i="3"/>
  <c r="H232" i="3"/>
  <c r="H230" i="3"/>
  <c r="I223" i="3"/>
  <c r="G223" i="3"/>
  <c r="I222" i="3"/>
  <c r="I221" i="3"/>
  <c r="G221" i="3"/>
  <c r="I219" i="3"/>
  <c r="G219" i="3"/>
  <c r="C224" i="3"/>
  <c r="H224" i="3"/>
  <c r="C220" i="3"/>
  <c r="H220" i="3"/>
  <c r="I224" i="3"/>
  <c r="D224" i="3"/>
  <c r="C222" i="3"/>
  <c r="H222" i="3"/>
  <c r="I220" i="3"/>
  <c r="D220" i="3"/>
  <c r="B209" i="4"/>
  <c r="C209" i="4" s="1"/>
  <c r="K209" i="4"/>
  <c r="B202" i="4"/>
  <c r="C202" i="4" s="1"/>
  <c r="K202" i="4"/>
  <c r="B203" i="4"/>
  <c r="C203" i="4" s="1"/>
  <c r="K203" i="4"/>
  <c r="B204" i="4"/>
  <c r="C204" i="4" s="1"/>
  <c r="K204" i="4"/>
  <c r="B205" i="4"/>
  <c r="C205" i="4" s="1"/>
  <c r="K205" i="4"/>
  <c r="B206" i="4"/>
  <c r="C206" i="4" s="1"/>
  <c r="K206" i="4"/>
  <c r="B207" i="4"/>
  <c r="C207" i="4" s="1"/>
  <c r="K207" i="4"/>
  <c r="B208" i="4"/>
  <c r="C208" i="4" s="1"/>
  <c r="K208" i="4"/>
  <c r="H209" i="4" l="1"/>
  <c r="H206" i="4"/>
  <c r="D209" i="4"/>
  <c r="G207" i="4"/>
  <c r="I209" i="4"/>
  <c r="G209" i="4"/>
  <c r="I207" i="4"/>
  <c r="D207" i="4"/>
  <c r="D206" i="4"/>
  <c r="G203" i="4"/>
  <c r="H204" i="4"/>
  <c r="H202" i="4"/>
  <c r="H208" i="4"/>
  <c r="G205" i="4"/>
  <c r="I203" i="4"/>
  <c r="D203" i="4"/>
  <c r="D202" i="4"/>
  <c r="D208" i="4"/>
  <c r="I205" i="4"/>
  <c r="D205" i="4"/>
  <c r="D204" i="4"/>
  <c r="I208" i="4"/>
  <c r="G208" i="4"/>
  <c r="I206" i="4"/>
  <c r="G206" i="4"/>
  <c r="I204" i="4"/>
  <c r="G204" i="4"/>
  <c r="I202" i="4"/>
  <c r="G202" i="4"/>
  <c r="H207" i="4"/>
  <c r="H205" i="4"/>
  <c r="H203" i="4"/>
  <c r="B4" i="7"/>
  <c r="C4" i="7" s="1"/>
  <c r="B5" i="7"/>
  <c r="B6" i="7"/>
  <c r="H6" i="7" s="1"/>
  <c r="B7" i="7"/>
  <c r="G7" i="7" s="1"/>
  <c r="B8" i="7"/>
  <c r="D8" i="7" s="1"/>
  <c r="B9" i="7"/>
  <c r="H9" i="7" s="1"/>
  <c r="B10" i="7"/>
  <c r="D10" i="7" s="1"/>
  <c r="B11" i="7"/>
  <c r="H11" i="7" s="1"/>
  <c r="B12" i="7"/>
  <c r="D12" i="7" s="1"/>
  <c r="B13" i="7"/>
  <c r="H13" i="7" s="1"/>
  <c r="B14" i="7"/>
  <c r="D14" i="7" s="1"/>
  <c r="B15" i="7"/>
  <c r="H15" i="7" s="1"/>
  <c r="B16" i="7"/>
  <c r="D16" i="7" s="1"/>
  <c r="B17" i="7"/>
  <c r="D17" i="7" s="1"/>
  <c r="B18" i="7"/>
  <c r="D18" i="7" s="1"/>
  <c r="B19" i="7"/>
  <c r="D19" i="7" s="1"/>
  <c r="B20" i="7"/>
  <c r="D20" i="7" s="1"/>
  <c r="B21" i="7"/>
  <c r="D21" i="7" s="1"/>
  <c r="H4" i="7" l="1"/>
  <c r="H17" i="7"/>
  <c r="H12" i="7"/>
  <c r="H8" i="7"/>
  <c r="H20" i="7"/>
  <c r="H19" i="7"/>
  <c r="H16" i="7"/>
  <c r="H14" i="7"/>
  <c r="H10" i="7"/>
  <c r="D4" i="7"/>
  <c r="H18" i="7"/>
  <c r="I21" i="7"/>
  <c r="G21" i="7"/>
  <c r="C21" i="7"/>
  <c r="I20" i="7"/>
  <c r="C19" i="7"/>
  <c r="G19" i="7"/>
  <c r="I19" i="7"/>
  <c r="C17" i="7"/>
  <c r="G17" i="7"/>
  <c r="I17" i="7"/>
  <c r="H21" i="7"/>
  <c r="C20" i="7"/>
  <c r="G20" i="7"/>
  <c r="C18" i="7"/>
  <c r="G18" i="7"/>
  <c r="I18" i="7"/>
  <c r="C16" i="7"/>
  <c r="G16" i="7"/>
  <c r="I16" i="7"/>
  <c r="C15" i="7"/>
  <c r="G15" i="7"/>
  <c r="I15" i="7"/>
  <c r="C13" i="7"/>
  <c r="G13" i="7"/>
  <c r="I13" i="7"/>
  <c r="C11" i="7"/>
  <c r="G11" i="7"/>
  <c r="I11" i="7"/>
  <c r="C9" i="7"/>
  <c r="G9" i="7"/>
  <c r="I9" i="7"/>
  <c r="C6" i="7"/>
  <c r="G6" i="7"/>
  <c r="I6" i="7"/>
  <c r="C5" i="7"/>
  <c r="D5" i="7"/>
  <c r="I5" i="7"/>
  <c r="D15" i="7"/>
  <c r="C14" i="7"/>
  <c r="G14" i="7"/>
  <c r="I14" i="7"/>
  <c r="D13" i="7"/>
  <c r="C12" i="7"/>
  <c r="G12" i="7"/>
  <c r="I12" i="7"/>
  <c r="D11" i="7"/>
  <c r="C10" i="7"/>
  <c r="G10" i="7"/>
  <c r="I10" i="7"/>
  <c r="D9" i="7"/>
  <c r="C8" i="7"/>
  <c r="G8" i="7"/>
  <c r="I8" i="7"/>
  <c r="C7" i="7"/>
  <c r="D7" i="7"/>
  <c r="I7" i="7"/>
  <c r="D6" i="7"/>
  <c r="G5" i="7"/>
  <c r="I4" i="7"/>
  <c r="G4" i="7"/>
  <c r="H7" i="7"/>
  <c r="H5" i="7"/>
  <c r="B134" i="3" l="1"/>
  <c r="C134" i="3" s="1"/>
  <c r="B135" i="3"/>
  <c r="G135" i="3" s="1"/>
  <c r="B136" i="3"/>
  <c r="C136" i="3" s="1"/>
  <c r="B137" i="3"/>
  <c r="D137" i="3" s="1"/>
  <c r="B138" i="3"/>
  <c r="C138" i="3" s="1"/>
  <c r="B139" i="3"/>
  <c r="D139" i="3" s="1"/>
  <c r="B140" i="3"/>
  <c r="C140" i="3" s="1"/>
  <c r="B141" i="3"/>
  <c r="D141" i="3" s="1"/>
  <c r="B142" i="3"/>
  <c r="C142" i="3" s="1"/>
  <c r="B143" i="3"/>
  <c r="D143" i="3" s="1"/>
  <c r="B144" i="3"/>
  <c r="C144" i="3" s="1"/>
  <c r="B145" i="3"/>
  <c r="D145" i="3" s="1"/>
  <c r="B147" i="3"/>
  <c r="D147" i="3" s="1"/>
  <c r="B148" i="3"/>
  <c r="G148" i="3" s="1"/>
  <c r="B149" i="3"/>
  <c r="D149" i="3" s="1"/>
  <c r="B150" i="3"/>
  <c r="C150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D156" i="3" s="1"/>
  <c r="B158" i="3"/>
  <c r="C158" i="3" s="1"/>
  <c r="B159" i="3"/>
  <c r="C159" i="3" s="1"/>
  <c r="B160" i="3"/>
  <c r="C160" i="3" s="1"/>
  <c r="B162" i="3"/>
  <c r="C162" i="3" s="1"/>
  <c r="B163" i="3"/>
  <c r="B164" i="3"/>
  <c r="H164" i="3" s="1"/>
  <c r="B166" i="3"/>
  <c r="C166" i="3" s="1"/>
  <c r="B167" i="3"/>
  <c r="C167" i="3" s="1"/>
  <c r="B169" i="3"/>
  <c r="C169" i="3" s="1"/>
  <c r="B170" i="3"/>
  <c r="C170" i="3" s="1"/>
  <c r="B171" i="3"/>
  <c r="C171" i="3" s="1"/>
  <c r="B173" i="3"/>
  <c r="C173" i="3" s="1"/>
  <c r="B156" i="4"/>
  <c r="C156" i="4" s="1"/>
  <c r="K156" i="4"/>
  <c r="B157" i="4"/>
  <c r="D157" i="4" s="1"/>
  <c r="K157" i="4"/>
  <c r="B158" i="4"/>
  <c r="C158" i="4" s="1"/>
  <c r="K158" i="4"/>
  <c r="B159" i="4"/>
  <c r="D159" i="4" s="1"/>
  <c r="K159" i="4"/>
  <c r="B160" i="4"/>
  <c r="C160" i="4" s="1"/>
  <c r="K160" i="4"/>
  <c r="B161" i="4"/>
  <c r="D161" i="4" s="1"/>
  <c r="K161" i="4"/>
  <c r="B162" i="4"/>
  <c r="C162" i="4" s="1"/>
  <c r="K162" i="4"/>
  <c r="B163" i="4"/>
  <c r="D163" i="4" s="1"/>
  <c r="K163" i="4"/>
  <c r="B164" i="4"/>
  <c r="C164" i="4" s="1"/>
  <c r="K164" i="4"/>
  <c r="B165" i="4"/>
  <c r="D165" i="4" s="1"/>
  <c r="K165" i="4"/>
  <c r="B167" i="4"/>
  <c r="C167" i="4" s="1"/>
  <c r="K167" i="4"/>
  <c r="B168" i="4"/>
  <c r="C168" i="4" s="1"/>
  <c r="K168" i="4"/>
  <c r="B169" i="4"/>
  <c r="C169" i="4" s="1"/>
  <c r="K169" i="4"/>
  <c r="B171" i="4"/>
  <c r="C171" i="4" s="1"/>
  <c r="K171" i="4"/>
  <c r="B172" i="4"/>
  <c r="D172" i="4" s="1"/>
  <c r="K172" i="4"/>
  <c r="B173" i="4"/>
  <c r="C173" i="4" s="1"/>
  <c r="K173" i="4"/>
  <c r="B174" i="4"/>
  <c r="D174" i="4" s="1"/>
  <c r="K174" i="4"/>
  <c r="B175" i="4"/>
  <c r="C175" i="4" s="1"/>
  <c r="K175" i="4"/>
  <c r="B176" i="4"/>
  <c r="D176" i="4" s="1"/>
  <c r="K176" i="4"/>
  <c r="B177" i="4"/>
  <c r="C177" i="4" s="1"/>
  <c r="K177" i="4"/>
  <c r="B178" i="4"/>
  <c r="D178" i="4" s="1"/>
  <c r="K178" i="4"/>
  <c r="B179" i="4"/>
  <c r="C179" i="4" s="1"/>
  <c r="K179" i="4"/>
  <c r="B180" i="4"/>
  <c r="D180" i="4" s="1"/>
  <c r="K180" i="4"/>
  <c r="B182" i="4"/>
  <c r="C182" i="4" s="1"/>
  <c r="K182" i="4"/>
  <c r="B183" i="4"/>
  <c r="D183" i="4" s="1"/>
  <c r="K183" i="4"/>
  <c r="B184" i="4"/>
  <c r="C184" i="4" s="1"/>
  <c r="K184" i="4"/>
  <c r="B185" i="4"/>
  <c r="D185" i="4" s="1"/>
  <c r="K185" i="4"/>
  <c r="B186" i="4"/>
  <c r="C186" i="4" s="1"/>
  <c r="K186" i="4"/>
  <c r="B187" i="4"/>
  <c r="D187" i="4" s="1"/>
  <c r="K187" i="4"/>
  <c r="B188" i="4"/>
  <c r="C188" i="4" s="1"/>
  <c r="K188" i="4"/>
  <c r="B189" i="4"/>
  <c r="D189" i="4" s="1"/>
  <c r="K189" i="4"/>
  <c r="B190" i="4"/>
  <c r="C190" i="4" s="1"/>
  <c r="K190" i="4"/>
  <c r="B191" i="4"/>
  <c r="D191" i="4" s="1"/>
  <c r="K191" i="4"/>
  <c r="B193" i="4"/>
  <c r="C193" i="4" s="1"/>
  <c r="K193" i="4"/>
  <c r="B194" i="4"/>
  <c r="C194" i="4" s="1"/>
  <c r="K194" i="4"/>
  <c r="B195" i="4"/>
  <c r="C195" i="4" s="1"/>
  <c r="K195" i="4"/>
  <c r="B196" i="4"/>
  <c r="C196" i="4" s="1"/>
  <c r="K196" i="4"/>
  <c r="H144" i="3" l="1"/>
  <c r="H158" i="3"/>
  <c r="H164" i="4"/>
  <c r="H134" i="3"/>
  <c r="H158" i="4"/>
  <c r="H153" i="3"/>
  <c r="H138" i="3"/>
  <c r="H179" i="4"/>
  <c r="H160" i="4"/>
  <c r="H169" i="3"/>
  <c r="H162" i="3"/>
  <c r="H160" i="3"/>
  <c r="D158" i="3"/>
  <c r="G156" i="3"/>
  <c r="H155" i="3"/>
  <c r="D153" i="3"/>
  <c r="G152" i="3"/>
  <c r="H151" i="3"/>
  <c r="D144" i="3"/>
  <c r="G143" i="3"/>
  <c r="H142" i="3"/>
  <c r="H136" i="3"/>
  <c r="H190" i="4"/>
  <c r="H171" i="4"/>
  <c r="H162" i="4"/>
  <c r="D160" i="4"/>
  <c r="H156" i="4"/>
  <c r="H140" i="3"/>
  <c r="D138" i="3"/>
  <c r="D136" i="3"/>
  <c r="G180" i="4"/>
  <c r="D134" i="3"/>
  <c r="I180" i="4"/>
  <c r="D179" i="4"/>
  <c r="H167" i="4"/>
  <c r="D164" i="4"/>
  <c r="I160" i="4"/>
  <c r="G160" i="4"/>
  <c r="D158" i="4"/>
  <c r="D156" i="4"/>
  <c r="D160" i="3"/>
  <c r="G159" i="3"/>
  <c r="D155" i="3"/>
  <c r="G154" i="3"/>
  <c r="D151" i="3"/>
  <c r="G150" i="3"/>
  <c r="H149" i="3"/>
  <c r="G145" i="3"/>
  <c r="D142" i="3"/>
  <c r="D140" i="3"/>
  <c r="G139" i="3"/>
  <c r="H184" i="4"/>
  <c r="H175" i="4"/>
  <c r="G168" i="4"/>
  <c r="I164" i="4"/>
  <c r="G164" i="4"/>
  <c r="D162" i="4"/>
  <c r="I156" i="4"/>
  <c r="G156" i="4"/>
  <c r="H173" i="3"/>
  <c r="H171" i="3"/>
  <c r="D169" i="3"/>
  <c r="G167" i="3"/>
  <c r="H166" i="3"/>
  <c r="D162" i="3"/>
  <c r="I160" i="3"/>
  <c r="G160" i="3"/>
  <c r="I159" i="3"/>
  <c r="D159" i="3"/>
  <c r="I158" i="3"/>
  <c r="G158" i="3"/>
  <c r="I156" i="3"/>
  <c r="I155" i="3"/>
  <c r="G155" i="3"/>
  <c r="I154" i="3"/>
  <c r="D154" i="3"/>
  <c r="I153" i="3"/>
  <c r="G153" i="3"/>
  <c r="I152" i="3"/>
  <c r="D152" i="3"/>
  <c r="I151" i="3"/>
  <c r="G151" i="3"/>
  <c r="I150" i="3"/>
  <c r="D150" i="3"/>
  <c r="I149" i="3"/>
  <c r="H147" i="3"/>
  <c r="I145" i="3"/>
  <c r="I144" i="3"/>
  <c r="G144" i="3"/>
  <c r="I143" i="3"/>
  <c r="I142" i="3"/>
  <c r="G142" i="3"/>
  <c r="G141" i="3"/>
  <c r="I140" i="3"/>
  <c r="G140" i="3"/>
  <c r="I139" i="3"/>
  <c r="I138" i="3"/>
  <c r="G138" i="3"/>
  <c r="G137" i="3"/>
  <c r="I136" i="3"/>
  <c r="G136" i="3"/>
  <c r="I134" i="3"/>
  <c r="G134" i="3"/>
  <c r="G196" i="4"/>
  <c r="H188" i="4"/>
  <c r="H182" i="4"/>
  <c r="G176" i="4"/>
  <c r="H173" i="4"/>
  <c r="I168" i="4"/>
  <c r="D168" i="4"/>
  <c r="D167" i="4"/>
  <c r="I162" i="4"/>
  <c r="G162" i="4"/>
  <c r="I158" i="4"/>
  <c r="G158" i="4"/>
  <c r="H186" i="4"/>
  <c r="D186" i="4"/>
  <c r="H193" i="4"/>
  <c r="D190" i="4"/>
  <c r="I186" i="4"/>
  <c r="G186" i="4"/>
  <c r="D184" i="4"/>
  <c r="D182" i="4"/>
  <c r="I176" i="4"/>
  <c r="D175" i="4"/>
  <c r="G172" i="4"/>
  <c r="H169" i="4"/>
  <c r="G165" i="4"/>
  <c r="G163" i="4"/>
  <c r="G161" i="4"/>
  <c r="G159" i="4"/>
  <c r="G157" i="4"/>
  <c r="C149" i="3"/>
  <c r="G149" i="3"/>
  <c r="C148" i="3"/>
  <c r="D148" i="3"/>
  <c r="I148" i="3"/>
  <c r="C145" i="3"/>
  <c r="H145" i="3"/>
  <c r="C147" i="3"/>
  <c r="G147" i="3"/>
  <c r="I147" i="3"/>
  <c r="C143" i="3"/>
  <c r="H143" i="3"/>
  <c r="I141" i="3"/>
  <c r="C139" i="3"/>
  <c r="H139" i="3"/>
  <c r="I137" i="3"/>
  <c r="C135" i="3"/>
  <c r="H135" i="3"/>
  <c r="C141" i="3"/>
  <c r="H141" i="3"/>
  <c r="C137" i="3"/>
  <c r="H137" i="3"/>
  <c r="I135" i="3"/>
  <c r="D135" i="3"/>
  <c r="C163" i="3"/>
  <c r="G163" i="3"/>
  <c r="C164" i="3"/>
  <c r="D164" i="3"/>
  <c r="C156" i="3"/>
  <c r="H156" i="3"/>
  <c r="H154" i="3"/>
  <c r="H152" i="3"/>
  <c r="H150" i="3"/>
  <c r="H148" i="3"/>
  <c r="D171" i="3"/>
  <c r="G170" i="3"/>
  <c r="D166" i="3"/>
  <c r="I164" i="3"/>
  <c r="G164" i="3"/>
  <c r="I163" i="3"/>
  <c r="D163" i="3"/>
  <c r="I162" i="3"/>
  <c r="G162" i="3"/>
  <c r="H159" i="3"/>
  <c r="D173" i="3"/>
  <c r="I171" i="3"/>
  <c r="G171" i="3"/>
  <c r="I170" i="3"/>
  <c r="D170" i="3"/>
  <c r="I169" i="3"/>
  <c r="G169" i="3"/>
  <c r="I167" i="3"/>
  <c r="D167" i="3"/>
  <c r="I166" i="3"/>
  <c r="G166" i="3"/>
  <c r="H163" i="3"/>
  <c r="H167" i="3"/>
  <c r="I173" i="3"/>
  <c r="G173" i="3"/>
  <c r="H170" i="3"/>
  <c r="G194" i="4"/>
  <c r="I190" i="4"/>
  <c r="G190" i="4"/>
  <c r="D188" i="4"/>
  <c r="I182" i="4"/>
  <c r="G182" i="4"/>
  <c r="G178" i="4"/>
  <c r="G174" i="4"/>
  <c r="I172" i="4"/>
  <c r="D171" i="4"/>
  <c r="D169" i="4"/>
  <c r="I165" i="4"/>
  <c r="I163" i="4"/>
  <c r="I161" i="4"/>
  <c r="I159" i="4"/>
  <c r="I157" i="4"/>
  <c r="I194" i="4"/>
  <c r="D194" i="4"/>
  <c r="D193" i="4"/>
  <c r="I188" i="4"/>
  <c r="G188" i="4"/>
  <c r="I184" i="4"/>
  <c r="G184" i="4"/>
  <c r="I178" i="4"/>
  <c r="I174" i="4"/>
  <c r="D173" i="4"/>
  <c r="I169" i="4"/>
  <c r="G169" i="4"/>
  <c r="I167" i="4"/>
  <c r="G167" i="4"/>
  <c r="C165" i="4"/>
  <c r="H165" i="4"/>
  <c r="C163" i="4"/>
  <c r="H163" i="4"/>
  <c r="C161" i="4"/>
  <c r="H161" i="4"/>
  <c r="C159" i="4"/>
  <c r="H159" i="4"/>
  <c r="C157" i="4"/>
  <c r="H157" i="4"/>
  <c r="H177" i="4"/>
  <c r="D177" i="4"/>
  <c r="H195" i="4"/>
  <c r="G191" i="4"/>
  <c r="G189" i="4"/>
  <c r="G187" i="4"/>
  <c r="G185" i="4"/>
  <c r="G183" i="4"/>
  <c r="I179" i="4"/>
  <c r="G179" i="4"/>
  <c r="I177" i="4"/>
  <c r="G177" i="4"/>
  <c r="I175" i="4"/>
  <c r="G175" i="4"/>
  <c r="I173" i="4"/>
  <c r="G173" i="4"/>
  <c r="I171" i="4"/>
  <c r="G171" i="4"/>
  <c r="H168" i="4"/>
  <c r="I196" i="4"/>
  <c r="D196" i="4"/>
  <c r="D195" i="4"/>
  <c r="I191" i="4"/>
  <c r="I189" i="4"/>
  <c r="I187" i="4"/>
  <c r="I185" i="4"/>
  <c r="I183" i="4"/>
  <c r="C180" i="4"/>
  <c r="H180" i="4"/>
  <c r="C178" i="4"/>
  <c r="H178" i="4"/>
  <c r="C176" i="4"/>
  <c r="H176" i="4"/>
  <c r="C174" i="4"/>
  <c r="H174" i="4"/>
  <c r="C172" i="4"/>
  <c r="H172" i="4"/>
  <c r="I195" i="4"/>
  <c r="G195" i="4"/>
  <c r="I193" i="4"/>
  <c r="G193" i="4"/>
  <c r="C191" i="4"/>
  <c r="H191" i="4"/>
  <c r="C189" i="4"/>
  <c r="H189" i="4"/>
  <c r="C187" i="4"/>
  <c r="H187" i="4"/>
  <c r="C185" i="4"/>
  <c r="H185" i="4"/>
  <c r="C183" i="4"/>
  <c r="H183" i="4"/>
  <c r="H196" i="4"/>
  <c r="H194" i="4"/>
  <c r="B135" i="4" l="1"/>
  <c r="C135" i="4" s="1"/>
  <c r="K135" i="4"/>
  <c r="B136" i="4"/>
  <c r="D136" i="4" s="1"/>
  <c r="K136" i="4"/>
  <c r="B137" i="4"/>
  <c r="C137" i="4" s="1"/>
  <c r="K137" i="4"/>
  <c r="B138" i="4"/>
  <c r="D138" i="4" s="1"/>
  <c r="K138" i="4"/>
  <c r="B139" i="4"/>
  <c r="C139" i="4" s="1"/>
  <c r="K139" i="4"/>
  <c r="B140" i="4"/>
  <c r="D140" i="4" s="1"/>
  <c r="K140" i="4"/>
  <c r="B141" i="4"/>
  <c r="C141" i="4" s="1"/>
  <c r="K141" i="4"/>
  <c r="B142" i="4"/>
  <c r="D142" i="4" s="1"/>
  <c r="K142" i="4"/>
  <c r="B143" i="4"/>
  <c r="C143" i="4" s="1"/>
  <c r="K143" i="4"/>
  <c r="B145" i="4"/>
  <c r="D145" i="4" s="1"/>
  <c r="K145" i="4"/>
  <c r="B146" i="4"/>
  <c r="C146" i="4" s="1"/>
  <c r="K146" i="4"/>
  <c r="B147" i="4"/>
  <c r="H147" i="4" s="1"/>
  <c r="K147" i="4"/>
  <c r="B148" i="4"/>
  <c r="C148" i="4" s="1"/>
  <c r="K148" i="4"/>
  <c r="B74" i="3"/>
  <c r="C74" i="3" s="1"/>
  <c r="B75" i="3"/>
  <c r="G75" i="3" s="1"/>
  <c r="B76" i="3"/>
  <c r="C76" i="3" s="1"/>
  <c r="B77" i="3"/>
  <c r="D77" i="3" s="1"/>
  <c r="B78" i="3"/>
  <c r="C78" i="3" s="1"/>
  <c r="B79" i="3"/>
  <c r="D79" i="3" s="1"/>
  <c r="B80" i="3"/>
  <c r="C80" i="3" s="1"/>
  <c r="B81" i="3"/>
  <c r="D81" i="3" s="1"/>
  <c r="B82" i="3"/>
  <c r="C82" i="3" s="1"/>
  <c r="B83" i="3"/>
  <c r="D83" i="3" s="1"/>
  <c r="B84" i="3"/>
  <c r="C84" i="3" s="1"/>
  <c r="B86" i="3"/>
  <c r="C86" i="3" s="1"/>
  <c r="B87" i="3"/>
  <c r="G87" i="3" s="1"/>
  <c r="B88" i="3"/>
  <c r="C88" i="3" s="1"/>
  <c r="B89" i="3"/>
  <c r="D89" i="3" s="1"/>
  <c r="B90" i="3"/>
  <c r="C90" i="3" s="1"/>
  <c r="B91" i="3"/>
  <c r="D91" i="3" s="1"/>
  <c r="B92" i="3"/>
  <c r="C92" i="3" s="1"/>
  <c r="B93" i="3"/>
  <c r="D93" i="3" s="1"/>
  <c r="B94" i="3"/>
  <c r="C94" i="3" s="1"/>
  <c r="B95" i="3"/>
  <c r="D95" i="3" s="1"/>
  <c r="B96" i="3"/>
  <c r="C96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D104" i="3" s="1"/>
  <c r="B105" i="3"/>
  <c r="G105" i="3" s="1"/>
  <c r="B107" i="3"/>
  <c r="D107" i="3" s="1"/>
  <c r="B108" i="3"/>
  <c r="G108" i="3" s="1"/>
  <c r="B109" i="3"/>
  <c r="D109" i="3" s="1"/>
  <c r="B110" i="3"/>
  <c r="G110" i="3" s="1"/>
  <c r="B111" i="3"/>
  <c r="D111" i="3" s="1"/>
  <c r="B113" i="3"/>
  <c r="D113" i="3" s="1"/>
  <c r="B114" i="3"/>
  <c r="G114" i="3" s="1"/>
  <c r="B115" i="3"/>
  <c r="D115" i="3" s="1"/>
  <c r="B116" i="3"/>
  <c r="B117" i="3"/>
  <c r="H117" i="3" s="1"/>
  <c r="B118" i="3"/>
  <c r="G118" i="3" s="1"/>
  <c r="B119" i="3"/>
  <c r="H119" i="3" s="1"/>
  <c r="B121" i="3"/>
  <c r="D121" i="3" s="1"/>
  <c r="B122" i="3"/>
  <c r="B123" i="3"/>
  <c r="H123" i="3" s="1"/>
  <c r="B124" i="3"/>
  <c r="G124" i="3" s="1"/>
  <c r="B125" i="3"/>
  <c r="D125" i="3" s="1"/>
  <c r="B126" i="3"/>
  <c r="G126" i="3" s="1"/>
  <c r="B127" i="3"/>
  <c r="D127" i="3" s="1"/>
  <c r="H135" i="4" l="1"/>
  <c r="H143" i="4"/>
  <c r="H141" i="4"/>
  <c r="H86" i="3"/>
  <c r="H82" i="3"/>
  <c r="D143" i="4"/>
  <c r="H139" i="4"/>
  <c r="H90" i="3"/>
  <c r="I143" i="4"/>
  <c r="G143" i="4"/>
  <c r="D141" i="4"/>
  <c r="D139" i="4"/>
  <c r="D135" i="4"/>
  <c r="H88" i="3"/>
  <c r="H80" i="3"/>
  <c r="H92" i="3"/>
  <c r="D90" i="3"/>
  <c r="D88" i="3"/>
  <c r="D86" i="3"/>
  <c r="H84" i="3"/>
  <c r="D82" i="3"/>
  <c r="D80" i="3"/>
  <c r="G79" i="3"/>
  <c r="H78" i="3"/>
  <c r="I135" i="4"/>
  <c r="G135" i="4"/>
  <c r="H107" i="3"/>
  <c r="H96" i="3"/>
  <c r="H74" i="3"/>
  <c r="H137" i="4"/>
  <c r="D96" i="3"/>
  <c r="G95" i="3"/>
  <c r="H94" i="3"/>
  <c r="H76" i="3"/>
  <c r="G148" i="4"/>
  <c r="I139" i="4"/>
  <c r="G139" i="4"/>
  <c r="D137" i="4"/>
  <c r="H98" i="3"/>
  <c r="D94" i="3"/>
  <c r="D92" i="3"/>
  <c r="G91" i="3"/>
  <c r="D84" i="3"/>
  <c r="G83" i="3"/>
  <c r="D78" i="3"/>
  <c r="D76" i="3"/>
  <c r="D74" i="3"/>
  <c r="G146" i="4"/>
  <c r="I141" i="4"/>
  <c r="G141" i="4"/>
  <c r="I137" i="4"/>
  <c r="G137" i="4"/>
  <c r="H100" i="3"/>
  <c r="D98" i="3"/>
  <c r="I96" i="3"/>
  <c r="G96" i="3"/>
  <c r="I95" i="3"/>
  <c r="I94" i="3"/>
  <c r="G94" i="3"/>
  <c r="G93" i="3"/>
  <c r="I92" i="3"/>
  <c r="G92" i="3"/>
  <c r="I91" i="3"/>
  <c r="I90" i="3"/>
  <c r="G90" i="3"/>
  <c r="G89" i="3"/>
  <c r="I88" i="3"/>
  <c r="G88" i="3"/>
  <c r="I86" i="3"/>
  <c r="G86" i="3"/>
  <c r="I84" i="3"/>
  <c r="G84" i="3"/>
  <c r="I83" i="3"/>
  <c r="I82" i="3"/>
  <c r="G82" i="3"/>
  <c r="G81" i="3"/>
  <c r="I80" i="3"/>
  <c r="G80" i="3"/>
  <c r="I79" i="3"/>
  <c r="I78" i="3"/>
  <c r="G78" i="3"/>
  <c r="G77" i="3"/>
  <c r="I76" i="3"/>
  <c r="G76" i="3"/>
  <c r="I74" i="3"/>
  <c r="G74" i="3"/>
  <c r="H145" i="4"/>
  <c r="G142" i="4"/>
  <c r="G140" i="4"/>
  <c r="G138" i="4"/>
  <c r="G136" i="4"/>
  <c r="H102" i="3"/>
  <c r="I148" i="4"/>
  <c r="D148" i="4"/>
  <c r="I146" i="4"/>
  <c r="D146" i="4"/>
  <c r="I142" i="4"/>
  <c r="I140" i="4"/>
  <c r="I138" i="4"/>
  <c r="I136" i="4"/>
  <c r="C147" i="4"/>
  <c r="G147" i="4"/>
  <c r="I147" i="4"/>
  <c r="D147" i="4"/>
  <c r="C145" i="4"/>
  <c r="G145" i="4"/>
  <c r="I145" i="4"/>
  <c r="C142" i="4"/>
  <c r="H142" i="4"/>
  <c r="C140" i="4"/>
  <c r="H140" i="4"/>
  <c r="C138" i="4"/>
  <c r="H138" i="4"/>
  <c r="C136" i="4"/>
  <c r="H136" i="4"/>
  <c r="H148" i="4"/>
  <c r="H146" i="4"/>
  <c r="H115" i="3"/>
  <c r="H109" i="3"/>
  <c r="H104" i="3"/>
  <c r="D102" i="3"/>
  <c r="I103" i="3"/>
  <c r="H113" i="3"/>
  <c r="H111" i="3"/>
  <c r="G103" i="3"/>
  <c r="I102" i="3"/>
  <c r="G102" i="3"/>
  <c r="D100" i="3"/>
  <c r="G99" i="3"/>
  <c r="C83" i="3"/>
  <c r="H83" i="3"/>
  <c r="I81" i="3"/>
  <c r="C79" i="3"/>
  <c r="H79" i="3"/>
  <c r="I77" i="3"/>
  <c r="C75" i="3"/>
  <c r="H75" i="3"/>
  <c r="C81" i="3"/>
  <c r="H81" i="3"/>
  <c r="C77" i="3"/>
  <c r="H77" i="3"/>
  <c r="I75" i="3"/>
  <c r="D75" i="3"/>
  <c r="H127" i="3"/>
  <c r="C107" i="3"/>
  <c r="G107" i="3"/>
  <c r="I107" i="3"/>
  <c r="C105" i="3"/>
  <c r="D105" i="3"/>
  <c r="I105" i="3"/>
  <c r="C111" i="3"/>
  <c r="G111" i="3"/>
  <c r="I111" i="3"/>
  <c r="C109" i="3"/>
  <c r="G109" i="3"/>
  <c r="I109" i="3"/>
  <c r="C108" i="3"/>
  <c r="D108" i="3"/>
  <c r="I108" i="3"/>
  <c r="C104" i="3"/>
  <c r="G104" i="3"/>
  <c r="I104" i="3"/>
  <c r="I100" i="3"/>
  <c r="G100" i="3"/>
  <c r="I99" i="3"/>
  <c r="D99" i="3"/>
  <c r="I98" i="3"/>
  <c r="G98" i="3"/>
  <c r="C95" i="3"/>
  <c r="H95" i="3"/>
  <c r="I93" i="3"/>
  <c r="C91" i="3"/>
  <c r="H91" i="3"/>
  <c r="I89" i="3"/>
  <c r="C87" i="3"/>
  <c r="H87" i="3"/>
  <c r="C93" i="3"/>
  <c r="H93" i="3"/>
  <c r="C89" i="3"/>
  <c r="H89" i="3"/>
  <c r="I87" i="3"/>
  <c r="D87" i="3"/>
  <c r="D103" i="3"/>
  <c r="I101" i="3"/>
  <c r="G101" i="3"/>
  <c r="D101" i="3"/>
  <c r="H121" i="3"/>
  <c r="H105" i="3"/>
  <c r="H103" i="3"/>
  <c r="H101" i="3"/>
  <c r="H99" i="3"/>
  <c r="C119" i="3"/>
  <c r="G119" i="3"/>
  <c r="I119" i="3"/>
  <c r="C117" i="3"/>
  <c r="G117" i="3"/>
  <c r="I117" i="3"/>
  <c r="D116" i="3"/>
  <c r="I116" i="3"/>
  <c r="C110" i="3"/>
  <c r="H110" i="3"/>
  <c r="H125" i="3"/>
  <c r="D119" i="3"/>
  <c r="D117" i="3"/>
  <c r="G116" i="3"/>
  <c r="C115" i="3"/>
  <c r="G115" i="3"/>
  <c r="I115" i="3"/>
  <c r="C113" i="3"/>
  <c r="G113" i="3"/>
  <c r="I113" i="3"/>
  <c r="I110" i="3"/>
  <c r="D110" i="3"/>
  <c r="H108" i="3"/>
  <c r="C123" i="3"/>
  <c r="G123" i="3"/>
  <c r="I123" i="3"/>
  <c r="C122" i="3"/>
  <c r="D122" i="3"/>
  <c r="I122" i="3"/>
  <c r="C118" i="3"/>
  <c r="H118" i="3"/>
  <c r="C114" i="3"/>
  <c r="H114" i="3"/>
  <c r="C127" i="3"/>
  <c r="G127" i="3"/>
  <c r="I127" i="3"/>
  <c r="C125" i="3"/>
  <c r="G125" i="3"/>
  <c r="I125" i="3"/>
  <c r="D124" i="3"/>
  <c r="I124" i="3"/>
  <c r="D123" i="3"/>
  <c r="G122" i="3"/>
  <c r="C121" i="3"/>
  <c r="G121" i="3"/>
  <c r="I121" i="3"/>
  <c r="I118" i="3"/>
  <c r="D118" i="3"/>
  <c r="C116" i="3"/>
  <c r="H116" i="3"/>
  <c r="I114" i="3"/>
  <c r="D114" i="3"/>
  <c r="C126" i="3"/>
  <c r="H126" i="3"/>
  <c r="I126" i="3"/>
  <c r="D126" i="3"/>
  <c r="C124" i="3"/>
  <c r="H124" i="3"/>
  <c r="H122" i="3"/>
  <c r="B4" i="10"/>
  <c r="I4" i="10" s="1"/>
  <c r="B5" i="10"/>
  <c r="H5" i="10" s="1"/>
  <c r="B6" i="10"/>
  <c r="I6" i="10" s="1"/>
  <c r="G5" i="10" l="1"/>
  <c r="C5" i="10"/>
  <c r="I5" i="10"/>
  <c r="D6" i="10"/>
  <c r="D4" i="10"/>
  <c r="H6" i="10"/>
  <c r="H4" i="10"/>
  <c r="C6" i="10"/>
  <c r="C4" i="10"/>
  <c r="D5" i="10"/>
  <c r="G6" i="10"/>
  <c r="G4" i="10"/>
  <c r="B105" i="4"/>
  <c r="C105" i="4" s="1"/>
  <c r="K105" i="4"/>
  <c r="B106" i="4"/>
  <c r="C106" i="4" s="1"/>
  <c r="K106" i="4"/>
  <c r="B107" i="4"/>
  <c r="C107" i="4" s="1"/>
  <c r="K107" i="4"/>
  <c r="B108" i="4"/>
  <c r="C108" i="4" s="1"/>
  <c r="K108" i="4"/>
  <c r="B109" i="4"/>
  <c r="C109" i="4" s="1"/>
  <c r="K109" i="4"/>
  <c r="B110" i="4"/>
  <c r="C110" i="4" s="1"/>
  <c r="K110" i="4"/>
  <c r="B111" i="4"/>
  <c r="C111" i="4" s="1"/>
  <c r="K111" i="4"/>
  <c r="B112" i="4"/>
  <c r="C112" i="4" s="1"/>
  <c r="K112" i="4"/>
  <c r="B113" i="4"/>
  <c r="C113" i="4" s="1"/>
  <c r="K113" i="4"/>
  <c r="B114" i="4"/>
  <c r="C114" i="4" s="1"/>
  <c r="K114" i="4"/>
  <c r="B117" i="4"/>
  <c r="C117" i="4" s="1"/>
  <c r="K117" i="4"/>
  <c r="B118" i="4"/>
  <c r="G118" i="4" s="1"/>
  <c r="K118" i="4"/>
  <c r="B119" i="4"/>
  <c r="C119" i="4" s="1"/>
  <c r="K119" i="4"/>
  <c r="B120" i="4"/>
  <c r="G120" i="4" s="1"/>
  <c r="K120" i="4"/>
  <c r="B121" i="4"/>
  <c r="C121" i="4" s="1"/>
  <c r="K121" i="4"/>
  <c r="B122" i="4"/>
  <c r="G122" i="4" s="1"/>
  <c r="K122" i="4"/>
  <c r="B123" i="4"/>
  <c r="C123" i="4" s="1"/>
  <c r="K123" i="4"/>
  <c r="B103" i="4"/>
  <c r="H103" i="4" s="1"/>
  <c r="K103" i="4"/>
  <c r="K104" i="4"/>
  <c r="K115" i="4"/>
  <c r="H105" i="4" l="1"/>
  <c r="H119" i="4"/>
  <c r="H123" i="4"/>
  <c r="H113" i="4"/>
  <c r="D123" i="4"/>
  <c r="D119" i="4"/>
  <c r="H109" i="4"/>
  <c r="H117" i="4"/>
  <c r="H111" i="4"/>
  <c r="H107" i="4"/>
  <c r="I119" i="4"/>
  <c r="G119" i="4"/>
  <c r="D117" i="4"/>
  <c r="G112" i="4"/>
  <c r="D111" i="4"/>
  <c r="G108" i="4"/>
  <c r="D107" i="4"/>
  <c r="H121" i="4"/>
  <c r="G114" i="4"/>
  <c r="D113" i="4"/>
  <c r="G110" i="4"/>
  <c r="D109" i="4"/>
  <c r="G106" i="4"/>
  <c r="D105" i="4"/>
  <c r="I123" i="4"/>
  <c r="G123" i="4"/>
  <c r="D121" i="4"/>
  <c r="I117" i="4"/>
  <c r="G117" i="4"/>
  <c r="I113" i="4"/>
  <c r="G113" i="4"/>
  <c r="I111" i="4"/>
  <c r="G111" i="4"/>
  <c r="I109" i="4"/>
  <c r="G109" i="4"/>
  <c r="I107" i="4"/>
  <c r="G107" i="4"/>
  <c r="I105" i="4"/>
  <c r="G105" i="4"/>
  <c r="I121" i="4"/>
  <c r="G121" i="4"/>
  <c r="I114" i="4"/>
  <c r="D114" i="4"/>
  <c r="I112" i="4"/>
  <c r="D112" i="4"/>
  <c r="I110" i="4"/>
  <c r="D110" i="4"/>
  <c r="I108" i="4"/>
  <c r="D108" i="4"/>
  <c r="I106" i="4"/>
  <c r="D106" i="4"/>
  <c r="C118" i="4"/>
  <c r="D118" i="4"/>
  <c r="I118" i="4"/>
  <c r="H114" i="4"/>
  <c r="H112" i="4"/>
  <c r="H110" i="4"/>
  <c r="H108" i="4"/>
  <c r="H106" i="4"/>
  <c r="C103" i="4"/>
  <c r="G103" i="4"/>
  <c r="I103" i="4"/>
  <c r="C122" i="4"/>
  <c r="H122" i="4"/>
  <c r="C120" i="4"/>
  <c r="H120" i="4"/>
  <c r="D103" i="4"/>
  <c r="I122" i="4"/>
  <c r="D122" i="4"/>
  <c r="I120" i="4"/>
  <c r="D120" i="4"/>
  <c r="H118" i="4"/>
  <c r="B91" i="4" l="1"/>
  <c r="C91" i="4" s="1"/>
  <c r="K91" i="4"/>
  <c r="B92" i="4"/>
  <c r="C92" i="4" s="1"/>
  <c r="K92" i="4"/>
  <c r="H91" i="4" l="1"/>
  <c r="G92" i="4"/>
  <c r="I92" i="4"/>
  <c r="D92" i="4"/>
  <c r="D91" i="4"/>
  <c r="I91" i="4"/>
  <c r="G91" i="4"/>
  <c r="H92" i="4"/>
  <c r="B81" i="4"/>
  <c r="C81" i="4" s="1"/>
  <c r="K81" i="4"/>
  <c r="B82" i="4"/>
  <c r="C82" i="4" s="1"/>
  <c r="K82" i="4"/>
  <c r="B83" i="4"/>
  <c r="C83" i="4" s="1"/>
  <c r="K83" i="4"/>
  <c r="H81" i="4" l="1"/>
  <c r="D81" i="4"/>
  <c r="I81" i="4"/>
  <c r="G81" i="4"/>
  <c r="H83" i="4"/>
  <c r="D83" i="4"/>
  <c r="I83" i="4"/>
  <c r="G83" i="4"/>
  <c r="G82" i="4"/>
  <c r="I82" i="4"/>
  <c r="D82" i="4"/>
  <c r="H82" i="4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2" i="3"/>
  <c r="C52" i="3" s="1"/>
  <c r="B53" i="3"/>
  <c r="C53" i="3" s="1"/>
  <c r="B54" i="3"/>
  <c r="C54" i="3" s="1"/>
  <c r="B55" i="3"/>
  <c r="C55" i="3" s="1"/>
  <c r="H45" i="3" l="1"/>
  <c r="H47" i="3"/>
  <c r="D45" i="3"/>
  <c r="G44" i="3"/>
  <c r="H43" i="3"/>
  <c r="H49" i="3"/>
  <c r="H52" i="3"/>
  <c r="D49" i="3"/>
  <c r="D47" i="3"/>
  <c r="G46" i="3"/>
  <c r="D43" i="3"/>
  <c r="G55" i="3"/>
  <c r="H54" i="3"/>
  <c r="D52" i="3"/>
  <c r="I50" i="3"/>
  <c r="D50" i="3"/>
  <c r="I49" i="3"/>
  <c r="G49" i="3"/>
  <c r="I48" i="3"/>
  <c r="D48" i="3"/>
  <c r="I47" i="3"/>
  <c r="G47" i="3"/>
  <c r="I46" i="3"/>
  <c r="D46" i="3"/>
  <c r="I45" i="3"/>
  <c r="G45" i="3"/>
  <c r="I44" i="3"/>
  <c r="D44" i="3"/>
  <c r="I43" i="3"/>
  <c r="G43" i="3"/>
  <c r="G50" i="3"/>
  <c r="G48" i="3"/>
  <c r="D54" i="3"/>
  <c r="G53" i="3"/>
  <c r="I55" i="3"/>
  <c r="D55" i="3"/>
  <c r="I54" i="3"/>
  <c r="G54" i="3"/>
  <c r="I53" i="3"/>
  <c r="D53" i="3"/>
  <c r="I52" i="3"/>
  <c r="G52" i="3"/>
  <c r="H50" i="3"/>
  <c r="H48" i="3"/>
  <c r="H46" i="3"/>
  <c r="H44" i="3"/>
  <c r="H55" i="3"/>
  <c r="H53" i="3"/>
  <c r="B65" i="4"/>
  <c r="C65" i="4" s="1"/>
  <c r="K65" i="4"/>
  <c r="B66" i="4"/>
  <c r="C66" i="4" s="1"/>
  <c r="K66" i="4"/>
  <c r="B67" i="4"/>
  <c r="C67" i="4" s="1"/>
  <c r="K67" i="4"/>
  <c r="B68" i="4"/>
  <c r="C68" i="4" s="1"/>
  <c r="K68" i="4"/>
  <c r="B69" i="4"/>
  <c r="C69" i="4" s="1"/>
  <c r="K69" i="4"/>
  <c r="B70" i="4"/>
  <c r="C70" i="4" s="1"/>
  <c r="K70" i="4"/>
  <c r="B71" i="4"/>
  <c r="C71" i="4" s="1"/>
  <c r="K71" i="4"/>
  <c r="B72" i="4"/>
  <c r="C72" i="4" s="1"/>
  <c r="K72" i="4"/>
  <c r="B53" i="4"/>
  <c r="C53" i="4" s="1"/>
  <c r="K53" i="4"/>
  <c r="B54" i="4"/>
  <c r="C54" i="4" s="1"/>
  <c r="K54" i="4"/>
  <c r="B55" i="4"/>
  <c r="C55" i="4" s="1"/>
  <c r="K55" i="4"/>
  <c r="B56" i="4"/>
  <c r="C56" i="4" s="1"/>
  <c r="K56" i="4"/>
  <c r="B57" i="4"/>
  <c r="C57" i="4" s="1"/>
  <c r="K57" i="4"/>
  <c r="B58" i="4"/>
  <c r="C58" i="4" s="1"/>
  <c r="K58" i="4"/>
  <c r="B59" i="4"/>
  <c r="C59" i="4" s="1"/>
  <c r="K59" i="4"/>
  <c r="B60" i="4"/>
  <c r="C60" i="4" s="1"/>
  <c r="K60" i="4"/>
  <c r="B61" i="4"/>
  <c r="C61" i="4" s="1"/>
  <c r="K61" i="4"/>
  <c r="B62" i="4"/>
  <c r="C62" i="4" s="1"/>
  <c r="K62" i="4"/>
  <c r="B63" i="4"/>
  <c r="C63" i="4" s="1"/>
  <c r="K63" i="4"/>
  <c r="H69" i="4" l="1"/>
  <c r="H67" i="4"/>
  <c r="D69" i="4"/>
  <c r="H65" i="4"/>
  <c r="I69" i="4"/>
  <c r="G69" i="4"/>
  <c r="D67" i="4"/>
  <c r="D65" i="4"/>
  <c r="H59" i="4"/>
  <c r="H53" i="4"/>
  <c r="H61" i="4"/>
  <c r="H55" i="4"/>
  <c r="D53" i="4"/>
  <c r="H63" i="4"/>
  <c r="D61" i="4"/>
  <c r="H57" i="4"/>
  <c r="H71" i="4"/>
  <c r="I61" i="4"/>
  <c r="G61" i="4"/>
  <c r="D59" i="4"/>
  <c r="D57" i="4"/>
  <c r="I53" i="4"/>
  <c r="G53" i="4"/>
  <c r="D71" i="4"/>
  <c r="I65" i="4"/>
  <c r="G65" i="4"/>
  <c r="D63" i="4"/>
  <c r="I57" i="4"/>
  <c r="G57" i="4"/>
  <c r="D55" i="4"/>
  <c r="I71" i="4"/>
  <c r="G71" i="4"/>
  <c r="I67" i="4"/>
  <c r="G67" i="4"/>
  <c r="I63" i="4"/>
  <c r="G63" i="4"/>
  <c r="I59" i="4"/>
  <c r="G59" i="4"/>
  <c r="I55" i="4"/>
  <c r="G55" i="4"/>
  <c r="G72" i="4"/>
  <c r="G70" i="4"/>
  <c r="G68" i="4"/>
  <c r="G66" i="4"/>
  <c r="G62" i="4"/>
  <c r="G60" i="4"/>
  <c r="G58" i="4"/>
  <c r="G56" i="4"/>
  <c r="G54" i="4"/>
  <c r="I72" i="4"/>
  <c r="D72" i="4"/>
  <c r="I70" i="4"/>
  <c r="D70" i="4"/>
  <c r="I68" i="4"/>
  <c r="D68" i="4"/>
  <c r="I66" i="4"/>
  <c r="D66" i="4"/>
  <c r="I62" i="4"/>
  <c r="D62" i="4"/>
  <c r="I60" i="4"/>
  <c r="D60" i="4"/>
  <c r="I58" i="4"/>
  <c r="D58" i="4"/>
  <c r="I56" i="4"/>
  <c r="D56" i="4"/>
  <c r="I54" i="4"/>
  <c r="D54" i="4"/>
  <c r="H72" i="4"/>
  <c r="H70" i="4"/>
  <c r="H68" i="4"/>
  <c r="H66" i="4"/>
  <c r="H62" i="4"/>
  <c r="H60" i="4"/>
  <c r="H58" i="4"/>
  <c r="H56" i="4"/>
  <c r="H54" i="4"/>
  <c r="B27" i="3" l="1"/>
  <c r="C27" i="3" s="1"/>
  <c r="B28" i="3"/>
  <c r="C28" i="3" s="1"/>
  <c r="B29" i="3"/>
  <c r="C29" i="3" s="1"/>
  <c r="B30" i="3"/>
  <c r="D30" i="3" s="1"/>
  <c r="B31" i="3"/>
  <c r="C31" i="3" s="1"/>
  <c r="B22" i="3"/>
  <c r="H22" i="3" s="1"/>
  <c r="B23" i="3"/>
  <c r="G23" i="3" s="1"/>
  <c r="B24" i="3"/>
  <c r="D24" i="3" s="1"/>
  <c r="B25" i="3"/>
  <c r="B17" i="3"/>
  <c r="H17" i="3" s="1"/>
  <c r="B18" i="3"/>
  <c r="G18" i="3" s="1"/>
  <c r="B19" i="3"/>
  <c r="D19" i="3" s="1"/>
  <c r="B20" i="3"/>
  <c r="H27" i="3" l="1"/>
  <c r="H31" i="3"/>
  <c r="D31" i="3"/>
  <c r="G30" i="3"/>
  <c r="H29" i="3"/>
  <c r="D27" i="3"/>
  <c r="H19" i="3"/>
  <c r="H24" i="3"/>
  <c r="D29" i="3"/>
  <c r="G28" i="3"/>
  <c r="I31" i="3"/>
  <c r="G31" i="3"/>
  <c r="I30" i="3"/>
  <c r="I29" i="3"/>
  <c r="G29" i="3"/>
  <c r="I28" i="3"/>
  <c r="D28" i="3"/>
  <c r="I27" i="3"/>
  <c r="G27" i="3"/>
  <c r="C20" i="3"/>
  <c r="D20" i="3"/>
  <c r="I20" i="3"/>
  <c r="C17" i="3"/>
  <c r="G17" i="3"/>
  <c r="I17" i="3"/>
  <c r="C25" i="3"/>
  <c r="D25" i="3"/>
  <c r="I25" i="3"/>
  <c r="C22" i="3"/>
  <c r="G22" i="3"/>
  <c r="I22" i="3"/>
  <c r="G20" i="3"/>
  <c r="C19" i="3"/>
  <c r="G19" i="3"/>
  <c r="I19" i="3"/>
  <c r="C18" i="3"/>
  <c r="D18" i="3"/>
  <c r="I18" i="3"/>
  <c r="D17" i="3"/>
  <c r="G25" i="3"/>
  <c r="C24" i="3"/>
  <c r="G24" i="3"/>
  <c r="I24" i="3"/>
  <c r="C23" i="3"/>
  <c r="D23" i="3"/>
  <c r="I23" i="3"/>
  <c r="D22" i="3"/>
  <c r="C30" i="3"/>
  <c r="H30" i="3"/>
  <c r="H28" i="3"/>
  <c r="H25" i="3"/>
  <c r="H23" i="3"/>
  <c r="H20" i="3"/>
  <c r="H18" i="3"/>
  <c r="B5" i="3" l="1"/>
  <c r="C5" i="3" s="1"/>
  <c r="B6" i="3"/>
  <c r="D6" i="3" s="1"/>
  <c r="B7" i="3"/>
  <c r="C7" i="3" s="1"/>
  <c r="B8" i="3"/>
  <c r="D8" i="3" s="1"/>
  <c r="B9" i="3"/>
  <c r="C9" i="3" s="1"/>
  <c r="B10" i="3"/>
  <c r="G10" i="3" s="1"/>
  <c r="B11" i="3"/>
  <c r="C11" i="3" s="1"/>
  <c r="B12" i="3"/>
  <c r="D12" i="3" s="1"/>
  <c r="B13" i="3"/>
  <c r="C13" i="3" s="1"/>
  <c r="H9" i="3" l="1"/>
  <c r="H13" i="3"/>
  <c r="H7" i="3"/>
  <c r="H5" i="3"/>
  <c r="D13" i="3"/>
  <c r="G12" i="3"/>
  <c r="H11" i="3"/>
  <c r="D9" i="3"/>
  <c r="D7" i="3"/>
  <c r="D5" i="3"/>
  <c r="G8" i="3"/>
  <c r="D11" i="3"/>
  <c r="I13" i="3"/>
  <c r="G13" i="3"/>
  <c r="I12" i="3"/>
  <c r="I11" i="3"/>
  <c r="G11" i="3"/>
  <c r="I9" i="3"/>
  <c r="G9" i="3"/>
  <c r="I8" i="3"/>
  <c r="I7" i="3"/>
  <c r="G7" i="3"/>
  <c r="G6" i="3"/>
  <c r="I5" i="3"/>
  <c r="G5" i="3"/>
  <c r="C10" i="3"/>
  <c r="H10" i="3"/>
  <c r="C12" i="3"/>
  <c r="H12" i="3"/>
  <c r="I10" i="3"/>
  <c r="D10" i="3"/>
  <c r="C8" i="3"/>
  <c r="H8" i="3"/>
  <c r="I6" i="3"/>
  <c r="C6" i="3"/>
  <c r="H6" i="3"/>
  <c r="B5" i="4" l="1"/>
  <c r="C5" i="4" s="1"/>
  <c r="K5" i="4"/>
  <c r="B6" i="4"/>
  <c r="C6" i="4" s="1"/>
  <c r="K6" i="4"/>
  <c r="B7" i="4"/>
  <c r="C7" i="4" s="1"/>
  <c r="K7" i="4"/>
  <c r="B8" i="4"/>
  <c r="D8" i="4" s="1"/>
  <c r="K8" i="4"/>
  <c r="B9" i="4"/>
  <c r="C9" i="4" s="1"/>
  <c r="K9" i="4"/>
  <c r="B11" i="4"/>
  <c r="D11" i="4" s="1"/>
  <c r="K11" i="4"/>
  <c r="B12" i="4"/>
  <c r="C12" i="4" s="1"/>
  <c r="K12" i="4"/>
  <c r="B13" i="4"/>
  <c r="H13" i="4" s="1"/>
  <c r="K13" i="4"/>
  <c r="B14" i="4"/>
  <c r="G14" i="4" s="1"/>
  <c r="K14" i="4"/>
  <c r="B16" i="4"/>
  <c r="D16" i="4" s="1"/>
  <c r="K16" i="4"/>
  <c r="B17" i="4"/>
  <c r="C17" i="4" s="1"/>
  <c r="K17" i="4"/>
  <c r="B18" i="4"/>
  <c r="K18" i="4"/>
  <c r="B19" i="4"/>
  <c r="D19" i="4" s="1"/>
  <c r="K19" i="4"/>
  <c r="B21" i="4"/>
  <c r="D21" i="4" s="1"/>
  <c r="K21" i="4"/>
  <c r="B22" i="4"/>
  <c r="G22" i="4" s="1"/>
  <c r="K22" i="4"/>
  <c r="B23" i="4"/>
  <c r="H23" i="4" s="1"/>
  <c r="K23" i="4"/>
  <c r="B24" i="4"/>
  <c r="G24" i="4" s="1"/>
  <c r="K24" i="4"/>
  <c r="B26" i="4"/>
  <c r="H26" i="4" s="1"/>
  <c r="K26" i="4"/>
  <c r="B27" i="4"/>
  <c r="K27" i="4"/>
  <c r="B28" i="4"/>
  <c r="D28" i="4" s="1"/>
  <c r="K28" i="4"/>
  <c r="B29" i="4"/>
  <c r="C29" i="4" s="1"/>
  <c r="K29" i="4"/>
  <c r="B31" i="4"/>
  <c r="D31" i="4" s="1"/>
  <c r="K31" i="4"/>
  <c r="B32" i="4"/>
  <c r="K32" i="4"/>
  <c r="B33" i="4"/>
  <c r="H33" i="4" s="1"/>
  <c r="K33" i="4"/>
  <c r="B34" i="4"/>
  <c r="K34" i="4"/>
  <c r="B35" i="4"/>
  <c r="D35" i="4" s="1"/>
  <c r="K35" i="4"/>
  <c r="B36" i="4"/>
  <c r="K36" i="4"/>
  <c r="B38" i="4"/>
  <c r="H38" i="4" s="1"/>
  <c r="K38" i="4"/>
  <c r="B39" i="4"/>
  <c r="C39" i="4" s="1"/>
  <c r="K39" i="4"/>
  <c r="B40" i="4"/>
  <c r="H40" i="4" s="1"/>
  <c r="K40" i="4"/>
  <c r="B41" i="4"/>
  <c r="C41" i="4" s="1"/>
  <c r="K41" i="4"/>
  <c r="B42" i="4"/>
  <c r="K42" i="4"/>
  <c r="B43" i="4"/>
  <c r="C43" i="4" s="1"/>
  <c r="K43" i="4"/>
  <c r="B44" i="4"/>
  <c r="D44" i="4" s="1"/>
  <c r="K44" i="4"/>
  <c r="H5" i="4" l="1"/>
  <c r="D5" i="4"/>
  <c r="H7" i="4"/>
  <c r="H16" i="4"/>
  <c r="G17" i="4"/>
  <c r="H9" i="4"/>
  <c r="I17" i="4"/>
  <c r="D17" i="4"/>
  <c r="D9" i="4"/>
  <c r="I5" i="4"/>
  <c r="G5" i="4"/>
  <c r="G29" i="4"/>
  <c r="I9" i="4"/>
  <c r="G9" i="4"/>
  <c r="D7" i="4"/>
  <c r="G12" i="4"/>
  <c r="I7" i="4"/>
  <c r="G7" i="4"/>
  <c r="H31" i="4"/>
  <c r="H28" i="4"/>
  <c r="G19" i="4"/>
  <c r="H11" i="4"/>
  <c r="G8" i="4"/>
  <c r="G6" i="4"/>
  <c r="H35" i="4"/>
  <c r="I29" i="4"/>
  <c r="D29" i="4"/>
  <c r="I19" i="4"/>
  <c r="I12" i="4"/>
  <c r="D12" i="4"/>
  <c r="I8" i="4"/>
  <c r="I6" i="4"/>
  <c r="D6" i="4"/>
  <c r="C36" i="4"/>
  <c r="G36" i="4"/>
  <c r="D18" i="4"/>
  <c r="H18" i="4"/>
  <c r="C13" i="4"/>
  <c r="G13" i="4"/>
  <c r="I13" i="4"/>
  <c r="D42" i="4"/>
  <c r="H42" i="4"/>
  <c r="C22" i="4"/>
  <c r="D22" i="4"/>
  <c r="I22" i="4"/>
  <c r="H21" i="4"/>
  <c r="D13" i="4"/>
  <c r="C11" i="4"/>
  <c r="G11" i="4"/>
  <c r="I11" i="4"/>
  <c r="C8" i="4"/>
  <c r="H8" i="4"/>
  <c r="H6" i="4"/>
  <c r="C40" i="4"/>
  <c r="G40" i="4"/>
  <c r="I40" i="4"/>
  <c r="D40" i="4"/>
  <c r="C16" i="4"/>
  <c r="G16" i="4"/>
  <c r="I16" i="4"/>
  <c r="C14" i="4"/>
  <c r="H14" i="4"/>
  <c r="C18" i="4"/>
  <c r="G18" i="4"/>
  <c r="I18" i="4"/>
  <c r="I14" i="4"/>
  <c r="D14" i="4"/>
  <c r="H12" i="4"/>
  <c r="H44" i="4"/>
  <c r="C27" i="4"/>
  <c r="D27" i="4"/>
  <c r="I27" i="4"/>
  <c r="C23" i="4"/>
  <c r="G23" i="4"/>
  <c r="I23" i="4"/>
  <c r="C34" i="4"/>
  <c r="G34" i="4"/>
  <c r="G27" i="4"/>
  <c r="D23" i="4"/>
  <c r="C21" i="4"/>
  <c r="G21" i="4"/>
  <c r="I21" i="4"/>
  <c r="C19" i="4"/>
  <c r="H19" i="4"/>
  <c r="C44" i="4"/>
  <c r="G44" i="4"/>
  <c r="I44" i="4"/>
  <c r="C32" i="4"/>
  <c r="G32" i="4"/>
  <c r="H17" i="4"/>
  <c r="C38" i="4"/>
  <c r="G38" i="4"/>
  <c r="I38" i="4"/>
  <c r="C33" i="4"/>
  <c r="G33" i="4"/>
  <c r="I33" i="4"/>
  <c r="C26" i="4"/>
  <c r="G26" i="4"/>
  <c r="I26" i="4"/>
  <c r="C24" i="4"/>
  <c r="H24" i="4"/>
  <c r="C42" i="4"/>
  <c r="G42" i="4"/>
  <c r="I42" i="4"/>
  <c r="D38" i="4"/>
  <c r="C35" i="4"/>
  <c r="G35" i="4"/>
  <c r="I35" i="4"/>
  <c r="D33" i="4"/>
  <c r="C31" i="4"/>
  <c r="G31" i="4"/>
  <c r="I31" i="4"/>
  <c r="C28" i="4"/>
  <c r="G28" i="4"/>
  <c r="I28" i="4"/>
  <c r="D26" i="4"/>
  <c r="I24" i="4"/>
  <c r="D24" i="4"/>
  <c r="H22" i="4"/>
  <c r="G43" i="4"/>
  <c r="G41" i="4"/>
  <c r="G39" i="4"/>
  <c r="I36" i="4"/>
  <c r="D36" i="4"/>
  <c r="I34" i="4"/>
  <c r="D34" i="4"/>
  <c r="I32" i="4"/>
  <c r="D32" i="4"/>
  <c r="H29" i="4"/>
  <c r="H27" i="4"/>
  <c r="I43" i="4"/>
  <c r="D43" i="4"/>
  <c r="I41" i="4"/>
  <c r="D41" i="4"/>
  <c r="I39" i="4"/>
  <c r="D39" i="4"/>
  <c r="H36" i="4"/>
  <c r="H34" i="4"/>
  <c r="H32" i="4"/>
  <c r="H43" i="4"/>
  <c r="H41" i="4"/>
  <c r="H39" i="4"/>
  <c r="B375" i="3"/>
  <c r="D375" i="3" s="1"/>
  <c r="B376" i="3"/>
  <c r="D376" i="3" s="1"/>
  <c r="B377" i="3"/>
  <c r="D377" i="3" s="1"/>
  <c r="B378" i="3"/>
  <c r="D378" i="3" s="1"/>
  <c r="B379" i="3"/>
  <c r="D379" i="3" s="1"/>
  <c r="B380" i="3"/>
  <c r="B381" i="3"/>
  <c r="B382" i="3"/>
  <c r="B350" i="4"/>
  <c r="K350" i="4"/>
  <c r="B351" i="4"/>
  <c r="K351" i="4"/>
  <c r="B346" i="4"/>
  <c r="K346" i="4"/>
  <c r="B347" i="4"/>
  <c r="K347" i="4"/>
  <c r="B348" i="4"/>
  <c r="K348" i="4"/>
  <c r="B337" i="4"/>
  <c r="K337" i="4"/>
  <c r="B338" i="4"/>
  <c r="K338" i="4"/>
  <c r="B339" i="4"/>
  <c r="K339" i="4"/>
  <c r="B340" i="4"/>
  <c r="K340" i="4"/>
  <c r="B341" i="4"/>
  <c r="K341" i="4"/>
  <c r="B342" i="4"/>
  <c r="K342" i="4"/>
  <c r="B343" i="4"/>
  <c r="K343" i="4"/>
  <c r="B344" i="4"/>
  <c r="K344" i="4"/>
  <c r="D344" i="4" l="1"/>
  <c r="I344" i="4"/>
  <c r="G344" i="4"/>
  <c r="C344" i="4"/>
  <c r="H344" i="4"/>
  <c r="I341" i="4"/>
  <c r="G341" i="4"/>
  <c r="C341" i="4"/>
  <c r="H341" i="4"/>
  <c r="I339" i="4"/>
  <c r="G339" i="4"/>
  <c r="C339" i="4"/>
  <c r="H339" i="4"/>
  <c r="I337" i="4"/>
  <c r="G337" i="4"/>
  <c r="C337" i="4"/>
  <c r="H337" i="4"/>
  <c r="I348" i="4"/>
  <c r="G348" i="4"/>
  <c r="C348" i="4"/>
  <c r="H348" i="4"/>
  <c r="I347" i="4"/>
  <c r="G347" i="4"/>
  <c r="C347" i="4"/>
  <c r="H347" i="4"/>
  <c r="I351" i="4"/>
  <c r="G351" i="4"/>
  <c r="C351" i="4"/>
  <c r="H351" i="4"/>
  <c r="I350" i="4"/>
  <c r="G350" i="4"/>
  <c r="C350" i="4"/>
  <c r="H350" i="4"/>
  <c r="I381" i="3"/>
  <c r="G381" i="3"/>
  <c r="C381" i="3"/>
  <c r="H381" i="3"/>
  <c r="I343" i="4"/>
  <c r="G343" i="4"/>
  <c r="C343" i="4"/>
  <c r="H343" i="4"/>
  <c r="D342" i="4"/>
  <c r="I342" i="4"/>
  <c r="G342" i="4"/>
  <c r="C342" i="4"/>
  <c r="H342" i="4"/>
  <c r="D340" i="4"/>
  <c r="I340" i="4"/>
  <c r="G340" i="4"/>
  <c r="C340" i="4"/>
  <c r="H340" i="4"/>
  <c r="I338" i="4"/>
  <c r="G338" i="4"/>
  <c r="C338" i="4"/>
  <c r="H338" i="4"/>
  <c r="I346" i="4"/>
  <c r="G346" i="4"/>
  <c r="C346" i="4"/>
  <c r="H346" i="4"/>
  <c r="H382" i="3"/>
  <c r="I382" i="3"/>
  <c r="G382" i="3"/>
  <c r="C382" i="3"/>
  <c r="H380" i="3"/>
  <c r="I380" i="3"/>
  <c r="G380" i="3"/>
  <c r="C380" i="3"/>
  <c r="I379" i="3"/>
  <c r="G379" i="3"/>
  <c r="C379" i="3"/>
  <c r="H379" i="3"/>
  <c r="H378" i="3"/>
  <c r="I378" i="3"/>
  <c r="G378" i="3"/>
  <c r="C378" i="3"/>
  <c r="I377" i="3"/>
  <c r="G377" i="3"/>
  <c r="C377" i="3"/>
  <c r="H377" i="3"/>
  <c r="H376" i="3"/>
  <c r="I376" i="3"/>
  <c r="G376" i="3"/>
  <c r="C376" i="3"/>
  <c r="I375" i="3"/>
  <c r="G375" i="3"/>
  <c r="C375" i="3"/>
  <c r="H375" i="3"/>
  <c r="D346" i="4"/>
  <c r="D339" i="4"/>
  <c r="D343" i="4"/>
  <c r="D348" i="4"/>
  <c r="D351" i="4"/>
  <c r="D350" i="4"/>
  <c r="D381" i="3"/>
  <c r="D382" i="3"/>
  <c r="D380" i="3"/>
  <c r="D338" i="4"/>
  <c r="D337" i="4"/>
  <c r="D347" i="4"/>
  <c r="D341" i="4"/>
  <c r="B350" i="3"/>
  <c r="H350" i="3" l="1"/>
  <c r="I350" i="3"/>
  <c r="G350" i="3"/>
  <c r="C350" i="3"/>
  <c r="D350" i="3"/>
  <c r="B302" i="3"/>
  <c r="B303" i="3"/>
  <c r="B304" i="3"/>
  <c r="B305" i="3"/>
  <c r="B306" i="3"/>
  <c r="B308" i="3"/>
  <c r="B309" i="3"/>
  <c r="B310" i="3"/>
  <c r="B311" i="3"/>
  <c r="B312" i="3"/>
  <c r="B313" i="3"/>
  <c r="B314" i="3"/>
  <c r="B315" i="3"/>
  <c r="B316" i="3"/>
  <c r="B317" i="3"/>
  <c r="B318" i="3"/>
  <c r="B320" i="3"/>
  <c r="B321" i="3"/>
  <c r="B322" i="3"/>
  <c r="B323" i="3"/>
  <c r="B324" i="3"/>
  <c r="B325" i="3"/>
  <c r="B326" i="3"/>
  <c r="B327" i="3"/>
  <c r="B328" i="3"/>
  <c r="B329" i="3"/>
  <c r="B330" i="3"/>
  <c r="B332" i="3"/>
  <c r="B333" i="3"/>
  <c r="B334" i="3"/>
  <c r="B335" i="3"/>
  <c r="B336" i="3"/>
  <c r="B337" i="3"/>
  <c r="B338" i="3"/>
  <c r="B339" i="3"/>
  <c r="B340" i="3"/>
  <c r="B341" i="3"/>
  <c r="B343" i="3"/>
  <c r="B344" i="3"/>
  <c r="B345" i="3"/>
  <c r="B346" i="3"/>
  <c r="B347" i="3"/>
  <c r="B348" i="3"/>
  <c r="B349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H360" i="3" l="1"/>
  <c r="I360" i="3"/>
  <c r="G360" i="3"/>
  <c r="C360" i="3"/>
  <c r="H358" i="3"/>
  <c r="I358" i="3"/>
  <c r="G358" i="3"/>
  <c r="C358" i="3"/>
  <c r="H356" i="3"/>
  <c r="I356" i="3"/>
  <c r="G356" i="3"/>
  <c r="C356" i="3"/>
  <c r="H354" i="3"/>
  <c r="I354" i="3"/>
  <c r="G354" i="3"/>
  <c r="C354" i="3"/>
  <c r="H352" i="3"/>
  <c r="I352" i="3"/>
  <c r="G352" i="3"/>
  <c r="C352" i="3"/>
  <c r="H348" i="3"/>
  <c r="I348" i="3"/>
  <c r="G348" i="3"/>
  <c r="C348" i="3"/>
  <c r="H346" i="3"/>
  <c r="I346" i="3"/>
  <c r="G346" i="3"/>
  <c r="C346" i="3"/>
  <c r="H344" i="3"/>
  <c r="I344" i="3"/>
  <c r="G344" i="3"/>
  <c r="C344" i="3"/>
  <c r="I341" i="3"/>
  <c r="G341" i="3"/>
  <c r="C341" i="3"/>
  <c r="H341" i="3"/>
  <c r="I339" i="3"/>
  <c r="G339" i="3"/>
  <c r="C339" i="3"/>
  <c r="H339" i="3"/>
  <c r="I337" i="3"/>
  <c r="G337" i="3"/>
  <c r="C337" i="3"/>
  <c r="H337" i="3"/>
  <c r="I335" i="3"/>
  <c r="G335" i="3"/>
  <c r="C335" i="3"/>
  <c r="H335" i="3"/>
  <c r="I333" i="3"/>
  <c r="G333" i="3"/>
  <c r="C333" i="3"/>
  <c r="H333" i="3"/>
  <c r="I330" i="3"/>
  <c r="G330" i="3"/>
  <c r="C330" i="3"/>
  <c r="H330" i="3"/>
  <c r="I328" i="3"/>
  <c r="G328" i="3"/>
  <c r="C328" i="3"/>
  <c r="H328" i="3"/>
  <c r="D326" i="3"/>
  <c r="I326" i="3"/>
  <c r="G326" i="3"/>
  <c r="C326" i="3"/>
  <c r="H326" i="3"/>
  <c r="D324" i="3"/>
  <c r="I324" i="3"/>
  <c r="G324" i="3"/>
  <c r="C324" i="3"/>
  <c r="H324" i="3"/>
  <c r="D322" i="3"/>
  <c r="I322" i="3"/>
  <c r="G322" i="3"/>
  <c r="C322" i="3"/>
  <c r="H322" i="3"/>
  <c r="D320" i="3"/>
  <c r="I320" i="3"/>
  <c r="G320" i="3"/>
  <c r="C320" i="3"/>
  <c r="H320" i="3"/>
  <c r="H317" i="3"/>
  <c r="I317" i="3"/>
  <c r="G317" i="3"/>
  <c r="C317" i="3"/>
  <c r="H315" i="3"/>
  <c r="I315" i="3"/>
  <c r="G315" i="3"/>
  <c r="C315" i="3"/>
  <c r="H313" i="3"/>
  <c r="I313" i="3"/>
  <c r="G313" i="3"/>
  <c r="C313" i="3"/>
  <c r="H311" i="3"/>
  <c r="I311" i="3"/>
  <c r="G311" i="3"/>
  <c r="C311" i="3"/>
  <c r="H309" i="3"/>
  <c r="I309" i="3"/>
  <c r="C309" i="3"/>
  <c r="G309" i="3"/>
  <c r="I306" i="3"/>
  <c r="G306" i="3"/>
  <c r="C306" i="3"/>
  <c r="H306" i="3"/>
  <c r="I304" i="3"/>
  <c r="G304" i="3"/>
  <c r="C304" i="3"/>
  <c r="H304" i="3"/>
  <c r="I302" i="3"/>
  <c r="G302" i="3"/>
  <c r="C302" i="3"/>
  <c r="H302" i="3"/>
  <c r="D362" i="3"/>
  <c r="H362" i="3"/>
  <c r="I362" i="3"/>
  <c r="G362" i="3"/>
  <c r="C362" i="3"/>
  <c r="I363" i="3"/>
  <c r="G363" i="3"/>
  <c r="C363" i="3"/>
  <c r="H363" i="3"/>
  <c r="I361" i="3"/>
  <c r="G361" i="3"/>
  <c r="C361" i="3"/>
  <c r="H361" i="3"/>
  <c r="I359" i="3"/>
  <c r="G359" i="3"/>
  <c r="C359" i="3"/>
  <c r="H359" i="3"/>
  <c r="D357" i="3"/>
  <c r="I357" i="3"/>
  <c r="G357" i="3"/>
  <c r="C357" i="3"/>
  <c r="H357" i="3"/>
  <c r="I355" i="3"/>
  <c r="G355" i="3"/>
  <c r="C355" i="3"/>
  <c r="H355" i="3"/>
  <c r="I353" i="3"/>
  <c r="G353" i="3"/>
  <c r="C353" i="3"/>
  <c r="H353" i="3"/>
  <c r="I349" i="3"/>
  <c r="G349" i="3"/>
  <c r="C349" i="3"/>
  <c r="H349" i="3"/>
  <c r="I347" i="3"/>
  <c r="G347" i="3"/>
  <c r="C347" i="3"/>
  <c r="H347" i="3"/>
  <c r="I345" i="3"/>
  <c r="G345" i="3"/>
  <c r="C345" i="3"/>
  <c r="H345" i="3"/>
  <c r="I343" i="3"/>
  <c r="G343" i="3"/>
  <c r="C343" i="3"/>
  <c r="H343" i="3"/>
  <c r="D340" i="3"/>
  <c r="H340" i="3"/>
  <c r="I340" i="3"/>
  <c r="G340" i="3"/>
  <c r="C340" i="3"/>
  <c r="H338" i="3"/>
  <c r="I338" i="3"/>
  <c r="G338" i="3"/>
  <c r="C338" i="3"/>
  <c r="H336" i="3"/>
  <c r="I336" i="3"/>
  <c r="G336" i="3"/>
  <c r="C336" i="3"/>
  <c r="H334" i="3"/>
  <c r="I334" i="3"/>
  <c r="G334" i="3"/>
  <c r="C334" i="3"/>
  <c r="H332" i="3"/>
  <c r="I332" i="3"/>
  <c r="G332" i="3"/>
  <c r="C332" i="3"/>
  <c r="H329" i="3"/>
  <c r="I329" i="3"/>
  <c r="G329" i="3"/>
  <c r="C329" i="3"/>
  <c r="H327" i="3"/>
  <c r="I327" i="3"/>
  <c r="G327" i="3"/>
  <c r="C327" i="3"/>
  <c r="H325" i="3"/>
  <c r="I325" i="3"/>
  <c r="G325" i="3"/>
  <c r="C325" i="3"/>
  <c r="H323" i="3"/>
  <c r="I323" i="3"/>
  <c r="G323" i="3"/>
  <c r="C323" i="3"/>
  <c r="H321" i="3"/>
  <c r="I321" i="3"/>
  <c r="G321" i="3"/>
  <c r="C321" i="3"/>
  <c r="D318" i="3"/>
  <c r="I318" i="3"/>
  <c r="G318" i="3"/>
  <c r="C318" i="3"/>
  <c r="H318" i="3"/>
  <c r="D316" i="3"/>
  <c r="I316" i="3"/>
  <c r="G316" i="3"/>
  <c r="C316" i="3"/>
  <c r="H316" i="3"/>
  <c r="I314" i="3"/>
  <c r="G314" i="3"/>
  <c r="C314" i="3"/>
  <c r="H314" i="3"/>
  <c r="I312" i="3"/>
  <c r="G312" i="3"/>
  <c r="C312" i="3"/>
  <c r="H312" i="3"/>
  <c r="I310" i="3"/>
  <c r="G310" i="3"/>
  <c r="C310" i="3"/>
  <c r="H310" i="3"/>
  <c r="I308" i="3"/>
  <c r="G308" i="3"/>
  <c r="C308" i="3"/>
  <c r="H308" i="3"/>
  <c r="D305" i="3"/>
  <c r="H305" i="3"/>
  <c r="I305" i="3"/>
  <c r="C305" i="3"/>
  <c r="G305" i="3"/>
  <c r="H303" i="3"/>
  <c r="G303" i="3"/>
  <c r="I303" i="3"/>
  <c r="C303" i="3"/>
  <c r="D306" i="3"/>
  <c r="D304" i="3"/>
  <c r="D302" i="3"/>
  <c r="D314" i="3"/>
  <c r="D310" i="3"/>
  <c r="D312" i="3"/>
  <c r="D308" i="3"/>
  <c r="D330" i="3"/>
  <c r="D313" i="3"/>
  <c r="D311" i="3"/>
  <c r="D309" i="3"/>
  <c r="D336" i="3"/>
  <c r="D334" i="3"/>
  <c r="D332" i="3"/>
  <c r="D333" i="3"/>
  <c r="D328" i="3"/>
  <c r="D325" i="3"/>
  <c r="D317" i="3"/>
  <c r="D327" i="3"/>
  <c r="D321" i="3"/>
  <c r="D303" i="3"/>
  <c r="D315" i="3"/>
  <c r="D341" i="3"/>
  <c r="D355" i="3"/>
  <c r="D353" i="3"/>
  <c r="D361" i="3"/>
  <c r="D349" i="3"/>
  <c r="D347" i="3"/>
  <c r="D346" i="3"/>
  <c r="D345" i="3"/>
  <c r="D343" i="3"/>
  <c r="D339" i="3"/>
  <c r="D338" i="3"/>
  <c r="D329" i="3"/>
  <c r="D323" i="3"/>
  <c r="D337" i="3"/>
  <c r="D335" i="3"/>
  <c r="D360" i="3"/>
  <c r="D359" i="3"/>
  <c r="D356" i="3"/>
  <c r="D358" i="3"/>
  <c r="D354" i="3"/>
  <c r="D352" i="3"/>
  <c r="D348" i="3"/>
  <c r="D344" i="3"/>
  <c r="D363" i="3"/>
  <c r="B328" i="4"/>
  <c r="K328" i="4"/>
  <c r="B329" i="4"/>
  <c r="K329" i="4"/>
  <c r="B330" i="4"/>
  <c r="K330" i="4"/>
  <c r="B331" i="4"/>
  <c r="K331" i="4"/>
  <c r="B332" i="4"/>
  <c r="K332" i="4"/>
  <c r="B333" i="4"/>
  <c r="K333" i="4"/>
  <c r="D333" i="4" l="1"/>
  <c r="I333" i="4"/>
  <c r="G333" i="4"/>
  <c r="C333" i="4"/>
  <c r="H333" i="4"/>
  <c r="I332" i="4"/>
  <c r="G332" i="4"/>
  <c r="C332" i="4"/>
  <c r="H332" i="4"/>
  <c r="I330" i="4"/>
  <c r="G330" i="4"/>
  <c r="C330" i="4"/>
  <c r="H330" i="4"/>
  <c r="I329" i="4"/>
  <c r="G329" i="4"/>
  <c r="C329" i="4"/>
  <c r="H329" i="4"/>
  <c r="I331" i="4"/>
  <c r="G331" i="4"/>
  <c r="C331" i="4"/>
  <c r="H331" i="4"/>
  <c r="I328" i="4"/>
  <c r="G328" i="4"/>
  <c r="C328" i="4"/>
  <c r="H328" i="4"/>
  <c r="D330" i="4"/>
  <c r="D328" i="4"/>
  <c r="D332" i="4"/>
  <c r="D331" i="4"/>
  <c r="D329" i="4"/>
  <c r="B315" i="4" l="1"/>
  <c r="K315" i="4"/>
  <c r="B316" i="4"/>
  <c r="K316" i="4"/>
  <c r="B317" i="4"/>
  <c r="K317" i="4"/>
  <c r="B318" i="4"/>
  <c r="K318" i="4"/>
  <c r="B319" i="4"/>
  <c r="K319" i="4"/>
  <c r="B286" i="3"/>
  <c r="B287" i="3"/>
  <c r="B288" i="3"/>
  <c r="B289" i="3"/>
  <c r="B290" i="3"/>
  <c r="B291" i="3"/>
  <c r="B292" i="3"/>
  <c r="B293" i="3"/>
  <c r="B294" i="3"/>
  <c r="I292" i="3" l="1"/>
  <c r="G292" i="3"/>
  <c r="C292" i="3"/>
  <c r="H292" i="3"/>
  <c r="I288" i="3"/>
  <c r="G288" i="3"/>
  <c r="C288" i="3"/>
  <c r="H288" i="3"/>
  <c r="H293" i="3"/>
  <c r="I293" i="3"/>
  <c r="G293" i="3"/>
  <c r="C293" i="3"/>
  <c r="D291" i="3"/>
  <c r="H291" i="3"/>
  <c r="I291" i="3"/>
  <c r="G291" i="3"/>
  <c r="C291" i="3"/>
  <c r="H289" i="3"/>
  <c r="I289" i="3"/>
  <c r="G289" i="3"/>
  <c r="C289" i="3"/>
  <c r="D287" i="3"/>
  <c r="H287" i="3"/>
  <c r="I287" i="3"/>
  <c r="G287" i="3"/>
  <c r="C287" i="3"/>
  <c r="I294" i="3"/>
  <c r="G294" i="3"/>
  <c r="C294" i="3"/>
  <c r="H294" i="3"/>
  <c r="I290" i="3"/>
  <c r="G290" i="3"/>
  <c r="C290" i="3"/>
  <c r="H290" i="3"/>
  <c r="I286" i="3"/>
  <c r="G286" i="3"/>
  <c r="C286" i="3"/>
  <c r="H286" i="3"/>
  <c r="H319" i="4"/>
  <c r="I319" i="4"/>
  <c r="G319" i="4"/>
  <c r="C319" i="4"/>
  <c r="H318" i="4"/>
  <c r="I318" i="4"/>
  <c r="G318" i="4"/>
  <c r="C318" i="4"/>
  <c r="H317" i="4"/>
  <c r="I317" i="4"/>
  <c r="G317" i="4"/>
  <c r="C317" i="4"/>
  <c r="H316" i="4"/>
  <c r="I316" i="4"/>
  <c r="G316" i="4"/>
  <c r="C316" i="4"/>
  <c r="H315" i="4"/>
  <c r="I315" i="4"/>
  <c r="G315" i="4"/>
  <c r="C315" i="4"/>
  <c r="D315" i="4"/>
  <c r="D319" i="4"/>
  <c r="D317" i="4"/>
  <c r="D290" i="3"/>
  <c r="D288" i="3"/>
  <c r="D294" i="3"/>
  <c r="D292" i="3"/>
  <c r="D286" i="3"/>
  <c r="D318" i="4"/>
  <c r="D316" i="4"/>
  <c r="D293" i="3"/>
  <c r="D289" i="3"/>
  <c r="B19" i="6"/>
  <c r="B20" i="6"/>
  <c r="B21" i="6"/>
  <c r="B22" i="6"/>
  <c r="B23" i="6"/>
  <c r="B24" i="6"/>
  <c r="B25" i="6"/>
  <c r="B26" i="6"/>
  <c r="B27" i="6"/>
  <c r="B28" i="6"/>
  <c r="D28" i="6" s="1"/>
  <c r="B29" i="6"/>
  <c r="B30" i="6"/>
  <c r="D30" i="6" s="1"/>
  <c r="B31" i="6"/>
  <c r="B32" i="6"/>
  <c r="D32" i="6" s="1"/>
  <c r="B33" i="6"/>
  <c r="B34" i="6"/>
  <c r="D34" i="6" s="1"/>
  <c r="B35" i="6"/>
  <c r="B36" i="6"/>
  <c r="D36" i="6" s="1"/>
  <c r="B37" i="6"/>
  <c r="B38" i="6"/>
  <c r="D38" i="6" s="1"/>
  <c r="B39" i="6"/>
  <c r="B40" i="6"/>
  <c r="D40" i="6" s="1"/>
  <c r="D19" i="6"/>
  <c r="D20" i="6"/>
  <c r="D21" i="6"/>
  <c r="D22" i="6"/>
  <c r="D23" i="6"/>
  <c r="D24" i="6"/>
  <c r="D25" i="6"/>
  <c r="D26" i="6"/>
  <c r="D27" i="6"/>
  <c r="D29" i="6"/>
  <c r="D31" i="6"/>
  <c r="D33" i="6"/>
  <c r="D35" i="6"/>
  <c r="D37" i="6"/>
  <c r="D39" i="6"/>
  <c r="I40" i="6" l="1"/>
  <c r="G40" i="6"/>
  <c r="C40" i="6"/>
  <c r="H40" i="6"/>
  <c r="I38" i="6"/>
  <c r="G38" i="6"/>
  <c r="C38" i="6"/>
  <c r="H38" i="6"/>
  <c r="I36" i="6"/>
  <c r="G36" i="6"/>
  <c r="C36" i="6"/>
  <c r="H36" i="6"/>
  <c r="I34" i="6"/>
  <c r="G34" i="6"/>
  <c r="C34" i="6"/>
  <c r="H34" i="6"/>
  <c r="I32" i="6"/>
  <c r="G32" i="6"/>
  <c r="C32" i="6"/>
  <c r="H32" i="6"/>
  <c r="I30" i="6"/>
  <c r="G30" i="6"/>
  <c r="C30" i="6"/>
  <c r="H30" i="6"/>
  <c r="I28" i="6"/>
  <c r="G28" i="6"/>
  <c r="C28" i="6"/>
  <c r="H28" i="6"/>
  <c r="I26" i="6"/>
  <c r="G26" i="6"/>
  <c r="C26" i="6"/>
  <c r="H26" i="6"/>
  <c r="I24" i="6"/>
  <c r="G24" i="6"/>
  <c r="C24" i="6"/>
  <c r="H24" i="6"/>
  <c r="I22" i="6"/>
  <c r="G22" i="6"/>
  <c r="C22" i="6"/>
  <c r="H22" i="6"/>
  <c r="I20" i="6"/>
  <c r="G20" i="6"/>
  <c r="C20" i="6"/>
  <c r="H20" i="6"/>
  <c r="H39" i="6"/>
  <c r="I39" i="6"/>
  <c r="C39" i="6"/>
  <c r="G39" i="6"/>
  <c r="H37" i="6"/>
  <c r="G37" i="6"/>
  <c r="I37" i="6"/>
  <c r="C37" i="6"/>
  <c r="H35" i="6"/>
  <c r="I35" i="6"/>
  <c r="C35" i="6"/>
  <c r="G35" i="6"/>
  <c r="H33" i="6"/>
  <c r="G33" i="6"/>
  <c r="C33" i="6"/>
  <c r="I33" i="6"/>
  <c r="H31" i="6"/>
  <c r="I31" i="6"/>
  <c r="C31" i="6"/>
  <c r="G31" i="6"/>
  <c r="H29" i="6"/>
  <c r="G29" i="6"/>
  <c r="I29" i="6"/>
  <c r="C29" i="6"/>
  <c r="H27" i="6"/>
  <c r="I27" i="6"/>
  <c r="C27" i="6"/>
  <c r="G27" i="6"/>
  <c r="H25" i="6"/>
  <c r="G25" i="6"/>
  <c r="C25" i="6"/>
  <c r="I25" i="6"/>
  <c r="H23" i="6"/>
  <c r="I23" i="6"/>
  <c r="C23" i="6"/>
  <c r="G23" i="6"/>
  <c r="H21" i="6"/>
  <c r="G21" i="6"/>
  <c r="I21" i="6"/>
  <c r="C21" i="6"/>
  <c r="H19" i="6"/>
  <c r="I19" i="6"/>
  <c r="C19" i="6"/>
  <c r="G19" i="6"/>
  <c r="B4" i="6"/>
  <c r="H4" i="6" l="1"/>
  <c r="I4" i="6"/>
  <c r="C4" i="6"/>
  <c r="G4" i="6"/>
  <c r="B278" i="3"/>
  <c r="I278" i="3" l="1"/>
  <c r="G278" i="3"/>
  <c r="C278" i="3"/>
  <c r="H278" i="3"/>
  <c r="D278" i="3"/>
  <c r="B271" i="3"/>
  <c r="B273" i="3"/>
  <c r="B274" i="3"/>
  <c r="B275" i="3"/>
  <c r="B276" i="3"/>
  <c r="B277" i="3"/>
  <c r="B306" i="4"/>
  <c r="K306" i="4"/>
  <c r="B307" i="4"/>
  <c r="K307" i="4"/>
  <c r="B308" i="4"/>
  <c r="K308" i="4"/>
  <c r="B309" i="4"/>
  <c r="K309" i="4"/>
  <c r="B310" i="4"/>
  <c r="K310" i="4"/>
  <c r="B311" i="4"/>
  <c r="K311" i="4"/>
  <c r="B301" i="4"/>
  <c r="K301" i="4"/>
  <c r="B302" i="4"/>
  <c r="K302" i="4"/>
  <c r="B303" i="4"/>
  <c r="K303" i="4"/>
  <c r="B304" i="4"/>
  <c r="K304" i="4"/>
  <c r="H304" i="4" l="1"/>
  <c r="I304" i="4"/>
  <c r="G304" i="4"/>
  <c r="C304" i="4"/>
  <c r="D301" i="4"/>
  <c r="H301" i="4"/>
  <c r="I301" i="4"/>
  <c r="G301" i="4"/>
  <c r="C301" i="4"/>
  <c r="H310" i="4"/>
  <c r="I310" i="4"/>
  <c r="G310" i="4"/>
  <c r="C310" i="4"/>
  <c r="H308" i="4"/>
  <c r="I308" i="4"/>
  <c r="G308" i="4"/>
  <c r="C308" i="4"/>
  <c r="H307" i="4"/>
  <c r="I307" i="4"/>
  <c r="G307" i="4"/>
  <c r="C307" i="4"/>
  <c r="H306" i="4"/>
  <c r="I306" i="4"/>
  <c r="G306" i="4"/>
  <c r="C306" i="4"/>
  <c r="I276" i="3"/>
  <c r="G276" i="3"/>
  <c r="C276" i="3"/>
  <c r="H276" i="3"/>
  <c r="I274" i="3"/>
  <c r="G274" i="3"/>
  <c r="C274" i="3"/>
  <c r="H274" i="3"/>
  <c r="H271" i="3"/>
  <c r="I271" i="3"/>
  <c r="G271" i="3"/>
  <c r="C271" i="3"/>
  <c r="H303" i="4"/>
  <c r="I303" i="4"/>
  <c r="G303" i="4"/>
  <c r="C303" i="4"/>
  <c r="H302" i="4"/>
  <c r="I302" i="4"/>
  <c r="G302" i="4"/>
  <c r="C302" i="4"/>
  <c r="D311" i="4"/>
  <c r="H311" i="4"/>
  <c r="I311" i="4"/>
  <c r="G311" i="4"/>
  <c r="C311" i="4"/>
  <c r="D309" i="4"/>
  <c r="H309" i="4"/>
  <c r="I309" i="4"/>
  <c r="G309" i="4"/>
  <c r="C309" i="4"/>
  <c r="H277" i="3"/>
  <c r="I277" i="3"/>
  <c r="G277" i="3"/>
  <c r="C277" i="3"/>
  <c r="H275" i="3"/>
  <c r="I275" i="3"/>
  <c r="G275" i="3"/>
  <c r="C275" i="3"/>
  <c r="H273" i="3"/>
  <c r="I273" i="3"/>
  <c r="G273" i="3"/>
  <c r="C273" i="3"/>
  <c r="D271" i="3"/>
  <c r="D310" i="4"/>
  <c r="D307" i="4"/>
  <c r="D306" i="4"/>
  <c r="D304" i="4"/>
  <c r="D308" i="4"/>
  <c r="D277" i="3"/>
  <c r="D273" i="3"/>
  <c r="D275" i="3"/>
  <c r="D302" i="4"/>
  <c r="D276" i="3"/>
  <c r="D274" i="3"/>
  <c r="D303" i="4"/>
  <c r="B266" i="3"/>
  <c r="B256" i="3"/>
  <c r="B257" i="3"/>
  <c r="B258" i="3"/>
  <c r="B259" i="3"/>
  <c r="B260" i="3"/>
  <c r="B261" i="3"/>
  <c r="B262" i="3"/>
  <c r="B263" i="3"/>
  <c r="B264" i="3"/>
  <c r="B265" i="3"/>
  <c r="H265" i="3" l="1"/>
  <c r="I265" i="3"/>
  <c r="G265" i="3"/>
  <c r="C265" i="3"/>
  <c r="H261" i="3"/>
  <c r="I261" i="3"/>
  <c r="G261" i="3"/>
  <c r="C261" i="3"/>
  <c r="D259" i="3"/>
  <c r="H259" i="3"/>
  <c r="I259" i="3"/>
  <c r="G259" i="3"/>
  <c r="C259" i="3"/>
  <c r="I264" i="3"/>
  <c r="G264" i="3"/>
  <c r="C264" i="3"/>
  <c r="H264" i="3"/>
  <c r="I262" i="3"/>
  <c r="G262" i="3"/>
  <c r="C262" i="3"/>
  <c r="H262" i="3"/>
  <c r="I260" i="3"/>
  <c r="G260" i="3"/>
  <c r="C260" i="3"/>
  <c r="H260" i="3"/>
  <c r="I258" i="3"/>
  <c r="G258" i="3"/>
  <c r="C258" i="3"/>
  <c r="H258" i="3"/>
  <c r="I256" i="3"/>
  <c r="G256" i="3"/>
  <c r="C256" i="3"/>
  <c r="H256" i="3"/>
  <c r="D263" i="3"/>
  <c r="H263" i="3"/>
  <c r="I263" i="3"/>
  <c r="G263" i="3"/>
  <c r="C263" i="3"/>
  <c r="H257" i="3"/>
  <c r="I257" i="3"/>
  <c r="G257" i="3"/>
  <c r="C257" i="3"/>
  <c r="I266" i="3"/>
  <c r="G266" i="3"/>
  <c r="C266" i="3"/>
  <c r="H266" i="3"/>
  <c r="D266" i="3"/>
  <c r="D258" i="3"/>
  <c r="D256" i="3"/>
  <c r="D264" i="3"/>
  <c r="D262" i="3"/>
  <c r="D260" i="3"/>
  <c r="D265" i="3"/>
  <c r="D261" i="3"/>
  <c r="D257" i="3"/>
  <c r="B9" i="9"/>
  <c r="B4" i="9"/>
  <c r="B5" i="9"/>
  <c r="B6" i="9"/>
  <c r="B7" i="9"/>
  <c r="B294" i="4"/>
  <c r="K294" i="4"/>
  <c r="B295" i="4"/>
  <c r="K295" i="4"/>
  <c r="B290" i="4"/>
  <c r="K290" i="4"/>
  <c r="B291" i="4"/>
  <c r="K291" i="4"/>
  <c r="B292" i="4"/>
  <c r="K292" i="4"/>
  <c r="B279" i="4"/>
  <c r="K279" i="4"/>
  <c r="B280" i="4"/>
  <c r="K280" i="4"/>
  <c r="B281" i="4"/>
  <c r="K281" i="4"/>
  <c r="B282" i="4"/>
  <c r="K282" i="4"/>
  <c r="B283" i="4"/>
  <c r="K283" i="4"/>
  <c r="B284" i="4"/>
  <c r="K284" i="4"/>
  <c r="B285" i="4"/>
  <c r="K285" i="4"/>
  <c r="B286" i="4"/>
  <c r="K286" i="4"/>
  <c r="B287" i="4"/>
  <c r="K287" i="4"/>
  <c r="B288" i="4"/>
  <c r="K288" i="4"/>
  <c r="B274" i="4"/>
  <c r="K274" i="4"/>
  <c r="B275" i="4"/>
  <c r="K275" i="4"/>
  <c r="B276" i="4"/>
  <c r="K276" i="4"/>
  <c r="B277" i="4"/>
  <c r="K277" i="4"/>
  <c r="H277" i="4" l="1"/>
  <c r="I277" i="4"/>
  <c r="G277" i="4"/>
  <c r="C277" i="4"/>
  <c r="H276" i="4"/>
  <c r="I276" i="4"/>
  <c r="G276" i="4"/>
  <c r="C276" i="4"/>
  <c r="H274" i="4"/>
  <c r="I274" i="4"/>
  <c r="G274" i="4"/>
  <c r="C274" i="4"/>
  <c r="H287" i="4"/>
  <c r="I287" i="4"/>
  <c r="G287" i="4"/>
  <c r="C287" i="4"/>
  <c r="H285" i="4"/>
  <c r="I285" i="4"/>
  <c r="G285" i="4"/>
  <c r="C285" i="4"/>
  <c r="D284" i="4"/>
  <c r="H284" i="4"/>
  <c r="I284" i="4"/>
  <c r="G284" i="4"/>
  <c r="C284" i="4"/>
  <c r="D282" i="4"/>
  <c r="H282" i="4"/>
  <c r="I282" i="4"/>
  <c r="G282" i="4"/>
  <c r="C282" i="4"/>
  <c r="D280" i="4"/>
  <c r="H280" i="4"/>
  <c r="I280" i="4"/>
  <c r="G280" i="4"/>
  <c r="C280" i="4"/>
  <c r="H292" i="4"/>
  <c r="I292" i="4"/>
  <c r="G292" i="4"/>
  <c r="C292" i="4"/>
  <c r="H290" i="4"/>
  <c r="I290" i="4"/>
  <c r="G290" i="4"/>
  <c r="C290" i="4"/>
  <c r="H7" i="9"/>
  <c r="I7" i="9"/>
  <c r="C7" i="9"/>
  <c r="G7" i="9"/>
  <c r="H5" i="9"/>
  <c r="G5" i="9"/>
  <c r="I5" i="9"/>
  <c r="C5" i="9"/>
  <c r="H9" i="9"/>
  <c r="G9" i="9"/>
  <c r="C9" i="9"/>
  <c r="I9" i="9"/>
  <c r="H275" i="4"/>
  <c r="I275" i="4"/>
  <c r="G275" i="4"/>
  <c r="C275" i="4"/>
  <c r="D288" i="4"/>
  <c r="H288" i="4"/>
  <c r="I288" i="4"/>
  <c r="G288" i="4"/>
  <c r="C288" i="4"/>
  <c r="D286" i="4"/>
  <c r="H286" i="4"/>
  <c r="I286" i="4"/>
  <c r="G286" i="4"/>
  <c r="C286" i="4"/>
  <c r="H283" i="4"/>
  <c r="I283" i="4"/>
  <c r="G283" i="4"/>
  <c r="C283" i="4"/>
  <c r="H281" i="4"/>
  <c r="I281" i="4"/>
  <c r="G281" i="4"/>
  <c r="C281" i="4"/>
  <c r="H279" i="4"/>
  <c r="I279" i="4"/>
  <c r="G279" i="4"/>
  <c r="C279" i="4"/>
  <c r="H291" i="4"/>
  <c r="I291" i="4"/>
  <c r="G291" i="4"/>
  <c r="C291" i="4"/>
  <c r="H295" i="4"/>
  <c r="I295" i="4"/>
  <c r="G295" i="4"/>
  <c r="C295" i="4"/>
  <c r="H294" i="4"/>
  <c r="I294" i="4"/>
  <c r="G294" i="4"/>
  <c r="C294" i="4"/>
  <c r="I6" i="9"/>
  <c r="G6" i="9"/>
  <c r="C6" i="9"/>
  <c r="H6" i="9"/>
  <c r="I4" i="9"/>
  <c r="G4" i="9"/>
  <c r="C4" i="9"/>
  <c r="H4" i="9"/>
  <c r="D292" i="4"/>
  <c r="D294" i="4"/>
  <c r="D276" i="4"/>
  <c r="D290" i="4"/>
  <c r="D5" i="9"/>
  <c r="D274" i="4"/>
  <c r="D285" i="4"/>
  <c r="D281" i="4"/>
  <c r="D295" i="4"/>
  <c r="D7" i="9"/>
  <c r="D4" i="9"/>
  <c r="D9" i="9"/>
  <c r="D6" i="9"/>
  <c r="D287" i="4"/>
  <c r="D283" i="4"/>
  <c r="D279" i="4"/>
  <c r="D291" i="4"/>
  <c r="D277" i="4"/>
  <c r="D275" i="4"/>
  <c r="B257" i="4" l="1"/>
  <c r="K257" i="4"/>
  <c r="B258" i="4"/>
  <c r="K258" i="4"/>
  <c r="B259" i="4"/>
  <c r="K259" i="4"/>
  <c r="B260" i="4"/>
  <c r="K260" i="4"/>
  <c r="B261" i="4"/>
  <c r="K261" i="4"/>
  <c r="B262" i="4"/>
  <c r="K262" i="4"/>
  <c r="B263" i="4"/>
  <c r="K263" i="4"/>
  <c r="B264" i="4"/>
  <c r="K264" i="4"/>
  <c r="B265" i="4"/>
  <c r="K265" i="4"/>
  <c r="B266" i="4"/>
  <c r="K266" i="4"/>
  <c r="B253" i="4"/>
  <c r="K253" i="4"/>
  <c r="B254" i="4"/>
  <c r="K254" i="4"/>
  <c r="B255" i="4"/>
  <c r="K255" i="4"/>
  <c r="B250" i="4"/>
  <c r="K250" i="4"/>
  <c r="B251" i="4"/>
  <c r="K251" i="4"/>
  <c r="B244" i="4"/>
  <c r="K244" i="4"/>
  <c r="B245" i="4"/>
  <c r="K245" i="4"/>
  <c r="B246" i="4"/>
  <c r="K246" i="4"/>
  <c r="B247" i="4"/>
  <c r="K247" i="4"/>
  <c r="B248" i="4"/>
  <c r="K248" i="4"/>
  <c r="B236" i="4"/>
  <c r="K236" i="4"/>
  <c r="B237" i="4"/>
  <c r="K237" i="4"/>
  <c r="B238" i="4"/>
  <c r="K238" i="4"/>
  <c r="B239" i="4"/>
  <c r="K239" i="4"/>
  <c r="B240" i="4"/>
  <c r="K240" i="4"/>
  <c r="B241" i="4"/>
  <c r="K241" i="4"/>
  <c r="B242" i="4"/>
  <c r="K242" i="4"/>
  <c r="B234" i="4"/>
  <c r="K234" i="4"/>
  <c r="B230" i="4"/>
  <c r="K230" i="4"/>
  <c r="B231" i="4"/>
  <c r="K231" i="4"/>
  <c r="B232" i="4"/>
  <c r="K232" i="4"/>
  <c r="B222" i="4"/>
  <c r="K222" i="4"/>
  <c r="K223" i="4"/>
  <c r="B224" i="4"/>
  <c r="K224" i="4"/>
  <c r="B225" i="4"/>
  <c r="K225" i="4"/>
  <c r="B226" i="4"/>
  <c r="K226" i="4"/>
  <c r="B227" i="4"/>
  <c r="K227" i="4"/>
  <c r="B228" i="4"/>
  <c r="K228" i="4"/>
  <c r="H227" i="4" l="1"/>
  <c r="I227" i="4"/>
  <c r="G227" i="4"/>
  <c r="C227" i="4"/>
  <c r="H225" i="4"/>
  <c r="I225" i="4"/>
  <c r="G225" i="4"/>
  <c r="C225" i="4"/>
  <c r="H224" i="4"/>
  <c r="I224" i="4"/>
  <c r="G224" i="4"/>
  <c r="C224" i="4"/>
  <c r="H222" i="4"/>
  <c r="I222" i="4"/>
  <c r="G222" i="4"/>
  <c r="C222" i="4"/>
  <c r="H231" i="4"/>
  <c r="I231" i="4"/>
  <c r="G231" i="4"/>
  <c r="C231" i="4"/>
  <c r="D234" i="4"/>
  <c r="H234" i="4"/>
  <c r="I234" i="4"/>
  <c r="G234" i="4"/>
  <c r="C234" i="4"/>
  <c r="H242" i="4"/>
  <c r="I242" i="4"/>
  <c r="G242" i="4"/>
  <c r="C242" i="4"/>
  <c r="H240" i="4"/>
  <c r="I240" i="4"/>
  <c r="G240" i="4"/>
  <c r="C240" i="4"/>
  <c r="H238" i="4"/>
  <c r="I238" i="4"/>
  <c r="G238" i="4"/>
  <c r="C238" i="4"/>
  <c r="H237" i="4"/>
  <c r="I237" i="4"/>
  <c r="G237" i="4"/>
  <c r="C237" i="4"/>
  <c r="H248" i="4"/>
  <c r="I248" i="4"/>
  <c r="G248" i="4"/>
  <c r="C248" i="4"/>
  <c r="H246" i="4"/>
  <c r="I246" i="4"/>
  <c r="G246" i="4"/>
  <c r="C246" i="4"/>
  <c r="H244" i="4"/>
  <c r="I244" i="4"/>
  <c r="G244" i="4"/>
  <c r="C244" i="4"/>
  <c r="H250" i="4"/>
  <c r="I250" i="4"/>
  <c r="G250" i="4"/>
  <c r="C250" i="4"/>
  <c r="H254" i="4"/>
  <c r="I254" i="4"/>
  <c r="G254" i="4"/>
  <c r="C254" i="4"/>
  <c r="D266" i="4"/>
  <c r="H266" i="4"/>
  <c r="I266" i="4"/>
  <c r="G266" i="4"/>
  <c r="C266" i="4"/>
  <c r="H261" i="4"/>
  <c r="I261" i="4"/>
  <c r="G261" i="4"/>
  <c r="C261" i="4"/>
  <c r="H228" i="4"/>
  <c r="I228" i="4"/>
  <c r="G228" i="4"/>
  <c r="C228" i="4"/>
  <c r="H226" i="4"/>
  <c r="I226" i="4"/>
  <c r="G226" i="4"/>
  <c r="C226" i="4"/>
  <c r="H232" i="4"/>
  <c r="I232" i="4"/>
  <c r="G232" i="4"/>
  <c r="C232" i="4"/>
  <c r="H230" i="4"/>
  <c r="I230" i="4"/>
  <c r="G230" i="4"/>
  <c r="C230" i="4"/>
  <c r="D241" i="4"/>
  <c r="H241" i="4"/>
  <c r="I241" i="4"/>
  <c r="G241" i="4"/>
  <c r="C241" i="4"/>
  <c r="D239" i="4"/>
  <c r="H239" i="4"/>
  <c r="I239" i="4"/>
  <c r="G239" i="4"/>
  <c r="C239" i="4"/>
  <c r="H236" i="4"/>
  <c r="I236" i="4"/>
  <c r="G236" i="4"/>
  <c r="C236" i="4"/>
  <c r="H247" i="4"/>
  <c r="I247" i="4"/>
  <c r="G247" i="4"/>
  <c r="C247" i="4"/>
  <c r="H245" i="4"/>
  <c r="I245" i="4"/>
  <c r="G245" i="4"/>
  <c r="C245" i="4"/>
  <c r="H251" i="4"/>
  <c r="I251" i="4"/>
  <c r="G251" i="4"/>
  <c r="C251" i="4"/>
  <c r="H255" i="4"/>
  <c r="I255" i="4"/>
  <c r="G255" i="4"/>
  <c r="C255" i="4"/>
  <c r="H253" i="4"/>
  <c r="I253" i="4"/>
  <c r="G253" i="4"/>
  <c r="C253" i="4"/>
  <c r="H265" i="4"/>
  <c r="I265" i="4"/>
  <c r="G265" i="4"/>
  <c r="C265" i="4"/>
  <c r="D264" i="4"/>
  <c r="H264" i="4"/>
  <c r="I264" i="4"/>
  <c r="G264" i="4"/>
  <c r="C264" i="4"/>
  <c r="H263" i="4"/>
  <c r="I263" i="4"/>
  <c r="G263" i="4"/>
  <c r="C263" i="4"/>
  <c r="D262" i="4"/>
  <c r="H262" i="4"/>
  <c r="I262" i="4"/>
  <c r="G262" i="4"/>
  <c r="C262" i="4"/>
  <c r="D260" i="4"/>
  <c r="H260" i="4"/>
  <c r="I260" i="4"/>
  <c r="G260" i="4"/>
  <c r="C260" i="4"/>
  <c r="H259" i="4"/>
  <c r="I259" i="4"/>
  <c r="G259" i="4"/>
  <c r="C259" i="4"/>
  <c r="D258" i="4"/>
  <c r="H258" i="4"/>
  <c r="I258" i="4"/>
  <c r="G258" i="4"/>
  <c r="C258" i="4"/>
  <c r="H257" i="4"/>
  <c r="I257" i="4"/>
  <c r="G257" i="4"/>
  <c r="C257" i="4"/>
  <c r="D257" i="4"/>
  <c r="D265" i="4"/>
  <c r="D263" i="4"/>
  <c r="D261" i="4"/>
  <c r="D259" i="4"/>
  <c r="D254" i="4"/>
  <c r="D253" i="4"/>
  <c r="D238" i="4"/>
  <c r="D251" i="4"/>
  <c r="D250" i="4"/>
  <c r="D242" i="4"/>
  <c r="D248" i="4"/>
  <c r="D247" i="4"/>
  <c r="D255" i="4"/>
  <c r="D240" i="4"/>
  <c r="D236" i="4"/>
  <c r="D246" i="4"/>
  <c r="D245" i="4"/>
  <c r="D244" i="4"/>
  <c r="D227" i="4"/>
  <c r="D226" i="4"/>
  <c r="D231" i="4"/>
  <c r="D230" i="4"/>
  <c r="D237" i="4"/>
  <c r="D232" i="4"/>
  <c r="D222" i="4"/>
  <c r="D228" i="4"/>
  <c r="D225" i="4"/>
  <c r="D224" i="4"/>
  <c r="B366" i="4" l="1"/>
  <c r="B367" i="4"/>
  <c r="B368" i="4"/>
  <c r="B369" i="4"/>
  <c r="B370" i="4"/>
  <c r="B371" i="4"/>
  <c r="B372" i="4"/>
  <c r="B373" i="4"/>
  <c r="B374" i="4"/>
  <c r="K366" i="4"/>
  <c r="K367" i="4"/>
  <c r="K368" i="4"/>
  <c r="K369" i="4"/>
  <c r="K370" i="4"/>
  <c r="K371" i="4"/>
  <c r="K372" i="4"/>
  <c r="K373" i="4"/>
  <c r="K374" i="4"/>
  <c r="I373" i="4" l="1"/>
  <c r="G373" i="4"/>
  <c r="C373" i="4"/>
  <c r="H373" i="4"/>
  <c r="I371" i="4"/>
  <c r="G371" i="4"/>
  <c r="C371" i="4"/>
  <c r="H371" i="4"/>
  <c r="I369" i="4"/>
  <c r="G369" i="4"/>
  <c r="C369" i="4"/>
  <c r="H369" i="4"/>
  <c r="I367" i="4"/>
  <c r="G367" i="4"/>
  <c r="C367" i="4"/>
  <c r="H367" i="4"/>
  <c r="I374" i="4"/>
  <c r="G374" i="4"/>
  <c r="C374" i="4"/>
  <c r="H374" i="4"/>
  <c r="D372" i="4"/>
  <c r="I372" i="4"/>
  <c r="G372" i="4"/>
  <c r="C372" i="4"/>
  <c r="H372" i="4"/>
  <c r="I370" i="4"/>
  <c r="G370" i="4"/>
  <c r="C370" i="4"/>
  <c r="H370" i="4"/>
  <c r="I368" i="4"/>
  <c r="G368" i="4"/>
  <c r="C368" i="4"/>
  <c r="H368" i="4"/>
  <c r="I366" i="4"/>
  <c r="G366" i="4"/>
  <c r="C366" i="4"/>
  <c r="H366" i="4"/>
  <c r="D373" i="4"/>
  <c r="D369" i="4"/>
  <c r="D371" i="4"/>
  <c r="D367" i="4"/>
  <c r="D374" i="4"/>
  <c r="D370" i="4"/>
  <c r="D368" i="4"/>
  <c r="D366" i="4"/>
  <c r="B365" i="4" l="1"/>
  <c r="K364" i="4"/>
  <c r="K365" i="4"/>
  <c r="D365" i="4" l="1"/>
  <c r="I365" i="4"/>
  <c r="G365" i="4"/>
  <c r="C365" i="4"/>
  <c r="H365" i="4"/>
  <c r="K305" i="4"/>
  <c r="K312" i="4"/>
  <c r="B313" i="4"/>
  <c r="K313" i="4"/>
  <c r="K314" i="4"/>
  <c r="K320" i="4"/>
  <c r="K278" i="4"/>
  <c r="K289" i="4"/>
  <c r="K293" i="4"/>
  <c r="K296" i="4"/>
  <c r="B297" i="4"/>
  <c r="K297" i="4"/>
  <c r="B298" i="4"/>
  <c r="K298" i="4"/>
  <c r="B299" i="4"/>
  <c r="K299" i="4"/>
  <c r="B272" i="4"/>
  <c r="K272" i="4"/>
  <c r="B268" i="4"/>
  <c r="K268" i="4"/>
  <c r="B269" i="4"/>
  <c r="K269" i="4"/>
  <c r="B270" i="4"/>
  <c r="K270" i="4"/>
  <c r="K229" i="4"/>
  <c r="K233" i="4"/>
  <c r="K235" i="4"/>
  <c r="K243" i="4"/>
  <c r="K249" i="4"/>
  <c r="K252" i="4"/>
  <c r="K256" i="4"/>
  <c r="B220" i="4"/>
  <c r="K220" i="4"/>
  <c r="K221" i="4"/>
  <c r="K267" i="4"/>
  <c r="K271" i="4"/>
  <c r="K273" i="4"/>
  <c r="H270" i="4" l="1"/>
  <c r="I270" i="4"/>
  <c r="G270" i="4"/>
  <c r="C270" i="4"/>
  <c r="H268" i="4"/>
  <c r="I268" i="4"/>
  <c r="G268" i="4"/>
  <c r="C268" i="4"/>
  <c r="D299" i="4"/>
  <c r="H299" i="4"/>
  <c r="I299" i="4"/>
  <c r="G299" i="4"/>
  <c r="C299" i="4"/>
  <c r="H297" i="4"/>
  <c r="I297" i="4"/>
  <c r="G297" i="4"/>
  <c r="C297" i="4"/>
  <c r="H313" i="4"/>
  <c r="I313" i="4"/>
  <c r="G313" i="4"/>
  <c r="C313" i="4"/>
  <c r="H269" i="4"/>
  <c r="I269" i="4"/>
  <c r="G269" i="4"/>
  <c r="C269" i="4"/>
  <c r="D272" i="4"/>
  <c r="H272" i="4"/>
  <c r="I272" i="4"/>
  <c r="G272" i="4"/>
  <c r="C272" i="4"/>
  <c r="D298" i="4"/>
  <c r="H298" i="4"/>
  <c r="I298" i="4"/>
  <c r="G298" i="4"/>
  <c r="C298" i="4"/>
  <c r="H220" i="4"/>
  <c r="I220" i="4"/>
  <c r="G220" i="4"/>
  <c r="C220" i="4"/>
  <c r="D313" i="4"/>
  <c r="D269" i="4"/>
  <c r="D268" i="4"/>
  <c r="D297" i="4"/>
  <c r="D270" i="4"/>
  <c r="D220" i="4"/>
  <c r="B363" i="4"/>
  <c r="K363" i="4"/>
  <c r="B362" i="4"/>
  <c r="K362" i="4"/>
  <c r="B361" i="4"/>
  <c r="K361" i="4"/>
  <c r="B355" i="4"/>
  <c r="K355" i="4"/>
  <c r="B356" i="4"/>
  <c r="K356" i="4"/>
  <c r="B357" i="4"/>
  <c r="K357" i="4"/>
  <c r="B358" i="4"/>
  <c r="K358" i="4"/>
  <c r="B359" i="4"/>
  <c r="K359" i="4"/>
  <c r="B325" i="4"/>
  <c r="K325" i="4"/>
  <c r="B326" i="4"/>
  <c r="K326" i="4"/>
  <c r="K327" i="4"/>
  <c r="K334" i="4"/>
  <c r="B335" i="4"/>
  <c r="K335" i="4"/>
  <c r="K336" i="4"/>
  <c r="K345" i="4"/>
  <c r="K349" i="4"/>
  <c r="K352" i="4"/>
  <c r="B353" i="4"/>
  <c r="K353" i="4"/>
  <c r="B322" i="4"/>
  <c r="K322" i="4"/>
  <c r="B323" i="4"/>
  <c r="K323" i="4"/>
  <c r="K300" i="4"/>
  <c r="K321" i="4"/>
  <c r="K324" i="4"/>
  <c r="K354" i="4"/>
  <c r="K360" i="4"/>
  <c r="B176" i="3"/>
  <c r="B178" i="3"/>
  <c r="B194" i="3"/>
  <c r="H323" i="4" l="1"/>
  <c r="I323" i="4"/>
  <c r="G323" i="4"/>
  <c r="C323" i="4"/>
  <c r="I353" i="4"/>
  <c r="G353" i="4"/>
  <c r="C353" i="4"/>
  <c r="H353" i="4"/>
  <c r="I326" i="4"/>
  <c r="H326" i="4"/>
  <c r="G326" i="4"/>
  <c r="C326" i="4"/>
  <c r="H325" i="4"/>
  <c r="I325" i="4"/>
  <c r="G325" i="4"/>
  <c r="C325" i="4"/>
  <c r="I359" i="4"/>
  <c r="G359" i="4"/>
  <c r="C359" i="4"/>
  <c r="H359" i="4"/>
  <c r="I358" i="4"/>
  <c r="G358" i="4"/>
  <c r="C358" i="4"/>
  <c r="H358" i="4"/>
  <c r="I357" i="4"/>
  <c r="G357" i="4"/>
  <c r="C357" i="4"/>
  <c r="H357" i="4"/>
  <c r="I356" i="4"/>
  <c r="G356" i="4"/>
  <c r="C356" i="4"/>
  <c r="H356" i="4"/>
  <c r="I355" i="4"/>
  <c r="G355" i="4"/>
  <c r="C355" i="4"/>
  <c r="H355" i="4"/>
  <c r="I361" i="4"/>
  <c r="G361" i="4"/>
  <c r="C361" i="4"/>
  <c r="H361" i="4"/>
  <c r="I362" i="4"/>
  <c r="G362" i="4"/>
  <c r="C362" i="4"/>
  <c r="H362" i="4"/>
  <c r="I363" i="4"/>
  <c r="G363" i="4"/>
  <c r="C363" i="4"/>
  <c r="H363" i="4"/>
  <c r="H176" i="3"/>
  <c r="I176" i="3"/>
  <c r="G176" i="3"/>
  <c r="C176" i="3"/>
  <c r="H322" i="4"/>
  <c r="I322" i="4"/>
  <c r="G322" i="4"/>
  <c r="C322" i="4"/>
  <c r="I335" i="4"/>
  <c r="G335" i="4"/>
  <c r="C335" i="4"/>
  <c r="H335" i="4"/>
  <c r="H194" i="3"/>
  <c r="I194" i="3"/>
  <c r="G194" i="3"/>
  <c r="C194" i="3"/>
  <c r="H178" i="3"/>
  <c r="I178" i="3"/>
  <c r="G178" i="3"/>
  <c r="C178" i="3"/>
  <c r="D362" i="4"/>
  <c r="D353" i="4"/>
  <c r="D357" i="4"/>
  <c r="D355" i="4"/>
  <c r="D326" i="4"/>
  <c r="D359" i="4"/>
  <c r="D176" i="3"/>
  <c r="D194" i="3"/>
  <c r="D356" i="4"/>
  <c r="D361" i="4"/>
  <c r="D363" i="4"/>
  <c r="D323" i="4"/>
  <c r="D322" i="4"/>
  <c r="D335" i="4"/>
  <c r="D325" i="4"/>
  <c r="D358" i="4"/>
  <c r="D178" i="3"/>
  <c r="B41" i="3"/>
  <c r="B34" i="3"/>
  <c r="B35" i="3"/>
  <c r="B36" i="3"/>
  <c r="B37" i="3"/>
  <c r="B38" i="3"/>
  <c r="B39" i="3"/>
  <c r="H38" i="3" l="1"/>
  <c r="G38" i="3"/>
  <c r="I38" i="3"/>
  <c r="C38" i="3"/>
  <c r="I39" i="3"/>
  <c r="G39" i="3"/>
  <c r="C39" i="3"/>
  <c r="H39" i="3"/>
  <c r="D37" i="3"/>
  <c r="I37" i="3"/>
  <c r="G37" i="3"/>
  <c r="C37" i="3"/>
  <c r="H37" i="3"/>
  <c r="I35" i="3"/>
  <c r="G35" i="3"/>
  <c r="C35" i="3"/>
  <c r="H35" i="3"/>
  <c r="I41" i="3"/>
  <c r="G41" i="3"/>
  <c r="C41" i="3"/>
  <c r="H41" i="3"/>
  <c r="H36" i="3"/>
  <c r="I36" i="3"/>
  <c r="C36" i="3"/>
  <c r="G36" i="3"/>
  <c r="H34" i="3"/>
  <c r="G34" i="3"/>
  <c r="I34" i="3"/>
  <c r="C34" i="3"/>
  <c r="D41" i="3"/>
  <c r="D36" i="3"/>
  <c r="D34" i="3"/>
  <c r="D38" i="3"/>
  <c r="D39" i="3"/>
  <c r="D35" i="3"/>
  <c r="B69" i="3" l="1"/>
  <c r="H69" i="3" l="1"/>
  <c r="I69" i="3"/>
  <c r="G69" i="3"/>
  <c r="C69" i="3"/>
  <c r="D69" i="3"/>
  <c r="B214" i="4"/>
  <c r="K214" i="4"/>
  <c r="B215" i="4"/>
  <c r="K215" i="4"/>
  <c r="B216" i="4"/>
  <c r="K216" i="4"/>
  <c r="B219" i="4"/>
  <c r="K219" i="4"/>
  <c r="B71" i="3"/>
  <c r="B72" i="3"/>
  <c r="B129" i="3"/>
  <c r="B130" i="3"/>
  <c r="B58" i="3"/>
  <c r="B59" i="3"/>
  <c r="B60" i="3"/>
  <c r="B61" i="3"/>
  <c r="B62" i="3"/>
  <c r="B63" i="3"/>
  <c r="B64" i="3"/>
  <c r="B65" i="3"/>
  <c r="B67" i="3"/>
  <c r="B68" i="3"/>
  <c r="D65" i="3" l="1"/>
  <c r="H65" i="3"/>
  <c r="I65" i="3"/>
  <c r="G65" i="3"/>
  <c r="C65" i="3"/>
  <c r="D61" i="3"/>
  <c r="H61" i="3"/>
  <c r="I61" i="3"/>
  <c r="G61" i="3"/>
  <c r="C61" i="3"/>
  <c r="H130" i="3"/>
  <c r="I130" i="3"/>
  <c r="G130" i="3"/>
  <c r="C130" i="3"/>
  <c r="H71" i="3"/>
  <c r="I71" i="3"/>
  <c r="G71" i="3"/>
  <c r="C71" i="3"/>
  <c r="H219" i="4"/>
  <c r="I219" i="4"/>
  <c r="G219" i="4"/>
  <c r="C219" i="4"/>
  <c r="H216" i="4"/>
  <c r="I216" i="4"/>
  <c r="G216" i="4"/>
  <c r="C216" i="4"/>
  <c r="H215" i="4"/>
  <c r="I215" i="4"/>
  <c r="G215" i="4"/>
  <c r="C215" i="4"/>
  <c r="H214" i="4"/>
  <c r="I214" i="4"/>
  <c r="G214" i="4"/>
  <c r="C214" i="4"/>
  <c r="D67" i="3"/>
  <c r="H67" i="3"/>
  <c r="I67" i="3"/>
  <c r="G67" i="3"/>
  <c r="C67" i="3"/>
  <c r="H63" i="3"/>
  <c r="I63" i="3"/>
  <c r="G63" i="3"/>
  <c r="C63" i="3"/>
  <c r="H59" i="3"/>
  <c r="I59" i="3"/>
  <c r="G59" i="3"/>
  <c r="C59" i="3"/>
  <c r="I68" i="3"/>
  <c r="G68" i="3"/>
  <c r="C68" i="3"/>
  <c r="H68" i="3"/>
  <c r="I64" i="3"/>
  <c r="G64" i="3"/>
  <c r="C64" i="3"/>
  <c r="H64" i="3"/>
  <c r="I62" i="3"/>
  <c r="G62" i="3"/>
  <c r="C62" i="3"/>
  <c r="H62" i="3"/>
  <c r="I60" i="3"/>
  <c r="G60" i="3"/>
  <c r="C60" i="3"/>
  <c r="H60" i="3"/>
  <c r="I58" i="3"/>
  <c r="G58" i="3"/>
  <c r="C58" i="3"/>
  <c r="H58" i="3"/>
  <c r="I129" i="3"/>
  <c r="G129" i="3"/>
  <c r="C129" i="3"/>
  <c r="H129" i="3"/>
  <c r="I72" i="3"/>
  <c r="G72" i="3"/>
  <c r="C72" i="3"/>
  <c r="H72" i="3"/>
  <c r="D216" i="4"/>
  <c r="D214" i="4"/>
  <c r="D219" i="4"/>
  <c r="D215" i="4"/>
  <c r="D62" i="3"/>
  <c r="D60" i="3"/>
  <c r="D58" i="3"/>
  <c r="D71" i="3"/>
  <c r="D68" i="3"/>
  <c r="D64" i="3"/>
  <c r="D130" i="3"/>
  <c r="D129" i="3"/>
  <c r="D72" i="3"/>
  <c r="D63" i="3"/>
  <c r="D59" i="3"/>
  <c r="K192" i="4"/>
  <c r="K197" i="4"/>
  <c r="B198" i="4"/>
  <c r="K198" i="4"/>
  <c r="B199" i="4"/>
  <c r="K199" i="4"/>
  <c r="B200" i="4"/>
  <c r="K200" i="4"/>
  <c r="K201" i="4"/>
  <c r="K210" i="4"/>
  <c r="B211" i="4"/>
  <c r="K211" i="4"/>
  <c r="B212" i="4"/>
  <c r="K212" i="4"/>
  <c r="K213" i="4"/>
  <c r="K217" i="4"/>
  <c r="K218" i="4"/>
  <c r="H212" i="4" l="1"/>
  <c r="I212" i="4"/>
  <c r="G212" i="4"/>
  <c r="C212" i="4"/>
  <c r="H211" i="4"/>
  <c r="I211" i="4"/>
  <c r="G211" i="4"/>
  <c r="C211" i="4"/>
  <c r="H199" i="4"/>
  <c r="I199" i="4"/>
  <c r="G199" i="4"/>
  <c r="C199" i="4"/>
  <c r="H200" i="4"/>
  <c r="I200" i="4"/>
  <c r="G200" i="4"/>
  <c r="C200" i="4"/>
  <c r="H198" i="4"/>
  <c r="I198" i="4"/>
  <c r="G198" i="4"/>
  <c r="C198" i="4"/>
  <c r="D212" i="4"/>
  <c r="D211" i="4"/>
  <c r="D200" i="4"/>
  <c r="D199" i="4"/>
  <c r="D198" i="4"/>
  <c r="K134" i="4"/>
  <c r="K144" i="4"/>
  <c r="K149" i="4"/>
  <c r="B150" i="4"/>
  <c r="K150" i="4"/>
  <c r="B151" i="4"/>
  <c r="K151" i="4"/>
  <c r="B152" i="4"/>
  <c r="K152" i="4"/>
  <c r="B153" i="4"/>
  <c r="K153" i="4"/>
  <c r="B154" i="4"/>
  <c r="K154" i="4"/>
  <c r="K155" i="4"/>
  <c r="K166" i="4"/>
  <c r="K170" i="4"/>
  <c r="K181" i="4"/>
  <c r="H154" i="4" l="1"/>
  <c r="I154" i="4"/>
  <c r="G154" i="4"/>
  <c r="C154" i="4"/>
  <c r="H152" i="4"/>
  <c r="I152" i="4"/>
  <c r="G152" i="4"/>
  <c r="C152" i="4"/>
  <c r="H151" i="4"/>
  <c r="I151" i="4"/>
  <c r="G151" i="4"/>
  <c r="C151" i="4"/>
  <c r="H153" i="4"/>
  <c r="I153" i="4"/>
  <c r="G153" i="4"/>
  <c r="C153" i="4"/>
  <c r="H150" i="4"/>
  <c r="I150" i="4"/>
  <c r="G150" i="4"/>
  <c r="C150" i="4"/>
  <c r="D153" i="4"/>
  <c r="D151" i="4"/>
  <c r="D154" i="4"/>
  <c r="D152" i="4"/>
  <c r="D150" i="4"/>
  <c r="B127" i="4" l="1"/>
  <c r="K127" i="4"/>
  <c r="B128" i="4"/>
  <c r="K128" i="4"/>
  <c r="B129" i="4"/>
  <c r="K129" i="4"/>
  <c r="B130" i="4"/>
  <c r="K130" i="4"/>
  <c r="B131" i="4"/>
  <c r="K131" i="4"/>
  <c r="B132" i="4"/>
  <c r="K132" i="4"/>
  <c r="B96" i="4"/>
  <c r="K96" i="4"/>
  <c r="B97" i="4"/>
  <c r="K97" i="4"/>
  <c r="B98" i="4"/>
  <c r="K98" i="4"/>
  <c r="B99" i="4"/>
  <c r="K99" i="4"/>
  <c r="B100" i="4"/>
  <c r="K100" i="4"/>
  <c r="B101" i="4"/>
  <c r="K101" i="4"/>
  <c r="B102" i="4"/>
  <c r="K102" i="4"/>
  <c r="B116" i="4"/>
  <c r="K116" i="4"/>
  <c r="K124" i="4"/>
  <c r="B125" i="4"/>
  <c r="K125" i="4"/>
  <c r="K126" i="4"/>
  <c r="K133" i="4"/>
  <c r="D125" i="4" l="1"/>
  <c r="H125" i="4"/>
  <c r="I125" i="4"/>
  <c r="G125" i="4"/>
  <c r="C125" i="4"/>
  <c r="D116" i="4"/>
  <c r="H116" i="4"/>
  <c r="I116" i="4"/>
  <c r="G116" i="4"/>
  <c r="C116" i="4"/>
  <c r="D101" i="4"/>
  <c r="H101" i="4"/>
  <c r="I101" i="4"/>
  <c r="G101" i="4"/>
  <c r="C101" i="4"/>
  <c r="D99" i="4"/>
  <c r="H99" i="4"/>
  <c r="I99" i="4"/>
  <c r="G99" i="4"/>
  <c r="C99" i="4"/>
  <c r="D97" i="4"/>
  <c r="H97" i="4"/>
  <c r="I97" i="4"/>
  <c r="G97" i="4"/>
  <c r="C97" i="4"/>
  <c r="H129" i="4"/>
  <c r="I129" i="4"/>
  <c r="G129" i="4"/>
  <c r="C129" i="4"/>
  <c r="H102" i="4"/>
  <c r="I102" i="4"/>
  <c r="G102" i="4"/>
  <c r="C102" i="4"/>
  <c r="H100" i="4"/>
  <c r="I100" i="4"/>
  <c r="G100" i="4"/>
  <c r="C100" i="4"/>
  <c r="H98" i="4"/>
  <c r="I98" i="4"/>
  <c r="G98" i="4"/>
  <c r="C98" i="4"/>
  <c r="H96" i="4"/>
  <c r="I96" i="4"/>
  <c r="G96" i="4"/>
  <c r="C96" i="4"/>
  <c r="H132" i="4"/>
  <c r="I132" i="4"/>
  <c r="G132" i="4"/>
  <c r="C132" i="4"/>
  <c r="H131" i="4"/>
  <c r="I131" i="4"/>
  <c r="G131" i="4"/>
  <c r="C131" i="4"/>
  <c r="H130" i="4"/>
  <c r="I130" i="4"/>
  <c r="G130" i="4"/>
  <c r="C130" i="4"/>
  <c r="H128" i="4"/>
  <c r="I128" i="4"/>
  <c r="G128" i="4"/>
  <c r="C128" i="4"/>
  <c r="H127" i="4"/>
  <c r="I127" i="4"/>
  <c r="G127" i="4"/>
  <c r="C127" i="4"/>
  <c r="D100" i="4"/>
  <c r="D98" i="4"/>
  <c r="D96" i="4"/>
  <c r="D129" i="4"/>
  <c r="D102" i="4"/>
  <c r="D131" i="4"/>
  <c r="D127" i="4"/>
  <c r="D132" i="4"/>
  <c r="D130" i="4"/>
  <c r="D128" i="4"/>
  <c r="B89" i="4" l="1"/>
  <c r="K89" i="4"/>
  <c r="K90" i="4"/>
  <c r="K93" i="4"/>
  <c r="B94" i="4"/>
  <c r="K94" i="4"/>
  <c r="B75" i="4"/>
  <c r="K75" i="4"/>
  <c r="B76" i="4"/>
  <c r="K76" i="4"/>
  <c r="B77" i="4"/>
  <c r="K77" i="4"/>
  <c r="B78" i="4"/>
  <c r="K78" i="4"/>
  <c r="B79" i="4"/>
  <c r="K79" i="4"/>
  <c r="K80" i="4"/>
  <c r="K45" i="4"/>
  <c r="B46" i="4"/>
  <c r="K46" i="4"/>
  <c r="B47" i="4"/>
  <c r="K47" i="4"/>
  <c r="B48" i="4"/>
  <c r="K48" i="4"/>
  <c r="B49" i="4"/>
  <c r="K49" i="4"/>
  <c r="B50" i="4"/>
  <c r="K50" i="4"/>
  <c r="B51" i="4"/>
  <c r="K51" i="4"/>
  <c r="K52" i="4"/>
  <c r="K64" i="4"/>
  <c r="K73" i="4"/>
  <c r="K4" i="4"/>
  <c r="K10" i="4"/>
  <c r="K15" i="4"/>
  <c r="K20" i="4"/>
  <c r="K25" i="4"/>
  <c r="K30" i="4"/>
  <c r="K74" i="4"/>
  <c r="K84" i="4"/>
  <c r="B85" i="4"/>
  <c r="K85" i="4"/>
  <c r="B86" i="4"/>
  <c r="K86" i="4"/>
  <c r="B87" i="4"/>
  <c r="K87" i="4"/>
  <c r="B88" i="4"/>
  <c r="K88" i="4"/>
  <c r="K95" i="4"/>
  <c r="K37" i="4"/>
  <c r="H88" i="4" l="1"/>
  <c r="I88" i="4"/>
  <c r="G88" i="4"/>
  <c r="C88" i="4"/>
  <c r="H87" i="4"/>
  <c r="I87" i="4"/>
  <c r="G87" i="4"/>
  <c r="C87" i="4"/>
  <c r="H85" i="4"/>
  <c r="I85" i="4"/>
  <c r="G85" i="4"/>
  <c r="C85" i="4"/>
  <c r="H51" i="4"/>
  <c r="I51" i="4"/>
  <c r="G51" i="4"/>
  <c r="C51" i="4"/>
  <c r="H49" i="4"/>
  <c r="I49" i="4"/>
  <c r="G49" i="4"/>
  <c r="C49" i="4"/>
  <c r="H47" i="4"/>
  <c r="I47" i="4"/>
  <c r="G47" i="4"/>
  <c r="C47" i="4"/>
  <c r="H78" i="4"/>
  <c r="I78" i="4"/>
  <c r="G78" i="4"/>
  <c r="C78" i="4"/>
  <c r="D94" i="4"/>
  <c r="H94" i="4"/>
  <c r="I94" i="4"/>
  <c r="G94" i="4"/>
  <c r="C94" i="4"/>
  <c r="H86" i="4"/>
  <c r="I86" i="4"/>
  <c r="G86" i="4"/>
  <c r="C86" i="4"/>
  <c r="H50" i="4"/>
  <c r="I50" i="4"/>
  <c r="G50" i="4"/>
  <c r="C50" i="4"/>
  <c r="D48" i="4"/>
  <c r="H48" i="4"/>
  <c r="I48" i="4"/>
  <c r="G48" i="4"/>
  <c r="C48" i="4"/>
  <c r="H46" i="4"/>
  <c r="I46" i="4"/>
  <c r="G46" i="4"/>
  <c r="C46" i="4"/>
  <c r="H79" i="4"/>
  <c r="I79" i="4"/>
  <c r="G79" i="4"/>
  <c r="C79" i="4"/>
  <c r="D77" i="4"/>
  <c r="H77" i="4"/>
  <c r="I77" i="4"/>
  <c r="G77" i="4"/>
  <c r="C77" i="4"/>
  <c r="H76" i="4"/>
  <c r="I76" i="4"/>
  <c r="G76" i="4"/>
  <c r="C76" i="4"/>
  <c r="H75" i="4"/>
  <c r="I75" i="4"/>
  <c r="G75" i="4"/>
  <c r="C75" i="4"/>
  <c r="D89" i="4"/>
  <c r="H89" i="4"/>
  <c r="I89" i="4"/>
  <c r="G89" i="4"/>
  <c r="C89" i="4"/>
  <c r="D49" i="4"/>
  <c r="D47" i="4"/>
  <c r="D79" i="4"/>
  <c r="D75" i="4"/>
  <c r="D51" i="4"/>
  <c r="D76" i="4"/>
  <c r="D78" i="4"/>
  <c r="D50" i="4"/>
  <c r="D46" i="4"/>
  <c r="D85" i="4"/>
  <c r="D88" i="4"/>
  <c r="D87" i="4"/>
  <c r="D86" i="4"/>
  <c r="B558" i="3" l="1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I579" i="3" l="1"/>
  <c r="G579" i="3"/>
  <c r="C579" i="3"/>
  <c r="H579" i="3"/>
  <c r="I577" i="3"/>
  <c r="G577" i="3"/>
  <c r="C577" i="3"/>
  <c r="H577" i="3"/>
  <c r="I575" i="3"/>
  <c r="G575" i="3"/>
  <c r="C575" i="3"/>
  <c r="H575" i="3"/>
  <c r="I573" i="3"/>
  <c r="G573" i="3"/>
  <c r="C573" i="3"/>
  <c r="H573" i="3"/>
  <c r="I571" i="3"/>
  <c r="G571" i="3"/>
  <c r="C571" i="3"/>
  <c r="H571" i="3"/>
  <c r="I569" i="3"/>
  <c r="G569" i="3"/>
  <c r="C569" i="3"/>
  <c r="H569" i="3"/>
  <c r="I567" i="3"/>
  <c r="G567" i="3"/>
  <c r="C567" i="3"/>
  <c r="H567" i="3"/>
  <c r="I565" i="3"/>
  <c r="G565" i="3"/>
  <c r="C565" i="3"/>
  <c r="H565" i="3"/>
  <c r="I563" i="3"/>
  <c r="G563" i="3"/>
  <c r="C563" i="3"/>
  <c r="H563" i="3"/>
  <c r="I561" i="3"/>
  <c r="G561" i="3"/>
  <c r="C561" i="3"/>
  <c r="H561" i="3"/>
  <c r="I559" i="3"/>
  <c r="G559" i="3"/>
  <c r="C559" i="3"/>
  <c r="H559" i="3"/>
  <c r="D580" i="3"/>
  <c r="H580" i="3"/>
  <c r="G580" i="3"/>
  <c r="C580" i="3"/>
  <c r="I580" i="3"/>
  <c r="H578" i="3"/>
  <c r="I578" i="3"/>
  <c r="C578" i="3"/>
  <c r="G578" i="3"/>
  <c r="D576" i="3"/>
  <c r="H576" i="3"/>
  <c r="G576" i="3"/>
  <c r="I576" i="3"/>
  <c r="C576" i="3"/>
  <c r="H574" i="3"/>
  <c r="I574" i="3"/>
  <c r="C574" i="3"/>
  <c r="G574" i="3"/>
  <c r="D572" i="3"/>
  <c r="H572" i="3"/>
  <c r="G572" i="3"/>
  <c r="C572" i="3"/>
  <c r="I572" i="3"/>
  <c r="H570" i="3"/>
  <c r="I570" i="3"/>
  <c r="C570" i="3"/>
  <c r="G570" i="3"/>
  <c r="D568" i="3"/>
  <c r="H568" i="3"/>
  <c r="G568" i="3"/>
  <c r="I568" i="3"/>
  <c r="C568" i="3"/>
  <c r="H566" i="3"/>
  <c r="I566" i="3"/>
  <c r="C566" i="3"/>
  <c r="G566" i="3"/>
  <c r="D564" i="3"/>
  <c r="H564" i="3"/>
  <c r="G564" i="3"/>
  <c r="C564" i="3"/>
  <c r="I564" i="3"/>
  <c r="H562" i="3"/>
  <c r="I562" i="3"/>
  <c r="C562" i="3"/>
  <c r="G562" i="3"/>
  <c r="D560" i="3"/>
  <c r="H560" i="3"/>
  <c r="G560" i="3"/>
  <c r="I560" i="3"/>
  <c r="C560" i="3"/>
  <c r="H558" i="3"/>
  <c r="I558" i="3"/>
  <c r="C558" i="3"/>
  <c r="G558" i="3"/>
  <c r="D578" i="3"/>
  <c r="D574" i="3"/>
  <c r="D570" i="3"/>
  <c r="D566" i="3"/>
  <c r="D562" i="3"/>
  <c r="D558" i="3"/>
  <c r="D559" i="3"/>
  <c r="D579" i="3"/>
  <c r="D577" i="3"/>
  <c r="D575" i="3"/>
  <c r="D573" i="3"/>
  <c r="D571" i="3"/>
  <c r="D569" i="3"/>
  <c r="D567" i="3"/>
  <c r="D565" i="3"/>
  <c r="D563" i="3"/>
  <c r="D561" i="3"/>
  <c r="B556" i="3" l="1"/>
  <c r="B557" i="3"/>
  <c r="I557" i="3" l="1"/>
  <c r="G557" i="3"/>
  <c r="C557" i="3"/>
  <c r="H557" i="3"/>
  <c r="D556" i="3"/>
  <c r="H556" i="3"/>
  <c r="G556" i="3"/>
  <c r="C556" i="3"/>
  <c r="I556" i="3"/>
  <c r="D557" i="3"/>
  <c r="B17" i="6"/>
  <c r="B16" i="6"/>
  <c r="B15" i="6"/>
  <c r="I16" i="6" l="1"/>
  <c r="G16" i="6"/>
  <c r="C16" i="6"/>
  <c r="H16" i="6"/>
  <c r="H15" i="6"/>
  <c r="I15" i="6"/>
  <c r="C15" i="6"/>
  <c r="G15" i="6"/>
  <c r="H17" i="6"/>
  <c r="G17" i="6"/>
  <c r="C17" i="6"/>
  <c r="I17" i="6"/>
  <c r="D17" i="6"/>
  <c r="D15" i="6"/>
  <c r="D16" i="6"/>
  <c r="B525" i="3" l="1"/>
  <c r="B526" i="3"/>
  <c r="B527" i="3"/>
  <c r="B528" i="3"/>
  <c r="B529" i="3"/>
  <c r="B530" i="3"/>
  <c r="B531" i="3"/>
  <c r="B532" i="3"/>
  <c r="B533" i="3"/>
  <c r="B518" i="3"/>
  <c r="B519" i="3"/>
  <c r="B520" i="3"/>
  <c r="B521" i="3"/>
  <c r="B522" i="3"/>
  <c r="B523" i="3"/>
  <c r="B513" i="3"/>
  <c r="B514" i="3"/>
  <c r="B515" i="3"/>
  <c r="B516" i="3"/>
  <c r="B508" i="3"/>
  <c r="B509" i="3"/>
  <c r="B510" i="3"/>
  <c r="B511" i="3"/>
  <c r="B500" i="3"/>
  <c r="B501" i="3"/>
  <c r="B502" i="3"/>
  <c r="B503" i="3"/>
  <c r="B504" i="3"/>
  <c r="B505" i="3"/>
  <c r="B506" i="3"/>
  <c r="B488" i="3"/>
  <c r="B489" i="3"/>
  <c r="B490" i="3"/>
  <c r="B491" i="3"/>
  <c r="B492" i="3"/>
  <c r="B493" i="3"/>
  <c r="B494" i="3"/>
  <c r="B495" i="3"/>
  <c r="B496" i="3"/>
  <c r="B497" i="3"/>
  <c r="B498" i="3"/>
  <c r="I497" i="3" l="1"/>
  <c r="G497" i="3"/>
  <c r="C497" i="3"/>
  <c r="H497" i="3"/>
  <c r="I495" i="3"/>
  <c r="G495" i="3"/>
  <c r="C495" i="3"/>
  <c r="H495" i="3"/>
  <c r="I493" i="3"/>
  <c r="G493" i="3"/>
  <c r="C493" i="3"/>
  <c r="H493" i="3"/>
  <c r="I491" i="3"/>
  <c r="G491" i="3"/>
  <c r="C491" i="3"/>
  <c r="H491" i="3"/>
  <c r="I489" i="3"/>
  <c r="G489" i="3"/>
  <c r="C489" i="3"/>
  <c r="H489" i="3"/>
  <c r="H506" i="3"/>
  <c r="G506" i="3"/>
  <c r="C506" i="3"/>
  <c r="I506" i="3"/>
  <c r="H504" i="3"/>
  <c r="I504" i="3"/>
  <c r="C504" i="3"/>
  <c r="G504" i="3"/>
  <c r="H502" i="3"/>
  <c r="G502" i="3"/>
  <c r="I502" i="3"/>
  <c r="C502" i="3"/>
  <c r="H500" i="3"/>
  <c r="I500" i="3"/>
  <c r="C500" i="3"/>
  <c r="G500" i="3"/>
  <c r="H510" i="3"/>
  <c r="G510" i="3"/>
  <c r="I510" i="3"/>
  <c r="C510" i="3"/>
  <c r="H508" i="3"/>
  <c r="I508" i="3"/>
  <c r="C508" i="3"/>
  <c r="G508" i="3"/>
  <c r="I515" i="3"/>
  <c r="G515" i="3"/>
  <c r="C515" i="3"/>
  <c r="H515" i="3"/>
  <c r="I513" i="3"/>
  <c r="G513" i="3"/>
  <c r="C513" i="3"/>
  <c r="H513" i="3"/>
  <c r="H522" i="3"/>
  <c r="I522" i="3"/>
  <c r="C522" i="3"/>
  <c r="G522" i="3"/>
  <c r="H520" i="3"/>
  <c r="G520" i="3"/>
  <c r="I520" i="3"/>
  <c r="C520" i="3"/>
  <c r="H518" i="3"/>
  <c r="I518" i="3"/>
  <c r="C518" i="3"/>
  <c r="G518" i="3"/>
  <c r="H532" i="3"/>
  <c r="G532" i="3"/>
  <c r="C532" i="3"/>
  <c r="I532" i="3"/>
  <c r="H530" i="3"/>
  <c r="I530" i="3"/>
  <c r="C530" i="3"/>
  <c r="G530" i="3"/>
  <c r="H528" i="3"/>
  <c r="G528" i="3"/>
  <c r="I528" i="3"/>
  <c r="C528" i="3"/>
  <c r="H526" i="3"/>
  <c r="I526" i="3"/>
  <c r="C526" i="3"/>
  <c r="G526" i="3"/>
  <c r="H498" i="3"/>
  <c r="G498" i="3"/>
  <c r="I498" i="3"/>
  <c r="C498" i="3"/>
  <c r="H496" i="3"/>
  <c r="I496" i="3"/>
  <c r="C496" i="3"/>
  <c r="G496" i="3"/>
  <c r="H494" i="3"/>
  <c r="G494" i="3"/>
  <c r="I494" i="3"/>
  <c r="C494" i="3"/>
  <c r="H492" i="3"/>
  <c r="I492" i="3"/>
  <c r="C492" i="3"/>
  <c r="G492" i="3"/>
  <c r="H490" i="3"/>
  <c r="G490" i="3"/>
  <c r="I490" i="3"/>
  <c r="C490" i="3"/>
  <c r="H488" i="3"/>
  <c r="I488" i="3"/>
  <c r="C488" i="3"/>
  <c r="G488" i="3"/>
  <c r="I505" i="3"/>
  <c r="G505" i="3"/>
  <c r="C505" i="3"/>
  <c r="H505" i="3"/>
  <c r="I503" i="3"/>
  <c r="G503" i="3"/>
  <c r="C503" i="3"/>
  <c r="H503" i="3"/>
  <c r="I501" i="3"/>
  <c r="G501" i="3"/>
  <c r="C501" i="3"/>
  <c r="H501" i="3"/>
  <c r="I511" i="3"/>
  <c r="G511" i="3"/>
  <c r="C511" i="3"/>
  <c r="H511" i="3"/>
  <c r="I509" i="3"/>
  <c r="G509" i="3"/>
  <c r="C509" i="3"/>
  <c r="H509" i="3"/>
  <c r="H516" i="3"/>
  <c r="G516" i="3"/>
  <c r="I516" i="3"/>
  <c r="C516" i="3"/>
  <c r="H514" i="3"/>
  <c r="G514" i="3"/>
  <c r="C514" i="3"/>
  <c r="I514" i="3"/>
  <c r="I523" i="3"/>
  <c r="G523" i="3"/>
  <c r="C523" i="3"/>
  <c r="H523" i="3"/>
  <c r="I521" i="3"/>
  <c r="G521" i="3"/>
  <c r="C521" i="3"/>
  <c r="H521" i="3"/>
  <c r="I519" i="3"/>
  <c r="G519" i="3"/>
  <c r="C519" i="3"/>
  <c r="H519" i="3"/>
  <c r="I533" i="3"/>
  <c r="G533" i="3"/>
  <c r="C533" i="3"/>
  <c r="H533" i="3"/>
  <c r="I531" i="3"/>
  <c r="G531" i="3"/>
  <c r="C531" i="3"/>
  <c r="H531" i="3"/>
  <c r="I529" i="3"/>
  <c r="G529" i="3"/>
  <c r="C529" i="3"/>
  <c r="H529" i="3"/>
  <c r="I527" i="3"/>
  <c r="G527" i="3"/>
  <c r="C527" i="3"/>
  <c r="H527" i="3"/>
  <c r="I525" i="3"/>
  <c r="G525" i="3"/>
  <c r="C525" i="3"/>
  <c r="H525" i="3"/>
  <c r="D506" i="3"/>
  <c r="D504" i="3"/>
  <c r="D502" i="3"/>
  <c r="D500" i="3"/>
  <c r="D510" i="3"/>
  <c r="D508" i="3"/>
  <c r="D515" i="3"/>
  <c r="D489" i="3"/>
  <c r="D495" i="3"/>
  <c r="D513" i="3"/>
  <c r="D520" i="3"/>
  <c r="D532" i="3"/>
  <c r="D528" i="3"/>
  <c r="D492" i="3"/>
  <c r="D493" i="3"/>
  <c r="D490" i="3"/>
  <c r="D496" i="3"/>
  <c r="D498" i="3"/>
  <c r="D497" i="3"/>
  <c r="D494" i="3"/>
  <c r="D491" i="3"/>
  <c r="D526" i="3"/>
  <c r="D522" i="3"/>
  <c r="D518" i="3"/>
  <c r="D530" i="3"/>
  <c r="D514" i="3"/>
  <c r="D523" i="3"/>
  <c r="D521" i="3"/>
  <c r="D519" i="3"/>
  <c r="D533" i="3"/>
  <c r="D531" i="3"/>
  <c r="D529" i="3"/>
  <c r="D527" i="3"/>
  <c r="D488" i="3"/>
  <c r="D505" i="3"/>
  <c r="D503" i="3"/>
  <c r="D501" i="3"/>
  <c r="D511" i="3"/>
  <c r="D509" i="3"/>
  <c r="D516" i="3"/>
  <c r="D525" i="3"/>
  <c r="B535" i="3"/>
  <c r="B536" i="3"/>
  <c r="B537" i="3"/>
  <c r="B538" i="3"/>
  <c r="B539" i="3"/>
  <c r="H538" i="3" l="1"/>
  <c r="I538" i="3"/>
  <c r="C538" i="3"/>
  <c r="G538" i="3"/>
  <c r="I539" i="3"/>
  <c r="G539" i="3"/>
  <c r="C539" i="3"/>
  <c r="H539" i="3"/>
  <c r="I537" i="3"/>
  <c r="G537" i="3"/>
  <c r="C537" i="3"/>
  <c r="H537" i="3"/>
  <c r="I535" i="3"/>
  <c r="G535" i="3"/>
  <c r="C535" i="3"/>
  <c r="H535" i="3"/>
  <c r="H536" i="3"/>
  <c r="G536" i="3"/>
  <c r="I536" i="3"/>
  <c r="C536" i="3"/>
  <c r="D537" i="3"/>
  <c r="D538" i="3"/>
  <c r="D536" i="3"/>
  <c r="D539" i="3"/>
  <c r="D535" i="3"/>
  <c r="B482" i="3" l="1"/>
  <c r="B483" i="3"/>
  <c r="B484" i="3"/>
  <c r="B470" i="3"/>
  <c r="B471" i="3"/>
  <c r="B472" i="3"/>
  <c r="B473" i="3"/>
  <c r="B474" i="3"/>
  <c r="B475" i="3"/>
  <c r="B476" i="3"/>
  <c r="B477" i="3"/>
  <c r="B478" i="3"/>
  <c r="B479" i="3"/>
  <c r="B480" i="3"/>
  <c r="B468" i="3"/>
  <c r="B446" i="3"/>
  <c r="B447" i="3"/>
  <c r="B448" i="3"/>
  <c r="B449" i="3"/>
  <c r="B450" i="3"/>
  <c r="B451" i="3"/>
  <c r="B452" i="3"/>
  <c r="B453" i="3"/>
  <c r="B454" i="3"/>
  <c r="B455" i="3"/>
  <c r="B456" i="3"/>
  <c r="B444" i="3"/>
  <c r="B458" i="3"/>
  <c r="B459" i="3"/>
  <c r="B460" i="3"/>
  <c r="B461" i="3"/>
  <c r="B462" i="3"/>
  <c r="B463" i="3"/>
  <c r="B464" i="3"/>
  <c r="B465" i="3"/>
  <c r="B466" i="3"/>
  <c r="B467" i="3"/>
  <c r="B486" i="3"/>
  <c r="B541" i="3"/>
  <c r="B542" i="3"/>
  <c r="B543" i="3"/>
  <c r="B544" i="3"/>
  <c r="B545" i="3"/>
  <c r="B547" i="3"/>
  <c r="B548" i="3"/>
  <c r="B549" i="3"/>
  <c r="B550" i="3"/>
  <c r="B551" i="3"/>
  <c r="B552" i="3"/>
  <c r="B553" i="3"/>
  <c r="B555" i="3"/>
  <c r="I553" i="3" l="1"/>
  <c r="G553" i="3"/>
  <c r="C553" i="3"/>
  <c r="H553" i="3"/>
  <c r="I547" i="3"/>
  <c r="G547" i="3"/>
  <c r="C547" i="3"/>
  <c r="H547" i="3"/>
  <c r="H486" i="3"/>
  <c r="G486" i="3"/>
  <c r="I486" i="3"/>
  <c r="C486" i="3"/>
  <c r="H466" i="3"/>
  <c r="G466" i="3"/>
  <c r="I466" i="3"/>
  <c r="C466" i="3"/>
  <c r="H464" i="3"/>
  <c r="I464" i="3"/>
  <c r="C464" i="3"/>
  <c r="G464" i="3"/>
  <c r="H462" i="3"/>
  <c r="G462" i="3"/>
  <c r="I462" i="3"/>
  <c r="C462" i="3"/>
  <c r="H460" i="3"/>
  <c r="I460" i="3"/>
  <c r="C460" i="3"/>
  <c r="G460" i="3"/>
  <c r="H458" i="3"/>
  <c r="G458" i="3"/>
  <c r="I458" i="3"/>
  <c r="C458" i="3"/>
  <c r="H456" i="3"/>
  <c r="I456" i="3"/>
  <c r="C456" i="3"/>
  <c r="G456" i="3"/>
  <c r="H454" i="3"/>
  <c r="G454" i="3"/>
  <c r="I454" i="3"/>
  <c r="C454" i="3"/>
  <c r="H452" i="3"/>
  <c r="I452" i="3"/>
  <c r="C452" i="3"/>
  <c r="G452" i="3"/>
  <c r="H450" i="3"/>
  <c r="G450" i="3"/>
  <c r="I450" i="3"/>
  <c r="C450" i="3"/>
  <c r="H448" i="3"/>
  <c r="I448" i="3"/>
  <c r="C448" i="3"/>
  <c r="G448" i="3"/>
  <c r="H446" i="3"/>
  <c r="G446" i="3"/>
  <c r="I446" i="3"/>
  <c r="C446" i="3"/>
  <c r="H480" i="3"/>
  <c r="I480" i="3"/>
  <c r="C480" i="3"/>
  <c r="G480" i="3"/>
  <c r="H478" i="3"/>
  <c r="G478" i="3"/>
  <c r="I478" i="3"/>
  <c r="C478" i="3"/>
  <c r="H476" i="3"/>
  <c r="I476" i="3"/>
  <c r="C476" i="3"/>
  <c r="G476" i="3"/>
  <c r="H474" i="3"/>
  <c r="G474" i="3"/>
  <c r="I474" i="3"/>
  <c r="C474" i="3"/>
  <c r="H472" i="3"/>
  <c r="I472" i="3"/>
  <c r="C472" i="3"/>
  <c r="G472" i="3"/>
  <c r="H470" i="3"/>
  <c r="G470" i="3"/>
  <c r="I470" i="3"/>
  <c r="C470" i="3"/>
  <c r="I483" i="3"/>
  <c r="G483" i="3"/>
  <c r="C483" i="3"/>
  <c r="H483" i="3"/>
  <c r="I551" i="3"/>
  <c r="G551" i="3"/>
  <c r="C551" i="3"/>
  <c r="H551" i="3"/>
  <c r="I549" i="3"/>
  <c r="G549" i="3"/>
  <c r="C549" i="3"/>
  <c r="H549" i="3"/>
  <c r="H544" i="3"/>
  <c r="G544" i="3"/>
  <c r="I544" i="3"/>
  <c r="C544" i="3"/>
  <c r="H542" i="3"/>
  <c r="I542" i="3"/>
  <c r="C542" i="3"/>
  <c r="G542" i="3"/>
  <c r="I555" i="3"/>
  <c r="G555" i="3"/>
  <c r="C555" i="3"/>
  <c r="H555" i="3"/>
  <c r="H552" i="3"/>
  <c r="G552" i="3"/>
  <c r="I552" i="3"/>
  <c r="C552" i="3"/>
  <c r="H550" i="3"/>
  <c r="I550" i="3"/>
  <c r="C550" i="3"/>
  <c r="G550" i="3"/>
  <c r="H548" i="3"/>
  <c r="G548" i="3"/>
  <c r="C548" i="3"/>
  <c r="I548" i="3"/>
  <c r="I545" i="3"/>
  <c r="G545" i="3"/>
  <c r="C545" i="3"/>
  <c r="H545" i="3"/>
  <c r="I543" i="3"/>
  <c r="G543" i="3"/>
  <c r="C543" i="3"/>
  <c r="H543" i="3"/>
  <c r="I541" i="3"/>
  <c r="G541" i="3"/>
  <c r="C541" i="3"/>
  <c r="H541" i="3"/>
  <c r="I467" i="3"/>
  <c r="G467" i="3"/>
  <c r="C467" i="3"/>
  <c r="H467" i="3"/>
  <c r="D465" i="3"/>
  <c r="I465" i="3"/>
  <c r="G465" i="3"/>
  <c r="C465" i="3"/>
  <c r="H465" i="3"/>
  <c r="I463" i="3"/>
  <c r="G463" i="3"/>
  <c r="C463" i="3"/>
  <c r="H463" i="3"/>
  <c r="D461" i="3"/>
  <c r="I461" i="3"/>
  <c r="G461" i="3"/>
  <c r="C461" i="3"/>
  <c r="H461" i="3"/>
  <c r="I459" i="3"/>
  <c r="G459" i="3"/>
  <c r="C459" i="3"/>
  <c r="H459" i="3"/>
  <c r="H444" i="3"/>
  <c r="I444" i="3"/>
  <c r="C444" i="3"/>
  <c r="G444" i="3"/>
  <c r="I455" i="3"/>
  <c r="G455" i="3"/>
  <c r="C455" i="3"/>
  <c r="H455" i="3"/>
  <c r="I453" i="3"/>
  <c r="G453" i="3"/>
  <c r="C453" i="3"/>
  <c r="H453" i="3"/>
  <c r="I451" i="3"/>
  <c r="G451" i="3"/>
  <c r="C451" i="3"/>
  <c r="H451" i="3"/>
  <c r="I449" i="3"/>
  <c r="G449" i="3"/>
  <c r="C449" i="3"/>
  <c r="H449" i="3"/>
  <c r="I447" i="3"/>
  <c r="G447" i="3"/>
  <c r="C447" i="3"/>
  <c r="H447" i="3"/>
  <c r="H468" i="3"/>
  <c r="I468" i="3"/>
  <c r="C468" i="3"/>
  <c r="G468" i="3"/>
  <c r="I479" i="3"/>
  <c r="G479" i="3"/>
  <c r="C479" i="3"/>
  <c r="H479" i="3"/>
  <c r="I477" i="3"/>
  <c r="G477" i="3"/>
  <c r="C477" i="3"/>
  <c r="H477" i="3"/>
  <c r="I475" i="3"/>
  <c r="G475" i="3"/>
  <c r="C475" i="3"/>
  <c r="H475" i="3"/>
  <c r="I473" i="3"/>
  <c r="G473" i="3"/>
  <c r="C473" i="3"/>
  <c r="H473" i="3"/>
  <c r="I471" i="3"/>
  <c r="G471" i="3"/>
  <c r="C471" i="3"/>
  <c r="H471" i="3"/>
  <c r="H484" i="3"/>
  <c r="I484" i="3"/>
  <c r="C484" i="3"/>
  <c r="G484" i="3"/>
  <c r="H482" i="3"/>
  <c r="G482" i="3"/>
  <c r="I482" i="3"/>
  <c r="C482" i="3"/>
  <c r="D541" i="3"/>
  <c r="D555" i="3"/>
  <c r="D467" i="3"/>
  <c r="D463" i="3"/>
  <c r="D459" i="3"/>
  <c r="D548" i="3"/>
  <c r="D552" i="3"/>
  <c r="D544" i="3"/>
  <c r="D550" i="3"/>
  <c r="D542" i="3"/>
  <c r="D553" i="3"/>
  <c r="D551" i="3"/>
  <c r="D549" i="3"/>
  <c r="D547" i="3"/>
  <c r="D545" i="3"/>
  <c r="D543" i="3"/>
  <c r="D486" i="3"/>
  <c r="D466" i="3"/>
  <c r="D464" i="3"/>
  <c r="D462" i="3"/>
  <c r="D460" i="3"/>
  <c r="D458" i="3"/>
  <c r="D477" i="3"/>
  <c r="D473" i="3"/>
  <c r="D484" i="3"/>
  <c r="D479" i="3"/>
  <c r="D475" i="3"/>
  <c r="D471" i="3"/>
  <c r="D482" i="3"/>
  <c r="D454" i="3"/>
  <c r="D450" i="3"/>
  <c r="D446" i="3"/>
  <c r="D478" i="3"/>
  <c r="D476" i="3"/>
  <c r="D474" i="3"/>
  <c r="D472" i="3"/>
  <c r="D470" i="3"/>
  <c r="D483" i="3"/>
  <c r="D452" i="3"/>
  <c r="D448" i="3"/>
  <c r="D480" i="3"/>
  <c r="D455" i="3"/>
  <c r="D453" i="3"/>
  <c r="D451" i="3"/>
  <c r="D449" i="3"/>
  <c r="D447" i="3"/>
  <c r="D468" i="3"/>
  <c r="D456" i="3"/>
  <c r="D444" i="3"/>
  <c r="B431" i="3" l="1"/>
  <c r="B432" i="3"/>
  <c r="B433" i="3"/>
  <c r="B434" i="3"/>
  <c r="B435" i="3"/>
  <c r="B436" i="3"/>
  <c r="B437" i="3"/>
  <c r="B419" i="3"/>
  <c r="B420" i="3"/>
  <c r="B421" i="3"/>
  <c r="B422" i="3"/>
  <c r="B423" i="3"/>
  <c r="B424" i="3"/>
  <c r="B425" i="3"/>
  <c r="B426" i="3"/>
  <c r="B427" i="3"/>
  <c r="B428" i="3"/>
  <c r="B429" i="3"/>
  <c r="B414" i="3"/>
  <c r="B415" i="3"/>
  <c r="B416" i="3"/>
  <c r="B417" i="3"/>
  <c r="I417" i="3" l="1"/>
  <c r="G417" i="3"/>
  <c r="C417" i="3"/>
  <c r="H417" i="3"/>
  <c r="I429" i="3"/>
  <c r="G429" i="3"/>
  <c r="C429" i="3"/>
  <c r="H429" i="3"/>
  <c r="I427" i="3"/>
  <c r="G427" i="3"/>
  <c r="C427" i="3"/>
  <c r="H427" i="3"/>
  <c r="I425" i="3"/>
  <c r="G425" i="3"/>
  <c r="C425" i="3"/>
  <c r="H425" i="3"/>
  <c r="I423" i="3"/>
  <c r="G423" i="3"/>
  <c r="C423" i="3"/>
  <c r="H423" i="3"/>
  <c r="I421" i="3"/>
  <c r="G421" i="3"/>
  <c r="C421" i="3"/>
  <c r="H421" i="3"/>
  <c r="I419" i="3"/>
  <c r="G419" i="3"/>
  <c r="C419" i="3"/>
  <c r="H419" i="3"/>
  <c r="H436" i="3"/>
  <c r="I436" i="3"/>
  <c r="C436" i="3"/>
  <c r="G436" i="3"/>
  <c r="H434" i="3"/>
  <c r="G434" i="3"/>
  <c r="I434" i="3"/>
  <c r="C434" i="3"/>
  <c r="H432" i="3"/>
  <c r="I432" i="3"/>
  <c r="C432" i="3"/>
  <c r="G432" i="3"/>
  <c r="I415" i="3"/>
  <c r="G415" i="3"/>
  <c r="C415" i="3"/>
  <c r="H415" i="3"/>
  <c r="H416" i="3"/>
  <c r="I416" i="3"/>
  <c r="C416" i="3"/>
  <c r="G416" i="3"/>
  <c r="H414" i="3"/>
  <c r="G414" i="3"/>
  <c r="I414" i="3"/>
  <c r="C414" i="3"/>
  <c r="H428" i="3"/>
  <c r="I428" i="3"/>
  <c r="C428" i="3"/>
  <c r="G428" i="3"/>
  <c r="H426" i="3"/>
  <c r="G426" i="3"/>
  <c r="I426" i="3"/>
  <c r="C426" i="3"/>
  <c r="H424" i="3"/>
  <c r="I424" i="3"/>
  <c r="C424" i="3"/>
  <c r="G424" i="3"/>
  <c r="H422" i="3"/>
  <c r="I422" i="3"/>
  <c r="C422" i="3"/>
  <c r="G422" i="3"/>
  <c r="H420" i="3"/>
  <c r="G420" i="3"/>
  <c r="I420" i="3"/>
  <c r="C420" i="3"/>
  <c r="I437" i="3"/>
  <c r="G437" i="3"/>
  <c r="C437" i="3"/>
  <c r="H437" i="3"/>
  <c r="I435" i="3"/>
  <c r="G435" i="3"/>
  <c r="C435" i="3"/>
  <c r="H435" i="3"/>
  <c r="I433" i="3"/>
  <c r="G433" i="3"/>
  <c r="C433" i="3"/>
  <c r="H433" i="3"/>
  <c r="I431" i="3"/>
  <c r="G431" i="3"/>
  <c r="C431" i="3"/>
  <c r="H431" i="3"/>
  <c r="D428" i="3"/>
  <c r="D424" i="3"/>
  <c r="D420" i="3"/>
  <c r="D435" i="3"/>
  <c r="D431" i="3"/>
  <c r="D426" i="3"/>
  <c r="D422" i="3"/>
  <c r="D437" i="3"/>
  <c r="D433" i="3"/>
  <c r="D427" i="3"/>
  <c r="D425" i="3"/>
  <c r="D423" i="3"/>
  <c r="D421" i="3"/>
  <c r="D419" i="3"/>
  <c r="D436" i="3"/>
  <c r="D434" i="3"/>
  <c r="D432" i="3"/>
  <c r="D429" i="3"/>
  <c r="D417" i="3"/>
  <c r="D415" i="3"/>
  <c r="D416" i="3"/>
  <c r="D414" i="3"/>
  <c r="B4" i="8"/>
  <c r="H4" i="8" l="1"/>
  <c r="I4" i="8"/>
  <c r="C4" i="8"/>
  <c r="G4" i="8"/>
  <c r="D4" i="8"/>
  <c r="B412" i="3" l="1"/>
  <c r="B411" i="3"/>
  <c r="B409" i="3"/>
  <c r="I411" i="3" l="1"/>
  <c r="G411" i="3"/>
  <c r="C411" i="3"/>
  <c r="H411" i="3"/>
  <c r="I409" i="3"/>
  <c r="G409" i="3"/>
  <c r="C409" i="3"/>
  <c r="H409" i="3"/>
  <c r="H412" i="3"/>
  <c r="I412" i="3"/>
  <c r="C412" i="3"/>
  <c r="G412" i="3"/>
  <c r="D411" i="3"/>
  <c r="D409" i="3"/>
  <c r="D412" i="3"/>
  <c r="B10" i="5" l="1"/>
  <c r="B11" i="5"/>
  <c r="I11" i="5" l="1"/>
  <c r="G11" i="5"/>
  <c r="C11" i="5"/>
  <c r="H11" i="5"/>
  <c r="H10" i="5"/>
  <c r="I10" i="5"/>
  <c r="C10" i="5"/>
  <c r="G10" i="5"/>
  <c r="D11" i="5"/>
  <c r="D10" i="5"/>
  <c r="B8" i="5"/>
  <c r="B13" i="5"/>
  <c r="B14" i="5"/>
  <c r="B15" i="5"/>
  <c r="B16" i="5"/>
  <c r="B17" i="5"/>
  <c r="B18" i="5"/>
  <c r="B19" i="5"/>
  <c r="B20" i="5"/>
  <c r="B21" i="5"/>
  <c r="B4" i="5"/>
  <c r="B5" i="5"/>
  <c r="B7" i="5"/>
  <c r="B9" i="5"/>
  <c r="I19" i="5" l="1"/>
  <c r="G19" i="5"/>
  <c r="C19" i="5"/>
  <c r="H19" i="5"/>
  <c r="I17" i="5"/>
  <c r="G17" i="5"/>
  <c r="C17" i="5"/>
  <c r="H17" i="5"/>
  <c r="I15" i="5"/>
  <c r="G15" i="5"/>
  <c r="C15" i="5"/>
  <c r="H15" i="5"/>
  <c r="I13" i="5"/>
  <c r="G13" i="5"/>
  <c r="C13" i="5"/>
  <c r="H13" i="5"/>
  <c r="I9" i="5"/>
  <c r="G9" i="5"/>
  <c r="C9" i="5"/>
  <c r="H9" i="5"/>
  <c r="H5" i="5"/>
  <c r="G5" i="5"/>
  <c r="C5" i="5"/>
  <c r="I5" i="5"/>
  <c r="I21" i="5"/>
  <c r="G21" i="5"/>
  <c r="C21" i="5"/>
  <c r="H21" i="5"/>
  <c r="I7" i="5"/>
  <c r="G7" i="5"/>
  <c r="C7" i="5"/>
  <c r="H7" i="5"/>
  <c r="I4" i="5"/>
  <c r="G4" i="5"/>
  <c r="C4" i="5"/>
  <c r="H4" i="5"/>
  <c r="H20" i="5"/>
  <c r="G20" i="5"/>
  <c r="C20" i="5"/>
  <c r="I20" i="5"/>
  <c r="H18" i="5"/>
  <c r="I18" i="5"/>
  <c r="C18" i="5"/>
  <c r="G18" i="5"/>
  <c r="H16" i="5"/>
  <c r="G16" i="5"/>
  <c r="I16" i="5"/>
  <c r="C16" i="5"/>
  <c r="H14" i="5"/>
  <c r="I14" i="5"/>
  <c r="C14" i="5"/>
  <c r="G14" i="5"/>
  <c r="H8" i="5"/>
  <c r="G8" i="5"/>
  <c r="I8" i="5"/>
  <c r="C8" i="5"/>
  <c r="D4" i="5"/>
  <c r="D9" i="5"/>
  <c r="D7" i="5"/>
  <c r="D19" i="5"/>
  <c r="D8" i="5"/>
  <c r="D15" i="5"/>
  <c r="D21" i="5"/>
  <c r="D18" i="5"/>
  <c r="D17" i="5"/>
  <c r="D14" i="5"/>
  <c r="D13" i="5"/>
  <c r="D5" i="5"/>
  <c r="D20" i="5"/>
  <c r="D16" i="5"/>
  <c r="B5" i="6"/>
  <c r="B6" i="6"/>
  <c r="B7" i="6"/>
  <c r="H6" i="6" l="1"/>
  <c r="G6" i="6"/>
  <c r="I6" i="6"/>
  <c r="C6" i="6"/>
  <c r="I7" i="6"/>
  <c r="G7" i="6"/>
  <c r="C7" i="6"/>
  <c r="H7" i="6"/>
  <c r="I5" i="6"/>
  <c r="G5" i="6"/>
  <c r="C5" i="6"/>
  <c r="H5" i="6"/>
  <c r="D5" i="6"/>
  <c r="D6" i="6"/>
  <c r="D4" i="6"/>
  <c r="D7" i="6"/>
  <c r="B391" i="3" l="1"/>
  <c r="B392" i="3"/>
  <c r="B393" i="3"/>
  <c r="B394" i="3"/>
  <c r="B395" i="3"/>
  <c r="B396" i="3"/>
  <c r="B397" i="3"/>
  <c r="B398" i="3"/>
  <c r="B399" i="3"/>
  <c r="B400" i="3"/>
  <c r="B372" i="3"/>
  <c r="B373" i="3"/>
  <c r="B384" i="3"/>
  <c r="B385" i="3"/>
  <c r="B386" i="3"/>
  <c r="B387" i="3"/>
  <c r="B388" i="3"/>
  <c r="B389" i="3"/>
  <c r="B366" i="3"/>
  <c r="B367" i="3"/>
  <c r="B368" i="3"/>
  <c r="B369" i="3"/>
  <c r="B370" i="3"/>
  <c r="B284" i="3"/>
  <c r="B296" i="3"/>
  <c r="B297" i="3"/>
  <c r="B298" i="3"/>
  <c r="B299" i="3"/>
  <c r="I284" i="3" l="1"/>
  <c r="G284" i="3"/>
  <c r="C284" i="3"/>
  <c r="H284" i="3"/>
  <c r="I367" i="3"/>
  <c r="G367" i="3"/>
  <c r="C367" i="3"/>
  <c r="H367" i="3"/>
  <c r="I387" i="3"/>
  <c r="G387" i="3"/>
  <c r="C387" i="3"/>
  <c r="H387" i="3"/>
  <c r="I385" i="3"/>
  <c r="G385" i="3"/>
  <c r="C385" i="3"/>
  <c r="H385" i="3"/>
  <c r="I373" i="3"/>
  <c r="G373" i="3"/>
  <c r="C373" i="3"/>
  <c r="H373" i="3"/>
  <c r="H400" i="3"/>
  <c r="I400" i="3"/>
  <c r="C400" i="3"/>
  <c r="G400" i="3"/>
  <c r="H398" i="3"/>
  <c r="G398" i="3"/>
  <c r="I398" i="3"/>
  <c r="C398" i="3"/>
  <c r="H396" i="3"/>
  <c r="I396" i="3"/>
  <c r="C396" i="3"/>
  <c r="G396" i="3"/>
  <c r="H394" i="3"/>
  <c r="G394" i="3"/>
  <c r="I394" i="3"/>
  <c r="C394" i="3"/>
  <c r="H392" i="3"/>
  <c r="I392" i="3"/>
  <c r="C392" i="3"/>
  <c r="G392" i="3"/>
  <c r="H299" i="3"/>
  <c r="I299" i="3"/>
  <c r="G299" i="3"/>
  <c r="C299" i="3"/>
  <c r="H297" i="3"/>
  <c r="I297" i="3"/>
  <c r="G297" i="3"/>
  <c r="C297" i="3"/>
  <c r="I369" i="3"/>
  <c r="G369" i="3"/>
  <c r="C369" i="3"/>
  <c r="H369" i="3"/>
  <c r="I389" i="3"/>
  <c r="G389" i="3"/>
  <c r="C389" i="3"/>
  <c r="H389" i="3"/>
  <c r="I298" i="3"/>
  <c r="G298" i="3"/>
  <c r="C298" i="3"/>
  <c r="H298" i="3"/>
  <c r="I296" i="3"/>
  <c r="G296" i="3"/>
  <c r="C296" i="3"/>
  <c r="H296" i="3"/>
  <c r="H370" i="3"/>
  <c r="I370" i="3"/>
  <c r="G370" i="3"/>
  <c r="C370" i="3"/>
  <c r="H368" i="3"/>
  <c r="I368" i="3"/>
  <c r="G368" i="3"/>
  <c r="C368" i="3"/>
  <c r="H366" i="3"/>
  <c r="I366" i="3"/>
  <c r="G366" i="3"/>
  <c r="C366" i="3"/>
  <c r="H388" i="3"/>
  <c r="I388" i="3"/>
  <c r="G388" i="3"/>
  <c r="C388" i="3"/>
  <c r="H386" i="3"/>
  <c r="I386" i="3"/>
  <c r="G386" i="3"/>
  <c r="C386" i="3"/>
  <c r="H384" i="3"/>
  <c r="I384" i="3"/>
  <c r="G384" i="3"/>
  <c r="C384" i="3"/>
  <c r="H372" i="3"/>
  <c r="I372" i="3"/>
  <c r="G372" i="3"/>
  <c r="C372" i="3"/>
  <c r="I399" i="3"/>
  <c r="G399" i="3"/>
  <c r="C399" i="3"/>
  <c r="H399" i="3"/>
  <c r="I397" i="3"/>
  <c r="G397" i="3"/>
  <c r="C397" i="3"/>
  <c r="H397" i="3"/>
  <c r="I395" i="3"/>
  <c r="G395" i="3"/>
  <c r="C395" i="3"/>
  <c r="H395" i="3"/>
  <c r="I393" i="3"/>
  <c r="G393" i="3"/>
  <c r="C393" i="3"/>
  <c r="H393" i="3"/>
  <c r="I391" i="3"/>
  <c r="G391" i="3"/>
  <c r="C391" i="3"/>
  <c r="H391" i="3"/>
  <c r="D385" i="3"/>
  <c r="D373" i="3"/>
  <c r="D398" i="3"/>
  <c r="D394" i="3"/>
  <c r="D389" i="3"/>
  <c r="D387" i="3"/>
  <c r="D400" i="3"/>
  <c r="D396" i="3"/>
  <c r="D392" i="3"/>
  <c r="D388" i="3"/>
  <c r="D386" i="3"/>
  <c r="D384" i="3"/>
  <c r="D372" i="3"/>
  <c r="D399" i="3"/>
  <c r="D397" i="3"/>
  <c r="D395" i="3"/>
  <c r="D393" i="3"/>
  <c r="D391" i="3"/>
  <c r="D296" i="3"/>
  <c r="D369" i="3"/>
  <c r="D367" i="3"/>
  <c r="D299" i="3"/>
  <c r="D284" i="3"/>
  <c r="D368" i="3"/>
  <c r="D297" i="3"/>
  <c r="D370" i="3"/>
  <c r="D366" i="3"/>
  <c r="D298" i="3"/>
  <c r="B280" i="3" l="1"/>
  <c r="B281" i="3"/>
  <c r="B268" i="3"/>
  <c r="B269" i="3"/>
  <c r="B175" i="3"/>
  <c r="B5" i="2"/>
  <c r="H269" i="3" l="1"/>
  <c r="I269" i="3"/>
  <c r="G269" i="3"/>
  <c r="C269" i="3"/>
  <c r="H281" i="3"/>
  <c r="I281" i="3"/>
  <c r="G281" i="3"/>
  <c r="C281" i="3"/>
  <c r="I175" i="3"/>
  <c r="G175" i="3"/>
  <c r="C175" i="3"/>
  <c r="H175" i="3"/>
  <c r="I268" i="3"/>
  <c r="G268" i="3"/>
  <c r="C268" i="3"/>
  <c r="H268" i="3"/>
  <c r="D280" i="3"/>
  <c r="I280" i="3"/>
  <c r="G280" i="3"/>
  <c r="C280" i="3"/>
  <c r="H280" i="3"/>
  <c r="D175" i="3"/>
  <c r="D268" i="3"/>
  <c r="D281" i="3"/>
  <c r="D269" i="3"/>
  <c r="K3" i="4" l="1"/>
  <c r="B132" i="3"/>
  <c r="H132" i="3" l="1"/>
  <c r="I132" i="3"/>
  <c r="G132" i="3"/>
  <c r="C132" i="3"/>
  <c r="D132" i="3"/>
  <c r="B40" i="3" l="1"/>
  <c r="B15" i="3"/>
  <c r="H15" i="3" l="1"/>
  <c r="I15" i="3"/>
  <c r="C15" i="3"/>
  <c r="G15" i="3"/>
  <c r="H40" i="3"/>
  <c r="I40" i="3"/>
  <c r="C40" i="3"/>
  <c r="G40" i="3"/>
  <c r="D15" i="3"/>
  <c r="D40" i="3"/>
  <c r="B11" i="6" l="1"/>
  <c r="B10" i="6"/>
  <c r="B9" i="6"/>
  <c r="B407" i="3"/>
  <c r="B406" i="3"/>
  <c r="B405" i="3"/>
  <c r="B404" i="3"/>
  <c r="B403" i="3"/>
  <c r="B402" i="3"/>
  <c r="I403" i="3" l="1"/>
  <c r="G403" i="3"/>
  <c r="C403" i="3"/>
  <c r="H403" i="3"/>
  <c r="I407" i="3"/>
  <c r="G407" i="3"/>
  <c r="C407" i="3"/>
  <c r="H407" i="3"/>
  <c r="I10" i="6"/>
  <c r="G10" i="6"/>
  <c r="C10" i="6"/>
  <c r="H10" i="6"/>
  <c r="I405" i="3"/>
  <c r="G405" i="3"/>
  <c r="C405" i="3"/>
  <c r="H405" i="3"/>
  <c r="H402" i="3"/>
  <c r="G402" i="3"/>
  <c r="I402" i="3"/>
  <c r="C402" i="3"/>
  <c r="H404" i="3"/>
  <c r="I404" i="3"/>
  <c r="C404" i="3"/>
  <c r="G404" i="3"/>
  <c r="H406" i="3"/>
  <c r="G406" i="3"/>
  <c r="I406" i="3"/>
  <c r="C406" i="3"/>
  <c r="H9" i="6"/>
  <c r="G9" i="6"/>
  <c r="C9" i="6"/>
  <c r="I9" i="6"/>
  <c r="H11" i="6"/>
  <c r="I11" i="6"/>
  <c r="C11" i="6"/>
  <c r="G11" i="6"/>
  <c r="D10" i="6"/>
  <c r="D9" i="6"/>
  <c r="D11" i="6"/>
  <c r="D403" i="3"/>
  <c r="D405" i="3"/>
  <c r="D407" i="3"/>
  <c r="D402" i="3"/>
  <c r="D404" i="3"/>
  <c r="D406" i="3"/>
  <c r="B443" i="3" l="1"/>
  <c r="B442" i="3"/>
  <c r="B441" i="3"/>
  <c r="B440" i="3"/>
  <c r="B439" i="3"/>
  <c r="H442" i="3" l="1"/>
  <c r="G442" i="3"/>
  <c r="I442" i="3"/>
  <c r="C442" i="3"/>
  <c r="H440" i="3"/>
  <c r="I440" i="3"/>
  <c r="C440" i="3"/>
  <c r="G440" i="3"/>
  <c r="I439" i="3"/>
  <c r="G439" i="3"/>
  <c r="C439" i="3"/>
  <c r="H439" i="3"/>
  <c r="I441" i="3"/>
  <c r="G441" i="3"/>
  <c r="C441" i="3"/>
  <c r="H441" i="3"/>
  <c r="I443" i="3"/>
  <c r="G443" i="3"/>
  <c r="C443" i="3"/>
  <c r="H443" i="3"/>
  <c r="D439" i="3"/>
  <c r="D441" i="3"/>
  <c r="D443" i="3"/>
  <c r="D440" i="3"/>
  <c r="D442" i="3"/>
  <c r="B540" i="3" l="1"/>
  <c r="H540" i="3" l="1"/>
  <c r="G540" i="3"/>
  <c r="C540" i="3"/>
  <c r="I540" i="3"/>
  <c r="D540" i="3"/>
  <c r="B22" i="5" l="1"/>
  <c r="I22" i="5" l="1"/>
  <c r="G22" i="5"/>
  <c r="C22" i="5"/>
  <c r="H22" i="5"/>
  <c r="D22" i="5"/>
  <c r="B413" i="3" l="1"/>
  <c r="B517" i="3"/>
  <c r="B390" i="3"/>
  <c r="B300" i="3"/>
  <c r="B18" i="6"/>
  <c r="B410" i="3"/>
  <c r="B534" i="3"/>
  <c r="B401" i="3"/>
  <c r="B469" i="3"/>
  <c r="B438" i="3"/>
  <c r="B270" i="3"/>
  <c r="B487" i="3"/>
  <c r="B430" i="3"/>
  <c r="B8" i="6"/>
  <c r="B457" i="3"/>
  <c r="B485" i="3"/>
  <c r="B371" i="3"/>
  <c r="B554" i="3"/>
  <c r="B481" i="3"/>
  <c r="B418" i="3"/>
  <c r="B12" i="5"/>
  <c r="B445" i="3"/>
  <c r="B13" i="6"/>
  <c r="B507" i="3"/>
  <c r="B524" i="3"/>
  <c r="B365" i="3"/>
  <c r="B282" i="3"/>
  <c r="B512" i="3"/>
  <c r="B499" i="3"/>
  <c r="B408" i="3"/>
  <c r="B546" i="3"/>
  <c r="H512" i="3" l="1"/>
  <c r="I512" i="3"/>
  <c r="C512" i="3"/>
  <c r="G512" i="3"/>
  <c r="I507" i="3"/>
  <c r="G507" i="3"/>
  <c r="C507" i="3"/>
  <c r="H507" i="3"/>
  <c r="H12" i="5"/>
  <c r="G12" i="5"/>
  <c r="C12" i="5"/>
  <c r="I12" i="5"/>
  <c r="I481" i="3"/>
  <c r="G481" i="3"/>
  <c r="C481" i="3"/>
  <c r="H481" i="3"/>
  <c r="H554" i="3"/>
  <c r="I554" i="3"/>
  <c r="C554" i="3"/>
  <c r="G554" i="3"/>
  <c r="I485" i="3"/>
  <c r="G485" i="3"/>
  <c r="C485" i="3"/>
  <c r="H485" i="3"/>
  <c r="I8" i="6"/>
  <c r="G8" i="6"/>
  <c r="C8" i="6"/>
  <c r="H8" i="6"/>
  <c r="I487" i="3"/>
  <c r="G487" i="3"/>
  <c r="C487" i="3"/>
  <c r="H487" i="3"/>
  <c r="H438" i="3"/>
  <c r="G438" i="3"/>
  <c r="I438" i="3"/>
  <c r="C438" i="3"/>
  <c r="I401" i="3"/>
  <c r="G401" i="3"/>
  <c r="C401" i="3"/>
  <c r="H401" i="3"/>
  <c r="H410" i="3"/>
  <c r="G410" i="3"/>
  <c r="I410" i="3"/>
  <c r="C410" i="3"/>
  <c r="I300" i="3"/>
  <c r="G300" i="3"/>
  <c r="C300" i="3"/>
  <c r="H300" i="3"/>
  <c r="I517" i="3"/>
  <c r="G517" i="3"/>
  <c r="C517" i="3"/>
  <c r="H517" i="3"/>
  <c r="H408" i="3"/>
  <c r="I408" i="3"/>
  <c r="C408" i="3"/>
  <c r="G408" i="3"/>
  <c r="I365" i="3"/>
  <c r="G365" i="3"/>
  <c r="C365" i="3"/>
  <c r="H365" i="3"/>
  <c r="H13" i="6"/>
  <c r="G13" i="6"/>
  <c r="I13" i="6"/>
  <c r="C13" i="6"/>
  <c r="H546" i="3"/>
  <c r="I546" i="3"/>
  <c r="C546" i="3"/>
  <c r="G546" i="3"/>
  <c r="I499" i="3"/>
  <c r="G499" i="3"/>
  <c r="C499" i="3"/>
  <c r="H499" i="3"/>
  <c r="I282" i="3"/>
  <c r="G282" i="3"/>
  <c r="C282" i="3"/>
  <c r="H282" i="3"/>
  <c r="H524" i="3"/>
  <c r="G524" i="3"/>
  <c r="C524" i="3"/>
  <c r="I524" i="3"/>
  <c r="I445" i="3"/>
  <c r="G445" i="3"/>
  <c r="C445" i="3"/>
  <c r="H445" i="3"/>
  <c r="H418" i="3"/>
  <c r="I418" i="3"/>
  <c r="C418" i="3"/>
  <c r="G418" i="3"/>
  <c r="I371" i="3"/>
  <c r="G371" i="3"/>
  <c r="C371" i="3"/>
  <c r="H371" i="3"/>
  <c r="I457" i="3"/>
  <c r="G457" i="3"/>
  <c r="C457" i="3"/>
  <c r="H457" i="3"/>
  <c r="H430" i="3"/>
  <c r="G430" i="3"/>
  <c r="I430" i="3"/>
  <c r="C430" i="3"/>
  <c r="I270" i="3"/>
  <c r="G270" i="3"/>
  <c r="C270" i="3"/>
  <c r="H270" i="3"/>
  <c r="I469" i="3"/>
  <c r="G469" i="3"/>
  <c r="C469" i="3"/>
  <c r="H469" i="3"/>
  <c r="H534" i="3"/>
  <c r="I534" i="3"/>
  <c r="C534" i="3"/>
  <c r="G534" i="3"/>
  <c r="I18" i="6"/>
  <c r="G18" i="6"/>
  <c r="C18" i="6"/>
  <c r="H18" i="6"/>
  <c r="H390" i="3"/>
  <c r="G390" i="3"/>
  <c r="I390" i="3"/>
  <c r="C390" i="3"/>
  <c r="I413" i="3"/>
  <c r="G413" i="3"/>
  <c r="C413" i="3"/>
  <c r="H413" i="3"/>
  <c r="D18" i="6"/>
  <c r="D13" i="6"/>
  <c r="D554" i="3"/>
  <c r="D546" i="3"/>
  <c r="D408" i="3"/>
  <c r="D499" i="3"/>
  <c r="D512" i="3"/>
  <c r="D282" i="3"/>
  <c r="D365" i="3"/>
  <c r="D524" i="3"/>
  <c r="D507" i="3"/>
  <c r="D445" i="3"/>
  <c r="D12" i="5"/>
  <c r="D418" i="3"/>
  <c r="D481" i="3"/>
  <c r="D371" i="3"/>
  <c r="D485" i="3"/>
  <c r="D457" i="3"/>
  <c r="D8" i="6"/>
  <c r="D430" i="3"/>
  <c r="D487" i="3"/>
  <c r="D270" i="3"/>
  <c r="D438" i="3"/>
  <c r="D469" i="3"/>
  <c r="D401" i="3"/>
  <c r="D534" i="3"/>
  <c r="D410" i="3"/>
  <c r="D300" i="3"/>
  <c r="D390" i="3"/>
  <c r="D517" i="3"/>
  <c r="D413" i="3"/>
  <c r="B324" i="4" l="1"/>
  <c r="B354" i="4"/>
  <c r="B321" i="4"/>
  <c r="I354" i="4" l="1"/>
  <c r="G354" i="4"/>
  <c r="C354" i="4"/>
  <c r="H354" i="4"/>
  <c r="H321" i="4"/>
  <c r="I321" i="4"/>
  <c r="G321" i="4"/>
  <c r="C321" i="4"/>
  <c r="H324" i="4"/>
  <c r="I324" i="4"/>
  <c r="G324" i="4"/>
  <c r="C324" i="4"/>
  <c r="B271" i="4"/>
  <c r="H271" i="4" l="1"/>
  <c r="I271" i="4"/>
  <c r="G271" i="4"/>
  <c r="C271" i="4"/>
  <c r="B360" i="4"/>
  <c r="D321" i="4"/>
  <c r="D324" i="4"/>
  <c r="D354" i="4"/>
  <c r="D271" i="4"/>
  <c r="I360" i="4" l="1"/>
  <c r="G360" i="4"/>
  <c r="C360" i="4"/>
  <c r="H360" i="4"/>
  <c r="D360" i="4"/>
  <c r="B364" i="4" l="1"/>
  <c r="I364" i="4" l="1"/>
  <c r="G364" i="4"/>
  <c r="C364" i="4"/>
  <c r="H364" i="4"/>
  <c r="D364" i="4"/>
  <c r="B3" i="4" l="1"/>
  <c r="H3" i="4" l="1"/>
  <c r="I3" i="4"/>
  <c r="G3" i="4"/>
  <c r="C3" i="4"/>
  <c r="B3" i="3" l="1"/>
  <c r="I3" i="3" l="1"/>
  <c r="G3" i="3"/>
  <c r="C3" i="3"/>
  <c r="H3" i="3"/>
  <c r="B33" i="3" l="1"/>
  <c r="B229" i="4"/>
  <c r="B213" i="4"/>
  <c r="B74" i="4"/>
  <c r="B221" i="4"/>
  <c r="B133" i="4"/>
  <c r="B217" i="4"/>
  <c r="B235" i="4"/>
  <c r="B126" i="4"/>
  <c r="B95" i="4"/>
  <c r="B233" i="4"/>
  <c r="B57" i="3"/>
  <c r="B131" i="3"/>
  <c r="B70" i="3"/>
  <c r="I70" i="3" l="1"/>
  <c r="G70" i="3"/>
  <c r="C70" i="3"/>
  <c r="H70" i="3"/>
  <c r="H57" i="3"/>
  <c r="I57" i="3"/>
  <c r="G57" i="3"/>
  <c r="C57" i="3"/>
  <c r="H126" i="4"/>
  <c r="I126" i="4"/>
  <c r="G126" i="4"/>
  <c r="C126" i="4"/>
  <c r="H235" i="4"/>
  <c r="I235" i="4"/>
  <c r="G235" i="4"/>
  <c r="C235" i="4"/>
  <c r="H217" i="4"/>
  <c r="I217" i="4"/>
  <c r="G217" i="4"/>
  <c r="C217" i="4"/>
  <c r="H221" i="4"/>
  <c r="I221" i="4"/>
  <c r="G221" i="4"/>
  <c r="C221" i="4"/>
  <c r="H213" i="4"/>
  <c r="I213" i="4"/>
  <c r="G213" i="4"/>
  <c r="C213" i="4"/>
  <c r="I131" i="3"/>
  <c r="G131" i="3"/>
  <c r="C131" i="3"/>
  <c r="H131" i="3"/>
  <c r="H233" i="4"/>
  <c r="I233" i="4"/>
  <c r="G233" i="4"/>
  <c r="C233" i="4"/>
  <c r="H95" i="4"/>
  <c r="I95" i="4"/>
  <c r="G95" i="4"/>
  <c r="C95" i="4"/>
  <c r="H133" i="4"/>
  <c r="I133" i="4"/>
  <c r="G133" i="4"/>
  <c r="C133" i="4"/>
  <c r="H74" i="4"/>
  <c r="I74" i="4"/>
  <c r="G74" i="4"/>
  <c r="C74" i="4"/>
  <c r="H229" i="4"/>
  <c r="I229" i="4"/>
  <c r="G229" i="4"/>
  <c r="C229" i="4"/>
  <c r="I33" i="3"/>
  <c r="G33" i="3"/>
  <c r="C33" i="3"/>
  <c r="H33" i="3"/>
  <c r="B243" i="4"/>
  <c r="B177" i="3"/>
  <c r="I177" i="3" l="1"/>
  <c r="G177" i="3"/>
  <c r="C177" i="3"/>
  <c r="H177" i="3"/>
  <c r="H243" i="4"/>
  <c r="I243" i="4"/>
  <c r="G243" i="4"/>
  <c r="C243" i="4"/>
  <c r="B364" i="3" l="1"/>
  <c r="B278" i="4"/>
  <c r="D3" i="4"/>
  <c r="D3" i="3"/>
  <c r="D131" i="3"/>
  <c r="D133" i="4"/>
  <c r="D213" i="4"/>
  <c r="D33" i="3"/>
  <c r="D233" i="4"/>
  <c r="D235" i="4"/>
  <c r="D74" i="4"/>
  <c r="D57" i="3"/>
  <c r="D126" i="4"/>
  <c r="D221" i="4"/>
  <c r="D70" i="3"/>
  <c r="D95" i="4"/>
  <c r="D217" i="4"/>
  <c r="D229" i="4"/>
  <c r="D177" i="3"/>
  <c r="D243" i="4"/>
  <c r="B319" i="3"/>
  <c r="B8" i="9"/>
  <c r="B314" i="4"/>
  <c r="B312" i="4"/>
  <c r="B289" i="4"/>
  <c r="B320" i="4"/>
  <c r="B267" i="4"/>
  <c r="B374" i="3"/>
  <c r="B327" i="4"/>
  <c r="B285" i="3"/>
  <c r="B349" i="4"/>
  <c r="B296" i="4"/>
  <c r="B256" i="4"/>
  <c r="B331" i="3"/>
  <c r="D331" i="3" s="1"/>
  <c r="B273" i="4"/>
  <c r="B267" i="3"/>
  <c r="B345" i="4"/>
  <c r="B334" i="4"/>
  <c r="B283" i="3"/>
  <c r="B336" i="4"/>
  <c r="B352" i="4"/>
  <c r="B293" i="4"/>
  <c r="B252" i="4"/>
  <c r="B272" i="3"/>
  <c r="B300" i="4"/>
  <c r="B351" i="3"/>
  <c r="D351" i="3" s="1"/>
  <c r="B383" i="3"/>
  <c r="B307" i="3"/>
  <c r="B301" i="3"/>
  <c r="B342" i="3"/>
  <c r="B279" i="3"/>
  <c r="B305" i="4"/>
  <c r="B249" i="4"/>
  <c r="B3" i="9"/>
  <c r="B295" i="3"/>
  <c r="E3" i="4"/>
  <c r="E3" i="3"/>
  <c r="Y3" i="3" l="1"/>
  <c r="J3" i="3"/>
  <c r="J3" i="4"/>
  <c r="Z3" i="4"/>
  <c r="U3" i="4"/>
  <c r="Q3" i="4"/>
  <c r="N3" i="4"/>
  <c r="L3" i="4"/>
  <c r="O3" i="4"/>
  <c r="M3" i="4"/>
  <c r="U3" i="3"/>
  <c r="R3" i="3"/>
  <c r="P3" i="3"/>
  <c r="N3" i="3"/>
  <c r="L3" i="3"/>
  <c r="S3" i="3"/>
  <c r="O3" i="3"/>
  <c r="K3" i="3"/>
  <c r="Q3" i="3"/>
  <c r="M3" i="3"/>
  <c r="H295" i="3"/>
  <c r="I295" i="3"/>
  <c r="G295" i="3"/>
  <c r="C295" i="3"/>
  <c r="H249" i="4"/>
  <c r="I249" i="4"/>
  <c r="G249" i="4"/>
  <c r="C249" i="4"/>
  <c r="H305" i="4"/>
  <c r="I305" i="4"/>
  <c r="G305" i="4"/>
  <c r="C305" i="4"/>
  <c r="H279" i="3"/>
  <c r="I279" i="3"/>
  <c r="G279" i="3"/>
  <c r="C279" i="3"/>
  <c r="H342" i="3"/>
  <c r="I342" i="3"/>
  <c r="G342" i="3"/>
  <c r="C342" i="3"/>
  <c r="H301" i="3"/>
  <c r="I301" i="3"/>
  <c r="C301" i="3"/>
  <c r="G301" i="3"/>
  <c r="H307" i="3"/>
  <c r="G307" i="3"/>
  <c r="I307" i="3"/>
  <c r="C307" i="3"/>
  <c r="I383" i="3"/>
  <c r="G383" i="3"/>
  <c r="C383" i="3"/>
  <c r="H383" i="3"/>
  <c r="I351" i="3"/>
  <c r="G351" i="3"/>
  <c r="C351" i="3"/>
  <c r="H351" i="3"/>
  <c r="H300" i="4"/>
  <c r="I300" i="4"/>
  <c r="G300" i="4"/>
  <c r="C300" i="4"/>
  <c r="I272" i="3"/>
  <c r="G272" i="3"/>
  <c r="C272" i="3"/>
  <c r="H272" i="3"/>
  <c r="H283" i="3"/>
  <c r="I283" i="3"/>
  <c r="G283" i="3"/>
  <c r="C283" i="3"/>
  <c r="I334" i="4"/>
  <c r="G334" i="4"/>
  <c r="C334" i="4"/>
  <c r="H334" i="4"/>
  <c r="I345" i="4"/>
  <c r="G345" i="4"/>
  <c r="C345" i="4"/>
  <c r="H345" i="4"/>
  <c r="H267" i="3"/>
  <c r="I267" i="3"/>
  <c r="G267" i="3"/>
  <c r="C267" i="3"/>
  <c r="H273" i="4"/>
  <c r="I273" i="4"/>
  <c r="G273" i="4"/>
  <c r="C273" i="4"/>
  <c r="H3" i="9"/>
  <c r="I3" i="9"/>
  <c r="C3" i="9"/>
  <c r="G3" i="9"/>
  <c r="H252" i="4"/>
  <c r="I252" i="4"/>
  <c r="G252" i="4"/>
  <c r="C252" i="4"/>
  <c r="H293" i="4"/>
  <c r="I293" i="4"/>
  <c r="G293" i="4"/>
  <c r="C293" i="4"/>
  <c r="I352" i="4"/>
  <c r="G352" i="4"/>
  <c r="C352" i="4"/>
  <c r="H352" i="4"/>
  <c r="I336" i="4"/>
  <c r="G336" i="4"/>
  <c r="C336" i="4"/>
  <c r="H336" i="4"/>
  <c r="I331" i="3"/>
  <c r="G331" i="3"/>
  <c r="H331" i="3"/>
  <c r="H256" i="4"/>
  <c r="I256" i="4"/>
  <c r="G256" i="4"/>
  <c r="C256" i="4"/>
  <c r="H296" i="4"/>
  <c r="I296" i="4"/>
  <c r="G296" i="4"/>
  <c r="C296" i="4"/>
  <c r="I349" i="4"/>
  <c r="G349" i="4"/>
  <c r="C349" i="4"/>
  <c r="H349" i="4"/>
  <c r="H285" i="3"/>
  <c r="I285" i="3"/>
  <c r="G285" i="3"/>
  <c r="C285" i="3"/>
  <c r="I327" i="4"/>
  <c r="G327" i="4"/>
  <c r="C327" i="4"/>
  <c r="H327" i="4"/>
  <c r="H374" i="3"/>
  <c r="I374" i="3"/>
  <c r="G374" i="3"/>
  <c r="C374" i="3"/>
  <c r="H267" i="4"/>
  <c r="I267" i="4"/>
  <c r="G267" i="4"/>
  <c r="C267" i="4"/>
  <c r="H320" i="4"/>
  <c r="I320" i="4"/>
  <c r="G320" i="4"/>
  <c r="C320" i="4"/>
  <c r="H289" i="4"/>
  <c r="I289" i="4"/>
  <c r="G289" i="4"/>
  <c r="C289" i="4"/>
  <c r="H312" i="4"/>
  <c r="I312" i="4"/>
  <c r="G312" i="4"/>
  <c r="C312" i="4"/>
  <c r="H314" i="4"/>
  <c r="I314" i="4"/>
  <c r="G314" i="4"/>
  <c r="C314" i="4"/>
  <c r="I8" i="9"/>
  <c r="G8" i="9"/>
  <c r="C8" i="9"/>
  <c r="H8" i="9"/>
  <c r="H319" i="3"/>
  <c r="I319" i="3"/>
  <c r="G319" i="3"/>
  <c r="C319" i="3"/>
  <c r="H278" i="4"/>
  <c r="I278" i="4"/>
  <c r="G278" i="4"/>
  <c r="C278" i="4"/>
  <c r="H364" i="3"/>
  <c r="I364" i="3"/>
  <c r="G364" i="3"/>
  <c r="C364" i="3"/>
  <c r="D307" i="3"/>
  <c r="D301" i="3"/>
  <c r="D342" i="3"/>
  <c r="D319" i="3"/>
  <c r="D3" i="9"/>
  <c r="D279" i="3"/>
  <c r="D383" i="3"/>
  <c r="D300" i="4"/>
  <c r="D272" i="3"/>
  <c r="D293" i="4"/>
  <c r="D352" i="4"/>
  <c r="D336" i="4"/>
  <c r="D283" i="3"/>
  <c r="D334" i="4"/>
  <c r="D345" i="4"/>
  <c r="D267" i="3"/>
  <c r="D273" i="4"/>
  <c r="D296" i="4"/>
  <c r="D349" i="4"/>
  <c r="D285" i="3"/>
  <c r="D374" i="3"/>
  <c r="D267" i="4"/>
  <c r="D312" i="4"/>
  <c r="D314" i="4"/>
  <c r="D278" i="4"/>
  <c r="D364" i="3"/>
  <c r="D295" i="3"/>
  <c r="D249" i="4"/>
  <c r="D305" i="4"/>
  <c r="D252" i="4"/>
  <c r="D256" i="4"/>
  <c r="D327" i="4"/>
  <c r="D320" i="4"/>
  <c r="D289" i="4"/>
  <c r="D8" i="9"/>
  <c r="T3" i="4" l="1"/>
  <c r="X3" i="3"/>
  <c r="T3" i="3"/>
  <c r="V3" i="3"/>
  <c r="W3" i="3" s="1"/>
  <c r="Y3" i="4"/>
  <c r="S3" i="4"/>
  <c r="R3" i="4"/>
  <c r="E4" i="9"/>
  <c r="E7" i="9"/>
  <c r="E6" i="9"/>
  <c r="E9" i="9"/>
  <c r="E3" i="9"/>
  <c r="E5" i="9"/>
  <c r="E8" i="9"/>
  <c r="J8" i="9" l="1"/>
  <c r="Y8" i="9"/>
  <c r="Y5" i="9"/>
  <c r="J5" i="9"/>
  <c r="Y3" i="9"/>
  <c r="J3" i="9"/>
  <c r="Y9" i="9"/>
  <c r="J9" i="9"/>
  <c r="J6" i="9"/>
  <c r="Y6" i="9"/>
  <c r="Y7" i="9"/>
  <c r="J7" i="9"/>
  <c r="J4" i="9"/>
  <c r="Y4" i="9"/>
  <c r="Q9" i="9"/>
  <c r="M9" i="9"/>
  <c r="U9" i="9"/>
  <c r="L9" i="9"/>
  <c r="R9" i="9"/>
  <c r="N9" i="9"/>
  <c r="O9" i="9"/>
  <c r="P9" i="9"/>
  <c r="S9" i="9"/>
  <c r="K9" i="9"/>
  <c r="T9" i="9"/>
  <c r="R8" i="9"/>
  <c r="N8" i="9"/>
  <c r="S8" i="9"/>
  <c r="K8" i="9"/>
  <c r="Q8" i="9"/>
  <c r="M8" i="9"/>
  <c r="P8" i="9"/>
  <c r="O8" i="9"/>
  <c r="U8" i="9"/>
  <c r="L8" i="9"/>
  <c r="T8" i="9"/>
  <c r="Q5" i="9"/>
  <c r="M5" i="9"/>
  <c r="U5" i="9"/>
  <c r="L5" i="9"/>
  <c r="N5" i="9"/>
  <c r="O5" i="9"/>
  <c r="P5" i="9"/>
  <c r="S5" i="9"/>
  <c r="K5" i="9"/>
  <c r="R5" i="9"/>
  <c r="T5" i="9"/>
  <c r="R6" i="9"/>
  <c r="N6" i="9"/>
  <c r="Q6" i="9"/>
  <c r="S6" i="9"/>
  <c r="O6" i="9"/>
  <c r="L6" i="9"/>
  <c r="P6" i="9"/>
  <c r="M6" i="9"/>
  <c r="U6" i="9"/>
  <c r="K6" i="9"/>
  <c r="T6" i="9"/>
  <c r="Q7" i="9"/>
  <c r="M7" i="9"/>
  <c r="R7" i="9"/>
  <c r="U7" i="9"/>
  <c r="P7" i="9"/>
  <c r="S7" i="9"/>
  <c r="K7" i="9"/>
  <c r="L7" i="9"/>
  <c r="O7" i="9"/>
  <c r="N7" i="9"/>
  <c r="T7" i="9"/>
  <c r="Q3" i="9"/>
  <c r="M3" i="9"/>
  <c r="R3" i="9"/>
  <c r="P3" i="9"/>
  <c r="L3" i="9"/>
  <c r="O3" i="9"/>
  <c r="S3" i="9"/>
  <c r="K3" i="9"/>
  <c r="U3" i="9"/>
  <c r="N3" i="9"/>
  <c r="T3" i="9"/>
  <c r="R4" i="9"/>
  <c r="N4" i="9"/>
  <c r="S4" i="9"/>
  <c r="K4" i="9"/>
  <c r="M4" i="9"/>
  <c r="U4" i="9"/>
  <c r="L4" i="9"/>
  <c r="Q4" i="9"/>
  <c r="P4" i="9"/>
  <c r="O4" i="9"/>
  <c r="T4" i="9"/>
  <c r="X3" i="4"/>
  <c r="V3" i="4"/>
  <c r="W3" i="4" s="1"/>
  <c r="X5" i="9" l="1"/>
  <c r="V5" i="9"/>
  <c r="W5" i="9" s="1"/>
  <c r="X8" i="9"/>
  <c r="V8" i="9"/>
  <c r="W8" i="9" s="1"/>
  <c r="V4" i="9"/>
  <c r="W4" i="9" s="1"/>
  <c r="X4" i="9"/>
  <c r="X3" i="9"/>
  <c r="V3" i="9"/>
  <c r="W3" i="9" s="1"/>
  <c r="V7" i="9"/>
  <c r="W7" i="9" s="1"/>
  <c r="X7" i="9"/>
  <c r="V6" i="9"/>
  <c r="W6" i="9" s="1"/>
  <c r="X6" i="9"/>
  <c r="X9" i="9"/>
  <c r="V9" i="9"/>
  <c r="W9" i="9" s="1"/>
  <c r="B242" i="3" l="1"/>
  <c r="B253" i="3"/>
  <c r="B240" i="3"/>
  <c r="B239" i="3"/>
  <c r="B246" i="3"/>
  <c r="B236" i="3"/>
  <c r="B237" i="3"/>
  <c r="B245" i="3"/>
  <c r="B248" i="3"/>
  <c r="B241" i="3"/>
  <c r="B228" i="3"/>
  <c r="B226" i="3"/>
  <c r="B234" i="3"/>
  <c r="B233" i="3"/>
  <c r="B247" i="3"/>
  <c r="B252" i="3"/>
  <c r="B249" i="3"/>
  <c r="B243" i="3"/>
  <c r="B255" i="3"/>
  <c r="B250" i="3"/>
  <c r="B244" i="3"/>
  <c r="B251" i="3"/>
  <c r="B254" i="3"/>
  <c r="B235" i="3"/>
  <c r="B238" i="3"/>
  <c r="G238" i="3" l="1"/>
  <c r="I238" i="3"/>
  <c r="H238" i="3"/>
  <c r="C238" i="3"/>
  <c r="I235" i="3"/>
  <c r="H235" i="3"/>
  <c r="C235" i="3"/>
  <c r="G235" i="3"/>
  <c r="I254" i="3"/>
  <c r="G254" i="3"/>
  <c r="C254" i="3"/>
  <c r="H254" i="3"/>
  <c r="H251" i="3"/>
  <c r="I251" i="3"/>
  <c r="G251" i="3"/>
  <c r="C251" i="3"/>
  <c r="G244" i="3"/>
  <c r="I244" i="3"/>
  <c r="H244" i="3"/>
  <c r="C244" i="3"/>
  <c r="I250" i="3"/>
  <c r="G250" i="3"/>
  <c r="C250" i="3"/>
  <c r="H250" i="3"/>
  <c r="H255" i="3"/>
  <c r="I255" i="3"/>
  <c r="G255" i="3"/>
  <c r="C255" i="3"/>
  <c r="I243" i="3"/>
  <c r="H243" i="3"/>
  <c r="C243" i="3"/>
  <c r="G243" i="3"/>
  <c r="H249" i="3"/>
  <c r="I249" i="3"/>
  <c r="G249" i="3"/>
  <c r="C249" i="3"/>
  <c r="I252" i="3"/>
  <c r="G252" i="3"/>
  <c r="C252" i="3"/>
  <c r="H252" i="3"/>
  <c r="I247" i="3"/>
  <c r="H247" i="3"/>
  <c r="C247" i="3"/>
  <c r="G247" i="3"/>
  <c r="I233" i="3"/>
  <c r="H233" i="3"/>
  <c r="C233" i="3"/>
  <c r="G233" i="3"/>
  <c r="I234" i="3"/>
  <c r="G234" i="3"/>
  <c r="C234" i="3"/>
  <c r="H234" i="3"/>
  <c r="I226" i="3"/>
  <c r="H226" i="3"/>
  <c r="C226" i="3"/>
  <c r="G226" i="3"/>
  <c r="I228" i="3"/>
  <c r="G228" i="3"/>
  <c r="C228" i="3"/>
  <c r="H228" i="3"/>
  <c r="H241" i="3"/>
  <c r="I241" i="3"/>
  <c r="G241" i="3"/>
  <c r="C241" i="3"/>
  <c r="G248" i="3"/>
  <c r="I248" i="3"/>
  <c r="H248" i="3"/>
  <c r="C248" i="3"/>
  <c r="I245" i="3"/>
  <c r="H245" i="3"/>
  <c r="C245" i="3"/>
  <c r="G245" i="3"/>
  <c r="I237" i="3"/>
  <c r="H237" i="3"/>
  <c r="C237" i="3"/>
  <c r="G237" i="3"/>
  <c r="G236" i="3"/>
  <c r="I236" i="3"/>
  <c r="H236" i="3"/>
  <c r="C236" i="3"/>
  <c r="I246" i="3"/>
  <c r="G246" i="3"/>
  <c r="C246" i="3"/>
  <c r="H246" i="3"/>
  <c r="H239" i="3"/>
  <c r="I239" i="3"/>
  <c r="G239" i="3"/>
  <c r="C239" i="3"/>
  <c r="I240" i="3"/>
  <c r="G240" i="3"/>
  <c r="C240" i="3"/>
  <c r="H240" i="3"/>
  <c r="H253" i="3"/>
  <c r="I253" i="3"/>
  <c r="G253" i="3"/>
  <c r="C253" i="3"/>
  <c r="I242" i="3"/>
  <c r="G242" i="3"/>
  <c r="C242" i="3"/>
  <c r="H242" i="3"/>
  <c r="B190" i="3" l="1"/>
  <c r="I190" i="3" s="1"/>
  <c r="B189" i="3"/>
  <c r="G190" i="3"/>
  <c r="C190" i="3"/>
  <c r="B187" i="3"/>
  <c r="C187" i="3" s="1"/>
  <c r="B188" i="3"/>
  <c r="H187" i="3"/>
  <c r="B181" i="3"/>
  <c r="G181" i="3" s="1"/>
  <c r="B186" i="3"/>
  <c r="B180" i="3"/>
  <c r="G180" i="3" s="1"/>
  <c r="B185" i="3"/>
  <c r="C181" i="3"/>
  <c r="C180" i="3" l="1"/>
  <c r="G187" i="3"/>
  <c r="H190" i="3"/>
  <c r="D181" i="3"/>
  <c r="I180" i="3"/>
  <c r="H181" i="3"/>
  <c r="I187" i="3"/>
  <c r="D189" i="3"/>
  <c r="H189" i="3"/>
  <c r="C189" i="3"/>
  <c r="G189" i="3"/>
  <c r="I189" i="3"/>
  <c r="D190" i="3"/>
  <c r="H180" i="3"/>
  <c r="I181" i="3"/>
  <c r="G188" i="3"/>
  <c r="C188" i="3"/>
  <c r="D188" i="3"/>
  <c r="H188" i="3"/>
  <c r="I188" i="3"/>
  <c r="D187" i="3"/>
  <c r="D185" i="3"/>
  <c r="H185" i="3"/>
  <c r="C185" i="3"/>
  <c r="G185" i="3"/>
  <c r="I185" i="3"/>
  <c r="G186" i="3"/>
  <c r="D186" i="3"/>
  <c r="I186" i="3"/>
  <c r="H186" i="3"/>
  <c r="C186" i="3"/>
  <c r="C42" i="1" l="1"/>
  <c r="F42" i="1" l="1"/>
  <c r="D42" i="1"/>
  <c r="G42" i="1"/>
  <c r="R42" i="1" s="1"/>
  <c r="B4" i="4"/>
  <c r="I42" i="1"/>
  <c r="E42" i="1"/>
  <c r="Q42" i="1" l="1"/>
  <c r="G4" i="4"/>
  <c r="I4" i="4"/>
  <c r="C4" i="4"/>
  <c r="H4" i="4"/>
  <c r="A42" i="1"/>
  <c r="O42" i="1" l="1"/>
  <c r="L42" i="1"/>
  <c r="N42" i="1"/>
  <c r="M42" i="1"/>
  <c r="P42" i="1"/>
  <c r="C44" i="1" l="1"/>
  <c r="C43" i="1"/>
  <c r="C45" i="1"/>
  <c r="C46" i="1"/>
  <c r="C48" i="1"/>
  <c r="C5" i="1" l="1"/>
  <c r="C4" i="1"/>
  <c r="B15" i="4"/>
  <c r="D44" i="1"/>
  <c r="F44" i="1"/>
  <c r="G44" i="1"/>
  <c r="R44" i="1" s="1"/>
  <c r="I44" i="1"/>
  <c r="E44" i="1"/>
  <c r="E48" i="1"/>
  <c r="G48" i="1"/>
  <c r="R48" i="1" s="1"/>
  <c r="I48" i="1"/>
  <c r="F48" i="1"/>
  <c r="D48" i="1"/>
  <c r="B37" i="4"/>
  <c r="D46" i="1"/>
  <c r="E46" i="1"/>
  <c r="F46" i="1"/>
  <c r="B25" i="4"/>
  <c r="G46" i="1"/>
  <c r="R46" i="1" s="1"/>
  <c r="I46" i="1"/>
  <c r="D45" i="1"/>
  <c r="F45" i="1"/>
  <c r="I45" i="1"/>
  <c r="E45" i="1"/>
  <c r="G45" i="1"/>
  <c r="R45" i="1" s="1"/>
  <c r="B20" i="4"/>
  <c r="E43" i="1"/>
  <c r="F43" i="1"/>
  <c r="G43" i="1"/>
  <c r="R43" i="1" s="1"/>
  <c r="I43" i="1"/>
  <c r="D43" i="1"/>
  <c r="B10" i="4"/>
  <c r="C49" i="1" l="1"/>
  <c r="C50" i="1"/>
  <c r="C11" i="1"/>
  <c r="C6" i="1"/>
  <c r="C47" i="1"/>
  <c r="C7" i="1"/>
  <c r="C52" i="1"/>
  <c r="C51" i="1"/>
  <c r="C10" i="1"/>
  <c r="C8" i="1"/>
  <c r="C76" i="1"/>
  <c r="C9" i="1"/>
  <c r="Q45" i="1"/>
  <c r="Q48" i="1"/>
  <c r="C10" i="4"/>
  <c r="G10" i="4"/>
  <c r="I10" i="4"/>
  <c r="H10" i="4"/>
  <c r="Q43" i="1"/>
  <c r="I20" i="4"/>
  <c r="C20" i="4"/>
  <c r="G20" i="4"/>
  <c r="H20" i="4"/>
  <c r="Q46" i="1"/>
  <c r="I25" i="4"/>
  <c r="G25" i="4"/>
  <c r="H25" i="4"/>
  <c r="C25" i="4"/>
  <c r="I37" i="4"/>
  <c r="C37" i="4"/>
  <c r="H37" i="4"/>
  <c r="G37" i="4"/>
  <c r="Q44" i="1"/>
  <c r="I15" i="4"/>
  <c r="C15" i="4"/>
  <c r="H15" i="4"/>
  <c r="G15" i="4"/>
  <c r="D4" i="1"/>
  <c r="G4" i="1"/>
  <c r="R4" i="1" s="1"/>
  <c r="F4" i="1"/>
  <c r="E4" i="1"/>
  <c r="B4" i="3"/>
  <c r="I4" i="1"/>
  <c r="E5" i="1"/>
  <c r="G5" i="1"/>
  <c r="R5" i="1" s="1"/>
  <c r="D5" i="1"/>
  <c r="D226" i="3" s="1"/>
  <c r="B14" i="3"/>
  <c r="I5" i="1"/>
  <c r="F5" i="1"/>
  <c r="A43" i="1"/>
  <c r="A45" i="1"/>
  <c r="A44" i="1"/>
  <c r="A48" i="1"/>
  <c r="A46" i="1"/>
  <c r="C54" i="1" l="1"/>
  <c r="C12" i="1"/>
  <c r="C38" i="1"/>
  <c r="C55" i="1"/>
  <c r="C56" i="1"/>
  <c r="C79" i="1"/>
  <c r="C53" i="1"/>
  <c r="C13" i="1"/>
  <c r="Q5" i="1"/>
  <c r="H4" i="3"/>
  <c r="C4" i="3"/>
  <c r="G4" i="3"/>
  <c r="I4" i="3"/>
  <c r="E9" i="1"/>
  <c r="G9" i="1"/>
  <c r="R9" i="1" s="1"/>
  <c r="B32" i="3"/>
  <c r="D9" i="1"/>
  <c r="D235" i="3" s="1"/>
  <c r="I9" i="1"/>
  <c r="F9" i="1"/>
  <c r="G8" i="1"/>
  <c r="R8" i="1" s="1"/>
  <c r="D8" i="1"/>
  <c r="D234" i="3" s="1"/>
  <c r="E8" i="1"/>
  <c r="F8" i="1"/>
  <c r="I8" i="1"/>
  <c r="B26" i="3"/>
  <c r="B64" i="4"/>
  <c r="F51" i="1"/>
  <c r="D51" i="1"/>
  <c r="G51" i="1"/>
  <c r="R51" i="1" s="1"/>
  <c r="I51" i="1"/>
  <c r="E51" i="1"/>
  <c r="E52" i="1"/>
  <c r="D52" i="1"/>
  <c r="G52" i="1"/>
  <c r="R52" i="1" s="1"/>
  <c r="I52" i="1"/>
  <c r="F52" i="1"/>
  <c r="B73" i="4"/>
  <c r="B30" i="4"/>
  <c r="G47" i="1"/>
  <c r="R47" i="1" s="1"/>
  <c r="I47" i="1"/>
  <c r="E47" i="1"/>
  <c r="F47" i="1"/>
  <c r="D47" i="1"/>
  <c r="H14" i="3"/>
  <c r="G14" i="3"/>
  <c r="I14" i="3"/>
  <c r="C14" i="3"/>
  <c r="Q4" i="1"/>
  <c r="I76" i="1"/>
  <c r="G76" i="1"/>
  <c r="R76" i="1" s="1"/>
  <c r="E76" i="1"/>
  <c r="D76" i="1"/>
  <c r="F76" i="1"/>
  <c r="B3" i="8"/>
  <c r="B42" i="3"/>
  <c r="I10" i="1"/>
  <c r="E10" i="1"/>
  <c r="G10" i="1"/>
  <c r="R10" i="1" s="1"/>
  <c r="F10" i="1"/>
  <c r="D10" i="1"/>
  <c r="D236" i="3" s="1"/>
  <c r="B21" i="3"/>
  <c r="D7" i="1"/>
  <c r="D233" i="3" s="1"/>
  <c r="E7" i="1"/>
  <c r="F7" i="1"/>
  <c r="G7" i="1"/>
  <c r="R7" i="1" s="1"/>
  <c r="I7" i="1"/>
  <c r="I6" i="1"/>
  <c r="G6" i="1"/>
  <c r="R6" i="1" s="1"/>
  <c r="E6" i="1"/>
  <c r="B16" i="3"/>
  <c r="D6" i="1"/>
  <c r="D228" i="3" s="1"/>
  <c r="F6" i="1"/>
  <c r="F11" i="1"/>
  <c r="I11" i="1"/>
  <c r="G11" i="1"/>
  <c r="R11" i="1" s="1"/>
  <c r="E11" i="1"/>
  <c r="D11" i="1"/>
  <c r="D237" i="3" s="1"/>
  <c r="B51" i="3"/>
  <c r="F50" i="1"/>
  <c r="I50" i="1"/>
  <c r="B52" i="4"/>
  <c r="E50" i="1"/>
  <c r="G50" i="1"/>
  <c r="R50" i="1" s="1"/>
  <c r="D50" i="1"/>
  <c r="G49" i="1"/>
  <c r="R49" i="1" s="1"/>
  <c r="D49" i="1"/>
  <c r="E49" i="1"/>
  <c r="F49" i="1"/>
  <c r="B45" i="4"/>
  <c r="I49" i="1"/>
  <c r="A5" i="1"/>
  <c r="M43" i="1"/>
  <c r="P43" i="1"/>
  <c r="N43" i="1"/>
  <c r="L44" i="1"/>
  <c r="N44" i="1"/>
  <c r="M44" i="1"/>
  <c r="L46" i="1"/>
  <c r="O46" i="1"/>
  <c r="N48" i="1"/>
  <c r="P48" i="1"/>
  <c r="O48" i="1"/>
  <c r="O45" i="1"/>
  <c r="N45" i="1"/>
  <c r="L43" i="1"/>
  <c r="O43" i="1"/>
  <c r="P44" i="1"/>
  <c r="O44" i="1"/>
  <c r="P46" i="1"/>
  <c r="M46" i="1"/>
  <c r="N46" i="1"/>
  <c r="M48" i="1"/>
  <c r="L48" i="1"/>
  <c r="P45" i="1"/>
  <c r="L45" i="1"/>
  <c r="M45" i="1"/>
  <c r="A4" i="1"/>
  <c r="Q49" i="1" l="1"/>
  <c r="Q50" i="1"/>
  <c r="H51" i="3"/>
  <c r="G51" i="3"/>
  <c r="I51" i="3"/>
  <c r="C51" i="3"/>
  <c r="Q11" i="1"/>
  <c r="H16" i="3"/>
  <c r="G16" i="3"/>
  <c r="I16" i="3"/>
  <c r="C16" i="3"/>
  <c r="Q7" i="1"/>
  <c r="Q10" i="1"/>
  <c r="H3" i="8"/>
  <c r="C3" i="8"/>
  <c r="G3" i="8"/>
  <c r="I3" i="8"/>
  <c r="Q47" i="1"/>
  <c r="C30" i="4"/>
  <c r="I30" i="4"/>
  <c r="H30" i="4"/>
  <c r="G30" i="4"/>
  <c r="Q51" i="1"/>
  <c r="I64" i="4"/>
  <c r="G64" i="4"/>
  <c r="C64" i="4"/>
  <c r="H64" i="4"/>
  <c r="Q8" i="1"/>
  <c r="Q9" i="1"/>
  <c r="I32" i="3"/>
  <c r="H32" i="3"/>
  <c r="C32" i="3"/>
  <c r="G32" i="3"/>
  <c r="B66" i="3"/>
  <c r="D13" i="1"/>
  <c r="D239" i="3" s="1"/>
  <c r="F13" i="1"/>
  <c r="E13" i="1"/>
  <c r="G13" i="1"/>
  <c r="R13" i="1" s="1"/>
  <c r="I13" i="1"/>
  <c r="F53" i="1"/>
  <c r="D53" i="1"/>
  <c r="B80" i="4"/>
  <c r="I53" i="1"/>
  <c r="G53" i="1"/>
  <c r="R53" i="1" s="1"/>
  <c r="E53" i="1"/>
  <c r="D55" i="1"/>
  <c r="G55" i="1"/>
  <c r="R55" i="1" s="1"/>
  <c r="F55" i="1"/>
  <c r="E55" i="1"/>
  <c r="I55" i="1"/>
  <c r="B90" i="4"/>
  <c r="E38" i="1"/>
  <c r="B3" i="6"/>
  <c r="G38" i="1"/>
  <c r="R38" i="1" s="1"/>
  <c r="F38" i="1"/>
  <c r="D38" i="1"/>
  <c r="I38" i="1"/>
  <c r="E54" i="1"/>
  <c r="B84" i="4"/>
  <c r="I54" i="1"/>
  <c r="D54" i="1"/>
  <c r="F54" i="1"/>
  <c r="G54" i="1"/>
  <c r="R54" i="1" s="1"/>
  <c r="H45" i="4"/>
  <c r="I45" i="4"/>
  <c r="G45" i="4"/>
  <c r="C45" i="4"/>
  <c r="I52" i="4"/>
  <c r="G52" i="4"/>
  <c r="H52" i="4"/>
  <c r="C52" i="4"/>
  <c r="Q6" i="1"/>
  <c r="C21" i="3"/>
  <c r="H21" i="3"/>
  <c r="I21" i="3"/>
  <c r="G21" i="3"/>
  <c r="G42" i="3"/>
  <c r="H42" i="3"/>
  <c r="I42" i="3"/>
  <c r="C42" i="3"/>
  <c r="Q76" i="1"/>
  <c r="I73" i="4"/>
  <c r="C73" i="4"/>
  <c r="H73" i="4"/>
  <c r="G73" i="4"/>
  <c r="Q52" i="1"/>
  <c r="I26" i="3"/>
  <c r="H26" i="3"/>
  <c r="G26" i="3"/>
  <c r="C26" i="3"/>
  <c r="B3" i="5"/>
  <c r="F79" i="1"/>
  <c r="D79" i="1"/>
  <c r="G79" i="1"/>
  <c r="R79" i="1" s="1"/>
  <c r="I79" i="1"/>
  <c r="E79" i="1"/>
  <c r="B93" i="4"/>
  <c r="D56" i="1"/>
  <c r="E56" i="1"/>
  <c r="F56" i="1"/>
  <c r="G56" i="1"/>
  <c r="R56" i="1" s="1"/>
  <c r="I56" i="1"/>
  <c r="F12" i="1"/>
  <c r="B56" i="3"/>
  <c r="I12" i="1"/>
  <c r="D12" i="1"/>
  <c r="D238" i="3" s="1"/>
  <c r="E12" i="1"/>
  <c r="G12" i="1"/>
  <c r="R12" i="1" s="1"/>
  <c r="P5" i="1"/>
  <c r="L5" i="1"/>
  <c r="L4" i="1"/>
  <c r="O4" i="1"/>
  <c r="M4" i="1"/>
  <c r="A11" i="1"/>
  <c r="A47" i="1"/>
  <c r="A8" i="1"/>
  <c r="A9" i="1"/>
  <c r="M5" i="1"/>
  <c r="N5" i="1"/>
  <c r="O5" i="1"/>
  <c r="N4" i="1"/>
  <c r="P4" i="1"/>
  <c r="A6" i="1"/>
  <c r="A52" i="1"/>
  <c r="A76" i="1"/>
  <c r="Q12" i="1" l="1"/>
  <c r="I93" i="4"/>
  <c r="C93" i="4"/>
  <c r="H93" i="4"/>
  <c r="G93" i="4"/>
  <c r="Q79" i="1"/>
  <c r="C3" i="5"/>
  <c r="G3" i="5"/>
  <c r="H3" i="5"/>
  <c r="I3" i="5"/>
  <c r="H84" i="4"/>
  <c r="G84" i="4"/>
  <c r="I84" i="4"/>
  <c r="C84" i="4"/>
  <c r="Q38" i="1"/>
  <c r="H3" i="6"/>
  <c r="I3" i="6"/>
  <c r="C3" i="6"/>
  <c r="G3" i="6"/>
  <c r="H90" i="4"/>
  <c r="I90" i="4"/>
  <c r="C90" i="4"/>
  <c r="G90" i="4"/>
  <c r="Q53" i="1"/>
  <c r="Q13" i="1"/>
  <c r="C56" i="3"/>
  <c r="G56" i="3"/>
  <c r="I56" i="3"/>
  <c r="H56" i="3"/>
  <c r="Q56" i="1"/>
  <c r="Q54" i="1"/>
  <c r="Q55" i="1"/>
  <c r="H80" i="4"/>
  <c r="I80" i="4"/>
  <c r="C80" i="4"/>
  <c r="G80" i="4"/>
  <c r="G66" i="3"/>
  <c r="C66" i="3"/>
  <c r="H66" i="3"/>
  <c r="I66" i="3"/>
  <c r="M51" i="1"/>
  <c r="P51" i="1"/>
  <c r="L51" i="1"/>
  <c r="O10" i="1"/>
  <c r="P10" i="1"/>
  <c r="N7" i="1"/>
  <c r="O7" i="1"/>
  <c r="P7" i="1"/>
  <c r="M50" i="1"/>
  <c r="L50" i="1"/>
  <c r="M49" i="1"/>
  <c r="N49" i="1"/>
  <c r="P49" i="1"/>
  <c r="O52" i="1"/>
  <c r="M52" i="1"/>
  <c r="P52" i="1"/>
  <c r="M76" i="1"/>
  <c r="L76" i="1"/>
  <c r="O6" i="1"/>
  <c r="N6" i="1"/>
  <c r="M6" i="1"/>
  <c r="P9" i="1"/>
  <c r="O9" i="1"/>
  <c r="P8" i="1"/>
  <c r="N8" i="1"/>
  <c r="L8" i="1"/>
  <c r="M47" i="1"/>
  <c r="P47" i="1"/>
  <c r="N47" i="1"/>
  <c r="A7" i="1"/>
  <c r="O11" i="1"/>
  <c r="L11" i="1"/>
  <c r="A50" i="1"/>
  <c r="A79" i="1"/>
  <c r="A38" i="1"/>
  <c r="A53" i="1"/>
  <c r="A13" i="1"/>
  <c r="N51" i="1"/>
  <c r="O51" i="1"/>
  <c r="M10" i="1"/>
  <c r="L10" i="1"/>
  <c r="N10" i="1"/>
  <c r="L7" i="1"/>
  <c r="M7" i="1"/>
  <c r="N50" i="1"/>
  <c r="P50" i="1"/>
  <c r="O50" i="1"/>
  <c r="O49" i="1"/>
  <c r="L49" i="1"/>
  <c r="A56" i="1"/>
  <c r="L52" i="1"/>
  <c r="N52" i="1"/>
  <c r="P76" i="1"/>
  <c r="N76" i="1"/>
  <c r="O76" i="1"/>
  <c r="L6" i="1"/>
  <c r="P6" i="1"/>
  <c r="M9" i="1"/>
  <c r="L9" i="1"/>
  <c r="N9" i="1"/>
  <c r="O8" i="1"/>
  <c r="M8" i="1"/>
  <c r="A51" i="1"/>
  <c r="L47" i="1"/>
  <c r="O47" i="1"/>
  <c r="A10" i="1"/>
  <c r="M11" i="1"/>
  <c r="P11" i="1"/>
  <c r="N11" i="1"/>
  <c r="A49" i="1"/>
  <c r="L55" i="1" l="1"/>
  <c r="P55" i="1"/>
  <c r="N55" i="1"/>
  <c r="M54" i="1"/>
  <c r="O54" i="1"/>
  <c r="N12" i="1"/>
  <c r="L12" i="1"/>
  <c r="M12" i="1"/>
  <c r="A55" i="1"/>
  <c r="L56" i="1"/>
  <c r="M56" i="1"/>
  <c r="O56" i="1"/>
  <c r="N13" i="1"/>
  <c r="P13" i="1"/>
  <c r="O53" i="1"/>
  <c r="L53" i="1"/>
  <c r="N53" i="1"/>
  <c r="O38" i="1"/>
  <c r="L38" i="1"/>
  <c r="P79" i="1"/>
  <c r="N79" i="1"/>
  <c r="L79" i="1"/>
  <c r="M55" i="1"/>
  <c r="O55" i="1"/>
  <c r="L54" i="1"/>
  <c r="P54" i="1"/>
  <c r="N54" i="1"/>
  <c r="O12" i="1"/>
  <c r="P12" i="1"/>
  <c r="A54" i="1"/>
  <c r="N56" i="1"/>
  <c r="P56" i="1"/>
  <c r="O13" i="1"/>
  <c r="M13" i="1"/>
  <c r="L13" i="1"/>
  <c r="M53" i="1"/>
  <c r="P53" i="1"/>
  <c r="M38" i="1"/>
  <c r="P38" i="1"/>
  <c r="N38" i="1"/>
  <c r="M79" i="1"/>
  <c r="O79" i="1"/>
  <c r="A12" i="1"/>
  <c r="C34" i="1" l="1"/>
  <c r="C72" i="1"/>
  <c r="C102" i="1"/>
  <c r="C103" i="1"/>
  <c r="C25" i="1"/>
  <c r="C92" i="1"/>
  <c r="C111" i="1"/>
  <c r="C17" i="1"/>
  <c r="C3" i="1"/>
  <c r="C80" i="1"/>
  <c r="C21" i="1"/>
  <c r="C26" i="1"/>
  <c r="C91" i="1"/>
  <c r="C70" i="1"/>
  <c r="C65" i="1"/>
  <c r="C113" i="1"/>
  <c r="C101" i="1"/>
  <c r="C74" i="1"/>
  <c r="C96" i="1"/>
  <c r="C24" i="1"/>
  <c r="C83" i="1"/>
  <c r="C37" i="1"/>
  <c r="C120" i="1"/>
  <c r="C40" i="1"/>
  <c r="C81" i="1"/>
  <c r="C117" i="1"/>
  <c r="C69" i="1"/>
  <c r="C15" i="1"/>
  <c r="C107" i="1"/>
  <c r="C78" i="1"/>
  <c r="C20" i="1"/>
  <c r="C93" i="1"/>
  <c r="C104" i="1"/>
  <c r="C32" i="1"/>
  <c r="C22" i="1"/>
  <c r="C116" i="1"/>
  <c r="C100" i="1"/>
  <c r="C64" i="1"/>
  <c r="C124" i="1"/>
  <c r="C108" i="1"/>
  <c r="C18" i="1"/>
  <c r="C19" i="1"/>
  <c r="C121" i="1"/>
  <c r="C58" i="1"/>
  <c r="C129" i="1"/>
  <c r="C126" i="1"/>
  <c r="C31" i="1"/>
  <c r="C122" i="1"/>
  <c r="C131" i="1"/>
  <c r="C27" i="1"/>
  <c r="C109" i="1"/>
  <c r="C98" i="1"/>
  <c r="C30" i="1"/>
  <c r="C106" i="1"/>
  <c r="C119" i="1"/>
  <c r="C77" i="1"/>
  <c r="C36" i="1"/>
  <c r="C94" i="1"/>
  <c r="C75" i="1"/>
  <c r="C61" i="1"/>
  <c r="C123" i="1"/>
  <c r="C16" i="1"/>
  <c r="C110" i="1"/>
  <c r="C82" i="1"/>
  <c r="C71" i="1"/>
  <c r="C68" i="1"/>
  <c r="C41" i="1"/>
  <c r="C127" i="1"/>
  <c r="C35" i="1"/>
  <c r="C90" i="1"/>
  <c r="C114" i="1"/>
  <c r="C29" i="1"/>
  <c r="C14" i="1"/>
  <c r="C87" i="1"/>
  <c r="C66" i="1"/>
  <c r="C128" i="1"/>
  <c r="C130" i="1"/>
  <c r="C59" i="1"/>
  <c r="C60" i="1"/>
  <c r="C132" i="1"/>
  <c r="C39" i="1"/>
  <c r="C57" i="1"/>
  <c r="C112" i="1"/>
  <c r="C89" i="1"/>
  <c r="C33" i="1"/>
  <c r="C125" i="1"/>
  <c r="C105" i="1"/>
  <c r="C23" i="1"/>
  <c r="C88" i="1"/>
  <c r="C95" i="1"/>
  <c r="C62" i="1"/>
  <c r="C67" i="1"/>
  <c r="C118" i="1"/>
  <c r="C73" i="1"/>
  <c r="C99" i="1"/>
  <c r="C86" i="1"/>
  <c r="C63" i="1"/>
  <c r="C97" i="1"/>
  <c r="C115" i="1"/>
  <c r="C28" i="1"/>
  <c r="C85" i="1"/>
  <c r="C84" i="1"/>
  <c r="G84" i="1" l="1"/>
  <c r="R84" i="1" s="1"/>
  <c r="E84" i="1"/>
  <c r="D84" i="1"/>
  <c r="F84" i="1"/>
  <c r="I84" i="1"/>
  <c r="D28" i="1"/>
  <c r="D254" i="3" s="1"/>
  <c r="I28" i="1"/>
  <c r="B174" i="3"/>
  <c r="G28" i="1"/>
  <c r="R28" i="1" s="1"/>
  <c r="F28" i="1"/>
  <c r="E28" i="1"/>
  <c r="E97" i="1"/>
  <c r="G97" i="1"/>
  <c r="R97" i="1" s="1"/>
  <c r="F97" i="1"/>
  <c r="I97" i="1"/>
  <c r="D97" i="1"/>
  <c r="F86" i="1"/>
  <c r="E86" i="1"/>
  <c r="D86" i="1"/>
  <c r="I86" i="1"/>
  <c r="G86" i="1"/>
  <c r="R86" i="1" s="1"/>
  <c r="D73" i="1"/>
  <c r="I73" i="1"/>
  <c r="E73" i="1"/>
  <c r="G73" i="1"/>
  <c r="R73" i="1" s="1"/>
  <c r="F73" i="1"/>
  <c r="G67" i="1"/>
  <c r="R67" i="1" s="1"/>
  <c r="I67" i="1"/>
  <c r="B192" i="4"/>
  <c r="E67" i="1"/>
  <c r="F67" i="1"/>
  <c r="D67" i="1"/>
  <c r="F95" i="1"/>
  <c r="E95" i="1"/>
  <c r="I95" i="1"/>
  <c r="G95" i="1"/>
  <c r="R95" i="1" s="1"/>
  <c r="D95" i="1"/>
  <c r="E23" i="1"/>
  <c r="D23" i="1"/>
  <c r="D249" i="3" s="1"/>
  <c r="G23" i="1"/>
  <c r="R23" i="1" s="1"/>
  <c r="F23" i="1"/>
  <c r="B157" i="3"/>
  <c r="I23" i="1"/>
  <c r="I125" i="1"/>
  <c r="G125" i="1"/>
  <c r="R125" i="1" s="1"/>
  <c r="D125" i="1"/>
  <c r="E125" i="1"/>
  <c r="F125" i="1"/>
  <c r="D89" i="1"/>
  <c r="F89" i="1"/>
  <c r="G89" i="1"/>
  <c r="R89" i="1" s="1"/>
  <c r="I89" i="1"/>
  <c r="E89" i="1"/>
  <c r="F57" i="1"/>
  <c r="G57" i="1"/>
  <c r="R57" i="1" s="1"/>
  <c r="D57" i="1"/>
  <c r="I57" i="1"/>
  <c r="B104" i="4"/>
  <c r="E57" i="1"/>
  <c r="F132" i="1"/>
  <c r="G132" i="1"/>
  <c r="R132" i="1" s="1"/>
  <c r="I132" i="1"/>
  <c r="D132" i="1"/>
  <c r="E132" i="1"/>
  <c r="I59" i="1"/>
  <c r="B124" i="4"/>
  <c r="D59" i="1"/>
  <c r="F59" i="1"/>
  <c r="E59" i="1"/>
  <c r="G59" i="1"/>
  <c r="R59" i="1" s="1"/>
  <c r="D128" i="1"/>
  <c r="I128" i="1"/>
  <c r="E128" i="1"/>
  <c r="F128" i="1"/>
  <c r="G128" i="1"/>
  <c r="R128" i="1" s="1"/>
  <c r="D87" i="1"/>
  <c r="G87" i="1"/>
  <c r="R87" i="1" s="1"/>
  <c r="I87" i="1"/>
  <c r="E87" i="1"/>
  <c r="F87" i="1"/>
  <c r="F29" i="1"/>
  <c r="B179" i="3"/>
  <c r="I29" i="1"/>
  <c r="E29" i="1"/>
  <c r="D29" i="1"/>
  <c r="G29" i="1"/>
  <c r="R29" i="1" s="1"/>
  <c r="D90" i="1"/>
  <c r="F90" i="1"/>
  <c r="G90" i="1"/>
  <c r="R90" i="1" s="1"/>
  <c r="I90" i="1"/>
  <c r="E90" i="1"/>
  <c r="I127" i="1"/>
  <c r="D127" i="1"/>
  <c r="G127" i="1"/>
  <c r="R127" i="1" s="1"/>
  <c r="F127" i="1"/>
  <c r="E127" i="1"/>
  <c r="G68" i="1"/>
  <c r="R68" i="1" s="1"/>
  <c r="E68" i="1"/>
  <c r="B197" i="4"/>
  <c r="F68" i="1"/>
  <c r="I68" i="1"/>
  <c r="D68" i="1"/>
  <c r="E82" i="1"/>
  <c r="F82" i="1"/>
  <c r="I82" i="1"/>
  <c r="G82" i="1"/>
  <c r="R82" i="1" s="1"/>
  <c r="D82" i="1"/>
  <c r="F16" i="1"/>
  <c r="E16" i="1"/>
  <c r="I16" i="1"/>
  <c r="D16" i="1"/>
  <c r="D242" i="3" s="1"/>
  <c r="B97" i="3"/>
  <c r="G16" i="1"/>
  <c r="R16" i="1" s="1"/>
  <c r="G61" i="1"/>
  <c r="R61" i="1" s="1"/>
  <c r="B144" i="4"/>
  <c r="F61" i="1"/>
  <c r="I61" i="1"/>
  <c r="E61" i="1"/>
  <c r="D61" i="1"/>
  <c r="F94" i="1"/>
  <c r="E94" i="1"/>
  <c r="G94" i="1"/>
  <c r="R94" i="1" s="1"/>
  <c r="I94" i="1"/>
  <c r="D94" i="1"/>
  <c r="E77" i="1"/>
  <c r="G77" i="1"/>
  <c r="R77" i="1" s="1"/>
  <c r="I77" i="1"/>
  <c r="D77" i="1"/>
  <c r="F77" i="1"/>
  <c r="B5" i="8"/>
  <c r="F106" i="1"/>
  <c r="G106" i="1"/>
  <c r="R106" i="1" s="1"/>
  <c r="D106" i="1"/>
  <c r="I106" i="1"/>
  <c r="E106" i="1"/>
  <c r="I98" i="1"/>
  <c r="G98" i="1"/>
  <c r="R98" i="1" s="1"/>
  <c r="D98" i="1"/>
  <c r="F98" i="1"/>
  <c r="E98" i="1"/>
  <c r="G27" i="1"/>
  <c r="R27" i="1" s="1"/>
  <c r="B172" i="3"/>
  <c r="D27" i="1"/>
  <c r="D253" i="3" s="1"/>
  <c r="F27" i="1"/>
  <c r="E27" i="1"/>
  <c r="I27" i="1"/>
  <c r="G122" i="1"/>
  <c r="R122" i="1" s="1"/>
  <c r="D122" i="1"/>
  <c r="I122" i="1"/>
  <c r="F122" i="1"/>
  <c r="E122" i="1"/>
  <c r="E126" i="1"/>
  <c r="G126" i="1"/>
  <c r="R126" i="1" s="1"/>
  <c r="D126" i="1"/>
  <c r="I126" i="1"/>
  <c r="F126" i="1"/>
  <c r="G58" i="1"/>
  <c r="R58" i="1" s="1"/>
  <c r="I58" i="1"/>
  <c r="B115" i="4"/>
  <c r="F58" i="1"/>
  <c r="D58" i="1"/>
  <c r="E58" i="1"/>
  <c r="F19" i="1"/>
  <c r="D19" i="1"/>
  <c r="D245" i="3" s="1"/>
  <c r="B120" i="3"/>
  <c r="E19" i="1"/>
  <c r="I19" i="1"/>
  <c r="G19" i="1"/>
  <c r="R19" i="1" s="1"/>
  <c r="E108" i="1"/>
  <c r="D108" i="1"/>
  <c r="F108" i="1"/>
  <c r="G108" i="1"/>
  <c r="R108" i="1" s="1"/>
  <c r="I108" i="1"/>
  <c r="F64" i="1"/>
  <c r="G64" i="1"/>
  <c r="R64" i="1" s="1"/>
  <c r="B166" i="4"/>
  <c r="D64" i="1"/>
  <c r="I64" i="1"/>
  <c r="E64" i="1"/>
  <c r="E116" i="1"/>
  <c r="D116" i="1"/>
  <c r="I116" i="1"/>
  <c r="G116" i="1"/>
  <c r="R116" i="1" s="1"/>
  <c r="F116" i="1"/>
  <c r="F32" i="1"/>
  <c r="E32" i="1"/>
  <c r="G32" i="1"/>
  <c r="R32" i="1" s="1"/>
  <c r="B193" i="3"/>
  <c r="D32" i="1"/>
  <c r="D255" i="3" s="1"/>
  <c r="I32" i="1"/>
  <c r="I93" i="1"/>
  <c r="G93" i="1"/>
  <c r="R93" i="1" s="1"/>
  <c r="E93" i="1"/>
  <c r="D93" i="1"/>
  <c r="F93" i="1"/>
  <c r="E78" i="1"/>
  <c r="D78" i="1"/>
  <c r="G78" i="1"/>
  <c r="R78" i="1" s="1"/>
  <c r="I78" i="1"/>
  <c r="F78" i="1"/>
  <c r="E15" i="1"/>
  <c r="B85" i="3"/>
  <c r="I15" i="1"/>
  <c r="F15" i="1"/>
  <c r="D15" i="1"/>
  <c r="D241" i="3" s="1"/>
  <c r="G15" i="1"/>
  <c r="R15" i="1" s="1"/>
  <c r="I117" i="1"/>
  <c r="G117" i="1"/>
  <c r="R117" i="1" s="1"/>
  <c r="D117" i="1"/>
  <c r="F117" i="1"/>
  <c r="E117" i="1"/>
  <c r="F40" i="1"/>
  <c r="G40" i="1"/>
  <c r="R40" i="1" s="1"/>
  <c r="E40" i="1"/>
  <c r="I40" i="1"/>
  <c r="D40" i="1"/>
  <c r="B14" i="6"/>
  <c r="D37" i="1"/>
  <c r="G37" i="1"/>
  <c r="R37" i="1" s="1"/>
  <c r="F37" i="1"/>
  <c r="E37" i="1"/>
  <c r="I37" i="1"/>
  <c r="G24" i="1"/>
  <c r="R24" i="1" s="1"/>
  <c r="E24" i="1"/>
  <c r="D24" i="1"/>
  <c r="D250" i="3" s="1"/>
  <c r="F24" i="1"/>
  <c r="I24" i="1"/>
  <c r="B161" i="3"/>
  <c r="B3" i="7"/>
  <c r="I74" i="1"/>
  <c r="E74" i="1"/>
  <c r="F74" i="1"/>
  <c r="D74" i="1"/>
  <c r="G74" i="1"/>
  <c r="R74" i="1" s="1"/>
  <c r="G113" i="1"/>
  <c r="R113" i="1" s="1"/>
  <c r="E113" i="1"/>
  <c r="D113" i="1"/>
  <c r="I113" i="1"/>
  <c r="F113" i="1"/>
  <c r="D70" i="1"/>
  <c r="E70" i="1"/>
  <c r="B210" i="4"/>
  <c r="I70" i="1"/>
  <c r="F70" i="1"/>
  <c r="G70" i="1"/>
  <c r="R70" i="1" s="1"/>
  <c r="D26" i="1"/>
  <c r="D252" i="3" s="1"/>
  <c r="E26" i="1"/>
  <c r="I26" i="1"/>
  <c r="F26" i="1"/>
  <c r="G26" i="1"/>
  <c r="R26" i="1" s="1"/>
  <c r="B168" i="3"/>
  <c r="F80" i="1"/>
  <c r="D80" i="1"/>
  <c r="I80" i="1"/>
  <c r="G80" i="1"/>
  <c r="R80" i="1" s="1"/>
  <c r="E80" i="1"/>
  <c r="F17" i="1"/>
  <c r="E17" i="1"/>
  <c r="I17" i="1"/>
  <c r="B106" i="3"/>
  <c r="G17" i="1"/>
  <c r="R17" i="1" s="1"/>
  <c r="D17" i="1"/>
  <c r="D243" i="3" s="1"/>
  <c r="I92" i="1"/>
  <c r="E92" i="1"/>
  <c r="G92" i="1"/>
  <c r="R92" i="1" s="1"/>
  <c r="D92" i="1"/>
  <c r="F92" i="1"/>
  <c r="I103" i="1"/>
  <c r="D103" i="1"/>
  <c r="G103" i="1"/>
  <c r="R103" i="1" s="1"/>
  <c r="F103" i="1"/>
  <c r="E103" i="1"/>
  <c r="B223" i="4"/>
  <c r="G72" i="1"/>
  <c r="R72" i="1" s="1"/>
  <c r="F72" i="1"/>
  <c r="E72" i="1"/>
  <c r="I72" i="1"/>
  <c r="D72" i="1"/>
  <c r="I85" i="1"/>
  <c r="F85" i="1"/>
  <c r="G85" i="1"/>
  <c r="R85" i="1" s="1"/>
  <c r="D85" i="1"/>
  <c r="E85" i="1"/>
  <c r="G115" i="1"/>
  <c r="R115" i="1" s="1"/>
  <c r="I115" i="1"/>
  <c r="E115" i="1"/>
  <c r="D115" i="1"/>
  <c r="F115" i="1"/>
  <c r="F63" i="1"/>
  <c r="I63" i="1"/>
  <c r="G63" i="1"/>
  <c r="R63" i="1" s="1"/>
  <c r="B155" i="4"/>
  <c r="E63" i="1"/>
  <c r="D63" i="1"/>
  <c r="G99" i="1"/>
  <c r="R99" i="1" s="1"/>
  <c r="I99" i="1"/>
  <c r="D99" i="1"/>
  <c r="F99" i="1"/>
  <c r="E99" i="1"/>
  <c r="E118" i="1"/>
  <c r="G118" i="1"/>
  <c r="R118" i="1" s="1"/>
  <c r="D118" i="1"/>
  <c r="I118" i="1"/>
  <c r="F118" i="1"/>
  <c r="E62" i="1"/>
  <c r="B149" i="4"/>
  <c r="I62" i="1"/>
  <c r="F62" i="1"/>
  <c r="D62" i="1"/>
  <c r="G62" i="1"/>
  <c r="R62" i="1" s="1"/>
  <c r="I88" i="1"/>
  <c r="E88" i="1"/>
  <c r="F88" i="1"/>
  <c r="D88" i="1"/>
  <c r="G88" i="1"/>
  <c r="R88" i="1" s="1"/>
  <c r="G105" i="1"/>
  <c r="R105" i="1" s="1"/>
  <c r="D105" i="1"/>
  <c r="F105" i="1"/>
  <c r="E105" i="1"/>
  <c r="I105" i="1"/>
  <c r="I33" i="1"/>
  <c r="D33" i="1"/>
  <c r="G33" i="1"/>
  <c r="R33" i="1" s="1"/>
  <c r="B195" i="3"/>
  <c r="E33" i="1"/>
  <c r="F33" i="1"/>
  <c r="I112" i="1"/>
  <c r="F112" i="1"/>
  <c r="E112" i="1"/>
  <c r="D112" i="1"/>
  <c r="G112" i="1"/>
  <c r="R112" i="1" s="1"/>
  <c r="B12" i="6"/>
  <c r="I39" i="1"/>
  <c r="F39" i="1"/>
  <c r="E39" i="1"/>
  <c r="D39" i="1"/>
  <c r="G39" i="1"/>
  <c r="R39" i="1" s="1"/>
  <c r="I60" i="1"/>
  <c r="D60" i="1"/>
  <c r="B134" i="4"/>
  <c r="E60" i="1"/>
  <c r="F60" i="1"/>
  <c r="G60" i="1"/>
  <c r="R60" i="1" s="1"/>
  <c r="G130" i="1"/>
  <c r="R130" i="1" s="1"/>
  <c r="F130" i="1"/>
  <c r="I130" i="1"/>
  <c r="D130" i="1"/>
  <c r="E130" i="1"/>
  <c r="D66" i="1"/>
  <c r="I66" i="1"/>
  <c r="G66" i="1"/>
  <c r="R66" i="1" s="1"/>
  <c r="E66" i="1"/>
  <c r="B181" i="4"/>
  <c r="F66" i="1"/>
  <c r="G14" i="1"/>
  <c r="R14" i="1" s="1"/>
  <c r="F14" i="1"/>
  <c r="D14" i="1"/>
  <c r="D240" i="3" s="1"/>
  <c r="I14" i="1"/>
  <c r="B73" i="3"/>
  <c r="E14" i="1"/>
  <c r="F114" i="1"/>
  <c r="I114" i="1"/>
  <c r="D114" i="1"/>
  <c r="G114" i="1"/>
  <c r="R114" i="1" s="1"/>
  <c r="E114" i="1"/>
  <c r="D35" i="1"/>
  <c r="I35" i="1"/>
  <c r="G35" i="1"/>
  <c r="R35" i="1" s="1"/>
  <c r="B218" i="3"/>
  <c r="F35" i="1"/>
  <c r="E35" i="1"/>
  <c r="E41" i="1"/>
  <c r="G41" i="1"/>
  <c r="R41" i="1" s="1"/>
  <c r="I41" i="1"/>
  <c r="F41" i="1"/>
  <c r="D41" i="1"/>
  <c r="B218" i="4"/>
  <c r="G71" i="1"/>
  <c r="R71" i="1" s="1"/>
  <c r="D71" i="1"/>
  <c r="F71" i="1"/>
  <c r="I71" i="1"/>
  <c r="E71" i="1"/>
  <c r="F110" i="1"/>
  <c r="E110" i="1"/>
  <c r="G110" i="1"/>
  <c r="R110" i="1" s="1"/>
  <c r="D110" i="1"/>
  <c r="I110" i="1"/>
  <c r="F123" i="1"/>
  <c r="D123" i="1"/>
  <c r="E123" i="1"/>
  <c r="G123" i="1"/>
  <c r="R123" i="1" s="1"/>
  <c r="I123" i="1"/>
  <c r="D75" i="1"/>
  <c r="I75" i="1"/>
  <c r="E75" i="1"/>
  <c r="F75" i="1"/>
  <c r="G75" i="1"/>
  <c r="R75" i="1" s="1"/>
  <c r="D36" i="1"/>
  <c r="B225" i="3"/>
  <c r="I36" i="1"/>
  <c r="F36" i="1"/>
  <c r="G36" i="1"/>
  <c r="R36" i="1" s="1"/>
  <c r="E36" i="1"/>
  <c r="G119" i="1"/>
  <c r="R119" i="1" s="1"/>
  <c r="D119" i="1"/>
  <c r="F119" i="1"/>
  <c r="E119" i="1"/>
  <c r="I119" i="1"/>
  <c r="D30" i="1"/>
  <c r="I30" i="1"/>
  <c r="E30" i="1"/>
  <c r="B183" i="3"/>
  <c r="F30" i="1"/>
  <c r="G30" i="1"/>
  <c r="R30" i="1" s="1"/>
  <c r="D109" i="1"/>
  <c r="I109" i="1"/>
  <c r="F109" i="1"/>
  <c r="G109" i="1"/>
  <c r="R109" i="1" s="1"/>
  <c r="E109" i="1"/>
  <c r="D131" i="1"/>
  <c r="E131" i="1"/>
  <c r="I131" i="1"/>
  <c r="G131" i="1"/>
  <c r="R131" i="1" s="1"/>
  <c r="F131" i="1"/>
  <c r="I31" i="1"/>
  <c r="E31" i="1"/>
  <c r="B191" i="3"/>
  <c r="F31" i="1"/>
  <c r="D31" i="1"/>
  <c r="D180" i="3" s="1"/>
  <c r="G31" i="1"/>
  <c r="R31" i="1" s="1"/>
  <c r="D129" i="1"/>
  <c r="G129" i="1"/>
  <c r="R129" i="1" s="1"/>
  <c r="E129" i="1"/>
  <c r="I129" i="1"/>
  <c r="F129" i="1"/>
  <c r="D121" i="1"/>
  <c r="E121" i="1"/>
  <c r="G121" i="1"/>
  <c r="R121" i="1" s="1"/>
  <c r="I121" i="1"/>
  <c r="F121" i="1"/>
  <c r="I18" i="1"/>
  <c r="E18" i="1"/>
  <c r="G18" i="1"/>
  <c r="R18" i="1" s="1"/>
  <c r="F18" i="1"/>
  <c r="D18" i="1"/>
  <c r="D244" i="3" s="1"/>
  <c r="B112" i="3"/>
  <c r="F124" i="1"/>
  <c r="I124" i="1"/>
  <c r="E124" i="1"/>
  <c r="D124" i="1"/>
  <c r="G124" i="1"/>
  <c r="R124" i="1" s="1"/>
  <c r="D100" i="1"/>
  <c r="F100" i="1"/>
  <c r="G100" i="1"/>
  <c r="R100" i="1" s="1"/>
  <c r="I100" i="1"/>
  <c r="E100" i="1"/>
  <c r="F22" i="1"/>
  <c r="E22" i="1"/>
  <c r="B146" i="3"/>
  <c r="D22" i="1"/>
  <c r="D248" i="3" s="1"/>
  <c r="G22" i="1"/>
  <c r="R22" i="1" s="1"/>
  <c r="I22" i="1"/>
  <c r="F104" i="1"/>
  <c r="I104" i="1"/>
  <c r="D104" i="1"/>
  <c r="G104" i="1"/>
  <c r="R104" i="1" s="1"/>
  <c r="E104" i="1"/>
  <c r="I20" i="1"/>
  <c r="D20" i="1"/>
  <c r="D246" i="3" s="1"/>
  <c r="G20" i="1"/>
  <c r="R20" i="1" s="1"/>
  <c r="F20" i="1"/>
  <c r="E20" i="1"/>
  <c r="B128" i="3"/>
  <c r="G107" i="1"/>
  <c r="R107" i="1" s="1"/>
  <c r="I107" i="1"/>
  <c r="D107" i="1"/>
  <c r="E107" i="1"/>
  <c r="F107" i="1"/>
  <c r="E69" i="1"/>
  <c r="I69" i="1"/>
  <c r="D69" i="1"/>
  <c r="B201" i="4"/>
  <c r="G69" i="1"/>
  <c r="R69" i="1" s="1"/>
  <c r="F69" i="1"/>
  <c r="E81" i="1"/>
  <c r="G81" i="1"/>
  <c r="R81" i="1" s="1"/>
  <c r="F81" i="1"/>
  <c r="I81" i="1"/>
  <c r="B6" i="5"/>
  <c r="D81" i="1"/>
  <c r="I120" i="1"/>
  <c r="E120" i="1"/>
  <c r="D120" i="1"/>
  <c r="G120" i="1"/>
  <c r="R120" i="1" s="1"/>
  <c r="F120" i="1"/>
  <c r="D83" i="1"/>
  <c r="F83" i="1"/>
  <c r="B3" i="10"/>
  <c r="I83" i="1"/>
  <c r="E83" i="1"/>
  <c r="G83" i="1"/>
  <c r="R83" i="1" s="1"/>
  <c r="E96" i="1"/>
  <c r="D96" i="1"/>
  <c r="I96" i="1"/>
  <c r="F96" i="1"/>
  <c r="G96" i="1"/>
  <c r="R96" i="1" s="1"/>
  <c r="E101" i="1"/>
  <c r="F101" i="1"/>
  <c r="G101" i="1"/>
  <c r="R101" i="1" s="1"/>
  <c r="I101" i="1"/>
  <c r="D101" i="1"/>
  <c r="B170" i="4"/>
  <c r="F65" i="1"/>
  <c r="I65" i="1"/>
  <c r="E65" i="1"/>
  <c r="G65" i="1"/>
  <c r="R65" i="1" s="1"/>
  <c r="D65" i="1"/>
  <c r="E91" i="1"/>
  <c r="D91" i="1"/>
  <c r="I91" i="1"/>
  <c r="G91" i="1"/>
  <c r="R91" i="1" s="1"/>
  <c r="F91" i="1"/>
  <c r="I21" i="1"/>
  <c r="B133" i="3"/>
  <c r="E21" i="1"/>
  <c r="G21" i="1"/>
  <c r="R21" i="1" s="1"/>
  <c r="F21" i="1"/>
  <c r="D21" i="1"/>
  <c r="D247" i="3" s="1"/>
  <c r="D3" i="1"/>
  <c r="G3" i="1"/>
  <c r="R3" i="1" s="1"/>
  <c r="F3" i="1"/>
  <c r="E3" i="1"/>
  <c r="I3" i="1"/>
  <c r="D4" i="4"/>
  <c r="D10" i="4"/>
  <c r="D25" i="4"/>
  <c r="D15" i="4"/>
  <c r="D20" i="4"/>
  <c r="D37" i="4"/>
  <c r="D4" i="3"/>
  <c r="D14" i="3"/>
  <c r="D16" i="3"/>
  <c r="D30" i="4"/>
  <c r="D32" i="3"/>
  <c r="D45" i="4"/>
  <c r="D21" i="3"/>
  <c r="D26" i="3"/>
  <c r="D51" i="3"/>
  <c r="D3" i="8"/>
  <c r="D64" i="4"/>
  <c r="D52" i="4"/>
  <c r="D42" i="3"/>
  <c r="D73" i="4"/>
  <c r="D3" i="5"/>
  <c r="D3" i="6"/>
  <c r="D66" i="3"/>
  <c r="D93" i="4"/>
  <c r="D84" i="4"/>
  <c r="D90" i="4"/>
  <c r="D56" i="3"/>
  <c r="D80" i="4"/>
  <c r="F111" i="1"/>
  <c r="D111" i="1"/>
  <c r="I111" i="1"/>
  <c r="G111" i="1"/>
  <c r="R111" i="1" s="1"/>
  <c r="E111" i="1"/>
  <c r="D25" i="1"/>
  <c r="D251" i="3" s="1"/>
  <c r="F25" i="1"/>
  <c r="I25" i="1"/>
  <c r="B165" i="3"/>
  <c r="G25" i="1"/>
  <c r="R25" i="1" s="1"/>
  <c r="E25" i="1"/>
  <c r="E102" i="1"/>
  <c r="D102" i="1"/>
  <c r="G102" i="1"/>
  <c r="R102" i="1" s="1"/>
  <c r="I102" i="1"/>
  <c r="F102" i="1"/>
  <c r="E34" i="1"/>
  <c r="B206" i="3"/>
  <c r="D34" i="1"/>
  <c r="G34" i="1"/>
  <c r="R34" i="1" s="1"/>
  <c r="I34" i="1"/>
  <c r="F34" i="1"/>
  <c r="E25" i="3"/>
  <c r="E20" i="3"/>
  <c r="E26" i="3"/>
  <c r="E51" i="3"/>
  <c r="E21" i="3"/>
  <c r="E66" i="3"/>
  <c r="E56" i="3"/>
  <c r="E4" i="3"/>
  <c r="E41" i="3"/>
  <c r="E15" i="3"/>
  <c r="E55" i="3"/>
  <c r="E22" i="3"/>
  <c r="E57" i="3"/>
  <c r="E13" i="3"/>
  <c r="E32" i="3"/>
  <c r="E65" i="3"/>
  <c r="E50" i="3"/>
  <c r="E14" i="3"/>
  <c r="E16" i="3"/>
  <c r="E72" i="3"/>
  <c r="E31" i="3"/>
  <c r="E42" i="3"/>
  <c r="E3" i="8"/>
  <c r="E4" i="8"/>
  <c r="E5" i="5"/>
  <c r="E3" i="5"/>
  <c r="E45" i="4"/>
  <c r="E103" i="4"/>
  <c r="E44" i="4"/>
  <c r="E89" i="4"/>
  <c r="E83" i="4"/>
  <c r="E10" i="4"/>
  <c r="E37" i="4"/>
  <c r="E73" i="4"/>
  <c r="E36" i="4"/>
  <c r="E90" i="4"/>
  <c r="E20" i="4"/>
  <c r="E30" i="4"/>
  <c r="E64" i="4"/>
  <c r="E25" i="4"/>
  <c r="E46" i="4"/>
  <c r="E38" i="4"/>
  <c r="E74" i="4"/>
  <c r="E26" i="4"/>
  <c r="E14" i="4"/>
  <c r="E72" i="4"/>
  <c r="E29" i="4"/>
  <c r="E52" i="4"/>
  <c r="E19" i="4"/>
  <c r="E9" i="4"/>
  <c r="E24" i="4"/>
  <c r="E84" i="4"/>
  <c r="E51" i="4"/>
  <c r="E80" i="4"/>
  <c r="E15" i="4"/>
  <c r="E4" i="4"/>
  <c r="E63" i="4"/>
  <c r="E93" i="4"/>
  <c r="E79" i="4"/>
  <c r="E92" i="4"/>
  <c r="E3" i="6"/>
  <c r="E4" i="6"/>
  <c r="E11" i="6"/>
  <c r="E27" i="3"/>
  <c r="E52" i="3"/>
  <c r="E67" i="3"/>
  <c r="E5" i="3"/>
  <c r="E23" i="3"/>
  <c r="E58" i="3"/>
  <c r="E33" i="3"/>
  <c r="E17" i="3"/>
  <c r="E43" i="3"/>
  <c r="E4" i="5"/>
  <c r="E11" i="4"/>
  <c r="E91" i="4"/>
  <c r="E21" i="4"/>
  <c r="E31" i="4"/>
  <c r="E65" i="4"/>
  <c r="E47" i="4"/>
  <c r="E39" i="4"/>
  <c r="E75" i="4"/>
  <c r="E27" i="4"/>
  <c r="E53" i="4"/>
  <c r="E85" i="4"/>
  <c r="E81" i="4"/>
  <c r="E16" i="4"/>
  <c r="E5" i="4"/>
  <c r="E94" i="4"/>
  <c r="E5" i="6"/>
  <c r="E28" i="3"/>
  <c r="E53" i="3"/>
  <c r="E68" i="3"/>
  <c r="E6" i="3"/>
  <c r="E24" i="3"/>
  <c r="E59" i="3"/>
  <c r="E34" i="3"/>
  <c r="E18" i="3"/>
  <c r="E44" i="3"/>
  <c r="E12" i="4"/>
  <c r="E22" i="4"/>
  <c r="E32" i="4"/>
  <c r="E66" i="4"/>
  <c r="E48" i="4"/>
  <c r="E40" i="4"/>
  <c r="E76" i="4"/>
  <c r="E28" i="4"/>
  <c r="E54" i="4"/>
  <c r="E86" i="4"/>
  <c r="E82" i="4"/>
  <c r="E17" i="4"/>
  <c r="E6" i="4"/>
  <c r="E95" i="4"/>
  <c r="E6" i="6"/>
  <c r="E29" i="3"/>
  <c r="E54" i="3"/>
  <c r="E69" i="3"/>
  <c r="E7" i="3"/>
  <c r="E60" i="3"/>
  <c r="E35" i="3"/>
  <c r="E19" i="3"/>
  <c r="E45" i="3"/>
  <c r="E13" i="4"/>
  <c r="E23" i="4"/>
  <c r="E33" i="4"/>
  <c r="E67" i="4"/>
  <c r="E49" i="4"/>
  <c r="E41" i="4"/>
  <c r="E77" i="4"/>
  <c r="E55" i="4"/>
  <c r="E87" i="4"/>
  <c r="E18" i="4"/>
  <c r="E7" i="4"/>
  <c r="E96" i="4"/>
  <c r="E7" i="6"/>
  <c r="E30" i="3"/>
  <c r="E70" i="3"/>
  <c r="E8" i="3"/>
  <c r="E61" i="3"/>
  <c r="E36" i="3"/>
  <c r="E46" i="3"/>
  <c r="E34" i="4"/>
  <c r="E68" i="4"/>
  <c r="E50" i="4"/>
  <c r="E42" i="4"/>
  <c r="E78" i="4"/>
  <c r="E56" i="4"/>
  <c r="E88" i="4"/>
  <c r="E8" i="4"/>
  <c r="E97" i="4"/>
  <c r="E8" i="6"/>
  <c r="E71" i="3"/>
  <c r="E9" i="3"/>
  <c r="E62" i="3"/>
  <c r="E37" i="3"/>
  <c r="E47" i="3"/>
  <c r="E35" i="4"/>
  <c r="E69" i="4"/>
  <c r="E43" i="4"/>
  <c r="E57" i="4"/>
  <c r="E98" i="4"/>
  <c r="E9" i="6"/>
  <c r="E10" i="3"/>
  <c r="E63" i="3"/>
  <c r="E38" i="3"/>
  <c r="E48" i="3"/>
  <c r="E70" i="4"/>
  <c r="E58" i="4"/>
  <c r="E99" i="4"/>
  <c r="E10" i="6"/>
  <c r="E11" i="3"/>
  <c r="E64" i="3"/>
  <c r="E39" i="3"/>
  <c r="E49" i="3"/>
  <c r="E71" i="4"/>
  <c r="E59" i="4"/>
  <c r="E100" i="4"/>
  <c r="E12" i="3"/>
  <c r="E40" i="3"/>
  <c r="E60" i="4"/>
  <c r="E101" i="4"/>
  <c r="E61" i="4"/>
  <c r="E102" i="4"/>
  <c r="E62" i="4"/>
  <c r="Y11" i="6" l="1"/>
  <c r="J11" i="6"/>
  <c r="J92" i="4"/>
  <c r="J79" i="4"/>
  <c r="J63" i="4"/>
  <c r="J51" i="4"/>
  <c r="J24" i="4"/>
  <c r="J9" i="4"/>
  <c r="J19" i="4"/>
  <c r="J29" i="4"/>
  <c r="J72" i="4"/>
  <c r="J14" i="4"/>
  <c r="J36" i="4"/>
  <c r="J83" i="4"/>
  <c r="J89" i="4"/>
  <c r="J44" i="4"/>
  <c r="J103" i="4"/>
  <c r="J5" i="5"/>
  <c r="Y5" i="5"/>
  <c r="Y4" i="8"/>
  <c r="J4" i="8"/>
  <c r="Y31" i="3"/>
  <c r="J31" i="3"/>
  <c r="Y72" i="3"/>
  <c r="J72" i="3"/>
  <c r="Y50" i="3"/>
  <c r="J50" i="3"/>
  <c r="Y65" i="3"/>
  <c r="J65" i="3"/>
  <c r="Y13" i="3"/>
  <c r="J13" i="3"/>
  <c r="Y55" i="3"/>
  <c r="J55" i="3"/>
  <c r="Y15" i="3"/>
  <c r="J15" i="3"/>
  <c r="Y41" i="3"/>
  <c r="J41" i="3"/>
  <c r="Y20" i="3"/>
  <c r="J20" i="3"/>
  <c r="Y25" i="3"/>
  <c r="J25" i="3"/>
  <c r="M62" i="4"/>
  <c r="L62" i="4"/>
  <c r="N62" i="4"/>
  <c r="O62" i="4"/>
  <c r="Q62" i="4" s="1"/>
  <c r="U62" i="4"/>
  <c r="N102" i="4"/>
  <c r="L102" i="4"/>
  <c r="M102" i="4"/>
  <c r="O102" i="4"/>
  <c r="Q102" i="4" s="1"/>
  <c r="U102" i="4"/>
  <c r="O61" i="4"/>
  <c r="Q61" i="4" s="1"/>
  <c r="U61" i="4"/>
  <c r="L61" i="4"/>
  <c r="M61" i="4"/>
  <c r="N61" i="4"/>
  <c r="O101" i="4"/>
  <c r="Q101" i="4" s="1"/>
  <c r="U101" i="4"/>
  <c r="L101" i="4"/>
  <c r="N101" i="4"/>
  <c r="M101" i="4"/>
  <c r="M60" i="4"/>
  <c r="U60" i="4"/>
  <c r="N60" i="4"/>
  <c r="L60" i="4"/>
  <c r="O60" i="4"/>
  <c r="Q60" i="4" s="1"/>
  <c r="K40" i="3"/>
  <c r="L40" i="3"/>
  <c r="O40" i="3"/>
  <c r="U40" i="3"/>
  <c r="N40" i="3"/>
  <c r="Q40" i="3"/>
  <c r="P40" i="3"/>
  <c r="M40" i="3"/>
  <c r="M12" i="3"/>
  <c r="O12" i="3"/>
  <c r="U12" i="3"/>
  <c r="Q12" i="3"/>
  <c r="P12" i="3"/>
  <c r="K12" i="3"/>
  <c r="L12" i="3"/>
  <c r="N12" i="3"/>
  <c r="N100" i="4"/>
  <c r="O100" i="4"/>
  <c r="Q100" i="4" s="1"/>
  <c r="M100" i="4"/>
  <c r="U100" i="4"/>
  <c r="L100" i="4"/>
  <c r="M59" i="4"/>
  <c r="L59" i="4"/>
  <c r="U59" i="4"/>
  <c r="O59" i="4"/>
  <c r="Q59" i="4" s="1"/>
  <c r="N59" i="4"/>
  <c r="N71" i="4"/>
  <c r="L71" i="4"/>
  <c r="U71" i="4"/>
  <c r="M71" i="4"/>
  <c r="O71" i="4"/>
  <c r="Q71" i="4" s="1"/>
  <c r="U49" i="3"/>
  <c r="Q49" i="3"/>
  <c r="N49" i="3"/>
  <c r="L49" i="3"/>
  <c r="M49" i="3"/>
  <c r="O49" i="3"/>
  <c r="K49" i="3"/>
  <c r="P49" i="3"/>
  <c r="K39" i="3"/>
  <c r="P39" i="3"/>
  <c r="U39" i="3"/>
  <c r="N39" i="3"/>
  <c r="O39" i="3"/>
  <c r="M39" i="3"/>
  <c r="Q39" i="3"/>
  <c r="L39" i="3"/>
  <c r="M64" i="3"/>
  <c r="Q64" i="3"/>
  <c r="K64" i="3"/>
  <c r="L64" i="3"/>
  <c r="N64" i="3"/>
  <c r="P64" i="3"/>
  <c r="O64" i="3"/>
  <c r="U64" i="3"/>
  <c r="K11" i="3"/>
  <c r="N11" i="3"/>
  <c r="Q11" i="3"/>
  <c r="U11" i="3"/>
  <c r="M11" i="3"/>
  <c r="O11" i="3"/>
  <c r="P11" i="3"/>
  <c r="L11" i="3"/>
  <c r="N10" i="6"/>
  <c r="K10" i="6"/>
  <c r="P10" i="6"/>
  <c r="M10" i="6"/>
  <c r="U10" i="6"/>
  <c r="Q10" i="6"/>
  <c r="L10" i="6"/>
  <c r="O10" i="6"/>
  <c r="M99" i="4"/>
  <c r="L99" i="4"/>
  <c r="U99" i="4"/>
  <c r="O99" i="4"/>
  <c r="Q99" i="4" s="1"/>
  <c r="N99" i="4"/>
  <c r="U58" i="4"/>
  <c r="N58" i="4"/>
  <c r="M58" i="4"/>
  <c r="L58" i="4"/>
  <c r="O58" i="4"/>
  <c r="Q58" i="4" s="1"/>
  <c r="M70" i="4"/>
  <c r="O70" i="4"/>
  <c r="Q70" i="4" s="1"/>
  <c r="L70" i="4"/>
  <c r="N70" i="4"/>
  <c r="U70" i="4"/>
  <c r="L48" i="3"/>
  <c r="K48" i="3"/>
  <c r="U48" i="3"/>
  <c r="O48" i="3"/>
  <c r="N48" i="3"/>
  <c r="Q48" i="3"/>
  <c r="M48" i="3"/>
  <c r="P48" i="3"/>
  <c r="O38" i="3"/>
  <c r="N38" i="3"/>
  <c r="M38" i="3"/>
  <c r="U38" i="3"/>
  <c r="K38" i="3"/>
  <c r="Q38" i="3"/>
  <c r="P38" i="3"/>
  <c r="L38" i="3"/>
  <c r="U63" i="3"/>
  <c r="Q63" i="3"/>
  <c r="P63" i="3"/>
  <c r="L63" i="3"/>
  <c r="M63" i="3"/>
  <c r="K63" i="3"/>
  <c r="N63" i="3"/>
  <c r="O63" i="3"/>
  <c r="U10" i="3"/>
  <c r="O10" i="3"/>
  <c r="P10" i="3"/>
  <c r="Q10" i="3"/>
  <c r="K10" i="3"/>
  <c r="M10" i="3"/>
  <c r="N10" i="3"/>
  <c r="L10" i="3"/>
  <c r="Q9" i="6"/>
  <c r="L9" i="6"/>
  <c r="P9" i="6"/>
  <c r="U9" i="6"/>
  <c r="M9" i="6"/>
  <c r="N9" i="6"/>
  <c r="K9" i="6"/>
  <c r="O9" i="6"/>
  <c r="N98" i="4"/>
  <c r="M98" i="4"/>
  <c r="O98" i="4"/>
  <c r="Q98" i="4" s="1"/>
  <c r="U98" i="4"/>
  <c r="L98" i="4"/>
  <c r="M57" i="4"/>
  <c r="L57" i="4"/>
  <c r="N57" i="4"/>
  <c r="U57" i="4"/>
  <c r="O57" i="4"/>
  <c r="Q57" i="4" s="1"/>
  <c r="N43" i="4"/>
  <c r="L43" i="4"/>
  <c r="U43" i="4"/>
  <c r="O43" i="4"/>
  <c r="Q43" i="4" s="1"/>
  <c r="M43" i="4"/>
  <c r="N69" i="4"/>
  <c r="U69" i="4"/>
  <c r="L69" i="4"/>
  <c r="O69" i="4"/>
  <c r="Q69" i="4" s="1"/>
  <c r="M69" i="4"/>
  <c r="M35" i="4"/>
  <c r="U35" i="4"/>
  <c r="L35" i="4"/>
  <c r="N35" i="4"/>
  <c r="O35" i="4"/>
  <c r="Q35" i="4" s="1"/>
  <c r="U47" i="3"/>
  <c r="K47" i="3"/>
  <c r="N47" i="3"/>
  <c r="Q47" i="3"/>
  <c r="L47" i="3"/>
  <c r="M47" i="3"/>
  <c r="O47" i="3"/>
  <c r="P47" i="3"/>
  <c r="K37" i="3"/>
  <c r="O37" i="3"/>
  <c r="P37" i="3"/>
  <c r="Q37" i="3"/>
  <c r="U37" i="3"/>
  <c r="M37" i="3"/>
  <c r="L37" i="3"/>
  <c r="N37" i="3"/>
  <c r="Q62" i="3"/>
  <c r="P62" i="3"/>
  <c r="K62" i="3"/>
  <c r="O62" i="3"/>
  <c r="M62" i="3"/>
  <c r="L62" i="3"/>
  <c r="U62" i="3"/>
  <c r="N62" i="3"/>
  <c r="P9" i="3"/>
  <c r="Q9" i="3"/>
  <c r="O9" i="3"/>
  <c r="L9" i="3"/>
  <c r="N9" i="3"/>
  <c r="U9" i="3"/>
  <c r="K9" i="3"/>
  <c r="M9" i="3"/>
  <c r="M71" i="3"/>
  <c r="L71" i="3"/>
  <c r="O71" i="3"/>
  <c r="K71" i="3"/>
  <c r="U71" i="3"/>
  <c r="P71" i="3"/>
  <c r="N71" i="3"/>
  <c r="Q71" i="3"/>
  <c r="N8" i="6"/>
  <c r="P8" i="6"/>
  <c r="O8" i="6"/>
  <c r="L8" i="6"/>
  <c r="U8" i="6"/>
  <c r="M8" i="6"/>
  <c r="K8" i="6"/>
  <c r="Q8" i="6"/>
  <c r="O97" i="4"/>
  <c r="Q97" i="4" s="1"/>
  <c r="N97" i="4"/>
  <c r="U97" i="4"/>
  <c r="L97" i="4"/>
  <c r="M97" i="4"/>
  <c r="O8" i="4"/>
  <c r="Q8" i="4" s="1"/>
  <c r="U8" i="4"/>
  <c r="L8" i="4"/>
  <c r="M8" i="4"/>
  <c r="N8" i="4"/>
  <c r="U88" i="4"/>
  <c r="N88" i="4"/>
  <c r="L88" i="4"/>
  <c r="O88" i="4"/>
  <c r="Q88" i="4" s="1"/>
  <c r="M88" i="4"/>
  <c r="O56" i="4"/>
  <c r="Q56" i="4" s="1"/>
  <c r="L56" i="4"/>
  <c r="U56" i="4"/>
  <c r="N56" i="4"/>
  <c r="M56" i="4"/>
  <c r="M78" i="4"/>
  <c r="O78" i="4"/>
  <c r="Q78" i="4" s="1"/>
  <c r="L78" i="4"/>
  <c r="U78" i="4"/>
  <c r="N78" i="4"/>
  <c r="M42" i="4"/>
  <c r="U42" i="4"/>
  <c r="O42" i="4"/>
  <c r="Q42" i="4" s="1"/>
  <c r="N42" i="4"/>
  <c r="L42" i="4"/>
  <c r="N50" i="4"/>
  <c r="L50" i="4"/>
  <c r="M50" i="4"/>
  <c r="O50" i="4"/>
  <c r="Q50" i="4" s="1"/>
  <c r="U50" i="4"/>
  <c r="L68" i="4"/>
  <c r="M68" i="4"/>
  <c r="N68" i="4"/>
  <c r="U68" i="4"/>
  <c r="O68" i="4"/>
  <c r="Q68" i="4" s="1"/>
  <c r="L34" i="4"/>
  <c r="N34" i="4"/>
  <c r="U34" i="4"/>
  <c r="O34" i="4"/>
  <c r="Q34" i="4" s="1"/>
  <c r="M34" i="4"/>
  <c r="M46" i="3"/>
  <c r="L46" i="3"/>
  <c r="U46" i="3"/>
  <c r="N46" i="3"/>
  <c r="K46" i="3"/>
  <c r="O46" i="3"/>
  <c r="Q46" i="3"/>
  <c r="P46" i="3"/>
  <c r="Q36" i="3"/>
  <c r="K36" i="3"/>
  <c r="P36" i="3"/>
  <c r="O36" i="3"/>
  <c r="L36" i="3"/>
  <c r="M36" i="3"/>
  <c r="U36" i="3"/>
  <c r="N36" i="3"/>
  <c r="N61" i="3"/>
  <c r="U61" i="3"/>
  <c r="M61" i="3"/>
  <c r="Q61" i="3"/>
  <c r="L61" i="3"/>
  <c r="P61" i="3"/>
  <c r="O61" i="3"/>
  <c r="K61" i="3"/>
  <c r="U8" i="3"/>
  <c r="M8" i="3"/>
  <c r="P8" i="3"/>
  <c r="Q8" i="3"/>
  <c r="L8" i="3"/>
  <c r="O8" i="3"/>
  <c r="N8" i="3"/>
  <c r="K8" i="3"/>
  <c r="L70" i="3"/>
  <c r="K70" i="3"/>
  <c r="Q70" i="3"/>
  <c r="O70" i="3"/>
  <c r="M70" i="3"/>
  <c r="P70" i="3"/>
  <c r="N70" i="3"/>
  <c r="U70" i="3"/>
  <c r="M30" i="3"/>
  <c r="P30" i="3"/>
  <c r="N30" i="3"/>
  <c r="L30" i="3"/>
  <c r="K30" i="3"/>
  <c r="Q30" i="3"/>
  <c r="O30" i="3"/>
  <c r="U30" i="3"/>
  <c r="O7" i="6"/>
  <c r="P7" i="6"/>
  <c r="K7" i="6"/>
  <c r="M7" i="6"/>
  <c r="L7" i="6"/>
  <c r="N7" i="6"/>
  <c r="U7" i="6"/>
  <c r="Q7" i="6"/>
  <c r="U96" i="4"/>
  <c r="L96" i="4"/>
  <c r="O96" i="4"/>
  <c r="Q96" i="4" s="1"/>
  <c r="N96" i="4"/>
  <c r="M96" i="4"/>
  <c r="M7" i="4"/>
  <c r="U7" i="4"/>
  <c r="L7" i="4"/>
  <c r="N7" i="4"/>
  <c r="O7" i="4"/>
  <c r="Q7" i="4" s="1"/>
  <c r="L18" i="4"/>
  <c r="O18" i="4"/>
  <c r="Q18" i="4" s="1"/>
  <c r="N18" i="4"/>
  <c r="M18" i="4"/>
  <c r="U18" i="4"/>
  <c r="U87" i="4"/>
  <c r="M87" i="4"/>
  <c r="O87" i="4"/>
  <c r="Q87" i="4" s="1"/>
  <c r="N87" i="4"/>
  <c r="L87" i="4"/>
  <c r="L55" i="4"/>
  <c r="M55" i="4"/>
  <c r="U55" i="4"/>
  <c r="O55" i="4"/>
  <c r="Q55" i="4" s="1"/>
  <c r="N55" i="4"/>
  <c r="N77" i="4"/>
  <c r="U77" i="4"/>
  <c r="M77" i="4"/>
  <c r="L77" i="4"/>
  <c r="O77" i="4"/>
  <c r="Q77" i="4" s="1"/>
  <c r="U41" i="4"/>
  <c r="O41" i="4"/>
  <c r="Q41" i="4" s="1"/>
  <c r="M41" i="4"/>
  <c r="N41" i="4"/>
  <c r="L41" i="4"/>
  <c r="U49" i="4"/>
  <c r="L49" i="4"/>
  <c r="M49" i="4"/>
  <c r="N49" i="4"/>
  <c r="O49" i="4"/>
  <c r="Q49" i="4" s="1"/>
  <c r="N67" i="4"/>
  <c r="M67" i="4"/>
  <c r="O67" i="4"/>
  <c r="Q67" i="4" s="1"/>
  <c r="L67" i="4"/>
  <c r="U67" i="4"/>
  <c r="U33" i="4"/>
  <c r="O33" i="4"/>
  <c r="Q33" i="4" s="1"/>
  <c r="L33" i="4"/>
  <c r="N33" i="4"/>
  <c r="M33" i="4"/>
  <c r="N23" i="4"/>
  <c r="L23" i="4"/>
  <c r="U23" i="4"/>
  <c r="M23" i="4"/>
  <c r="O23" i="4"/>
  <c r="Q23" i="4" s="1"/>
  <c r="L13" i="4"/>
  <c r="N13" i="4"/>
  <c r="M13" i="4"/>
  <c r="O13" i="4"/>
  <c r="Q13" i="4" s="1"/>
  <c r="U13" i="4"/>
  <c r="P45" i="3"/>
  <c r="L45" i="3"/>
  <c r="M45" i="3"/>
  <c r="Q45" i="3"/>
  <c r="K45" i="3"/>
  <c r="U45" i="3"/>
  <c r="N45" i="3"/>
  <c r="O45" i="3"/>
  <c r="L19" i="3"/>
  <c r="N19" i="3"/>
  <c r="O19" i="3"/>
  <c r="M19" i="3"/>
  <c r="U19" i="3"/>
  <c r="Q19" i="3"/>
  <c r="K19" i="3"/>
  <c r="P19" i="3"/>
  <c r="M35" i="3"/>
  <c r="Q35" i="3"/>
  <c r="O35" i="3"/>
  <c r="U35" i="3"/>
  <c r="K35" i="3"/>
  <c r="N35" i="3"/>
  <c r="P35" i="3"/>
  <c r="L35" i="3"/>
  <c r="O60" i="3"/>
  <c r="Q60" i="3"/>
  <c r="N60" i="3"/>
  <c r="P60" i="3"/>
  <c r="L60" i="3"/>
  <c r="K60" i="3"/>
  <c r="M60" i="3"/>
  <c r="U60" i="3"/>
  <c r="K7" i="3"/>
  <c r="Q7" i="3"/>
  <c r="P7" i="3"/>
  <c r="L7" i="3"/>
  <c r="U7" i="3"/>
  <c r="O7" i="3"/>
  <c r="M7" i="3"/>
  <c r="N7" i="3"/>
  <c r="Q69" i="3"/>
  <c r="N69" i="3"/>
  <c r="U69" i="3"/>
  <c r="L69" i="3"/>
  <c r="K69" i="3"/>
  <c r="P69" i="3"/>
  <c r="O69" i="3"/>
  <c r="M69" i="3"/>
  <c r="N54" i="3"/>
  <c r="M54" i="3"/>
  <c r="P54" i="3"/>
  <c r="O54" i="3"/>
  <c r="L54" i="3"/>
  <c r="U54" i="3"/>
  <c r="Q54" i="3"/>
  <c r="K54" i="3"/>
  <c r="K29" i="3"/>
  <c r="O29" i="3"/>
  <c r="Q29" i="3"/>
  <c r="N29" i="3"/>
  <c r="P29" i="3"/>
  <c r="L29" i="3"/>
  <c r="U29" i="3"/>
  <c r="M29" i="3"/>
  <c r="L6" i="6"/>
  <c r="P6" i="6"/>
  <c r="N6" i="6"/>
  <c r="O6" i="6"/>
  <c r="M6" i="6"/>
  <c r="U6" i="6"/>
  <c r="Q6" i="6"/>
  <c r="K6" i="6"/>
  <c r="N95" i="4"/>
  <c r="M95" i="4"/>
  <c r="O95" i="4"/>
  <c r="Q95" i="4" s="1"/>
  <c r="U95" i="4"/>
  <c r="L95" i="4"/>
  <c r="M6" i="4"/>
  <c r="L6" i="4"/>
  <c r="O6" i="4"/>
  <c r="Q6" i="4" s="1"/>
  <c r="U6" i="4"/>
  <c r="N6" i="4"/>
  <c r="L17" i="4"/>
  <c r="N17" i="4"/>
  <c r="M17" i="4"/>
  <c r="U17" i="4"/>
  <c r="O17" i="4"/>
  <c r="Q17" i="4" s="1"/>
  <c r="U82" i="4"/>
  <c r="O82" i="4"/>
  <c r="Q82" i="4" s="1"/>
  <c r="M82" i="4"/>
  <c r="N82" i="4"/>
  <c r="L82" i="4"/>
  <c r="N86" i="4"/>
  <c r="U86" i="4"/>
  <c r="O86" i="4"/>
  <c r="Q86" i="4" s="1"/>
  <c r="L86" i="4"/>
  <c r="M86" i="4"/>
  <c r="U54" i="4"/>
  <c r="M54" i="4"/>
  <c r="N54" i="4"/>
  <c r="O54" i="4"/>
  <c r="Q54" i="4" s="1"/>
  <c r="L54" i="4"/>
  <c r="O28" i="4"/>
  <c r="Q28" i="4" s="1"/>
  <c r="L28" i="4"/>
  <c r="N28" i="4"/>
  <c r="M28" i="4"/>
  <c r="U28" i="4"/>
  <c r="M76" i="4"/>
  <c r="U76" i="4"/>
  <c r="O76" i="4"/>
  <c r="Q76" i="4" s="1"/>
  <c r="L76" i="4"/>
  <c r="N76" i="4"/>
  <c r="O40" i="4"/>
  <c r="Q40" i="4" s="1"/>
  <c r="N40" i="4"/>
  <c r="L40" i="4"/>
  <c r="M40" i="4"/>
  <c r="U40" i="4"/>
  <c r="U48" i="4"/>
  <c r="N48" i="4"/>
  <c r="L48" i="4"/>
  <c r="O48" i="4"/>
  <c r="Q48" i="4" s="1"/>
  <c r="M48" i="4"/>
  <c r="M66" i="4"/>
  <c r="U66" i="4"/>
  <c r="N66" i="4"/>
  <c r="L66" i="4"/>
  <c r="O66" i="4"/>
  <c r="Q66" i="4" s="1"/>
  <c r="O32" i="4"/>
  <c r="Q32" i="4" s="1"/>
  <c r="U32" i="4"/>
  <c r="N32" i="4"/>
  <c r="L32" i="4"/>
  <c r="M32" i="4"/>
  <c r="N22" i="4"/>
  <c r="L22" i="4"/>
  <c r="M22" i="4"/>
  <c r="O22" i="4"/>
  <c r="Q22" i="4" s="1"/>
  <c r="U22" i="4"/>
  <c r="N12" i="4"/>
  <c r="M12" i="4"/>
  <c r="L12" i="4"/>
  <c r="O12" i="4"/>
  <c r="Q12" i="4" s="1"/>
  <c r="U12" i="4"/>
  <c r="M44" i="3"/>
  <c r="L44" i="3"/>
  <c r="O44" i="3"/>
  <c r="P44" i="3"/>
  <c r="K44" i="3"/>
  <c r="U44" i="3"/>
  <c r="N44" i="3"/>
  <c r="Q44" i="3"/>
  <c r="O18" i="3"/>
  <c r="Q18" i="3"/>
  <c r="P18" i="3"/>
  <c r="L18" i="3"/>
  <c r="K18" i="3"/>
  <c r="N18" i="3"/>
  <c r="M18" i="3"/>
  <c r="U18" i="3"/>
  <c r="O34" i="3"/>
  <c r="U34" i="3"/>
  <c r="N34" i="3"/>
  <c r="M34" i="3"/>
  <c r="K34" i="3"/>
  <c r="P34" i="3"/>
  <c r="L34" i="3"/>
  <c r="Q34" i="3"/>
  <c r="P59" i="3"/>
  <c r="M59" i="3"/>
  <c r="U59" i="3"/>
  <c r="Q59" i="3"/>
  <c r="L59" i="3"/>
  <c r="O59" i="3"/>
  <c r="N59" i="3"/>
  <c r="K59" i="3"/>
  <c r="O24" i="3"/>
  <c r="Q24" i="3"/>
  <c r="P24" i="3"/>
  <c r="K24" i="3"/>
  <c r="N24" i="3"/>
  <c r="M24" i="3"/>
  <c r="U24" i="3"/>
  <c r="L24" i="3"/>
  <c r="P6" i="3"/>
  <c r="L6" i="3"/>
  <c r="M6" i="3"/>
  <c r="K6" i="3"/>
  <c r="Q6" i="3"/>
  <c r="O6" i="3"/>
  <c r="N6" i="3"/>
  <c r="U6" i="3"/>
  <c r="Q68" i="3"/>
  <c r="K68" i="3"/>
  <c r="O68" i="3"/>
  <c r="M68" i="3"/>
  <c r="P68" i="3"/>
  <c r="U68" i="3"/>
  <c r="N68" i="3"/>
  <c r="L68" i="3"/>
  <c r="M53" i="3"/>
  <c r="K53" i="3"/>
  <c r="L53" i="3"/>
  <c r="Q53" i="3"/>
  <c r="P53" i="3"/>
  <c r="U53" i="3"/>
  <c r="N53" i="3"/>
  <c r="O53" i="3"/>
  <c r="N28" i="3"/>
  <c r="M28" i="3"/>
  <c r="K28" i="3"/>
  <c r="P28" i="3"/>
  <c r="O28" i="3"/>
  <c r="U28" i="3"/>
  <c r="L28" i="3"/>
  <c r="Q28" i="3"/>
  <c r="L5" i="6"/>
  <c r="Q5" i="6"/>
  <c r="P5" i="6"/>
  <c r="M5" i="6"/>
  <c r="N5" i="6"/>
  <c r="K5" i="6"/>
  <c r="O5" i="6"/>
  <c r="U5" i="6"/>
  <c r="M94" i="4"/>
  <c r="O94" i="4"/>
  <c r="Q94" i="4" s="1"/>
  <c r="U94" i="4"/>
  <c r="N94" i="4"/>
  <c r="L94" i="4"/>
  <c r="M5" i="4"/>
  <c r="U5" i="4"/>
  <c r="N5" i="4"/>
  <c r="O5" i="4"/>
  <c r="Q5" i="4" s="1"/>
  <c r="L5" i="4"/>
  <c r="N16" i="4"/>
  <c r="L16" i="4"/>
  <c r="O16" i="4"/>
  <c r="Q16" i="4" s="1"/>
  <c r="M16" i="4"/>
  <c r="U16" i="4"/>
  <c r="N81" i="4"/>
  <c r="O81" i="4"/>
  <c r="Q81" i="4" s="1"/>
  <c r="U81" i="4"/>
  <c r="M81" i="4"/>
  <c r="L81" i="4"/>
  <c r="M85" i="4"/>
  <c r="N85" i="4"/>
  <c r="O85" i="4"/>
  <c r="Q85" i="4" s="1"/>
  <c r="U85" i="4"/>
  <c r="L85" i="4"/>
  <c r="M53" i="4"/>
  <c r="O53" i="4"/>
  <c r="Q53" i="4" s="1"/>
  <c r="L53" i="4"/>
  <c r="N53" i="4"/>
  <c r="U53" i="4"/>
  <c r="N27" i="4"/>
  <c r="M27" i="4"/>
  <c r="U27" i="4"/>
  <c r="L27" i="4"/>
  <c r="O27" i="4"/>
  <c r="Q27" i="4" s="1"/>
  <c r="U75" i="4"/>
  <c r="L75" i="4"/>
  <c r="M75" i="4"/>
  <c r="N75" i="4"/>
  <c r="O75" i="4"/>
  <c r="Q75" i="4" s="1"/>
  <c r="U39" i="4"/>
  <c r="L39" i="4"/>
  <c r="M39" i="4"/>
  <c r="O39" i="4"/>
  <c r="Q39" i="4" s="1"/>
  <c r="N39" i="4"/>
  <c r="U47" i="4"/>
  <c r="O47" i="4"/>
  <c r="Q47" i="4" s="1"/>
  <c r="M47" i="4"/>
  <c r="N47" i="4"/>
  <c r="L47" i="4"/>
  <c r="L65" i="4"/>
  <c r="M65" i="4"/>
  <c r="U65" i="4"/>
  <c r="O65" i="4"/>
  <c r="Q65" i="4" s="1"/>
  <c r="N65" i="4"/>
  <c r="U31" i="4"/>
  <c r="N31" i="4"/>
  <c r="L31" i="4"/>
  <c r="M31" i="4"/>
  <c r="O31" i="4"/>
  <c r="Q31" i="4" s="1"/>
  <c r="M21" i="4"/>
  <c r="O21" i="4"/>
  <c r="Q21" i="4" s="1"/>
  <c r="U21" i="4"/>
  <c r="L21" i="4"/>
  <c r="N21" i="4"/>
  <c r="L91" i="4"/>
  <c r="M91" i="4"/>
  <c r="O91" i="4"/>
  <c r="Q91" i="4" s="1"/>
  <c r="N91" i="4"/>
  <c r="U91" i="4"/>
  <c r="L11" i="4"/>
  <c r="U11" i="4"/>
  <c r="O11" i="4"/>
  <c r="Q11" i="4" s="1"/>
  <c r="N11" i="4"/>
  <c r="M11" i="4"/>
  <c r="O4" i="5"/>
  <c r="Q4" i="5" s="1"/>
  <c r="N4" i="5"/>
  <c r="K4" i="5"/>
  <c r="U4" i="5"/>
  <c r="M4" i="5"/>
  <c r="P4" i="5"/>
  <c r="L4" i="5"/>
  <c r="O43" i="3"/>
  <c r="Q43" i="3"/>
  <c r="M43" i="3"/>
  <c r="U43" i="3"/>
  <c r="L43" i="3"/>
  <c r="N43" i="3"/>
  <c r="K43" i="3"/>
  <c r="P43" i="3"/>
  <c r="L17" i="3"/>
  <c r="M17" i="3"/>
  <c r="K17" i="3"/>
  <c r="Q17" i="3"/>
  <c r="N17" i="3"/>
  <c r="O17" i="3"/>
  <c r="U17" i="3"/>
  <c r="P17" i="3"/>
  <c r="Q33" i="3"/>
  <c r="O33" i="3"/>
  <c r="P33" i="3"/>
  <c r="L33" i="3"/>
  <c r="K33" i="3"/>
  <c r="U33" i="3"/>
  <c r="M33" i="3"/>
  <c r="N33" i="3"/>
  <c r="M58" i="3"/>
  <c r="L58" i="3"/>
  <c r="N58" i="3"/>
  <c r="Q58" i="3"/>
  <c r="K58" i="3"/>
  <c r="U58" i="3"/>
  <c r="O58" i="3"/>
  <c r="P58" i="3"/>
  <c r="P23" i="3"/>
  <c r="U23" i="3"/>
  <c r="Q23" i="3"/>
  <c r="O23" i="3"/>
  <c r="K23" i="3"/>
  <c r="N23" i="3"/>
  <c r="M23" i="3"/>
  <c r="L23" i="3"/>
  <c r="P5" i="3"/>
  <c r="U5" i="3"/>
  <c r="L5" i="3"/>
  <c r="N5" i="3"/>
  <c r="K5" i="3"/>
  <c r="O5" i="3"/>
  <c r="Q5" i="3"/>
  <c r="M5" i="3"/>
  <c r="O67" i="3"/>
  <c r="U67" i="3"/>
  <c r="K67" i="3"/>
  <c r="N67" i="3"/>
  <c r="L67" i="3"/>
  <c r="Q67" i="3"/>
  <c r="P67" i="3"/>
  <c r="M67" i="3"/>
  <c r="O52" i="3"/>
  <c r="M52" i="3"/>
  <c r="P52" i="3"/>
  <c r="K52" i="3"/>
  <c r="Q52" i="3"/>
  <c r="U52" i="3"/>
  <c r="L52" i="3"/>
  <c r="N52" i="3"/>
  <c r="O27" i="3"/>
  <c r="M27" i="3"/>
  <c r="P27" i="3"/>
  <c r="Q27" i="3"/>
  <c r="K27" i="3"/>
  <c r="N27" i="3"/>
  <c r="L27" i="3"/>
  <c r="U27" i="3"/>
  <c r="L11" i="6"/>
  <c r="U11" i="6"/>
  <c r="R11" i="6"/>
  <c r="K11" i="6"/>
  <c r="P11" i="6"/>
  <c r="O11" i="6"/>
  <c r="T11" i="6"/>
  <c r="Q11" i="6"/>
  <c r="S11" i="6"/>
  <c r="N11" i="6"/>
  <c r="M11" i="6"/>
  <c r="P4" i="6"/>
  <c r="M4" i="6"/>
  <c r="Q4" i="6"/>
  <c r="K4" i="6"/>
  <c r="L4" i="6"/>
  <c r="N4" i="6"/>
  <c r="O4" i="6"/>
  <c r="U4" i="6"/>
  <c r="P3" i="6"/>
  <c r="U3" i="6"/>
  <c r="K3" i="6"/>
  <c r="N3" i="6"/>
  <c r="O3" i="6"/>
  <c r="Q3" i="6"/>
  <c r="L3" i="6"/>
  <c r="M3" i="6"/>
  <c r="O92" i="4"/>
  <c r="T92" i="4"/>
  <c r="S92" i="4"/>
  <c r="U92" i="4"/>
  <c r="R92" i="4"/>
  <c r="Y92" i="4"/>
  <c r="M92" i="4"/>
  <c r="Q92" i="4"/>
  <c r="Z92" i="4"/>
  <c r="L92" i="4"/>
  <c r="N92" i="4"/>
  <c r="Q79" i="4"/>
  <c r="S79" i="4"/>
  <c r="Z79" i="4"/>
  <c r="L79" i="4"/>
  <c r="O79" i="4"/>
  <c r="N79" i="4"/>
  <c r="Y79" i="4"/>
  <c r="T79" i="4"/>
  <c r="U79" i="4"/>
  <c r="M79" i="4"/>
  <c r="R79" i="4"/>
  <c r="Z93" i="4"/>
  <c r="Z94" i="4" s="1"/>
  <c r="Z95" i="4" s="1"/>
  <c r="Z96" i="4" s="1"/>
  <c r="Z97" i="4" s="1"/>
  <c r="Z98" i="4" s="1"/>
  <c r="Z99" i="4" s="1"/>
  <c r="Z100" i="4" s="1"/>
  <c r="Z101" i="4" s="1"/>
  <c r="Z102" i="4" s="1"/>
  <c r="N93" i="4"/>
  <c r="L93" i="4"/>
  <c r="M93" i="4"/>
  <c r="U93" i="4"/>
  <c r="O93" i="4"/>
  <c r="Q93" i="4" s="1"/>
  <c r="N63" i="4"/>
  <c r="M63" i="4"/>
  <c r="Y63" i="4"/>
  <c r="O63" i="4"/>
  <c r="Z63" i="4"/>
  <c r="Q63" i="4"/>
  <c r="S63" i="4"/>
  <c r="R63" i="4"/>
  <c r="T63" i="4"/>
  <c r="U63" i="4"/>
  <c r="L63" i="4"/>
  <c r="N4" i="4"/>
  <c r="U4" i="4"/>
  <c r="Z4" i="4"/>
  <c r="Z5" i="4" s="1"/>
  <c r="Z6" i="4" s="1"/>
  <c r="Z7" i="4" s="1"/>
  <c r="Z8" i="4" s="1"/>
  <c r="O4" i="4"/>
  <c r="Q4" i="4" s="1"/>
  <c r="M4" i="4"/>
  <c r="L4" i="4"/>
  <c r="M15" i="4"/>
  <c r="U15" i="4"/>
  <c r="Z15" i="4"/>
  <c r="Z16" i="4" s="1"/>
  <c r="Z17" i="4" s="1"/>
  <c r="Z18" i="4" s="1"/>
  <c r="O15" i="4"/>
  <c r="Q15" i="4" s="1"/>
  <c r="N15" i="4"/>
  <c r="L15" i="4"/>
  <c r="U80" i="4"/>
  <c r="Z80" i="4"/>
  <c r="Z81" i="4" s="1"/>
  <c r="Z82" i="4" s="1"/>
  <c r="N80" i="4"/>
  <c r="M80" i="4"/>
  <c r="O80" i="4"/>
  <c r="Q80" i="4" s="1"/>
  <c r="L80" i="4"/>
  <c r="O51" i="4"/>
  <c r="Q51" i="4"/>
  <c r="N51" i="4"/>
  <c r="T51" i="4"/>
  <c r="S51" i="4"/>
  <c r="Y51" i="4"/>
  <c r="M51" i="4"/>
  <c r="R51" i="4"/>
  <c r="U51" i="4"/>
  <c r="L51" i="4"/>
  <c r="Z51" i="4"/>
  <c r="O84" i="4"/>
  <c r="Q84" i="4" s="1"/>
  <c r="L84" i="4"/>
  <c r="U84" i="4"/>
  <c r="M84" i="4"/>
  <c r="Z84" i="4"/>
  <c r="Z85" i="4" s="1"/>
  <c r="Z86" i="4" s="1"/>
  <c r="Z87" i="4" s="1"/>
  <c r="Z88" i="4" s="1"/>
  <c r="N84" i="4"/>
  <c r="T24" i="4"/>
  <c r="Q24" i="4"/>
  <c r="U24" i="4"/>
  <c r="Y24" i="4"/>
  <c r="N24" i="4"/>
  <c r="L24" i="4"/>
  <c r="Z24" i="4"/>
  <c r="S24" i="4"/>
  <c r="M24" i="4"/>
  <c r="R24" i="4"/>
  <c r="O24" i="4"/>
  <c r="R9" i="4"/>
  <c r="Q9" i="4"/>
  <c r="S9" i="4"/>
  <c r="M9" i="4"/>
  <c r="L9" i="4"/>
  <c r="U9" i="4"/>
  <c r="O9" i="4"/>
  <c r="N9" i="4"/>
  <c r="T9" i="4"/>
  <c r="Z9" i="4"/>
  <c r="Y9" i="4"/>
  <c r="Q19" i="4"/>
  <c r="S19" i="4"/>
  <c r="Y19" i="4"/>
  <c r="N19" i="4"/>
  <c r="T19" i="4"/>
  <c r="L19" i="4"/>
  <c r="Z19" i="4"/>
  <c r="U19" i="4"/>
  <c r="R19" i="4"/>
  <c r="O19" i="4"/>
  <c r="M19" i="4"/>
  <c r="L52" i="4"/>
  <c r="U52" i="4"/>
  <c r="Z52" i="4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O52" i="4"/>
  <c r="Q52" i="4" s="1"/>
  <c r="N52" i="4"/>
  <c r="M52" i="4"/>
  <c r="N29" i="4"/>
  <c r="O29" i="4"/>
  <c r="S29" i="4"/>
  <c r="Y29" i="4"/>
  <c r="T29" i="4"/>
  <c r="Z29" i="4"/>
  <c r="L29" i="4"/>
  <c r="R29" i="4"/>
  <c r="Q29" i="4"/>
  <c r="U29" i="4"/>
  <c r="M29" i="4"/>
  <c r="N72" i="4"/>
  <c r="L72" i="4"/>
  <c r="Y72" i="4"/>
  <c r="R72" i="4"/>
  <c r="Z72" i="4"/>
  <c r="O72" i="4"/>
  <c r="M72" i="4"/>
  <c r="Q72" i="4"/>
  <c r="U72" i="4"/>
  <c r="S72" i="4"/>
  <c r="T72" i="4"/>
  <c r="S14" i="4"/>
  <c r="M14" i="4"/>
  <c r="Q14" i="4"/>
  <c r="T14" i="4"/>
  <c r="N14" i="4"/>
  <c r="L14" i="4"/>
  <c r="R14" i="4"/>
  <c r="O14" i="4"/>
  <c r="U14" i="4"/>
  <c r="Z14" i="4"/>
  <c r="Y14" i="4"/>
  <c r="L26" i="4"/>
  <c r="O26" i="4"/>
  <c r="Q26" i="4" s="1"/>
  <c r="U26" i="4"/>
  <c r="M26" i="4"/>
  <c r="N26" i="4"/>
  <c r="O74" i="4"/>
  <c r="Q74" i="4" s="1"/>
  <c r="L74" i="4"/>
  <c r="N74" i="4"/>
  <c r="M74" i="4"/>
  <c r="U74" i="4"/>
  <c r="M38" i="4"/>
  <c r="L38" i="4"/>
  <c r="O38" i="4"/>
  <c r="Q38" i="4" s="1"/>
  <c r="N38" i="4"/>
  <c r="U38" i="4"/>
  <c r="M46" i="4"/>
  <c r="L46" i="4"/>
  <c r="O46" i="4"/>
  <c r="Q46" i="4" s="1"/>
  <c r="U46" i="4"/>
  <c r="N46" i="4"/>
  <c r="L25" i="4"/>
  <c r="N25" i="4"/>
  <c r="M25" i="4"/>
  <c r="O25" i="4"/>
  <c r="Q25" i="4" s="1"/>
  <c r="Z25" i="4"/>
  <c r="Z26" i="4" s="1"/>
  <c r="Z27" i="4" s="1"/>
  <c r="Z28" i="4" s="1"/>
  <c r="U25" i="4"/>
  <c r="O64" i="4"/>
  <c r="Q64" i="4" s="1"/>
  <c r="Z64" i="4"/>
  <c r="Z65" i="4" s="1"/>
  <c r="Z66" i="4" s="1"/>
  <c r="Z67" i="4" s="1"/>
  <c r="Z68" i="4" s="1"/>
  <c r="Z69" i="4" s="1"/>
  <c r="Z70" i="4" s="1"/>
  <c r="Z71" i="4" s="1"/>
  <c r="U64" i="4"/>
  <c r="L64" i="4"/>
  <c r="N64" i="4"/>
  <c r="M64" i="4"/>
  <c r="O30" i="4"/>
  <c r="Q30" i="4" s="1"/>
  <c r="M30" i="4"/>
  <c r="Z30" i="4"/>
  <c r="Z31" i="4" s="1"/>
  <c r="Z32" i="4" s="1"/>
  <c r="Z33" i="4" s="1"/>
  <c r="Z34" i="4" s="1"/>
  <c r="Z35" i="4" s="1"/>
  <c r="U30" i="4"/>
  <c r="L30" i="4"/>
  <c r="N30" i="4"/>
  <c r="O20" i="4"/>
  <c r="Q20" i="4" s="1"/>
  <c r="U20" i="4"/>
  <c r="L20" i="4"/>
  <c r="Z20" i="4"/>
  <c r="Z21" i="4" s="1"/>
  <c r="Z22" i="4" s="1"/>
  <c r="Z23" i="4" s="1"/>
  <c r="M20" i="4"/>
  <c r="N20" i="4"/>
  <c r="O90" i="4"/>
  <c r="Q90" i="4" s="1"/>
  <c r="Z90" i="4"/>
  <c r="Z91" i="4" s="1"/>
  <c r="L90" i="4"/>
  <c r="M90" i="4"/>
  <c r="U90" i="4"/>
  <c r="N90" i="4"/>
  <c r="O36" i="4"/>
  <c r="Q36" i="4"/>
  <c r="Z36" i="4"/>
  <c r="S36" i="4"/>
  <c r="R36" i="4"/>
  <c r="Y36" i="4"/>
  <c r="N36" i="4"/>
  <c r="L36" i="4"/>
  <c r="M36" i="4"/>
  <c r="T36" i="4"/>
  <c r="U36" i="4"/>
  <c r="M73" i="4"/>
  <c r="Z73" i="4"/>
  <c r="Z74" i="4" s="1"/>
  <c r="Z75" i="4" s="1"/>
  <c r="Z76" i="4" s="1"/>
  <c r="Z77" i="4" s="1"/>
  <c r="Z78" i="4" s="1"/>
  <c r="N73" i="4"/>
  <c r="O73" i="4"/>
  <c r="Q73" i="4" s="1"/>
  <c r="U73" i="4"/>
  <c r="L73" i="4"/>
  <c r="N37" i="4"/>
  <c r="L37" i="4"/>
  <c r="U37" i="4"/>
  <c r="Z37" i="4"/>
  <c r="Z38" i="4" s="1"/>
  <c r="Z39" i="4" s="1"/>
  <c r="Z40" i="4" s="1"/>
  <c r="Z41" i="4" s="1"/>
  <c r="Z42" i="4" s="1"/>
  <c r="Z43" i="4" s="1"/>
  <c r="O37" i="4"/>
  <c r="Q37" i="4" s="1"/>
  <c r="M37" i="4"/>
  <c r="O10" i="4"/>
  <c r="Q10" i="4" s="1"/>
  <c r="M10" i="4"/>
  <c r="L10" i="4"/>
  <c r="Z10" i="4"/>
  <c r="Z11" i="4" s="1"/>
  <c r="Z12" i="4" s="1"/>
  <c r="Z13" i="4" s="1"/>
  <c r="N10" i="4"/>
  <c r="U10" i="4"/>
  <c r="Q83" i="4"/>
  <c r="T83" i="4"/>
  <c r="N83" i="4"/>
  <c r="L83" i="4"/>
  <c r="Y83" i="4"/>
  <c r="S83" i="4"/>
  <c r="O83" i="4"/>
  <c r="R83" i="4"/>
  <c r="M83" i="4"/>
  <c r="Z83" i="4"/>
  <c r="U83" i="4"/>
  <c r="L89" i="4"/>
  <c r="T89" i="4"/>
  <c r="M89" i="4"/>
  <c r="R89" i="4"/>
  <c r="S89" i="4"/>
  <c r="Q89" i="4"/>
  <c r="Y89" i="4"/>
  <c r="U89" i="4"/>
  <c r="N89" i="4"/>
  <c r="Z89" i="4"/>
  <c r="O89" i="4"/>
  <c r="Z44" i="4"/>
  <c r="U44" i="4"/>
  <c r="N44" i="4"/>
  <c r="M44" i="4"/>
  <c r="Y44" i="4"/>
  <c r="S44" i="4"/>
  <c r="O44" i="4"/>
  <c r="R44" i="4"/>
  <c r="T44" i="4"/>
  <c r="L44" i="4"/>
  <c r="Q44" i="4"/>
  <c r="L103" i="4"/>
  <c r="T103" i="4"/>
  <c r="S103" i="4"/>
  <c r="R103" i="4"/>
  <c r="O103" i="4"/>
  <c r="Y103" i="4"/>
  <c r="Q103" i="4"/>
  <c r="U103" i="4"/>
  <c r="N103" i="4"/>
  <c r="M103" i="4"/>
  <c r="Z103" i="4"/>
  <c r="M45" i="4"/>
  <c r="Z45" i="4"/>
  <c r="Z46" i="4" s="1"/>
  <c r="Z47" i="4" s="1"/>
  <c r="Z48" i="4" s="1"/>
  <c r="Z49" i="4" s="1"/>
  <c r="Z50" i="4" s="1"/>
  <c r="L45" i="4"/>
  <c r="O45" i="4"/>
  <c r="Q45" i="4" s="1"/>
  <c r="N45" i="4"/>
  <c r="U45" i="4"/>
  <c r="P3" i="5"/>
  <c r="K3" i="5"/>
  <c r="O3" i="5"/>
  <c r="Q3" i="5" s="1"/>
  <c r="U3" i="5"/>
  <c r="L3" i="5"/>
  <c r="M3" i="5"/>
  <c r="N3" i="5"/>
  <c r="S5" i="5"/>
  <c r="P5" i="5"/>
  <c r="L5" i="5"/>
  <c r="M5" i="5"/>
  <c r="O5" i="5"/>
  <c r="K5" i="5"/>
  <c r="T5" i="5"/>
  <c r="Q5" i="5"/>
  <c r="N5" i="5"/>
  <c r="U5" i="5"/>
  <c r="R5" i="5"/>
  <c r="R4" i="8"/>
  <c r="K4" i="8"/>
  <c r="T4" i="8"/>
  <c r="S4" i="8"/>
  <c r="N4" i="8"/>
  <c r="M4" i="8"/>
  <c r="P4" i="8"/>
  <c r="L4" i="8"/>
  <c r="U4" i="8"/>
  <c r="O4" i="8"/>
  <c r="Q4" i="8"/>
  <c r="K3" i="8"/>
  <c r="P3" i="8"/>
  <c r="M3" i="8"/>
  <c r="O3" i="8"/>
  <c r="Q3" i="8" s="1"/>
  <c r="U3" i="8"/>
  <c r="N3" i="8"/>
  <c r="L3" i="8"/>
  <c r="O42" i="3"/>
  <c r="M42" i="3"/>
  <c r="N42" i="3"/>
  <c r="P42" i="3"/>
  <c r="Q42" i="3"/>
  <c r="U42" i="3"/>
  <c r="L42" i="3"/>
  <c r="K42" i="3"/>
  <c r="O31" i="3"/>
  <c r="M31" i="3"/>
  <c r="K31" i="3"/>
  <c r="Q31" i="3"/>
  <c r="L31" i="3"/>
  <c r="S31" i="3"/>
  <c r="R31" i="3"/>
  <c r="N31" i="3"/>
  <c r="P31" i="3"/>
  <c r="T31" i="3"/>
  <c r="U31" i="3"/>
  <c r="K72" i="3"/>
  <c r="O72" i="3"/>
  <c r="R72" i="3"/>
  <c r="M72" i="3"/>
  <c r="Q72" i="3"/>
  <c r="P72" i="3"/>
  <c r="N72" i="3"/>
  <c r="U72" i="3"/>
  <c r="L72" i="3"/>
  <c r="S72" i="3"/>
  <c r="T72" i="3"/>
  <c r="U16" i="3"/>
  <c r="K16" i="3"/>
  <c r="L16" i="3"/>
  <c r="P16" i="3"/>
  <c r="N16" i="3"/>
  <c r="O16" i="3"/>
  <c r="Q16" i="3"/>
  <c r="M16" i="3"/>
  <c r="N14" i="3"/>
  <c r="Q14" i="3"/>
  <c r="L14" i="3"/>
  <c r="M14" i="3"/>
  <c r="K14" i="3"/>
  <c r="O14" i="3"/>
  <c r="U14" i="3"/>
  <c r="P14" i="3"/>
  <c r="O50" i="3"/>
  <c r="M50" i="3"/>
  <c r="K50" i="3"/>
  <c r="P50" i="3"/>
  <c r="U50" i="3"/>
  <c r="L50" i="3"/>
  <c r="R50" i="3"/>
  <c r="T50" i="3"/>
  <c r="N50" i="3"/>
  <c r="Q50" i="3"/>
  <c r="S50" i="3"/>
  <c r="P65" i="3"/>
  <c r="Q65" i="3"/>
  <c r="T65" i="3"/>
  <c r="O65" i="3"/>
  <c r="L65" i="3"/>
  <c r="U65" i="3"/>
  <c r="S65" i="3"/>
  <c r="K65" i="3"/>
  <c r="M65" i="3"/>
  <c r="N65" i="3"/>
  <c r="R65" i="3"/>
  <c r="U32" i="3"/>
  <c r="N32" i="3"/>
  <c r="Q32" i="3"/>
  <c r="O32" i="3"/>
  <c r="P32" i="3"/>
  <c r="M32" i="3"/>
  <c r="L32" i="3"/>
  <c r="K32" i="3"/>
  <c r="M13" i="3"/>
  <c r="S13" i="3"/>
  <c r="U13" i="3"/>
  <c r="N13" i="3"/>
  <c r="P13" i="3"/>
  <c r="Q13" i="3"/>
  <c r="L13" i="3"/>
  <c r="R13" i="3"/>
  <c r="O13" i="3"/>
  <c r="K13" i="3"/>
  <c r="T13" i="3"/>
  <c r="U57" i="3"/>
  <c r="N57" i="3"/>
  <c r="Q57" i="3"/>
  <c r="M57" i="3"/>
  <c r="L57" i="3"/>
  <c r="K57" i="3"/>
  <c r="O57" i="3"/>
  <c r="P57" i="3"/>
  <c r="U22" i="3"/>
  <c r="K22" i="3"/>
  <c r="M22" i="3"/>
  <c r="Q22" i="3"/>
  <c r="O22" i="3"/>
  <c r="L22" i="3"/>
  <c r="P22" i="3"/>
  <c r="N22" i="3"/>
  <c r="P55" i="3"/>
  <c r="L55" i="3"/>
  <c r="R55" i="3"/>
  <c r="O55" i="3"/>
  <c r="K55" i="3"/>
  <c r="M55" i="3"/>
  <c r="T55" i="3"/>
  <c r="S55" i="3"/>
  <c r="U55" i="3"/>
  <c r="Q55" i="3"/>
  <c r="N55" i="3"/>
  <c r="Q15" i="3"/>
  <c r="L15" i="3"/>
  <c r="N15" i="3"/>
  <c r="K15" i="3"/>
  <c r="R15" i="3"/>
  <c r="T15" i="3"/>
  <c r="M15" i="3"/>
  <c r="O15" i="3"/>
  <c r="P15" i="3"/>
  <c r="U15" i="3"/>
  <c r="S15" i="3"/>
  <c r="U41" i="3"/>
  <c r="M41" i="3"/>
  <c r="T41" i="3"/>
  <c r="R41" i="3"/>
  <c r="Q41" i="3"/>
  <c r="L41" i="3"/>
  <c r="S41" i="3"/>
  <c r="K41" i="3"/>
  <c r="N41" i="3"/>
  <c r="O41" i="3"/>
  <c r="P41" i="3"/>
  <c r="O4" i="3"/>
  <c r="Q4" i="3"/>
  <c r="N4" i="3"/>
  <c r="K4" i="3"/>
  <c r="U4" i="3"/>
  <c r="M4" i="3"/>
  <c r="P4" i="3"/>
  <c r="L4" i="3"/>
  <c r="O56" i="3"/>
  <c r="K56" i="3"/>
  <c r="Q56" i="3"/>
  <c r="P56" i="3"/>
  <c r="N56" i="3"/>
  <c r="M56" i="3"/>
  <c r="U56" i="3"/>
  <c r="L56" i="3"/>
  <c r="U66" i="3"/>
  <c r="L66" i="3"/>
  <c r="M66" i="3"/>
  <c r="Q66" i="3"/>
  <c r="N66" i="3"/>
  <c r="O66" i="3"/>
  <c r="K66" i="3"/>
  <c r="P66" i="3"/>
  <c r="M21" i="3"/>
  <c r="O21" i="3"/>
  <c r="N21" i="3"/>
  <c r="U21" i="3"/>
  <c r="P21" i="3"/>
  <c r="K21" i="3"/>
  <c r="Q21" i="3"/>
  <c r="L21" i="3"/>
  <c r="K51" i="3"/>
  <c r="P51" i="3"/>
  <c r="N51" i="3"/>
  <c r="L51" i="3"/>
  <c r="U51" i="3"/>
  <c r="Q51" i="3"/>
  <c r="M51" i="3"/>
  <c r="O51" i="3"/>
  <c r="M26" i="3"/>
  <c r="K26" i="3"/>
  <c r="N26" i="3"/>
  <c r="U26" i="3"/>
  <c r="P26" i="3"/>
  <c r="O26" i="3"/>
  <c r="Q26" i="3"/>
  <c r="L26" i="3"/>
  <c r="P20" i="3"/>
  <c r="U20" i="3"/>
  <c r="K20" i="3"/>
  <c r="O20" i="3"/>
  <c r="L20" i="3"/>
  <c r="S20" i="3"/>
  <c r="T20" i="3"/>
  <c r="R20" i="3"/>
  <c r="M20" i="3"/>
  <c r="Q20" i="3"/>
  <c r="N20" i="3"/>
  <c r="Q25" i="3"/>
  <c r="K25" i="3"/>
  <c r="L25" i="3"/>
  <c r="P25" i="3"/>
  <c r="U25" i="3"/>
  <c r="S25" i="3"/>
  <c r="T25" i="3"/>
  <c r="R25" i="3"/>
  <c r="M25" i="3"/>
  <c r="N25" i="3"/>
  <c r="O25" i="3"/>
  <c r="Q107" i="1"/>
  <c r="A107" i="1"/>
  <c r="C128" i="3"/>
  <c r="G128" i="3"/>
  <c r="D128" i="3"/>
  <c r="H128" i="3"/>
  <c r="I128" i="3"/>
  <c r="H146" i="3"/>
  <c r="C146" i="3"/>
  <c r="D146" i="3"/>
  <c r="G146" i="3"/>
  <c r="I146" i="3"/>
  <c r="A100" i="1"/>
  <c r="Q100" i="1"/>
  <c r="Q18" i="1"/>
  <c r="Q121" i="1"/>
  <c r="A121" i="1"/>
  <c r="C191" i="3"/>
  <c r="I191" i="3"/>
  <c r="G191" i="3"/>
  <c r="H191" i="3"/>
  <c r="D191" i="3"/>
  <c r="Q31" i="1"/>
  <c r="G225" i="3"/>
  <c r="I225" i="3"/>
  <c r="C225" i="3"/>
  <c r="H225" i="3"/>
  <c r="D225" i="3"/>
  <c r="A110" i="1"/>
  <c r="Q110" i="1"/>
  <c r="Q71" i="1"/>
  <c r="I218" i="4"/>
  <c r="G218" i="4"/>
  <c r="D218" i="4"/>
  <c r="C218" i="4"/>
  <c r="H218" i="4"/>
  <c r="I218" i="3"/>
  <c r="H218" i="3"/>
  <c r="G218" i="3"/>
  <c r="C218" i="3"/>
  <c r="D218" i="3"/>
  <c r="Q35" i="1"/>
  <c r="H73" i="3"/>
  <c r="I73" i="3"/>
  <c r="C73" i="3"/>
  <c r="G73" i="3"/>
  <c r="D73" i="3"/>
  <c r="C181" i="4"/>
  <c r="H181" i="4"/>
  <c r="D181" i="4"/>
  <c r="I181" i="4"/>
  <c r="G181" i="4"/>
  <c r="Q39" i="1"/>
  <c r="Q112" i="1"/>
  <c r="A112" i="1"/>
  <c r="Q33" i="1"/>
  <c r="Q88" i="1"/>
  <c r="A88" i="1"/>
  <c r="Q62" i="1"/>
  <c r="Q118" i="1"/>
  <c r="A118" i="1"/>
  <c r="A115" i="1"/>
  <c r="Q115" i="1"/>
  <c r="Q85" i="1"/>
  <c r="A85" i="1"/>
  <c r="A103" i="1"/>
  <c r="Q103" i="1"/>
  <c r="C106" i="3"/>
  <c r="I106" i="3"/>
  <c r="D106" i="3"/>
  <c r="H106" i="3"/>
  <c r="G106" i="3"/>
  <c r="A80" i="1"/>
  <c r="Q80" i="1"/>
  <c r="Q26" i="1"/>
  <c r="C210" i="4"/>
  <c r="I210" i="4"/>
  <c r="H210" i="4"/>
  <c r="G210" i="4"/>
  <c r="D210" i="4"/>
  <c r="A113" i="1"/>
  <c r="Q113" i="1"/>
  <c r="Q74" i="1"/>
  <c r="C161" i="3"/>
  <c r="H161" i="3"/>
  <c r="D161" i="3"/>
  <c r="I161" i="3"/>
  <c r="G161" i="3"/>
  <c r="A37" i="1"/>
  <c r="Q37" i="1"/>
  <c r="G85" i="3"/>
  <c r="H85" i="3"/>
  <c r="C85" i="3"/>
  <c r="I85" i="3"/>
  <c r="D85" i="3"/>
  <c r="Q32" i="1"/>
  <c r="H193" i="3"/>
  <c r="G193" i="3"/>
  <c r="D193" i="3"/>
  <c r="C193" i="3"/>
  <c r="I193" i="3"/>
  <c r="A116" i="1"/>
  <c r="Q116" i="1"/>
  <c r="Q64" i="1"/>
  <c r="I166" i="4"/>
  <c r="G166" i="4"/>
  <c r="H166" i="4"/>
  <c r="C166" i="4"/>
  <c r="D166" i="4"/>
  <c r="Q58" i="1"/>
  <c r="Q27" i="1"/>
  <c r="H172" i="3"/>
  <c r="C172" i="3"/>
  <c r="D172" i="3"/>
  <c r="G172" i="3"/>
  <c r="I172" i="3"/>
  <c r="Q98" i="1"/>
  <c r="A98" i="1"/>
  <c r="A106" i="1"/>
  <c r="Q106" i="1"/>
  <c r="I5" i="8"/>
  <c r="H5" i="8"/>
  <c r="G5" i="8"/>
  <c r="C5" i="8"/>
  <c r="D5" i="8"/>
  <c r="H97" i="3"/>
  <c r="C97" i="3"/>
  <c r="D97" i="3"/>
  <c r="G97" i="3"/>
  <c r="I97" i="3"/>
  <c r="Q16" i="1"/>
  <c r="A127" i="1"/>
  <c r="Q127" i="1"/>
  <c r="Q90" i="1"/>
  <c r="A90" i="1"/>
  <c r="G179" i="3"/>
  <c r="I179" i="3"/>
  <c r="C179" i="3"/>
  <c r="H179" i="3"/>
  <c r="D179" i="3"/>
  <c r="A87" i="1"/>
  <c r="Q87" i="1"/>
  <c r="A128" i="1"/>
  <c r="Q128" i="1"/>
  <c r="C124" i="4"/>
  <c r="H124" i="4"/>
  <c r="I124" i="4"/>
  <c r="G124" i="4"/>
  <c r="D124" i="4"/>
  <c r="A132" i="1"/>
  <c r="Q132" i="1"/>
  <c r="C104" i="4"/>
  <c r="I104" i="4"/>
  <c r="D104" i="4"/>
  <c r="G104" i="4"/>
  <c r="H104" i="4"/>
  <c r="A89" i="1"/>
  <c r="Q89" i="1"/>
  <c r="Q125" i="1"/>
  <c r="A125" i="1"/>
  <c r="H157" i="3"/>
  <c r="C157" i="3"/>
  <c r="D157" i="3"/>
  <c r="I157" i="3"/>
  <c r="G157" i="3"/>
  <c r="Q67" i="1"/>
  <c r="Q86" i="1"/>
  <c r="A86" i="1"/>
  <c r="C174" i="3"/>
  <c r="H174" i="3"/>
  <c r="D174" i="3"/>
  <c r="G174" i="3"/>
  <c r="I174" i="3"/>
  <c r="G206" i="3"/>
  <c r="C206" i="3"/>
  <c r="D206" i="3"/>
  <c r="H206" i="3"/>
  <c r="I206" i="3"/>
  <c r="Q25" i="1"/>
  <c r="A3" i="1"/>
  <c r="Q3" i="1"/>
  <c r="Q21" i="1"/>
  <c r="Q83" i="1"/>
  <c r="Q120" i="1"/>
  <c r="A120" i="1"/>
  <c r="G6" i="5"/>
  <c r="H6" i="5"/>
  <c r="C6" i="5"/>
  <c r="I6" i="5"/>
  <c r="D6" i="5"/>
  <c r="Q34" i="1"/>
  <c r="A102" i="1"/>
  <c r="Q102" i="1"/>
  <c r="H165" i="3"/>
  <c r="G165" i="3"/>
  <c r="C165" i="3"/>
  <c r="I165" i="3"/>
  <c r="D165" i="3"/>
  <c r="A111" i="1"/>
  <c r="Q111" i="1"/>
  <c r="C133" i="3"/>
  <c r="I133" i="3"/>
  <c r="G133" i="3"/>
  <c r="H133" i="3"/>
  <c r="D133" i="3"/>
  <c r="Q91" i="1"/>
  <c r="A91" i="1"/>
  <c r="Q65" i="1"/>
  <c r="G170" i="4"/>
  <c r="I170" i="4"/>
  <c r="D170" i="4"/>
  <c r="H170" i="4"/>
  <c r="C170" i="4"/>
  <c r="A101" i="1"/>
  <c r="Q101" i="1"/>
  <c r="Q96" i="1"/>
  <c r="A96" i="1"/>
  <c r="G3" i="10"/>
  <c r="C3" i="10"/>
  <c r="H3" i="10"/>
  <c r="I3" i="10"/>
  <c r="D3" i="10"/>
  <c r="Q81" i="1"/>
  <c r="I201" i="4"/>
  <c r="H201" i="4"/>
  <c r="G201" i="4"/>
  <c r="C201" i="4"/>
  <c r="D201" i="4"/>
  <c r="Q69" i="1"/>
  <c r="Q20" i="1"/>
  <c r="Q104" i="1"/>
  <c r="A104" i="1"/>
  <c r="Q22" i="1"/>
  <c r="Q124" i="1"/>
  <c r="A124" i="1"/>
  <c r="C112" i="3"/>
  <c r="H112" i="3"/>
  <c r="G112" i="3"/>
  <c r="I112" i="3"/>
  <c r="D112" i="3"/>
  <c r="Q129" i="1"/>
  <c r="A129" i="1"/>
  <c r="A131" i="1"/>
  <c r="Q131" i="1"/>
  <c r="Q109" i="1"/>
  <c r="A109" i="1"/>
  <c r="H183" i="3"/>
  <c r="G183" i="3"/>
  <c r="D183" i="3"/>
  <c r="C183" i="3"/>
  <c r="I183" i="3"/>
  <c r="Q30" i="1"/>
  <c r="A119" i="1"/>
  <c r="Q119" i="1"/>
  <c r="Q36" i="1"/>
  <c r="Q75" i="1"/>
  <c r="A75" i="1"/>
  <c r="A123" i="1"/>
  <c r="Q123" i="1"/>
  <c r="Q41" i="1"/>
  <c r="A41" i="1"/>
  <c r="A114" i="1"/>
  <c r="Q114" i="1"/>
  <c r="Q14" i="1"/>
  <c r="Q66" i="1"/>
  <c r="A130" i="1"/>
  <c r="Q130" i="1"/>
  <c r="C134" i="4"/>
  <c r="I134" i="4"/>
  <c r="G134" i="4"/>
  <c r="H134" i="4"/>
  <c r="D134" i="4"/>
  <c r="Q60" i="1"/>
  <c r="I12" i="6"/>
  <c r="G12" i="6"/>
  <c r="D12" i="6"/>
  <c r="C12" i="6"/>
  <c r="H12" i="6"/>
  <c r="G195" i="3"/>
  <c r="H195" i="3"/>
  <c r="I195" i="3"/>
  <c r="C195" i="3"/>
  <c r="D195" i="3"/>
  <c r="Q105" i="1"/>
  <c r="A105" i="1"/>
  <c r="H149" i="4"/>
  <c r="C149" i="4"/>
  <c r="G149" i="4"/>
  <c r="I149" i="4"/>
  <c r="D149" i="4"/>
  <c r="Q99" i="1"/>
  <c r="A99" i="1"/>
  <c r="I155" i="4"/>
  <c r="H155" i="4"/>
  <c r="G155" i="4"/>
  <c r="C155" i="4"/>
  <c r="D155" i="4"/>
  <c r="Q63" i="1"/>
  <c r="Q72" i="1"/>
  <c r="C223" i="4"/>
  <c r="G223" i="4"/>
  <c r="H223" i="4"/>
  <c r="I223" i="4"/>
  <c r="D223" i="4"/>
  <c r="Q92" i="1"/>
  <c r="A92" i="1"/>
  <c r="Q17" i="1"/>
  <c r="H168" i="3"/>
  <c r="G168" i="3"/>
  <c r="C168" i="3"/>
  <c r="I168" i="3"/>
  <c r="D168" i="3"/>
  <c r="Q70" i="1"/>
  <c r="H3" i="7"/>
  <c r="C3" i="7"/>
  <c r="D3" i="7"/>
  <c r="I3" i="7"/>
  <c r="G3" i="7"/>
  <c r="Q24" i="1"/>
  <c r="G14" i="6"/>
  <c r="H14" i="6"/>
  <c r="C14" i="6"/>
  <c r="I14" i="6"/>
  <c r="D14" i="6"/>
  <c r="Q40" i="1"/>
  <c r="Q117" i="1"/>
  <c r="A117" i="1"/>
  <c r="Q15" i="1"/>
  <c r="Q78" i="1"/>
  <c r="A78" i="1"/>
  <c r="A93" i="1"/>
  <c r="Q93" i="1"/>
  <c r="Q108" i="1"/>
  <c r="A108" i="1"/>
  <c r="Q19" i="1"/>
  <c r="H120" i="3"/>
  <c r="C120" i="3"/>
  <c r="D120" i="3"/>
  <c r="I120" i="3"/>
  <c r="G120" i="3"/>
  <c r="C115" i="4"/>
  <c r="I115" i="4"/>
  <c r="D115" i="4"/>
  <c r="G115" i="4"/>
  <c r="H115" i="4"/>
  <c r="A126" i="1"/>
  <c r="Q126" i="1"/>
  <c r="Q122" i="1"/>
  <c r="A122" i="1"/>
  <c r="Q77" i="1"/>
  <c r="A94" i="1"/>
  <c r="Q94" i="1"/>
  <c r="Q61" i="1"/>
  <c r="I144" i="4"/>
  <c r="C144" i="4"/>
  <c r="D144" i="4"/>
  <c r="G144" i="4"/>
  <c r="H144" i="4"/>
  <c r="A82" i="1"/>
  <c r="Q82" i="1"/>
  <c r="Q68" i="1"/>
  <c r="G197" i="4"/>
  <c r="I197" i="4"/>
  <c r="D197" i="4"/>
  <c r="H197" i="4"/>
  <c r="C197" i="4"/>
  <c r="Q29" i="1"/>
  <c r="Q59" i="1"/>
  <c r="Q57" i="1"/>
  <c r="Q23" i="1"/>
  <c r="A95" i="1"/>
  <c r="Q95" i="1"/>
  <c r="I192" i="4"/>
  <c r="G192" i="4"/>
  <c r="D192" i="4"/>
  <c r="H192" i="4"/>
  <c r="C192" i="4"/>
  <c r="Q73" i="1"/>
  <c r="A73" i="1"/>
  <c r="Q97" i="1"/>
  <c r="A97" i="1"/>
  <c r="Q28" i="1"/>
  <c r="A84" i="1"/>
  <c r="Q84" i="1"/>
  <c r="T61" i="4"/>
  <c r="T101" i="4"/>
  <c r="T60" i="4"/>
  <c r="T100" i="4"/>
  <c r="T59" i="4"/>
  <c r="T71" i="4"/>
  <c r="T99" i="4"/>
  <c r="T58" i="4"/>
  <c r="T70" i="4"/>
  <c r="T98" i="4"/>
  <c r="T57" i="4"/>
  <c r="T43" i="4"/>
  <c r="T69" i="4"/>
  <c r="T35" i="4"/>
  <c r="T8" i="6"/>
  <c r="T56" i="4"/>
  <c r="T78" i="4"/>
  <c r="T42" i="4"/>
  <c r="T50" i="4"/>
  <c r="T68" i="4"/>
  <c r="T34" i="4"/>
  <c r="T96" i="4"/>
  <c r="T7" i="4"/>
  <c r="T18" i="4"/>
  <c r="T13" i="4"/>
  <c r="T45" i="3"/>
  <c r="T19" i="3"/>
  <c r="T35" i="3"/>
  <c r="T60" i="3"/>
  <c r="T7" i="3"/>
  <c r="T69" i="3"/>
  <c r="T54" i="3"/>
  <c r="T29" i="3"/>
  <c r="T6" i="6"/>
  <c r="T76" i="4"/>
  <c r="T40" i="4"/>
  <c r="T48" i="4"/>
  <c r="T66" i="4"/>
  <c r="T32" i="4"/>
  <c r="T22" i="4"/>
  <c r="T12" i="4"/>
  <c r="T94" i="4"/>
  <c r="T5" i="4"/>
  <c r="T16" i="4"/>
  <c r="T81" i="4"/>
  <c r="T85" i="4"/>
  <c r="T53" i="4"/>
  <c r="T27" i="4"/>
  <c r="T75" i="4"/>
  <c r="T39" i="4"/>
  <c r="T47" i="4"/>
  <c r="T65" i="4"/>
  <c r="T31" i="4"/>
  <c r="T21" i="4"/>
  <c r="T91" i="4"/>
  <c r="T11" i="4"/>
  <c r="T4" i="5"/>
  <c r="T43" i="3"/>
  <c r="T17" i="3"/>
  <c r="T33" i="3"/>
  <c r="T58" i="3"/>
  <c r="T23" i="3"/>
  <c r="T5" i="3"/>
  <c r="T67" i="3"/>
  <c r="T52" i="3"/>
  <c r="T27" i="3"/>
  <c r="T4" i="4"/>
  <c r="T80" i="4"/>
  <c r="T52" i="4"/>
  <c r="T26" i="4"/>
  <c r="T74" i="4"/>
  <c r="T38" i="4"/>
  <c r="T46" i="4"/>
  <c r="T64" i="4"/>
  <c r="T20" i="4"/>
  <c r="T73" i="4"/>
  <c r="T10" i="4"/>
  <c r="T3" i="8"/>
  <c r="T57" i="3"/>
  <c r="T22" i="3"/>
  <c r="A18" i="1"/>
  <c r="A71" i="1"/>
  <c r="A35" i="1"/>
  <c r="A39" i="1"/>
  <c r="A33" i="1"/>
  <c r="A62" i="1"/>
  <c r="A74" i="1"/>
  <c r="A32" i="1"/>
  <c r="A58" i="1"/>
  <c r="A27" i="1"/>
  <c r="E5" i="8"/>
  <c r="E306" i="4"/>
  <c r="E268" i="4"/>
  <c r="E237" i="4"/>
  <c r="E236" i="4"/>
  <c r="E363" i="4"/>
  <c r="E255" i="4"/>
  <c r="E218" i="4"/>
  <c r="E278" i="4"/>
  <c r="E234" i="4"/>
  <c r="E308" i="4"/>
  <c r="E343" i="4"/>
  <c r="E319" i="4"/>
  <c r="E301" i="4"/>
  <c r="E252" i="4"/>
  <c r="E223" i="4"/>
  <c r="E251" i="4"/>
  <c r="E305" i="4"/>
  <c r="E282" i="4"/>
  <c r="E362" i="4"/>
  <c r="E259" i="4"/>
  <c r="E277" i="4"/>
  <c r="E257" i="4"/>
  <c r="E232" i="4"/>
  <c r="E260" i="4"/>
  <c r="E200" i="4"/>
  <c r="E350" i="4"/>
  <c r="E294" i="4"/>
  <c r="E254" i="4"/>
  <c r="E283" i="4"/>
  <c r="E246" i="4"/>
  <c r="E290" i="4"/>
  <c r="E245" i="4"/>
  <c r="E222" i="4"/>
  <c r="E374" i="4"/>
  <c r="E360" i="4"/>
  <c r="E228" i="4"/>
  <c r="E372" i="4"/>
  <c r="E300" i="4"/>
  <c r="E143" i="4"/>
  <c r="E356" i="4"/>
  <c r="E165" i="4"/>
  <c r="E348" i="4"/>
  <c r="E303" i="4"/>
  <c r="E230" i="4"/>
  <c r="E342" i="4"/>
  <c r="E334" i="4"/>
  <c r="E244" i="4"/>
  <c r="E115" i="4"/>
  <c r="E292" i="4"/>
  <c r="E339" i="4"/>
  <c r="E267" i="4"/>
  <c r="E233" i="4"/>
  <c r="E289" i="4"/>
  <c r="E295" i="4"/>
  <c r="E358" i="4"/>
  <c r="E325" i="4"/>
  <c r="E317" i="4"/>
  <c r="E181" i="4"/>
  <c r="E155" i="4"/>
  <c r="E328" i="4"/>
  <c r="E240" i="4"/>
  <c r="E275" i="4"/>
  <c r="E291" i="4"/>
  <c r="E371" i="4"/>
  <c r="E338" i="4"/>
  <c r="E286" i="4"/>
  <c r="E311" i="4"/>
  <c r="E326" i="4"/>
  <c r="E332" i="4"/>
  <c r="E373" i="4"/>
  <c r="E180" i="4"/>
  <c r="E276" i="4"/>
  <c r="E366" i="4"/>
  <c r="E288" i="4"/>
  <c r="E253" i="4"/>
  <c r="E333" i="4"/>
  <c r="E196" i="4"/>
  <c r="E324" i="4"/>
  <c r="E229" i="4"/>
  <c r="E365" i="4"/>
  <c r="E241" i="4"/>
  <c r="E279" i="4"/>
  <c r="E210" i="4"/>
  <c r="E340" i="4"/>
  <c r="E231" i="4"/>
  <c r="E351" i="4"/>
  <c r="E359" i="4"/>
  <c r="E274" i="4"/>
  <c r="E219" i="4"/>
  <c r="E224" i="4"/>
  <c r="E211" i="4"/>
  <c r="E212" i="4"/>
  <c r="E273" i="4"/>
  <c r="E114" i="4"/>
  <c r="E329" i="4"/>
  <c r="E309" i="4"/>
  <c r="E242" i="4"/>
  <c r="E191" i="4"/>
  <c r="E367" i="4"/>
  <c r="E266" i="4"/>
  <c r="E293" i="4"/>
  <c r="E318" i="4"/>
  <c r="E337" i="4"/>
  <c r="E354" i="4"/>
  <c r="E304" i="4"/>
  <c r="E258" i="4"/>
  <c r="E281" i="4"/>
  <c r="E166" i="4"/>
  <c r="E269" i="4"/>
  <c r="E322" i="4"/>
  <c r="E297" i="4"/>
  <c r="E239" i="4"/>
  <c r="E263" i="4"/>
  <c r="E247" i="4"/>
  <c r="E327" i="4"/>
  <c r="E370" i="4"/>
  <c r="E361" i="4"/>
  <c r="E310" i="4"/>
  <c r="E344" i="4"/>
  <c r="E170" i="4"/>
  <c r="E271" i="4"/>
  <c r="E249" i="4"/>
  <c r="E355" i="4"/>
  <c r="E154" i="4"/>
  <c r="E250" i="4"/>
  <c r="E347" i="4"/>
  <c r="E169" i="4"/>
  <c r="E330" i="4"/>
  <c r="E124" i="4"/>
  <c r="E357" i="4"/>
  <c r="E104" i="4"/>
  <c r="E272" i="4"/>
  <c r="E323" i="4"/>
  <c r="E264" i="4"/>
  <c r="E284" i="4"/>
  <c r="E364" i="4"/>
  <c r="E352" i="4"/>
  <c r="E265" i="4"/>
  <c r="E256" i="4"/>
  <c r="E349" i="4"/>
  <c r="E280" i="4"/>
  <c r="E201" i="4"/>
  <c r="E346" i="4"/>
  <c r="E125" i="4"/>
  <c r="E287" i="4"/>
  <c r="E312" i="4"/>
  <c r="E149" i="4"/>
  <c r="E296" i="4"/>
  <c r="E335" i="4"/>
  <c r="E209" i="4"/>
  <c r="E336" i="4"/>
  <c r="E243" i="4"/>
  <c r="E262" i="4"/>
  <c r="E133" i="4"/>
  <c r="E248" i="4"/>
  <c r="E341" i="4"/>
  <c r="E123" i="4"/>
  <c r="E307" i="4"/>
  <c r="E217" i="4"/>
  <c r="E285" i="4"/>
  <c r="E148" i="4"/>
  <c r="E302" i="4"/>
  <c r="E261" i="4"/>
  <c r="E235" i="4"/>
  <c r="E270" i="4"/>
  <c r="E315" i="4"/>
  <c r="E369" i="4"/>
  <c r="E368" i="4"/>
  <c r="E299" i="4"/>
  <c r="E192" i="4"/>
  <c r="E134" i="4"/>
  <c r="E314" i="4"/>
  <c r="E316" i="4"/>
  <c r="E238" i="4"/>
  <c r="E298" i="4"/>
  <c r="E144" i="4"/>
  <c r="E353" i="4"/>
  <c r="E331" i="4"/>
  <c r="E345" i="4"/>
  <c r="E197" i="4"/>
  <c r="E321" i="4"/>
  <c r="E320" i="4"/>
  <c r="E313" i="4"/>
  <c r="E167" i="4"/>
  <c r="E116" i="4"/>
  <c r="E182" i="4"/>
  <c r="E156" i="4"/>
  <c r="E193" i="4"/>
  <c r="E145" i="4"/>
  <c r="E198" i="4"/>
  <c r="E220" i="4"/>
  <c r="E225" i="4"/>
  <c r="E117" i="4"/>
  <c r="E183" i="4"/>
  <c r="E157" i="4"/>
  <c r="E194" i="4"/>
  <c r="E146" i="4"/>
  <c r="E199" i="4"/>
  <c r="E221" i="4"/>
  <c r="E118" i="4"/>
  <c r="E213" i="4"/>
  <c r="E119" i="4"/>
  <c r="E214" i="4"/>
  <c r="E120" i="4"/>
  <c r="E121" i="4"/>
  <c r="E226" i="4"/>
  <c r="E184" i="4"/>
  <c r="E158" i="4"/>
  <c r="E195" i="4"/>
  <c r="E147" i="4"/>
  <c r="E215" i="4"/>
  <c r="E122" i="4"/>
  <c r="E6" i="5"/>
  <c r="E13" i="5"/>
  <c r="E18" i="5"/>
  <c r="E7" i="5"/>
  <c r="E15" i="5"/>
  <c r="E21" i="5"/>
  <c r="E8" i="5"/>
  <c r="E16" i="5"/>
  <c r="E14" i="5"/>
  <c r="E12" i="5"/>
  <c r="E11" i="5"/>
  <c r="E19" i="5"/>
  <c r="E9" i="5"/>
  <c r="E22" i="5"/>
  <c r="E20" i="5"/>
  <c r="E10" i="5"/>
  <c r="E17" i="5"/>
  <c r="A69" i="1"/>
  <c r="A20" i="1"/>
  <c r="A22" i="1"/>
  <c r="A30" i="1"/>
  <c r="A36" i="1"/>
  <c r="A14" i="1"/>
  <c r="A66" i="1"/>
  <c r="E35" i="6"/>
  <c r="E26" i="6"/>
  <c r="E32" i="6"/>
  <c r="E34" i="6"/>
  <c r="E12" i="6"/>
  <c r="E20" i="6"/>
  <c r="E14" i="6"/>
  <c r="E27" i="6"/>
  <c r="E22" i="6"/>
  <c r="E18" i="6"/>
  <c r="E31" i="6"/>
  <c r="E29" i="6"/>
  <c r="E23" i="6"/>
  <c r="E38" i="6"/>
  <c r="E39" i="6"/>
  <c r="E33" i="6"/>
  <c r="E30" i="6"/>
  <c r="E25" i="6"/>
  <c r="E19" i="6"/>
  <c r="E28" i="6"/>
  <c r="E21" i="6"/>
  <c r="E40" i="6"/>
  <c r="E24" i="6"/>
  <c r="E13" i="6"/>
  <c r="E36" i="6"/>
  <c r="E37" i="6"/>
  <c r="E15" i="6"/>
  <c r="A17" i="1"/>
  <c r="E3" i="7"/>
  <c r="E17" i="7"/>
  <c r="E9" i="7"/>
  <c r="E15" i="7"/>
  <c r="E6" i="7"/>
  <c r="E21" i="7"/>
  <c r="E7" i="7"/>
  <c r="E19" i="7"/>
  <c r="E14" i="7"/>
  <c r="E8" i="7"/>
  <c r="E13" i="7"/>
  <c r="E18" i="7"/>
  <c r="E10" i="7"/>
  <c r="E20" i="7"/>
  <c r="E11" i="7"/>
  <c r="E16" i="7"/>
  <c r="E12" i="7"/>
  <c r="A24" i="1"/>
  <c r="A68" i="1"/>
  <c r="A28" i="1"/>
  <c r="T62" i="4"/>
  <c r="T102" i="4"/>
  <c r="T40" i="3"/>
  <c r="T12" i="3"/>
  <c r="T49" i="3"/>
  <c r="T39" i="3"/>
  <c r="T64" i="3"/>
  <c r="T11" i="3"/>
  <c r="T10" i="6"/>
  <c r="T48" i="3"/>
  <c r="T38" i="3"/>
  <c r="T63" i="3"/>
  <c r="T10" i="3"/>
  <c r="T9" i="6"/>
  <c r="T47" i="3"/>
  <c r="T37" i="3"/>
  <c r="T62" i="3"/>
  <c r="T9" i="3"/>
  <c r="T71" i="3"/>
  <c r="T97" i="4"/>
  <c r="T8" i="4"/>
  <c r="T88" i="4"/>
  <c r="T46" i="3"/>
  <c r="T36" i="3"/>
  <c r="T61" i="3"/>
  <c r="T8" i="3"/>
  <c r="T70" i="3"/>
  <c r="T30" i="3"/>
  <c r="T7" i="6"/>
  <c r="T87" i="4"/>
  <c r="T55" i="4"/>
  <c r="T77" i="4"/>
  <c r="T41" i="4"/>
  <c r="T49" i="4"/>
  <c r="T67" i="4"/>
  <c r="T33" i="4"/>
  <c r="T23" i="4"/>
  <c r="T95" i="4"/>
  <c r="T6" i="4"/>
  <c r="T17" i="4"/>
  <c r="T82" i="4"/>
  <c r="T86" i="4"/>
  <c r="T54" i="4"/>
  <c r="T28" i="4"/>
  <c r="T44" i="3"/>
  <c r="T18" i="3"/>
  <c r="T34" i="3"/>
  <c r="T59" i="3"/>
  <c r="T24" i="3"/>
  <c r="T6" i="3"/>
  <c r="T68" i="3"/>
  <c r="T53" i="3"/>
  <c r="T28" i="3"/>
  <c r="T5" i="6"/>
  <c r="T4" i="6"/>
  <c r="T3" i="6"/>
  <c r="T93" i="4"/>
  <c r="T15" i="4"/>
  <c r="T84" i="4"/>
  <c r="T25" i="4"/>
  <c r="T30" i="4"/>
  <c r="T90" i="4"/>
  <c r="T37" i="4"/>
  <c r="T45" i="4"/>
  <c r="T3" i="5"/>
  <c r="T42" i="3"/>
  <c r="T16" i="3"/>
  <c r="T14" i="3"/>
  <c r="T32" i="3"/>
  <c r="T4" i="3"/>
  <c r="T56" i="3"/>
  <c r="T66" i="3"/>
  <c r="T21" i="3"/>
  <c r="T51" i="3"/>
  <c r="T26" i="3"/>
  <c r="E191" i="3"/>
  <c r="E342" i="3"/>
  <c r="E206" i="3"/>
  <c r="E449" i="3"/>
  <c r="E577" i="3"/>
  <c r="E324" i="3"/>
  <c r="E485" i="3"/>
  <c r="E318" i="3"/>
  <c r="E305" i="3"/>
  <c r="E545" i="3"/>
  <c r="E345" i="3"/>
  <c r="E568" i="3"/>
  <c r="E394" i="3"/>
  <c r="E242" i="3"/>
  <c r="E511" i="3"/>
  <c r="E310" i="3"/>
  <c r="E339" i="3"/>
  <c r="E274" i="3"/>
  <c r="E481" i="3"/>
  <c r="E503" i="3"/>
  <c r="E320" i="3"/>
  <c r="E253" i="3"/>
  <c r="E542" i="3"/>
  <c r="E492" i="3"/>
  <c r="E322" i="3"/>
  <c r="E284" i="3"/>
  <c r="E560" i="3"/>
  <c r="E328" i="3"/>
  <c r="E417" i="3"/>
  <c r="E167" i="3"/>
  <c r="E428" i="3"/>
  <c r="E392" i="3"/>
  <c r="E388" i="3"/>
  <c r="E289" i="3"/>
  <c r="E557" i="3"/>
  <c r="E343" i="3"/>
  <c r="E506" i="3"/>
  <c r="E371" i="3"/>
  <c r="E244" i="3"/>
  <c r="E128" i="3"/>
  <c r="E490" i="3"/>
  <c r="E374" i="3"/>
  <c r="E327" i="3"/>
  <c r="E561" i="3"/>
  <c r="E85" i="3"/>
  <c r="E207" i="3"/>
  <c r="E129" i="3"/>
  <c r="E358" i="3"/>
  <c r="E447" i="3"/>
  <c r="E325" i="3"/>
  <c r="E431" i="3"/>
  <c r="E437" i="3"/>
  <c r="E366" i="3"/>
  <c r="E432" i="3"/>
  <c r="E435" i="3"/>
  <c r="E251" i="3"/>
  <c r="E346" i="3"/>
  <c r="E412" i="3"/>
  <c r="E462" i="3"/>
  <c r="E367" i="3"/>
  <c r="E566" i="3"/>
  <c r="E536" i="3"/>
  <c r="E440" i="3"/>
  <c r="E350" i="3"/>
  <c r="E393" i="3"/>
  <c r="E391" i="3"/>
  <c r="E291" i="3"/>
  <c r="E527" i="3"/>
  <c r="E334" i="3"/>
  <c r="E403" i="3"/>
  <c r="E495" i="3"/>
  <c r="E224" i="3"/>
  <c r="E448" i="3"/>
  <c r="E258" i="3"/>
  <c r="E356" i="3"/>
  <c r="E508" i="3"/>
  <c r="E476" i="3"/>
  <c r="E446" i="3"/>
  <c r="E438" i="3"/>
  <c r="E390" i="3"/>
  <c r="E529" i="3"/>
  <c r="E321" i="3"/>
  <c r="E375" i="3"/>
  <c r="E396" i="3"/>
  <c r="E427" i="3"/>
  <c r="E459" i="3"/>
  <c r="E408" i="3"/>
  <c r="E501" i="3"/>
  <c r="E127" i="3"/>
  <c r="E572" i="3"/>
  <c r="E573" i="3"/>
  <c r="E553" i="3"/>
  <c r="E252" i="3"/>
  <c r="E472" i="3"/>
  <c r="E555" i="3"/>
  <c r="E160" i="3"/>
  <c r="E315" i="3"/>
  <c r="E230" i="3"/>
  <c r="E458" i="3"/>
  <c r="E423" i="3"/>
  <c r="E514" i="3"/>
  <c r="E522" i="3"/>
  <c r="E257" i="3"/>
  <c r="E357" i="3"/>
  <c r="E377" i="3"/>
  <c r="E436" i="3"/>
  <c r="E565" i="3"/>
  <c r="E434" i="3"/>
  <c r="E418" i="3"/>
  <c r="E466" i="3"/>
  <c r="E461" i="3"/>
  <c r="E288" i="3"/>
  <c r="E421" i="3"/>
  <c r="E482" i="3"/>
  <c r="E453" i="3"/>
  <c r="E228" i="3"/>
  <c r="E467" i="3"/>
  <c r="E517" i="3"/>
  <c r="E563" i="3"/>
  <c r="E551" i="3"/>
  <c r="E450" i="3"/>
  <c r="E477" i="3"/>
  <c r="E120" i="3"/>
  <c r="E369" i="3"/>
  <c r="E239" i="3"/>
  <c r="E171" i="3"/>
  <c r="E483" i="3"/>
  <c r="E564" i="3"/>
  <c r="E282" i="3"/>
  <c r="E430" i="3"/>
  <c r="E238" i="3"/>
  <c r="E335" i="3"/>
  <c r="E161" i="3"/>
  <c r="E395" i="3"/>
  <c r="E270" i="3"/>
  <c r="E419" i="3"/>
  <c r="E404" i="3"/>
  <c r="E234" i="3"/>
  <c r="E333" i="3"/>
  <c r="E469" i="3"/>
  <c r="E352" i="3"/>
  <c r="E372" i="3"/>
  <c r="E164" i="3"/>
  <c r="E444" i="3"/>
  <c r="E326" i="3"/>
  <c r="E558" i="3"/>
  <c r="E250" i="3"/>
  <c r="E262" i="3"/>
  <c r="E426" i="3"/>
  <c r="E165" i="3"/>
  <c r="E182" i="3"/>
  <c r="E378" i="3"/>
  <c r="E484" i="3"/>
  <c r="E385" i="3"/>
  <c r="E524" i="3"/>
  <c r="E286" i="3"/>
  <c r="E97" i="3"/>
  <c r="E349" i="3"/>
  <c r="E384" i="3"/>
  <c r="E471" i="3"/>
  <c r="E487" i="3"/>
  <c r="E382" i="3"/>
  <c r="E354" i="3"/>
  <c r="E336" i="3"/>
  <c r="E299" i="3"/>
  <c r="E275" i="3"/>
  <c r="E580" i="3"/>
  <c r="E387" i="3"/>
  <c r="E261" i="3"/>
  <c r="E296" i="3"/>
  <c r="E260" i="3"/>
  <c r="E376" i="3"/>
  <c r="E245" i="3"/>
  <c r="E329" i="3"/>
  <c r="E537" i="3"/>
  <c r="E283" i="3"/>
  <c r="E386" i="3"/>
  <c r="E575" i="3"/>
  <c r="E73" i="3"/>
  <c r="E226" i="3"/>
  <c r="E460" i="3"/>
  <c r="E546" i="3"/>
  <c r="E290" i="3"/>
  <c r="E156" i="3"/>
  <c r="E400" i="3"/>
  <c r="E488" i="3"/>
  <c r="E243" i="3"/>
  <c r="E383" i="3"/>
  <c r="E523" i="3"/>
  <c r="E195" i="3"/>
  <c r="E347" i="3"/>
  <c r="E463" i="3"/>
  <c r="E132" i="3"/>
  <c r="E157" i="3"/>
  <c r="E337" i="3"/>
  <c r="E402" i="3"/>
  <c r="E579" i="3"/>
  <c r="E526" i="3"/>
  <c r="E308" i="3"/>
  <c r="E96" i="3"/>
  <c r="E112" i="3"/>
  <c r="E411" i="3"/>
  <c r="E190" i="3"/>
  <c r="E162" i="3"/>
  <c r="E98" i="3"/>
  <c r="E196" i="3"/>
  <c r="E99" i="3"/>
  <c r="E197" i="3"/>
  <c r="E100" i="3"/>
  <c r="E198" i="3"/>
  <c r="E301" i="3"/>
  <c r="E519" i="3"/>
  <c r="E533" i="3"/>
  <c r="E562" i="3"/>
  <c r="E571" i="3"/>
  <c r="E348" i="3"/>
  <c r="E285" i="3"/>
  <c r="E574" i="3"/>
  <c r="E578" i="3"/>
  <c r="E399" i="3"/>
  <c r="E341" i="3"/>
  <c r="E298" i="3"/>
  <c r="E146" i="3"/>
  <c r="E513" i="3"/>
  <c r="E360" i="3"/>
  <c r="E269" i="3"/>
  <c r="E236" i="3"/>
  <c r="E294" i="3"/>
  <c r="E276" i="3"/>
  <c r="E468" i="3"/>
  <c r="E433" i="3"/>
  <c r="E280" i="3"/>
  <c r="E247" i="3"/>
  <c r="E297" i="3"/>
  <c r="E256" i="3"/>
  <c r="E502" i="3"/>
  <c r="E172" i="3"/>
  <c r="E183" i="3"/>
  <c r="E540" i="3"/>
  <c r="E525" i="3"/>
  <c r="E496" i="3"/>
  <c r="E319" i="3"/>
  <c r="E217" i="3"/>
  <c r="E332" i="3"/>
  <c r="E410" i="3"/>
  <c r="E248" i="3"/>
  <c r="E491" i="3"/>
  <c r="E218" i="3"/>
  <c r="E539" i="3"/>
  <c r="E273" i="3"/>
  <c r="E473" i="3"/>
  <c r="E405" i="3"/>
  <c r="E233" i="3"/>
  <c r="E425" i="3"/>
  <c r="E179" i="3"/>
  <c r="E86" i="3"/>
  <c r="E353" i="3"/>
  <c r="E424" i="3"/>
  <c r="E267" i="3"/>
  <c r="E550" i="3"/>
  <c r="E316" i="3"/>
  <c r="E500" i="3"/>
  <c r="E549" i="3"/>
  <c r="E317" i="3"/>
  <c r="E544" i="3"/>
  <c r="E370" i="3"/>
  <c r="E174" i="3"/>
  <c r="E389" i="3"/>
  <c r="E355" i="3"/>
  <c r="E330" i="3"/>
  <c r="E507" i="3"/>
  <c r="E271" i="3"/>
  <c r="E249" i="3"/>
  <c r="E494" i="3"/>
  <c r="E292" i="3"/>
  <c r="E518" i="3"/>
  <c r="E264" i="3"/>
  <c r="E277" i="3"/>
  <c r="E368" i="3"/>
  <c r="E314" i="3"/>
  <c r="E401" i="3"/>
  <c r="E265" i="3"/>
  <c r="E414" i="3"/>
  <c r="E278" i="3"/>
  <c r="E313" i="3"/>
  <c r="E279" i="3"/>
  <c r="E194" i="3"/>
  <c r="E235" i="3"/>
  <c r="E499" i="3"/>
  <c r="E497" i="3"/>
  <c r="E351" i="3"/>
  <c r="E304" i="3"/>
  <c r="E119" i="3"/>
  <c r="E489" i="3"/>
  <c r="E241" i="3"/>
  <c r="E554" i="3"/>
  <c r="E415" i="3"/>
  <c r="E133" i="3"/>
  <c r="E531" i="3"/>
  <c r="E576" i="3"/>
  <c r="E359" i="3"/>
  <c r="E281" i="3"/>
  <c r="E569" i="3"/>
  <c r="E538" i="3"/>
  <c r="E413" i="3"/>
  <c r="E509" i="3"/>
  <c r="E480" i="3"/>
  <c r="E225" i="3"/>
  <c r="E515" i="3"/>
  <c r="E420" i="3"/>
  <c r="E178" i="3"/>
  <c r="E510" i="3"/>
  <c r="E475" i="3"/>
  <c r="E504" i="3"/>
  <c r="E493" i="3"/>
  <c r="E541" i="3"/>
  <c r="E307" i="3"/>
  <c r="E567" i="3"/>
  <c r="E231" i="3"/>
  <c r="E409" i="3"/>
  <c r="E227" i="3"/>
  <c r="E193" i="3"/>
  <c r="E364" i="3"/>
  <c r="E479" i="3"/>
  <c r="E559" i="3"/>
  <c r="E259" i="3"/>
  <c r="E246" i="3"/>
  <c r="E498" i="3"/>
  <c r="E168" i="3"/>
  <c r="E365" i="3"/>
  <c r="E556" i="3"/>
  <c r="E240" i="3"/>
  <c r="E362" i="3"/>
  <c r="E452" i="3"/>
  <c r="E331" i="3"/>
  <c r="E439" i="3"/>
  <c r="E454" i="3"/>
  <c r="E528" i="3"/>
  <c r="E380" i="3"/>
  <c r="E534" i="3"/>
  <c r="E407" i="3"/>
  <c r="E323" i="3"/>
  <c r="E373" i="3"/>
  <c r="E516" i="3"/>
  <c r="E232" i="3"/>
  <c r="E263" i="3"/>
  <c r="E451" i="3"/>
  <c r="E398" i="3"/>
  <c r="E379" i="3"/>
  <c r="E530" i="3"/>
  <c r="E340" i="3"/>
  <c r="E145" i="3"/>
  <c r="E229" i="3"/>
  <c r="E293" i="3"/>
  <c r="E455" i="3"/>
  <c r="E457" i="3"/>
  <c r="E464" i="3"/>
  <c r="E505" i="3"/>
  <c r="E363" i="3"/>
  <c r="E441" i="3"/>
  <c r="E287" i="3"/>
  <c r="E272" i="3"/>
  <c r="E429" i="3"/>
  <c r="E521" i="3"/>
  <c r="E422" i="3"/>
  <c r="E520" i="3"/>
  <c r="E295" i="3"/>
  <c r="E547" i="3"/>
  <c r="E344" i="3"/>
  <c r="E548" i="3"/>
  <c r="E570" i="3"/>
  <c r="E306" i="3"/>
  <c r="E381" i="3"/>
  <c r="E173" i="3"/>
  <c r="E309" i="3"/>
  <c r="E205" i="3"/>
  <c r="E268" i="3"/>
  <c r="E254" i="3"/>
  <c r="E302" i="3"/>
  <c r="E416" i="3"/>
  <c r="E470" i="3"/>
  <c r="E552" i="3"/>
  <c r="E303" i="3"/>
  <c r="E312" i="3"/>
  <c r="E474" i="3"/>
  <c r="E106" i="3"/>
  <c r="E237" i="3"/>
  <c r="E543" i="3"/>
  <c r="E456" i="3"/>
  <c r="E111" i="3"/>
  <c r="E465" i="3"/>
  <c r="E300" i="3"/>
  <c r="E84" i="3"/>
  <c r="E406" i="3"/>
  <c r="E105" i="3"/>
  <c r="E397" i="3"/>
  <c r="E443" i="3"/>
  <c r="E512" i="3"/>
  <c r="E361" i="3"/>
  <c r="E486" i="3"/>
  <c r="E442" i="3"/>
  <c r="E532" i="3"/>
  <c r="E311" i="3"/>
  <c r="E445" i="3"/>
  <c r="E535" i="3"/>
  <c r="E255" i="3"/>
  <c r="E266" i="3"/>
  <c r="E478" i="3"/>
  <c r="E338" i="3"/>
  <c r="E192" i="3"/>
  <c r="E208" i="3"/>
  <c r="E130" i="3"/>
  <c r="E134" i="3"/>
  <c r="E121" i="3"/>
  <c r="E166" i="3"/>
  <c r="E74" i="3"/>
  <c r="E158" i="3"/>
  <c r="E113" i="3"/>
  <c r="E163" i="3"/>
  <c r="E75" i="3"/>
  <c r="E159" i="3"/>
  <c r="E114" i="3"/>
  <c r="E76" i="3"/>
  <c r="E77" i="3"/>
  <c r="E78" i="3"/>
  <c r="E101" i="3"/>
  <c r="E199" i="3"/>
  <c r="E200" i="3"/>
  <c r="E79" i="3"/>
  <c r="E80" i="3"/>
  <c r="E81" i="3"/>
  <c r="E5" i="10"/>
  <c r="E4" i="10"/>
  <c r="E3" i="10"/>
  <c r="E6" i="10"/>
  <c r="A23" i="1"/>
  <c r="A64" i="1"/>
  <c r="A67" i="1"/>
  <c r="A21" i="1"/>
  <c r="A34" i="1"/>
  <c r="A81" i="1"/>
  <c r="A60" i="1"/>
  <c r="A72" i="1"/>
  <c r="A70" i="1"/>
  <c r="A40" i="1"/>
  <c r="A19" i="1"/>
  <c r="A61" i="1"/>
  <c r="A29" i="1"/>
  <c r="A57" i="1"/>
  <c r="A31" i="1"/>
  <c r="A26" i="1"/>
  <c r="A16" i="1"/>
  <c r="A25" i="1"/>
  <c r="A83" i="1"/>
  <c r="A65" i="1"/>
  <c r="A63" i="1"/>
  <c r="A15" i="1"/>
  <c r="A77" i="1"/>
  <c r="A59" i="1"/>
  <c r="E171" i="4"/>
  <c r="E105" i="4"/>
  <c r="E202" i="4"/>
  <c r="E126" i="4"/>
  <c r="E150" i="4"/>
  <c r="E135" i="4"/>
  <c r="E168" i="4"/>
  <c r="E227" i="4"/>
  <c r="E185" i="4"/>
  <c r="E159" i="4"/>
  <c r="E216" i="4"/>
  <c r="E16" i="6"/>
  <c r="E4" i="7"/>
  <c r="E147" i="3"/>
  <c r="E184" i="3"/>
  <c r="E219" i="3"/>
  <c r="E180" i="3"/>
  <c r="E87" i="3"/>
  <c r="E175" i="3"/>
  <c r="E169" i="3"/>
  <c r="E107" i="3"/>
  <c r="E209" i="3"/>
  <c r="E131" i="3"/>
  <c r="E135" i="3"/>
  <c r="E122" i="3"/>
  <c r="E115" i="3"/>
  <c r="E102" i="3"/>
  <c r="E201" i="3"/>
  <c r="E82" i="3"/>
  <c r="E172" i="4"/>
  <c r="E106" i="4"/>
  <c r="E203" i="4"/>
  <c r="E127" i="4"/>
  <c r="E151" i="4"/>
  <c r="E136" i="4"/>
  <c r="E186" i="4"/>
  <c r="E160" i="4"/>
  <c r="E17" i="6"/>
  <c r="E5" i="7"/>
  <c r="E148" i="3"/>
  <c r="E185" i="3"/>
  <c r="E220" i="3"/>
  <c r="E181" i="3"/>
  <c r="E88" i="3"/>
  <c r="E176" i="3"/>
  <c r="E170" i="3"/>
  <c r="E108" i="3"/>
  <c r="E210" i="3"/>
  <c r="E136" i="3"/>
  <c r="E123" i="3"/>
  <c r="E116" i="3"/>
  <c r="E103" i="3"/>
  <c r="E202" i="3"/>
  <c r="E83" i="3"/>
  <c r="E173" i="4"/>
  <c r="E107" i="4"/>
  <c r="E204" i="4"/>
  <c r="E128" i="4"/>
  <c r="E152" i="4"/>
  <c r="E137" i="4"/>
  <c r="E187" i="4"/>
  <c r="E161" i="4"/>
  <c r="E149" i="3"/>
  <c r="E186" i="3"/>
  <c r="E221" i="3"/>
  <c r="E89" i="3"/>
  <c r="E177" i="3"/>
  <c r="E109" i="3"/>
  <c r="E211" i="3"/>
  <c r="E137" i="3"/>
  <c r="E124" i="3"/>
  <c r="E117" i="3"/>
  <c r="E104" i="3"/>
  <c r="E203" i="3"/>
  <c r="E174" i="4"/>
  <c r="E108" i="4"/>
  <c r="E205" i="4"/>
  <c r="E129" i="4"/>
  <c r="E153" i="4"/>
  <c r="E138" i="4"/>
  <c r="E188" i="4"/>
  <c r="E162" i="4"/>
  <c r="E150" i="3"/>
  <c r="E187" i="3"/>
  <c r="E222" i="3"/>
  <c r="E90" i="3"/>
  <c r="E110" i="3"/>
  <c r="E212" i="3"/>
  <c r="E138" i="3"/>
  <c r="E125" i="3"/>
  <c r="E118" i="3"/>
  <c r="E204" i="3"/>
  <c r="E175" i="4"/>
  <c r="E109" i="4"/>
  <c r="E206" i="4"/>
  <c r="E130" i="4"/>
  <c r="E139" i="4"/>
  <c r="E189" i="4"/>
  <c r="E163" i="4"/>
  <c r="E151" i="3"/>
  <c r="E188" i="3"/>
  <c r="E223" i="3"/>
  <c r="E91" i="3"/>
  <c r="E213" i="3"/>
  <c r="E139" i="3"/>
  <c r="E126" i="3"/>
  <c r="E176" i="4"/>
  <c r="E110" i="4"/>
  <c r="E207" i="4"/>
  <c r="E131" i="4"/>
  <c r="E140" i="4"/>
  <c r="E190" i="4"/>
  <c r="E164" i="4"/>
  <c r="E152" i="3"/>
  <c r="E189" i="3"/>
  <c r="E92" i="3"/>
  <c r="E214" i="3"/>
  <c r="E140" i="3"/>
  <c r="E177" i="4"/>
  <c r="E111" i="4"/>
  <c r="E208" i="4"/>
  <c r="E132" i="4"/>
  <c r="E141" i="4"/>
  <c r="E153" i="3"/>
  <c r="E93" i="3"/>
  <c r="E215" i="3"/>
  <c r="E141" i="3"/>
  <c r="E178" i="4"/>
  <c r="E112" i="4"/>
  <c r="E142" i="4"/>
  <c r="E154" i="3"/>
  <c r="E94" i="3"/>
  <c r="E216" i="3"/>
  <c r="E142" i="3"/>
  <c r="E179" i="4"/>
  <c r="E113" i="4"/>
  <c r="E155" i="3"/>
  <c r="E95" i="3"/>
  <c r="E143" i="3"/>
  <c r="E144" i="3"/>
  <c r="Y6" i="10" l="1"/>
  <c r="J6" i="10"/>
  <c r="Y4" i="10"/>
  <c r="J4" i="10"/>
  <c r="Y5" i="10"/>
  <c r="J5" i="10"/>
  <c r="Y192" i="3"/>
  <c r="J192" i="3"/>
  <c r="Y338" i="3"/>
  <c r="J338" i="3"/>
  <c r="Y478" i="3"/>
  <c r="J478" i="3"/>
  <c r="Y266" i="3"/>
  <c r="J266" i="3"/>
  <c r="Y255" i="3"/>
  <c r="J255" i="3"/>
  <c r="Y535" i="3"/>
  <c r="J535" i="3"/>
  <c r="Y445" i="3"/>
  <c r="J445" i="3"/>
  <c r="Y311" i="3"/>
  <c r="J311" i="3"/>
  <c r="Y532" i="3"/>
  <c r="J532" i="3"/>
  <c r="Y442" i="3"/>
  <c r="J442" i="3"/>
  <c r="Y486" i="3"/>
  <c r="J486" i="3"/>
  <c r="Y361" i="3"/>
  <c r="J361" i="3"/>
  <c r="Y512" i="3"/>
  <c r="J512" i="3"/>
  <c r="Y443" i="3"/>
  <c r="J443" i="3"/>
  <c r="Y397" i="3"/>
  <c r="J397" i="3"/>
  <c r="Y105" i="3"/>
  <c r="J105" i="3"/>
  <c r="Y406" i="3"/>
  <c r="J406" i="3"/>
  <c r="Y84" i="3"/>
  <c r="J84" i="3"/>
  <c r="Y300" i="3"/>
  <c r="J300" i="3"/>
  <c r="Y465" i="3"/>
  <c r="J465" i="3"/>
  <c r="Y111" i="3"/>
  <c r="J111" i="3"/>
  <c r="Y456" i="3"/>
  <c r="J456" i="3"/>
  <c r="Y543" i="3"/>
  <c r="J543" i="3"/>
  <c r="Y237" i="3"/>
  <c r="J237" i="3"/>
  <c r="Y474" i="3"/>
  <c r="J474" i="3"/>
  <c r="Y312" i="3"/>
  <c r="J312" i="3"/>
  <c r="Y303" i="3"/>
  <c r="J303" i="3"/>
  <c r="Y552" i="3"/>
  <c r="J552" i="3"/>
  <c r="Y470" i="3"/>
  <c r="J470" i="3"/>
  <c r="Y416" i="3"/>
  <c r="J416" i="3"/>
  <c r="Y302" i="3"/>
  <c r="J302" i="3"/>
  <c r="Y254" i="3"/>
  <c r="J254" i="3"/>
  <c r="Y268" i="3"/>
  <c r="J268" i="3"/>
  <c r="Y205" i="3"/>
  <c r="J205" i="3"/>
  <c r="Y309" i="3"/>
  <c r="J309" i="3"/>
  <c r="Y173" i="3"/>
  <c r="J173" i="3"/>
  <c r="Y381" i="3"/>
  <c r="J381" i="3"/>
  <c r="Y306" i="3"/>
  <c r="J306" i="3"/>
  <c r="Y570" i="3"/>
  <c r="J570" i="3"/>
  <c r="Y548" i="3"/>
  <c r="J548" i="3"/>
  <c r="Y344" i="3"/>
  <c r="J344" i="3"/>
  <c r="Y547" i="3"/>
  <c r="J547" i="3"/>
  <c r="Y295" i="3"/>
  <c r="J295" i="3"/>
  <c r="Y520" i="3"/>
  <c r="J520" i="3"/>
  <c r="Y422" i="3"/>
  <c r="J422" i="3"/>
  <c r="Y521" i="3"/>
  <c r="J521" i="3"/>
  <c r="Y429" i="3"/>
  <c r="J429" i="3"/>
  <c r="Y272" i="3"/>
  <c r="J272" i="3"/>
  <c r="Y287" i="3"/>
  <c r="J287" i="3"/>
  <c r="Y441" i="3"/>
  <c r="J441" i="3"/>
  <c r="Y363" i="3"/>
  <c r="J363" i="3"/>
  <c r="Y505" i="3"/>
  <c r="J505" i="3"/>
  <c r="Y464" i="3"/>
  <c r="J464" i="3"/>
  <c r="Y457" i="3"/>
  <c r="J457" i="3"/>
  <c r="Y455" i="3"/>
  <c r="J455" i="3"/>
  <c r="Y293" i="3"/>
  <c r="J293" i="3"/>
  <c r="Y229" i="3"/>
  <c r="J229" i="3"/>
  <c r="Y145" i="3"/>
  <c r="J145" i="3"/>
  <c r="Y340" i="3"/>
  <c r="J340" i="3"/>
  <c r="J530" i="3"/>
  <c r="Y530" i="3"/>
  <c r="Y379" i="3"/>
  <c r="J379" i="3"/>
  <c r="Y398" i="3"/>
  <c r="J398" i="3"/>
  <c r="Y451" i="3"/>
  <c r="J451" i="3"/>
  <c r="Y263" i="3"/>
  <c r="J263" i="3"/>
  <c r="Y232" i="3"/>
  <c r="J232" i="3"/>
  <c r="Y516" i="3"/>
  <c r="J516" i="3"/>
  <c r="Y373" i="3"/>
  <c r="J373" i="3"/>
  <c r="Y323" i="3"/>
  <c r="J323" i="3"/>
  <c r="Y407" i="3"/>
  <c r="J407" i="3"/>
  <c r="J534" i="3"/>
  <c r="Y534" i="3"/>
  <c r="Y380" i="3"/>
  <c r="J380" i="3"/>
  <c r="Y528" i="3"/>
  <c r="J528" i="3"/>
  <c r="Y454" i="3"/>
  <c r="J454" i="3"/>
  <c r="Y439" i="3"/>
  <c r="J439" i="3"/>
  <c r="Y331" i="3"/>
  <c r="J331" i="3"/>
  <c r="Y452" i="3"/>
  <c r="J452" i="3"/>
  <c r="Y362" i="3"/>
  <c r="J362" i="3"/>
  <c r="Y240" i="3"/>
  <c r="J240" i="3"/>
  <c r="J556" i="3"/>
  <c r="Y365" i="3"/>
  <c r="J365" i="3"/>
  <c r="Y498" i="3"/>
  <c r="J498" i="3"/>
  <c r="Y246" i="3"/>
  <c r="J246" i="3"/>
  <c r="Y259" i="3"/>
  <c r="J259" i="3"/>
  <c r="Y559" i="3"/>
  <c r="J559" i="3"/>
  <c r="Y479" i="3"/>
  <c r="J479" i="3"/>
  <c r="Y364" i="3"/>
  <c r="J364" i="3"/>
  <c r="Y227" i="3"/>
  <c r="J227" i="3"/>
  <c r="Y409" i="3"/>
  <c r="J409" i="3"/>
  <c r="Y231" i="3"/>
  <c r="J231" i="3"/>
  <c r="Y567" i="3"/>
  <c r="J567" i="3"/>
  <c r="Y307" i="3"/>
  <c r="J307" i="3"/>
  <c r="Y541" i="3"/>
  <c r="J541" i="3"/>
  <c r="Y493" i="3"/>
  <c r="J493" i="3"/>
  <c r="Y504" i="3"/>
  <c r="J504" i="3"/>
  <c r="Y475" i="3"/>
  <c r="J475" i="3"/>
  <c r="J510" i="3"/>
  <c r="Y510" i="3"/>
  <c r="Y178" i="3"/>
  <c r="J178" i="3"/>
  <c r="Y420" i="3"/>
  <c r="J420" i="3"/>
  <c r="Y515" i="3"/>
  <c r="J515" i="3"/>
  <c r="Y480" i="3"/>
  <c r="J480" i="3"/>
  <c r="Y509" i="3"/>
  <c r="J509" i="3"/>
  <c r="Y413" i="3"/>
  <c r="J413" i="3"/>
  <c r="J538" i="3"/>
  <c r="Y538" i="3"/>
  <c r="Y569" i="3"/>
  <c r="J569" i="3"/>
  <c r="Y281" i="3"/>
  <c r="J281" i="3"/>
  <c r="Y359" i="3"/>
  <c r="J359" i="3"/>
  <c r="Y576" i="3"/>
  <c r="J576" i="3"/>
  <c r="Y531" i="3"/>
  <c r="J531" i="3"/>
  <c r="Y415" i="3"/>
  <c r="J415" i="3"/>
  <c r="J554" i="3"/>
  <c r="Y554" i="3"/>
  <c r="Y241" i="3"/>
  <c r="J241" i="3"/>
  <c r="Y489" i="3"/>
  <c r="J489" i="3"/>
  <c r="Y119" i="3"/>
  <c r="J119" i="3"/>
  <c r="Y304" i="3"/>
  <c r="J304" i="3"/>
  <c r="Y351" i="3"/>
  <c r="J351" i="3"/>
  <c r="Y497" i="3"/>
  <c r="J497" i="3"/>
  <c r="Y499" i="3"/>
  <c r="J499" i="3"/>
  <c r="Y235" i="3"/>
  <c r="J235" i="3"/>
  <c r="Y194" i="3"/>
  <c r="J194" i="3"/>
  <c r="Y279" i="3"/>
  <c r="J279" i="3"/>
  <c r="Y313" i="3"/>
  <c r="J313" i="3"/>
  <c r="Y278" i="3"/>
  <c r="J278" i="3"/>
  <c r="Y414" i="3"/>
  <c r="J414" i="3"/>
  <c r="Y265" i="3"/>
  <c r="J265" i="3"/>
  <c r="Y401" i="3"/>
  <c r="J401" i="3"/>
  <c r="Y314" i="3"/>
  <c r="J314" i="3"/>
  <c r="Y368" i="3"/>
  <c r="J368" i="3"/>
  <c r="Y277" i="3"/>
  <c r="J277" i="3"/>
  <c r="Y264" i="3"/>
  <c r="J264" i="3"/>
  <c r="J518" i="3"/>
  <c r="Y518" i="3"/>
  <c r="Y292" i="3"/>
  <c r="J292" i="3"/>
  <c r="Y494" i="3"/>
  <c r="J494" i="3"/>
  <c r="Y249" i="3"/>
  <c r="J249" i="3"/>
  <c r="Y271" i="3"/>
  <c r="J271" i="3"/>
  <c r="Y507" i="3"/>
  <c r="J507" i="3"/>
  <c r="Y330" i="3"/>
  <c r="J330" i="3"/>
  <c r="Y355" i="3"/>
  <c r="J355" i="3"/>
  <c r="Y389" i="3"/>
  <c r="J389" i="3"/>
  <c r="Y370" i="3"/>
  <c r="J370" i="3"/>
  <c r="Y544" i="3"/>
  <c r="J544" i="3"/>
  <c r="Y317" i="3"/>
  <c r="J317" i="3"/>
  <c r="Y549" i="3"/>
  <c r="J549" i="3"/>
  <c r="Y500" i="3"/>
  <c r="J500" i="3"/>
  <c r="Y316" i="3"/>
  <c r="J316" i="3"/>
  <c r="J550" i="3"/>
  <c r="Y550" i="3"/>
  <c r="Y267" i="3"/>
  <c r="J267" i="3"/>
  <c r="Y424" i="3"/>
  <c r="J424" i="3"/>
  <c r="Y353" i="3"/>
  <c r="J353" i="3"/>
  <c r="Y425" i="3"/>
  <c r="J425" i="3"/>
  <c r="Y233" i="3"/>
  <c r="J233" i="3"/>
  <c r="Y405" i="3"/>
  <c r="J405" i="3"/>
  <c r="Y473" i="3"/>
  <c r="J473" i="3"/>
  <c r="Y273" i="3"/>
  <c r="J273" i="3"/>
  <c r="Y539" i="3"/>
  <c r="J539" i="3"/>
  <c r="Y491" i="3"/>
  <c r="J491" i="3"/>
  <c r="Y248" i="3"/>
  <c r="J248" i="3"/>
  <c r="Y410" i="3"/>
  <c r="J410" i="3"/>
  <c r="Y332" i="3"/>
  <c r="J332" i="3"/>
  <c r="Y217" i="3"/>
  <c r="J217" i="3"/>
  <c r="Y319" i="3"/>
  <c r="J319" i="3"/>
  <c r="Y496" i="3"/>
  <c r="J496" i="3"/>
  <c r="Y525" i="3"/>
  <c r="J525" i="3"/>
  <c r="Y540" i="3"/>
  <c r="J540" i="3"/>
  <c r="Y502" i="3"/>
  <c r="J502" i="3"/>
  <c r="Y256" i="3"/>
  <c r="J256" i="3"/>
  <c r="Y297" i="3"/>
  <c r="J297" i="3"/>
  <c r="Y247" i="3"/>
  <c r="J247" i="3"/>
  <c r="Y280" i="3"/>
  <c r="J280" i="3"/>
  <c r="Y433" i="3"/>
  <c r="J433" i="3"/>
  <c r="Y468" i="3"/>
  <c r="J468" i="3"/>
  <c r="Y276" i="3"/>
  <c r="J276" i="3"/>
  <c r="Y294" i="3"/>
  <c r="J294" i="3"/>
  <c r="Y236" i="3"/>
  <c r="J236" i="3"/>
  <c r="Y269" i="3"/>
  <c r="J269" i="3"/>
  <c r="Y360" i="3"/>
  <c r="J360" i="3"/>
  <c r="Y513" i="3"/>
  <c r="J513" i="3"/>
  <c r="Y298" i="3"/>
  <c r="J298" i="3"/>
  <c r="Y341" i="3"/>
  <c r="J341" i="3"/>
  <c r="Y399" i="3"/>
  <c r="J399" i="3"/>
  <c r="Y578" i="3"/>
  <c r="J578" i="3"/>
  <c r="Y574" i="3"/>
  <c r="J574" i="3"/>
  <c r="Y285" i="3"/>
  <c r="J285" i="3"/>
  <c r="Y348" i="3"/>
  <c r="J348" i="3"/>
  <c r="Y571" i="3"/>
  <c r="J571" i="3"/>
  <c r="Y562" i="3"/>
  <c r="J562" i="3"/>
  <c r="Y533" i="3"/>
  <c r="J533" i="3"/>
  <c r="Y519" i="3"/>
  <c r="J519" i="3"/>
  <c r="Y301" i="3"/>
  <c r="J301" i="3"/>
  <c r="Y190" i="3"/>
  <c r="J190" i="3"/>
  <c r="Y411" i="3"/>
  <c r="J411" i="3"/>
  <c r="Y96" i="3"/>
  <c r="J96" i="3"/>
  <c r="Y308" i="3"/>
  <c r="J308" i="3"/>
  <c r="J526" i="3"/>
  <c r="Y526" i="3"/>
  <c r="Y579" i="3"/>
  <c r="J579" i="3"/>
  <c r="Y402" i="3"/>
  <c r="J402" i="3"/>
  <c r="Y337" i="3"/>
  <c r="J337" i="3"/>
  <c r="Y132" i="3"/>
  <c r="J132" i="3"/>
  <c r="Y463" i="3"/>
  <c r="J463" i="3"/>
  <c r="Y347" i="3"/>
  <c r="J347" i="3"/>
  <c r="Y523" i="3"/>
  <c r="J523" i="3"/>
  <c r="Y383" i="3"/>
  <c r="J383" i="3"/>
  <c r="Y243" i="3"/>
  <c r="J243" i="3"/>
  <c r="Y488" i="3"/>
  <c r="J488" i="3"/>
  <c r="Y400" i="3"/>
  <c r="J400" i="3"/>
  <c r="Y156" i="3"/>
  <c r="J156" i="3"/>
  <c r="Y290" i="3"/>
  <c r="J290" i="3"/>
  <c r="J546" i="3"/>
  <c r="Y546" i="3"/>
  <c r="Y460" i="3"/>
  <c r="J460" i="3"/>
  <c r="Y226" i="3"/>
  <c r="J226" i="3"/>
  <c r="Y575" i="3"/>
  <c r="J575" i="3"/>
  <c r="Y386" i="3"/>
  <c r="J386" i="3"/>
  <c r="Y283" i="3"/>
  <c r="J283" i="3"/>
  <c r="Y537" i="3"/>
  <c r="J537" i="3"/>
  <c r="Y329" i="3"/>
  <c r="J329" i="3"/>
  <c r="Y245" i="3"/>
  <c r="J245" i="3"/>
  <c r="Y376" i="3"/>
  <c r="J376" i="3"/>
  <c r="Y260" i="3"/>
  <c r="J260" i="3"/>
  <c r="Y296" i="3"/>
  <c r="J296" i="3"/>
  <c r="Y261" i="3"/>
  <c r="J261" i="3"/>
  <c r="Y387" i="3"/>
  <c r="J387" i="3"/>
  <c r="Y580" i="3"/>
  <c r="J580" i="3"/>
  <c r="Y275" i="3"/>
  <c r="J275" i="3"/>
  <c r="Y299" i="3"/>
  <c r="J299" i="3"/>
  <c r="Y336" i="3"/>
  <c r="J336" i="3"/>
  <c r="Y354" i="3"/>
  <c r="J354" i="3"/>
  <c r="Y382" i="3"/>
  <c r="J382" i="3"/>
  <c r="Y487" i="3"/>
  <c r="J487" i="3"/>
  <c r="Y471" i="3"/>
  <c r="J471" i="3"/>
  <c r="Y384" i="3"/>
  <c r="J384" i="3"/>
  <c r="Y349" i="3"/>
  <c r="J349" i="3"/>
  <c r="Y286" i="3"/>
  <c r="J286" i="3"/>
  <c r="Y524" i="3"/>
  <c r="J524" i="3"/>
  <c r="Y385" i="3"/>
  <c r="J385" i="3"/>
  <c r="Y484" i="3"/>
  <c r="J484" i="3"/>
  <c r="Y378" i="3"/>
  <c r="J378" i="3"/>
  <c r="Y182" i="3"/>
  <c r="J182" i="3"/>
  <c r="Y426" i="3"/>
  <c r="J426" i="3"/>
  <c r="Y262" i="3"/>
  <c r="J262" i="3"/>
  <c r="Y250" i="3"/>
  <c r="J250" i="3"/>
  <c r="Y558" i="3"/>
  <c r="J558" i="3"/>
  <c r="Y326" i="3"/>
  <c r="J326" i="3"/>
  <c r="Y444" i="3"/>
  <c r="J444" i="3"/>
  <c r="Y164" i="3"/>
  <c r="J164" i="3"/>
  <c r="Y372" i="3"/>
  <c r="J372" i="3"/>
  <c r="Y352" i="3"/>
  <c r="J352" i="3"/>
  <c r="Y469" i="3"/>
  <c r="J469" i="3"/>
  <c r="Y333" i="3"/>
  <c r="J333" i="3"/>
  <c r="Y234" i="3"/>
  <c r="J234" i="3"/>
  <c r="Y404" i="3"/>
  <c r="J404" i="3"/>
  <c r="Y419" i="3"/>
  <c r="J419" i="3"/>
  <c r="Y270" i="3"/>
  <c r="J270" i="3"/>
  <c r="Y395" i="3"/>
  <c r="J395" i="3"/>
  <c r="Y335" i="3"/>
  <c r="J335" i="3"/>
  <c r="Y238" i="3"/>
  <c r="J238" i="3"/>
  <c r="Y430" i="3"/>
  <c r="J430" i="3"/>
  <c r="Y282" i="3"/>
  <c r="J282" i="3"/>
  <c r="Y564" i="3"/>
  <c r="J564" i="3"/>
  <c r="Y483" i="3"/>
  <c r="J483" i="3"/>
  <c r="Y171" i="3"/>
  <c r="J171" i="3"/>
  <c r="Y239" i="3"/>
  <c r="J239" i="3"/>
  <c r="Y369" i="3"/>
  <c r="J369" i="3"/>
  <c r="Y477" i="3"/>
  <c r="J477" i="3"/>
  <c r="Y450" i="3"/>
  <c r="J450" i="3"/>
  <c r="Y551" i="3"/>
  <c r="J551" i="3"/>
  <c r="Y563" i="3"/>
  <c r="J563" i="3"/>
  <c r="Y517" i="3"/>
  <c r="J517" i="3"/>
  <c r="Y467" i="3"/>
  <c r="J467" i="3"/>
  <c r="Y228" i="3"/>
  <c r="J228" i="3"/>
  <c r="Y453" i="3"/>
  <c r="J453" i="3"/>
  <c r="Y482" i="3"/>
  <c r="J482" i="3"/>
  <c r="Y421" i="3"/>
  <c r="J421" i="3"/>
  <c r="Y288" i="3"/>
  <c r="J288" i="3"/>
  <c r="Y461" i="3"/>
  <c r="J461" i="3"/>
  <c r="Y466" i="3"/>
  <c r="J466" i="3"/>
  <c r="Y418" i="3"/>
  <c r="J418" i="3"/>
  <c r="Y434" i="3"/>
  <c r="J434" i="3"/>
  <c r="Y565" i="3"/>
  <c r="J565" i="3"/>
  <c r="Y436" i="3"/>
  <c r="J436" i="3"/>
  <c r="Y377" i="3"/>
  <c r="J377" i="3"/>
  <c r="Y357" i="3"/>
  <c r="J357" i="3"/>
  <c r="Y257" i="3"/>
  <c r="J257" i="3"/>
  <c r="J522" i="3"/>
  <c r="Y522" i="3"/>
  <c r="J514" i="3"/>
  <c r="Y514" i="3"/>
  <c r="Y423" i="3"/>
  <c r="J423" i="3"/>
  <c r="Y458" i="3"/>
  <c r="J458" i="3"/>
  <c r="Y230" i="3"/>
  <c r="J230" i="3"/>
  <c r="Y315" i="3"/>
  <c r="J315" i="3"/>
  <c r="Y160" i="3"/>
  <c r="J160" i="3"/>
  <c r="Y555" i="3"/>
  <c r="J555" i="3"/>
  <c r="Y472" i="3"/>
  <c r="J472" i="3"/>
  <c r="Y252" i="3"/>
  <c r="J252" i="3"/>
  <c r="Y553" i="3"/>
  <c r="J553" i="3"/>
  <c r="Y573" i="3"/>
  <c r="J573" i="3"/>
  <c r="Y572" i="3"/>
  <c r="J572" i="3"/>
  <c r="Y127" i="3"/>
  <c r="J127" i="3"/>
  <c r="Y501" i="3"/>
  <c r="J501" i="3"/>
  <c r="Y408" i="3"/>
  <c r="J408" i="3"/>
  <c r="Y459" i="3"/>
  <c r="J459" i="3"/>
  <c r="Y427" i="3"/>
  <c r="J427" i="3"/>
  <c r="Y396" i="3"/>
  <c r="J396" i="3"/>
  <c r="Y375" i="3"/>
  <c r="J375" i="3"/>
  <c r="Y321" i="3"/>
  <c r="J321" i="3"/>
  <c r="Y529" i="3"/>
  <c r="J529" i="3"/>
  <c r="Y390" i="3"/>
  <c r="J390" i="3"/>
  <c r="Y438" i="3"/>
  <c r="J438" i="3"/>
  <c r="Y446" i="3"/>
  <c r="J446" i="3"/>
  <c r="Y476" i="3"/>
  <c r="J476" i="3"/>
  <c r="Y508" i="3"/>
  <c r="J508" i="3"/>
  <c r="Y356" i="3"/>
  <c r="J356" i="3"/>
  <c r="Y258" i="3"/>
  <c r="J258" i="3"/>
  <c r="Y448" i="3"/>
  <c r="J448" i="3"/>
  <c r="Y224" i="3"/>
  <c r="J224" i="3"/>
  <c r="Y495" i="3"/>
  <c r="J495" i="3"/>
  <c r="Y403" i="3"/>
  <c r="J403" i="3"/>
  <c r="Y334" i="3"/>
  <c r="J334" i="3"/>
  <c r="Y527" i="3"/>
  <c r="J527" i="3"/>
  <c r="Y291" i="3"/>
  <c r="J291" i="3"/>
  <c r="Y391" i="3"/>
  <c r="J391" i="3"/>
  <c r="Y393" i="3"/>
  <c r="J393" i="3"/>
  <c r="Y350" i="3"/>
  <c r="J350" i="3"/>
  <c r="Y440" i="3"/>
  <c r="J440" i="3"/>
  <c r="Y536" i="3"/>
  <c r="J536" i="3"/>
  <c r="Y566" i="3"/>
  <c r="J566" i="3"/>
  <c r="Y367" i="3"/>
  <c r="J367" i="3"/>
  <c r="Y462" i="3"/>
  <c r="J462" i="3"/>
  <c r="Y412" i="3"/>
  <c r="J412" i="3"/>
  <c r="Y346" i="3"/>
  <c r="J346" i="3"/>
  <c r="Y251" i="3"/>
  <c r="J251" i="3"/>
  <c r="Y435" i="3"/>
  <c r="J435" i="3"/>
  <c r="Y432" i="3"/>
  <c r="J432" i="3"/>
  <c r="Y366" i="3"/>
  <c r="J366" i="3"/>
  <c r="Y437" i="3"/>
  <c r="J437" i="3"/>
  <c r="Y431" i="3"/>
  <c r="J431" i="3"/>
  <c r="Y325" i="3"/>
  <c r="J325" i="3"/>
  <c r="Y447" i="3"/>
  <c r="J447" i="3"/>
  <c r="Y358" i="3"/>
  <c r="J358" i="3"/>
  <c r="Y561" i="3"/>
  <c r="J561" i="3"/>
  <c r="Y327" i="3"/>
  <c r="J327" i="3"/>
  <c r="Y374" i="3"/>
  <c r="J374" i="3"/>
  <c r="Y490" i="3"/>
  <c r="J490" i="3"/>
  <c r="Y244" i="3"/>
  <c r="J244" i="3"/>
  <c r="Y371" i="3"/>
  <c r="J371" i="3"/>
  <c r="J506" i="3"/>
  <c r="Y506" i="3"/>
  <c r="Y343" i="3"/>
  <c r="J343" i="3"/>
  <c r="Y557" i="3"/>
  <c r="J557" i="3"/>
  <c r="Y289" i="3"/>
  <c r="J289" i="3"/>
  <c r="Y388" i="3"/>
  <c r="J388" i="3"/>
  <c r="Y392" i="3"/>
  <c r="J392" i="3"/>
  <c r="Y428" i="3"/>
  <c r="J428" i="3"/>
  <c r="Y167" i="3"/>
  <c r="J167" i="3"/>
  <c r="Y417" i="3"/>
  <c r="J417" i="3"/>
  <c r="Y328" i="3"/>
  <c r="J328" i="3"/>
  <c r="Y560" i="3"/>
  <c r="J560" i="3"/>
  <c r="Y284" i="3"/>
  <c r="J284" i="3"/>
  <c r="Y322" i="3"/>
  <c r="J322" i="3"/>
  <c r="Y492" i="3"/>
  <c r="J492" i="3"/>
  <c r="J542" i="3"/>
  <c r="Y542" i="3"/>
  <c r="Y253" i="3"/>
  <c r="J253" i="3"/>
  <c r="Y320" i="3"/>
  <c r="J320" i="3"/>
  <c r="Y503" i="3"/>
  <c r="J503" i="3"/>
  <c r="Y481" i="3"/>
  <c r="J481" i="3"/>
  <c r="Y274" i="3"/>
  <c r="J274" i="3"/>
  <c r="Y339" i="3"/>
  <c r="J339" i="3"/>
  <c r="Y310" i="3"/>
  <c r="J310" i="3"/>
  <c r="Y511" i="3"/>
  <c r="J511" i="3"/>
  <c r="Y242" i="3"/>
  <c r="J242" i="3"/>
  <c r="Y394" i="3"/>
  <c r="J394" i="3"/>
  <c r="Y568" i="3"/>
  <c r="J568" i="3"/>
  <c r="Y345" i="3"/>
  <c r="J345" i="3"/>
  <c r="Y545" i="3"/>
  <c r="J545" i="3"/>
  <c r="Y305" i="3"/>
  <c r="J305" i="3"/>
  <c r="Y318" i="3"/>
  <c r="J318" i="3"/>
  <c r="Y485" i="3"/>
  <c r="J485" i="3"/>
  <c r="Y324" i="3"/>
  <c r="J324" i="3"/>
  <c r="Y577" i="3"/>
  <c r="J577" i="3"/>
  <c r="Y449" i="3"/>
  <c r="J449" i="3"/>
  <c r="Y342" i="3"/>
  <c r="J342" i="3"/>
  <c r="Y12" i="7"/>
  <c r="J12" i="7"/>
  <c r="Y16" i="7"/>
  <c r="J16" i="7"/>
  <c r="Y11" i="7"/>
  <c r="J11" i="7"/>
  <c r="Y20" i="7"/>
  <c r="J20" i="7"/>
  <c r="Y10" i="7"/>
  <c r="J10" i="7"/>
  <c r="Y18" i="7"/>
  <c r="J18" i="7"/>
  <c r="Y13" i="7"/>
  <c r="J13" i="7"/>
  <c r="Y8" i="7"/>
  <c r="J8" i="7"/>
  <c r="Y14" i="7"/>
  <c r="J14" i="7"/>
  <c r="Y19" i="7"/>
  <c r="J19" i="7"/>
  <c r="Y7" i="7"/>
  <c r="J7" i="7"/>
  <c r="Y21" i="7"/>
  <c r="J21" i="7"/>
  <c r="Y6" i="7"/>
  <c r="J6" i="7"/>
  <c r="Y15" i="7"/>
  <c r="J15" i="7"/>
  <c r="Y9" i="7"/>
  <c r="J9" i="7"/>
  <c r="Y17" i="7"/>
  <c r="J17" i="7"/>
  <c r="Y37" i="6"/>
  <c r="J37" i="6"/>
  <c r="J36" i="6"/>
  <c r="Y36" i="6"/>
  <c r="Y13" i="6"/>
  <c r="J13" i="6"/>
  <c r="Y24" i="6"/>
  <c r="J24" i="6"/>
  <c r="J40" i="6"/>
  <c r="Y40" i="6"/>
  <c r="Y21" i="6"/>
  <c r="J21" i="6"/>
  <c r="Y28" i="6"/>
  <c r="J28" i="6"/>
  <c r="Y19" i="6"/>
  <c r="J19" i="6"/>
  <c r="Y25" i="6"/>
  <c r="J25" i="6"/>
  <c r="Y30" i="6"/>
  <c r="J30" i="6"/>
  <c r="Y33" i="6"/>
  <c r="J33" i="6"/>
  <c r="Y39" i="6"/>
  <c r="J39" i="6"/>
  <c r="J38" i="6"/>
  <c r="Y38" i="6"/>
  <c r="Y23" i="6"/>
  <c r="J23" i="6"/>
  <c r="Y29" i="6"/>
  <c r="J29" i="6"/>
  <c r="Y31" i="6"/>
  <c r="J31" i="6"/>
  <c r="Y18" i="6"/>
  <c r="J18" i="6"/>
  <c r="Y22" i="6"/>
  <c r="J22" i="6"/>
  <c r="Y27" i="6"/>
  <c r="J27" i="6"/>
  <c r="Y20" i="6"/>
  <c r="J20" i="6"/>
  <c r="Y34" i="6"/>
  <c r="J34" i="6"/>
  <c r="Y32" i="6"/>
  <c r="J32" i="6"/>
  <c r="Y26" i="6"/>
  <c r="J26" i="6"/>
  <c r="Y35" i="6"/>
  <c r="J35" i="6"/>
  <c r="J17" i="5"/>
  <c r="Y17" i="5"/>
  <c r="Y10" i="5"/>
  <c r="J10" i="5"/>
  <c r="J20" i="5"/>
  <c r="Y20" i="5"/>
  <c r="Y22" i="5"/>
  <c r="J22" i="5"/>
  <c r="J9" i="5"/>
  <c r="Y9" i="5"/>
  <c r="J19" i="5"/>
  <c r="Y19" i="5"/>
  <c r="J11" i="5"/>
  <c r="Y11" i="5"/>
  <c r="J12" i="5"/>
  <c r="Y12" i="5"/>
  <c r="Y14" i="5"/>
  <c r="J14" i="5"/>
  <c r="J16" i="5"/>
  <c r="Y16" i="5"/>
  <c r="J8" i="5"/>
  <c r="Y8" i="5"/>
  <c r="J21" i="5"/>
  <c r="Y21" i="5"/>
  <c r="J15" i="5"/>
  <c r="Y15" i="5"/>
  <c r="J7" i="5"/>
  <c r="Y7" i="5"/>
  <c r="Y18" i="5"/>
  <c r="J18" i="5"/>
  <c r="J13" i="5"/>
  <c r="Y13" i="5"/>
  <c r="J313" i="4"/>
  <c r="J320" i="4"/>
  <c r="J321" i="4"/>
  <c r="J345" i="4"/>
  <c r="J331" i="4"/>
  <c r="J353" i="4"/>
  <c r="J298" i="4"/>
  <c r="J238" i="4"/>
  <c r="J316" i="4"/>
  <c r="J314" i="4"/>
  <c r="J299" i="4"/>
  <c r="J368" i="4"/>
  <c r="J369" i="4"/>
  <c r="J315" i="4"/>
  <c r="J270" i="4"/>
  <c r="J235" i="4"/>
  <c r="J261" i="4"/>
  <c r="J302" i="4"/>
  <c r="J148" i="4"/>
  <c r="J285" i="4"/>
  <c r="J217" i="4"/>
  <c r="J307" i="4"/>
  <c r="J123" i="4"/>
  <c r="J341" i="4"/>
  <c r="J248" i="4"/>
  <c r="J133" i="4"/>
  <c r="J262" i="4"/>
  <c r="J243" i="4"/>
  <c r="J336" i="4"/>
  <c r="J209" i="4"/>
  <c r="J335" i="4"/>
  <c r="J296" i="4"/>
  <c r="J312" i="4"/>
  <c r="J287" i="4"/>
  <c r="J346" i="4"/>
  <c r="J280" i="4"/>
  <c r="J349" i="4"/>
  <c r="J256" i="4"/>
  <c r="J265" i="4"/>
  <c r="J352" i="4"/>
  <c r="J364" i="4"/>
  <c r="J284" i="4"/>
  <c r="J264" i="4"/>
  <c r="J323" i="4"/>
  <c r="J272" i="4"/>
  <c r="J357" i="4"/>
  <c r="J330" i="4"/>
  <c r="J169" i="4"/>
  <c r="J347" i="4"/>
  <c r="J250" i="4"/>
  <c r="J154" i="4"/>
  <c r="J355" i="4"/>
  <c r="J249" i="4"/>
  <c r="J271" i="4"/>
  <c r="J344" i="4"/>
  <c r="J310" i="4"/>
  <c r="J361" i="4"/>
  <c r="J370" i="4"/>
  <c r="J327" i="4"/>
  <c r="J247" i="4"/>
  <c r="J263" i="4"/>
  <c r="J239" i="4"/>
  <c r="J297" i="4"/>
  <c r="J322" i="4"/>
  <c r="J269" i="4"/>
  <c r="J281" i="4"/>
  <c r="J258" i="4"/>
  <c r="J304" i="4"/>
  <c r="J354" i="4"/>
  <c r="J337" i="4"/>
  <c r="J318" i="4"/>
  <c r="J293" i="4"/>
  <c r="J266" i="4"/>
  <c r="J367" i="4"/>
  <c r="J191" i="4"/>
  <c r="J242" i="4"/>
  <c r="J309" i="4"/>
  <c r="J329" i="4"/>
  <c r="J114" i="4"/>
  <c r="J273" i="4"/>
  <c r="J274" i="4"/>
  <c r="J359" i="4"/>
  <c r="J351" i="4"/>
  <c r="J231" i="4"/>
  <c r="J340" i="4"/>
  <c r="J279" i="4"/>
  <c r="J241" i="4"/>
  <c r="J365" i="4"/>
  <c r="J229" i="4"/>
  <c r="J324" i="4"/>
  <c r="J196" i="4"/>
  <c r="J333" i="4"/>
  <c r="J253" i="4"/>
  <c r="J288" i="4"/>
  <c r="J366" i="4"/>
  <c r="J276" i="4"/>
  <c r="J180" i="4"/>
  <c r="J373" i="4"/>
  <c r="J332" i="4"/>
  <c r="J326" i="4"/>
  <c r="J311" i="4"/>
  <c r="J286" i="4"/>
  <c r="J338" i="4"/>
  <c r="J371" i="4"/>
  <c r="J291" i="4"/>
  <c r="J275" i="4"/>
  <c r="J240" i="4"/>
  <c r="J328" i="4"/>
  <c r="J317" i="4"/>
  <c r="J325" i="4"/>
  <c r="J358" i="4"/>
  <c r="J295" i="4"/>
  <c r="J289" i="4"/>
  <c r="J233" i="4"/>
  <c r="J267" i="4"/>
  <c r="J339" i="4"/>
  <c r="J292" i="4"/>
  <c r="J244" i="4"/>
  <c r="J334" i="4"/>
  <c r="J342" i="4"/>
  <c r="J230" i="4"/>
  <c r="J303" i="4"/>
  <c r="J348" i="4"/>
  <c r="J165" i="4"/>
  <c r="J356" i="4"/>
  <c r="J143" i="4"/>
  <c r="J300" i="4"/>
  <c r="J372" i="4"/>
  <c r="J228" i="4"/>
  <c r="J360" i="4"/>
  <c r="J374" i="4"/>
  <c r="J222" i="4"/>
  <c r="J245" i="4"/>
  <c r="J290" i="4"/>
  <c r="J246" i="4"/>
  <c r="J283" i="4"/>
  <c r="J254" i="4"/>
  <c r="J294" i="4"/>
  <c r="J350" i="4"/>
  <c r="J200" i="4"/>
  <c r="J260" i="4"/>
  <c r="J232" i="4"/>
  <c r="J257" i="4"/>
  <c r="J277" i="4"/>
  <c r="J259" i="4"/>
  <c r="J362" i="4"/>
  <c r="J282" i="4"/>
  <c r="J305" i="4"/>
  <c r="J251" i="4"/>
  <c r="J252" i="4"/>
  <c r="J301" i="4"/>
  <c r="J319" i="4"/>
  <c r="J343" i="4"/>
  <c r="J308" i="4"/>
  <c r="J234" i="4"/>
  <c r="J278" i="4"/>
  <c r="J255" i="4"/>
  <c r="J363" i="4"/>
  <c r="J236" i="4"/>
  <c r="J237" i="4"/>
  <c r="J268" i="4"/>
  <c r="J306" i="4"/>
  <c r="K144" i="3"/>
  <c r="U144" i="3"/>
  <c r="P144" i="3"/>
  <c r="M144" i="3"/>
  <c r="L144" i="3"/>
  <c r="O144" i="3"/>
  <c r="Q144" i="3"/>
  <c r="N144" i="3"/>
  <c r="P143" i="3"/>
  <c r="M143" i="3"/>
  <c r="L143" i="3"/>
  <c r="O143" i="3"/>
  <c r="U143" i="3"/>
  <c r="N143" i="3"/>
  <c r="Q143" i="3"/>
  <c r="K143" i="3"/>
  <c r="M95" i="3"/>
  <c r="U95" i="3"/>
  <c r="N95" i="3"/>
  <c r="P95" i="3"/>
  <c r="K95" i="3"/>
  <c r="L95" i="3"/>
  <c r="O95" i="3"/>
  <c r="Q95" i="3"/>
  <c r="P155" i="3"/>
  <c r="K155" i="3"/>
  <c r="L155" i="3"/>
  <c r="Q155" i="3"/>
  <c r="U155" i="3"/>
  <c r="N155" i="3"/>
  <c r="O155" i="3"/>
  <c r="M155" i="3"/>
  <c r="O113" i="4"/>
  <c r="Q113" i="4" s="1"/>
  <c r="L113" i="4"/>
  <c r="M113" i="4"/>
  <c r="U113" i="4"/>
  <c r="N113" i="4"/>
  <c r="L179" i="4"/>
  <c r="O179" i="4"/>
  <c r="Q179" i="4" s="1"/>
  <c r="N179" i="4"/>
  <c r="U179" i="4"/>
  <c r="M179" i="4"/>
  <c r="K142" i="3"/>
  <c r="U142" i="3"/>
  <c r="P142" i="3"/>
  <c r="M142" i="3"/>
  <c r="O142" i="3"/>
  <c r="L142" i="3"/>
  <c r="N142" i="3"/>
  <c r="Q142" i="3"/>
  <c r="O216" i="3"/>
  <c r="N216" i="3"/>
  <c r="M216" i="3"/>
  <c r="L216" i="3"/>
  <c r="K216" i="3"/>
  <c r="U216" i="3"/>
  <c r="P216" i="3"/>
  <c r="Q216" i="3"/>
  <c r="P94" i="3"/>
  <c r="N94" i="3"/>
  <c r="M94" i="3"/>
  <c r="L94" i="3"/>
  <c r="O94" i="3"/>
  <c r="Q94" i="3"/>
  <c r="K94" i="3"/>
  <c r="U94" i="3"/>
  <c r="K154" i="3"/>
  <c r="Q154" i="3"/>
  <c r="M154" i="3"/>
  <c r="P154" i="3"/>
  <c r="N154" i="3"/>
  <c r="U154" i="3"/>
  <c r="O154" i="3"/>
  <c r="L154" i="3"/>
  <c r="N142" i="4"/>
  <c r="O142" i="4"/>
  <c r="Q142" i="4" s="1"/>
  <c r="L142" i="4"/>
  <c r="M142" i="4"/>
  <c r="U142" i="4"/>
  <c r="O112" i="4"/>
  <c r="Q112" i="4" s="1"/>
  <c r="L112" i="4"/>
  <c r="M112" i="4"/>
  <c r="N112" i="4"/>
  <c r="U112" i="4"/>
  <c r="M178" i="4"/>
  <c r="O178" i="4"/>
  <c r="Q178" i="4" s="1"/>
  <c r="N178" i="4"/>
  <c r="L178" i="4"/>
  <c r="U178" i="4"/>
  <c r="P141" i="3"/>
  <c r="N141" i="3"/>
  <c r="M141" i="3"/>
  <c r="U141" i="3"/>
  <c r="O141" i="3"/>
  <c r="K141" i="3"/>
  <c r="Q141" i="3"/>
  <c r="L141" i="3"/>
  <c r="N215" i="3"/>
  <c r="Q215" i="3"/>
  <c r="O215" i="3"/>
  <c r="P215" i="3"/>
  <c r="L215" i="3"/>
  <c r="M215" i="3"/>
  <c r="K215" i="3"/>
  <c r="U215" i="3"/>
  <c r="K93" i="3"/>
  <c r="Q93" i="3"/>
  <c r="O93" i="3"/>
  <c r="M93" i="3"/>
  <c r="P93" i="3"/>
  <c r="U93" i="3"/>
  <c r="L93" i="3"/>
  <c r="N93" i="3"/>
  <c r="P153" i="3"/>
  <c r="M153" i="3"/>
  <c r="L153" i="3"/>
  <c r="O153" i="3"/>
  <c r="K153" i="3"/>
  <c r="Q153" i="3"/>
  <c r="N153" i="3"/>
  <c r="U153" i="3"/>
  <c r="U141" i="4"/>
  <c r="N141" i="4"/>
  <c r="M141" i="4"/>
  <c r="L141" i="4"/>
  <c r="O141" i="4"/>
  <c r="Q141" i="4" s="1"/>
  <c r="L132" i="4"/>
  <c r="N132" i="4"/>
  <c r="U132" i="4"/>
  <c r="M132" i="4"/>
  <c r="O132" i="4"/>
  <c r="Q132" i="4" s="1"/>
  <c r="O208" i="4"/>
  <c r="Q208" i="4" s="1"/>
  <c r="U208" i="4"/>
  <c r="M208" i="4"/>
  <c r="L208" i="4"/>
  <c r="N208" i="4"/>
  <c r="N111" i="4"/>
  <c r="O111" i="4"/>
  <c r="Q111" i="4" s="1"/>
  <c r="M111" i="4"/>
  <c r="U111" i="4"/>
  <c r="L111" i="4"/>
  <c r="U177" i="4"/>
  <c r="N177" i="4"/>
  <c r="L177" i="4"/>
  <c r="O177" i="4"/>
  <c r="Q177" i="4" s="1"/>
  <c r="M177" i="4"/>
  <c r="M140" i="3"/>
  <c r="N140" i="3"/>
  <c r="P140" i="3"/>
  <c r="K140" i="3"/>
  <c r="Q140" i="3"/>
  <c r="U140" i="3"/>
  <c r="L140" i="3"/>
  <c r="O140" i="3"/>
  <c r="U214" i="3"/>
  <c r="K214" i="3"/>
  <c r="P214" i="3"/>
  <c r="Q214" i="3"/>
  <c r="M214" i="3"/>
  <c r="N214" i="3"/>
  <c r="L214" i="3"/>
  <c r="O214" i="3"/>
  <c r="P92" i="3"/>
  <c r="Q92" i="3"/>
  <c r="K92" i="3"/>
  <c r="M92" i="3"/>
  <c r="O92" i="3"/>
  <c r="U92" i="3"/>
  <c r="N92" i="3"/>
  <c r="L92" i="3"/>
  <c r="U189" i="3"/>
  <c r="N189" i="3"/>
  <c r="P189" i="3"/>
  <c r="L189" i="3"/>
  <c r="M189" i="3"/>
  <c r="O189" i="3"/>
  <c r="K189" i="3"/>
  <c r="Q189" i="3"/>
  <c r="M152" i="3"/>
  <c r="P152" i="3"/>
  <c r="Q152" i="3"/>
  <c r="N152" i="3"/>
  <c r="O152" i="3"/>
  <c r="K152" i="3"/>
  <c r="U152" i="3"/>
  <c r="L152" i="3"/>
  <c r="L164" i="4"/>
  <c r="O164" i="4"/>
  <c r="Q164" i="4" s="1"/>
  <c r="N164" i="4"/>
  <c r="M164" i="4"/>
  <c r="U164" i="4"/>
  <c r="O190" i="4"/>
  <c r="Q190" i="4" s="1"/>
  <c r="M190" i="4"/>
  <c r="U190" i="4"/>
  <c r="L190" i="4"/>
  <c r="N190" i="4"/>
  <c r="N140" i="4"/>
  <c r="U140" i="4"/>
  <c r="L140" i="4"/>
  <c r="O140" i="4"/>
  <c r="Q140" i="4" s="1"/>
  <c r="M140" i="4"/>
  <c r="O131" i="4"/>
  <c r="Q131" i="4" s="1"/>
  <c r="M131" i="4"/>
  <c r="U131" i="4"/>
  <c r="L131" i="4"/>
  <c r="N131" i="4"/>
  <c r="U207" i="4"/>
  <c r="N207" i="4"/>
  <c r="O207" i="4"/>
  <c r="Q207" i="4" s="1"/>
  <c r="M207" i="4"/>
  <c r="L207" i="4"/>
  <c r="M110" i="4"/>
  <c r="N110" i="4"/>
  <c r="L110" i="4"/>
  <c r="O110" i="4"/>
  <c r="Q110" i="4" s="1"/>
  <c r="U110" i="4"/>
  <c r="N176" i="4"/>
  <c r="L176" i="4"/>
  <c r="M176" i="4"/>
  <c r="O176" i="4"/>
  <c r="Q176" i="4" s="1"/>
  <c r="U176" i="4"/>
  <c r="M126" i="3"/>
  <c r="L126" i="3"/>
  <c r="Q126" i="3"/>
  <c r="P126" i="3"/>
  <c r="N126" i="3"/>
  <c r="O126" i="3"/>
  <c r="K126" i="3"/>
  <c r="U126" i="3"/>
  <c r="U139" i="3"/>
  <c r="M139" i="3"/>
  <c r="P139" i="3"/>
  <c r="O139" i="3"/>
  <c r="N139" i="3"/>
  <c r="K139" i="3"/>
  <c r="Q139" i="3"/>
  <c r="L139" i="3"/>
  <c r="N213" i="3"/>
  <c r="Q213" i="3"/>
  <c r="U213" i="3"/>
  <c r="K213" i="3"/>
  <c r="M213" i="3"/>
  <c r="L213" i="3"/>
  <c r="O213" i="3"/>
  <c r="P213" i="3"/>
  <c r="O91" i="3"/>
  <c r="Q91" i="3"/>
  <c r="L91" i="3"/>
  <c r="M91" i="3"/>
  <c r="P91" i="3"/>
  <c r="U91" i="3"/>
  <c r="N91" i="3"/>
  <c r="K91" i="3"/>
  <c r="L223" i="3"/>
  <c r="O223" i="3"/>
  <c r="K223" i="3"/>
  <c r="P223" i="3"/>
  <c r="Q223" i="3"/>
  <c r="M223" i="3"/>
  <c r="U223" i="3"/>
  <c r="N223" i="3"/>
  <c r="O188" i="3"/>
  <c r="K188" i="3"/>
  <c r="Q188" i="3"/>
  <c r="U188" i="3"/>
  <c r="P188" i="3"/>
  <c r="N188" i="3"/>
  <c r="M188" i="3"/>
  <c r="L188" i="3"/>
  <c r="Q151" i="3"/>
  <c r="U151" i="3"/>
  <c r="L151" i="3"/>
  <c r="O151" i="3"/>
  <c r="N151" i="3"/>
  <c r="K151" i="3"/>
  <c r="M151" i="3"/>
  <c r="P151" i="3"/>
  <c r="O163" i="4"/>
  <c r="Q163" i="4" s="1"/>
  <c r="U163" i="4"/>
  <c r="L163" i="4"/>
  <c r="N163" i="4"/>
  <c r="M163" i="4"/>
  <c r="U189" i="4"/>
  <c r="N189" i="4"/>
  <c r="M189" i="4"/>
  <c r="L189" i="4"/>
  <c r="O189" i="4"/>
  <c r="Q189" i="4" s="1"/>
  <c r="U139" i="4"/>
  <c r="M139" i="4"/>
  <c r="L139" i="4"/>
  <c r="N139" i="4"/>
  <c r="O139" i="4"/>
  <c r="Q139" i="4" s="1"/>
  <c r="L130" i="4"/>
  <c r="U130" i="4"/>
  <c r="O130" i="4"/>
  <c r="Q130" i="4" s="1"/>
  <c r="M130" i="4"/>
  <c r="N130" i="4"/>
  <c r="M206" i="4"/>
  <c r="O206" i="4"/>
  <c r="Q206" i="4" s="1"/>
  <c r="U206" i="4"/>
  <c r="N206" i="4"/>
  <c r="L206" i="4"/>
  <c r="N109" i="4"/>
  <c r="L109" i="4"/>
  <c r="M109" i="4"/>
  <c r="U109" i="4"/>
  <c r="O109" i="4"/>
  <c r="Q109" i="4" s="1"/>
  <c r="L175" i="4"/>
  <c r="N175" i="4"/>
  <c r="M175" i="4"/>
  <c r="O175" i="4"/>
  <c r="Q175" i="4" s="1"/>
  <c r="U175" i="4"/>
  <c r="Q204" i="3"/>
  <c r="P204" i="3"/>
  <c r="O204" i="3"/>
  <c r="U204" i="3"/>
  <c r="K204" i="3"/>
  <c r="M204" i="3"/>
  <c r="L204" i="3"/>
  <c r="N204" i="3"/>
  <c r="N118" i="3"/>
  <c r="K118" i="3"/>
  <c r="M118" i="3"/>
  <c r="P118" i="3"/>
  <c r="O118" i="3"/>
  <c r="U118" i="3"/>
  <c r="L118" i="3"/>
  <c r="Q118" i="3"/>
  <c r="L125" i="3"/>
  <c r="O125" i="3"/>
  <c r="P125" i="3"/>
  <c r="U125" i="3"/>
  <c r="Q125" i="3"/>
  <c r="K125" i="3"/>
  <c r="M125" i="3"/>
  <c r="N125" i="3"/>
  <c r="O138" i="3"/>
  <c r="N138" i="3"/>
  <c r="Q138" i="3"/>
  <c r="U138" i="3"/>
  <c r="L138" i="3"/>
  <c r="M138" i="3"/>
  <c r="P138" i="3"/>
  <c r="K138" i="3"/>
  <c r="M212" i="3"/>
  <c r="U212" i="3"/>
  <c r="P212" i="3"/>
  <c r="K212" i="3"/>
  <c r="O212" i="3"/>
  <c r="L212" i="3"/>
  <c r="Q212" i="3"/>
  <c r="N212" i="3"/>
  <c r="P110" i="3"/>
  <c r="N110" i="3"/>
  <c r="L110" i="3"/>
  <c r="M110" i="3"/>
  <c r="K110" i="3"/>
  <c r="O110" i="3"/>
  <c r="Q110" i="3"/>
  <c r="U110" i="3"/>
  <c r="Q90" i="3"/>
  <c r="U90" i="3"/>
  <c r="P90" i="3"/>
  <c r="O90" i="3"/>
  <c r="N90" i="3"/>
  <c r="L90" i="3"/>
  <c r="K90" i="3"/>
  <c r="M90" i="3"/>
  <c r="M222" i="3"/>
  <c r="N222" i="3"/>
  <c r="L222" i="3"/>
  <c r="O222" i="3"/>
  <c r="K222" i="3"/>
  <c r="Q222" i="3"/>
  <c r="U222" i="3"/>
  <c r="P222" i="3"/>
  <c r="U187" i="3"/>
  <c r="L187" i="3"/>
  <c r="N187" i="3"/>
  <c r="P187" i="3"/>
  <c r="K187" i="3"/>
  <c r="Q187" i="3"/>
  <c r="M187" i="3"/>
  <c r="O187" i="3"/>
  <c r="U150" i="3"/>
  <c r="M150" i="3"/>
  <c r="L150" i="3"/>
  <c r="N150" i="3"/>
  <c r="O150" i="3"/>
  <c r="K150" i="3"/>
  <c r="Q150" i="3"/>
  <c r="P150" i="3"/>
  <c r="N162" i="4"/>
  <c r="O162" i="4"/>
  <c r="Q162" i="4" s="1"/>
  <c r="M162" i="4"/>
  <c r="U162" i="4"/>
  <c r="L162" i="4"/>
  <c r="N188" i="4"/>
  <c r="U188" i="4"/>
  <c r="L188" i="4"/>
  <c r="O188" i="4"/>
  <c r="Q188" i="4" s="1"/>
  <c r="M188" i="4"/>
  <c r="O138" i="4"/>
  <c r="Q138" i="4" s="1"/>
  <c r="U138" i="4"/>
  <c r="N138" i="4"/>
  <c r="L138" i="4"/>
  <c r="M138" i="4"/>
  <c r="M153" i="4"/>
  <c r="O153" i="4"/>
  <c r="Q153" i="4" s="1"/>
  <c r="U153" i="4"/>
  <c r="N153" i="4"/>
  <c r="L153" i="4"/>
  <c r="L129" i="4"/>
  <c r="M129" i="4"/>
  <c r="U129" i="4"/>
  <c r="N129" i="4"/>
  <c r="O129" i="4"/>
  <c r="Q129" i="4" s="1"/>
  <c r="L205" i="4"/>
  <c r="O205" i="4"/>
  <c r="Q205" i="4" s="1"/>
  <c r="N205" i="4"/>
  <c r="U205" i="4"/>
  <c r="M205" i="4"/>
  <c r="N108" i="4"/>
  <c r="L108" i="4"/>
  <c r="M108" i="4"/>
  <c r="O108" i="4"/>
  <c r="Q108" i="4" s="1"/>
  <c r="U108" i="4"/>
  <c r="O174" i="4"/>
  <c r="Q174" i="4" s="1"/>
  <c r="U174" i="4"/>
  <c r="N174" i="4"/>
  <c r="M174" i="4"/>
  <c r="L174" i="4"/>
  <c r="Q203" i="3"/>
  <c r="P203" i="3"/>
  <c r="K203" i="3"/>
  <c r="U203" i="3"/>
  <c r="M203" i="3"/>
  <c r="L203" i="3"/>
  <c r="N203" i="3"/>
  <c r="O203" i="3"/>
  <c r="M104" i="3"/>
  <c r="N104" i="3"/>
  <c r="P104" i="3"/>
  <c r="L104" i="3"/>
  <c r="K104" i="3"/>
  <c r="Q104" i="3"/>
  <c r="O104" i="3"/>
  <c r="U104" i="3"/>
  <c r="K117" i="3"/>
  <c r="L117" i="3"/>
  <c r="P117" i="3"/>
  <c r="O117" i="3"/>
  <c r="M117" i="3"/>
  <c r="Q117" i="3"/>
  <c r="U117" i="3"/>
  <c r="N117" i="3"/>
  <c r="U124" i="3"/>
  <c r="L124" i="3"/>
  <c r="N124" i="3"/>
  <c r="M124" i="3"/>
  <c r="P124" i="3"/>
  <c r="Q124" i="3"/>
  <c r="K124" i="3"/>
  <c r="O124" i="3"/>
  <c r="Q137" i="3"/>
  <c r="L137" i="3"/>
  <c r="N137" i="3"/>
  <c r="O137" i="3"/>
  <c r="P137" i="3"/>
  <c r="M137" i="3"/>
  <c r="U137" i="3"/>
  <c r="K137" i="3"/>
  <c r="O211" i="3"/>
  <c r="M211" i="3"/>
  <c r="Q211" i="3"/>
  <c r="N211" i="3"/>
  <c r="P211" i="3"/>
  <c r="U211" i="3"/>
  <c r="K211" i="3"/>
  <c r="L211" i="3"/>
  <c r="L109" i="3"/>
  <c r="P109" i="3"/>
  <c r="Q109" i="3"/>
  <c r="M109" i="3"/>
  <c r="N109" i="3"/>
  <c r="U109" i="3"/>
  <c r="K109" i="3"/>
  <c r="O109" i="3"/>
  <c r="P177" i="3"/>
  <c r="O177" i="3"/>
  <c r="Q177" i="3"/>
  <c r="L177" i="3"/>
  <c r="M177" i="3"/>
  <c r="K177" i="3"/>
  <c r="N177" i="3"/>
  <c r="U177" i="3"/>
  <c r="P89" i="3"/>
  <c r="U89" i="3"/>
  <c r="M89" i="3"/>
  <c r="O89" i="3"/>
  <c r="Q89" i="3"/>
  <c r="L89" i="3"/>
  <c r="K89" i="3"/>
  <c r="N89" i="3"/>
  <c r="U221" i="3"/>
  <c r="P221" i="3"/>
  <c r="M221" i="3"/>
  <c r="K221" i="3"/>
  <c r="N221" i="3"/>
  <c r="O221" i="3"/>
  <c r="L221" i="3"/>
  <c r="Q221" i="3"/>
  <c r="L186" i="3"/>
  <c r="M186" i="3"/>
  <c r="U186" i="3"/>
  <c r="Q186" i="3"/>
  <c r="N186" i="3"/>
  <c r="P186" i="3"/>
  <c r="O186" i="3"/>
  <c r="K186" i="3"/>
  <c r="N149" i="3"/>
  <c r="M149" i="3"/>
  <c r="K149" i="3"/>
  <c r="U149" i="3"/>
  <c r="Q149" i="3"/>
  <c r="P149" i="3"/>
  <c r="O149" i="3"/>
  <c r="L149" i="3"/>
  <c r="O161" i="4"/>
  <c r="Q161" i="4" s="1"/>
  <c r="L161" i="4"/>
  <c r="U161" i="4"/>
  <c r="N161" i="4"/>
  <c r="M161" i="4"/>
  <c r="N187" i="4"/>
  <c r="L187" i="4"/>
  <c r="M187" i="4"/>
  <c r="O187" i="4"/>
  <c r="Q187" i="4" s="1"/>
  <c r="U187" i="4"/>
  <c r="L137" i="4"/>
  <c r="N137" i="4"/>
  <c r="O137" i="4"/>
  <c r="Q137" i="4" s="1"/>
  <c r="U137" i="4"/>
  <c r="M137" i="4"/>
  <c r="U152" i="4"/>
  <c r="M152" i="4"/>
  <c r="O152" i="4"/>
  <c r="Q152" i="4" s="1"/>
  <c r="L152" i="4"/>
  <c r="N152" i="4"/>
  <c r="U128" i="4"/>
  <c r="N128" i="4"/>
  <c r="L128" i="4"/>
  <c r="M128" i="4"/>
  <c r="O128" i="4"/>
  <c r="Q128" i="4" s="1"/>
  <c r="L204" i="4"/>
  <c r="U204" i="4"/>
  <c r="O204" i="4"/>
  <c r="Q204" i="4" s="1"/>
  <c r="M204" i="4"/>
  <c r="N204" i="4"/>
  <c r="O107" i="4"/>
  <c r="Q107" i="4" s="1"/>
  <c r="M107" i="4"/>
  <c r="U107" i="4"/>
  <c r="N107" i="4"/>
  <c r="L107" i="4"/>
  <c r="O173" i="4"/>
  <c r="Q173" i="4" s="1"/>
  <c r="L173" i="4"/>
  <c r="U173" i="4"/>
  <c r="N173" i="4"/>
  <c r="M173" i="4"/>
  <c r="M83" i="3"/>
  <c r="K83" i="3"/>
  <c r="O83" i="3"/>
  <c r="N83" i="3"/>
  <c r="L83" i="3"/>
  <c r="U83" i="3"/>
  <c r="Q83" i="3"/>
  <c r="P83" i="3"/>
  <c r="N202" i="3"/>
  <c r="K202" i="3"/>
  <c r="P202" i="3"/>
  <c r="Q202" i="3"/>
  <c r="M202" i="3"/>
  <c r="O202" i="3"/>
  <c r="U202" i="3"/>
  <c r="L202" i="3"/>
  <c r="K103" i="3"/>
  <c r="M103" i="3"/>
  <c r="N103" i="3"/>
  <c r="P103" i="3"/>
  <c r="O103" i="3"/>
  <c r="U103" i="3"/>
  <c r="Q103" i="3"/>
  <c r="L103" i="3"/>
  <c r="L116" i="3"/>
  <c r="U116" i="3"/>
  <c r="N116" i="3"/>
  <c r="M116" i="3"/>
  <c r="K116" i="3"/>
  <c r="O116" i="3"/>
  <c r="P116" i="3"/>
  <c r="Q116" i="3"/>
  <c r="U123" i="3"/>
  <c r="Q123" i="3"/>
  <c r="N123" i="3"/>
  <c r="P123" i="3"/>
  <c r="K123" i="3"/>
  <c r="L123" i="3"/>
  <c r="M123" i="3"/>
  <c r="O123" i="3"/>
  <c r="N136" i="3"/>
  <c r="U136" i="3"/>
  <c r="Q136" i="3"/>
  <c r="L136" i="3"/>
  <c r="O136" i="3"/>
  <c r="K136" i="3"/>
  <c r="P136" i="3"/>
  <c r="M136" i="3"/>
  <c r="K210" i="3"/>
  <c r="U210" i="3"/>
  <c r="P210" i="3"/>
  <c r="L210" i="3"/>
  <c r="M210" i="3"/>
  <c r="O210" i="3"/>
  <c r="N210" i="3"/>
  <c r="Q210" i="3"/>
  <c r="O108" i="3"/>
  <c r="U108" i="3"/>
  <c r="L108" i="3"/>
  <c r="Q108" i="3"/>
  <c r="N108" i="3"/>
  <c r="P108" i="3"/>
  <c r="K108" i="3"/>
  <c r="M108" i="3"/>
  <c r="Q170" i="3"/>
  <c r="U170" i="3"/>
  <c r="M170" i="3"/>
  <c r="K170" i="3"/>
  <c r="O170" i="3"/>
  <c r="L170" i="3"/>
  <c r="N170" i="3"/>
  <c r="P170" i="3"/>
  <c r="P176" i="3"/>
  <c r="U176" i="3"/>
  <c r="N176" i="3"/>
  <c r="K176" i="3"/>
  <c r="M176" i="3"/>
  <c r="L176" i="3"/>
  <c r="Q176" i="3"/>
  <c r="O176" i="3"/>
  <c r="O88" i="3"/>
  <c r="L88" i="3"/>
  <c r="N88" i="3"/>
  <c r="Q88" i="3"/>
  <c r="P88" i="3"/>
  <c r="U88" i="3"/>
  <c r="K88" i="3"/>
  <c r="M88" i="3"/>
  <c r="L181" i="3"/>
  <c r="P181" i="3"/>
  <c r="N181" i="3"/>
  <c r="U181" i="3"/>
  <c r="Q181" i="3"/>
  <c r="K181" i="3"/>
  <c r="O181" i="3"/>
  <c r="M181" i="3"/>
  <c r="P220" i="3"/>
  <c r="K220" i="3"/>
  <c r="O220" i="3"/>
  <c r="M220" i="3"/>
  <c r="L220" i="3"/>
  <c r="Q220" i="3"/>
  <c r="U220" i="3"/>
  <c r="N220" i="3"/>
  <c r="K185" i="3"/>
  <c r="M185" i="3"/>
  <c r="Q185" i="3"/>
  <c r="O185" i="3"/>
  <c r="U185" i="3"/>
  <c r="N185" i="3"/>
  <c r="P185" i="3"/>
  <c r="L185" i="3"/>
  <c r="Q148" i="3"/>
  <c r="M148" i="3"/>
  <c r="N148" i="3"/>
  <c r="L148" i="3"/>
  <c r="U148" i="3"/>
  <c r="K148" i="3"/>
  <c r="P148" i="3"/>
  <c r="O148" i="3"/>
  <c r="K5" i="7"/>
  <c r="P5" i="7"/>
  <c r="O5" i="7"/>
  <c r="Q5" i="7" s="1"/>
  <c r="N5" i="7"/>
  <c r="M5" i="7"/>
  <c r="L5" i="7"/>
  <c r="U5" i="7"/>
  <c r="P17" i="6"/>
  <c r="O17" i="6"/>
  <c r="L17" i="6"/>
  <c r="M17" i="6"/>
  <c r="Q17" i="6"/>
  <c r="U17" i="6"/>
  <c r="N17" i="6"/>
  <c r="K17" i="6"/>
  <c r="N160" i="4"/>
  <c r="O160" i="4"/>
  <c r="Q160" i="4" s="1"/>
  <c r="M160" i="4"/>
  <c r="U160" i="4"/>
  <c r="L160" i="4"/>
  <c r="U186" i="4"/>
  <c r="O186" i="4"/>
  <c r="Q186" i="4" s="1"/>
  <c r="N186" i="4"/>
  <c r="L186" i="4"/>
  <c r="M186" i="4"/>
  <c r="O136" i="4"/>
  <c r="Q136" i="4" s="1"/>
  <c r="L136" i="4"/>
  <c r="N136" i="4"/>
  <c r="U136" i="4"/>
  <c r="M136" i="4"/>
  <c r="L151" i="4"/>
  <c r="O151" i="4"/>
  <c r="Q151" i="4" s="1"/>
  <c r="U151" i="4"/>
  <c r="N151" i="4"/>
  <c r="M151" i="4"/>
  <c r="U127" i="4"/>
  <c r="M127" i="4"/>
  <c r="O127" i="4"/>
  <c r="Q127" i="4" s="1"/>
  <c r="L127" i="4"/>
  <c r="N127" i="4"/>
  <c r="L203" i="4"/>
  <c r="U203" i="4"/>
  <c r="N203" i="4"/>
  <c r="M203" i="4"/>
  <c r="O203" i="4"/>
  <c r="Q203" i="4" s="1"/>
  <c r="O106" i="4"/>
  <c r="Q106" i="4" s="1"/>
  <c r="N106" i="4"/>
  <c r="U106" i="4"/>
  <c r="L106" i="4"/>
  <c r="M106" i="4"/>
  <c r="M172" i="4"/>
  <c r="N172" i="4"/>
  <c r="L172" i="4"/>
  <c r="O172" i="4"/>
  <c r="Q172" i="4" s="1"/>
  <c r="U172" i="4"/>
  <c r="M82" i="3"/>
  <c r="U82" i="3"/>
  <c r="N82" i="3"/>
  <c r="P82" i="3"/>
  <c r="K82" i="3"/>
  <c r="L82" i="3"/>
  <c r="Q82" i="3"/>
  <c r="O82" i="3"/>
  <c r="Q201" i="3"/>
  <c r="P201" i="3"/>
  <c r="K201" i="3"/>
  <c r="U201" i="3"/>
  <c r="M201" i="3"/>
  <c r="L201" i="3"/>
  <c r="N201" i="3"/>
  <c r="O201" i="3"/>
  <c r="L102" i="3"/>
  <c r="N102" i="3"/>
  <c r="U102" i="3"/>
  <c r="K102" i="3"/>
  <c r="Q102" i="3"/>
  <c r="O102" i="3"/>
  <c r="M102" i="3"/>
  <c r="P102" i="3"/>
  <c r="L115" i="3"/>
  <c r="N115" i="3"/>
  <c r="M115" i="3"/>
  <c r="P115" i="3"/>
  <c r="Q115" i="3"/>
  <c r="U115" i="3"/>
  <c r="O115" i="3"/>
  <c r="K115" i="3"/>
  <c r="P122" i="3"/>
  <c r="L122" i="3"/>
  <c r="M122" i="3"/>
  <c r="K122" i="3"/>
  <c r="O122" i="3"/>
  <c r="U122" i="3"/>
  <c r="N122" i="3"/>
  <c r="Q122" i="3"/>
  <c r="O135" i="3"/>
  <c r="M135" i="3"/>
  <c r="N135" i="3"/>
  <c r="K135" i="3"/>
  <c r="U135" i="3"/>
  <c r="L135" i="3"/>
  <c r="Q135" i="3"/>
  <c r="P135" i="3"/>
  <c r="U131" i="3"/>
  <c r="O131" i="3"/>
  <c r="P131" i="3"/>
  <c r="M131" i="3"/>
  <c r="K131" i="3"/>
  <c r="N131" i="3"/>
  <c r="L131" i="3"/>
  <c r="Q131" i="3"/>
  <c r="L209" i="3"/>
  <c r="N209" i="3"/>
  <c r="Q209" i="3"/>
  <c r="O209" i="3"/>
  <c r="P209" i="3"/>
  <c r="K209" i="3"/>
  <c r="U209" i="3"/>
  <c r="M209" i="3"/>
  <c r="Q107" i="3"/>
  <c r="P107" i="3"/>
  <c r="K107" i="3"/>
  <c r="O107" i="3"/>
  <c r="U107" i="3"/>
  <c r="L107" i="3"/>
  <c r="M107" i="3"/>
  <c r="N107" i="3"/>
  <c r="Q169" i="3"/>
  <c r="U169" i="3"/>
  <c r="L169" i="3"/>
  <c r="M169" i="3"/>
  <c r="O169" i="3"/>
  <c r="N169" i="3"/>
  <c r="P169" i="3"/>
  <c r="K169" i="3"/>
  <c r="O175" i="3"/>
  <c r="N175" i="3"/>
  <c r="L175" i="3"/>
  <c r="K175" i="3"/>
  <c r="P175" i="3"/>
  <c r="M175" i="3"/>
  <c r="U175" i="3"/>
  <c r="Q175" i="3"/>
  <c r="K87" i="3"/>
  <c r="L87" i="3"/>
  <c r="N87" i="3"/>
  <c r="Q87" i="3"/>
  <c r="P87" i="3"/>
  <c r="O87" i="3"/>
  <c r="M87" i="3"/>
  <c r="U87" i="3"/>
  <c r="K180" i="3"/>
  <c r="O180" i="3"/>
  <c r="L180" i="3"/>
  <c r="N180" i="3"/>
  <c r="M180" i="3"/>
  <c r="P180" i="3"/>
  <c r="Q180" i="3"/>
  <c r="U180" i="3"/>
  <c r="P219" i="3"/>
  <c r="O219" i="3"/>
  <c r="Q219" i="3"/>
  <c r="N219" i="3"/>
  <c r="K219" i="3"/>
  <c r="L219" i="3"/>
  <c r="U219" i="3"/>
  <c r="M219" i="3"/>
  <c r="U184" i="3"/>
  <c r="Q184" i="3"/>
  <c r="K184" i="3"/>
  <c r="O184" i="3"/>
  <c r="L184" i="3"/>
  <c r="M184" i="3"/>
  <c r="N184" i="3"/>
  <c r="P184" i="3"/>
  <c r="P147" i="3"/>
  <c r="Q147" i="3"/>
  <c r="M147" i="3"/>
  <c r="U147" i="3"/>
  <c r="K147" i="3"/>
  <c r="N147" i="3"/>
  <c r="O147" i="3"/>
  <c r="L147" i="3"/>
  <c r="M4" i="7"/>
  <c r="P4" i="7"/>
  <c r="L4" i="7"/>
  <c r="N4" i="7"/>
  <c r="U4" i="7"/>
  <c r="O4" i="7"/>
  <c r="Q4" i="7" s="1"/>
  <c r="K4" i="7"/>
  <c r="L16" i="6"/>
  <c r="M16" i="6"/>
  <c r="Q16" i="6"/>
  <c r="O16" i="6"/>
  <c r="U16" i="6"/>
  <c r="K16" i="6"/>
  <c r="N16" i="6"/>
  <c r="P16" i="6"/>
  <c r="U216" i="4"/>
  <c r="N216" i="4"/>
  <c r="M216" i="4"/>
  <c r="O216" i="4"/>
  <c r="Q216" i="4" s="1"/>
  <c r="L216" i="4"/>
  <c r="L159" i="4"/>
  <c r="M159" i="4"/>
  <c r="O159" i="4"/>
  <c r="Q159" i="4" s="1"/>
  <c r="U159" i="4"/>
  <c r="N159" i="4"/>
  <c r="M185" i="4"/>
  <c r="L185" i="4"/>
  <c r="O185" i="4"/>
  <c r="Q185" i="4" s="1"/>
  <c r="N185" i="4"/>
  <c r="U185" i="4"/>
  <c r="M227" i="4"/>
  <c r="O227" i="4"/>
  <c r="Q227" i="4" s="1"/>
  <c r="U227" i="4"/>
  <c r="N227" i="4"/>
  <c r="L227" i="4"/>
  <c r="M168" i="4"/>
  <c r="O168" i="4"/>
  <c r="Q168" i="4" s="1"/>
  <c r="L168" i="4"/>
  <c r="N168" i="4"/>
  <c r="U168" i="4"/>
  <c r="N135" i="4"/>
  <c r="M135" i="4"/>
  <c r="O135" i="4"/>
  <c r="Q135" i="4" s="1"/>
  <c r="U135" i="4"/>
  <c r="L135" i="4"/>
  <c r="U150" i="4"/>
  <c r="L150" i="4"/>
  <c r="O150" i="4"/>
  <c r="Q150" i="4" s="1"/>
  <c r="N150" i="4"/>
  <c r="M150" i="4"/>
  <c r="O126" i="4"/>
  <c r="Q126" i="4" s="1"/>
  <c r="U126" i="4"/>
  <c r="M126" i="4"/>
  <c r="N126" i="4"/>
  <c r="L126" i="4"/>
  <c r="L202" i="4"/>
  <c r="M202" i="4"/>
  <c r="O202" i="4"/>
  <c r="Q202" i="4" s="1"/>
  <c r="N202" i="4"/>
  <c r="U202" i="4"/>
  <c r="U105" i="4"/>
  <c r="L105" i="4"/>
  <c r="N105" i="4"/>
  <c r="O105" i="4"/>
  <c r="Q105" i="4" s="1"/>
  <c r="M105" i="4"/>
  <c r="U171" i="4"/>
  <c r="N171" i="4"/>
  <c r="M171" i="4"/>
  <c r="O171" i="4"/>
  <c r="Q171" i="4" s="1"/>
  <c r="L171" i="4"/>
  <c r="T6" i="10"/>
  <c r="N6" i="10"/>
  <c r="M6" i="10"/>
  <c r="P6" i="10"/>
  <c r="O6" i="10"/>
  <c r="S6" i="10"/>
  <c r="Q6" i="10"/>
  <c r="L6" i="10"/>
  <c r="K6" i="10"/>
  <c r="R6" i="10"/>
  <c r="U6" i="10"/>
  <c r="U3" i="10"/>
  <c r="K3" i="10"/>
  <c r="O3" i="10"/>
  <c r="Q3" i="10" s="1"/>
  <c r="M3" i="10"/>
  <c r="L3" i="10"/>
  <c r="P3" i="10"/>
  <c r="N3" i="10"/>
  <c r="O4" i="10"/>
  <c r="P4" i="10"/>
  <c r="T4" i="10"/>
  <c r="L4" i="10"/>
  <c r="R4" i="10"/>
  <c r="Q4" i="10"/>
  <c r="K4" i="10"/>
  <c r="N4" i="10"/>
  <c r="S4" i="10"/>
  <c r="M4" i="10"/>
  <c r="U4" i="10"/>
  <c r="T5" i="10"/>
  <c r="Q5" i="10"/>
  <c r="N5" i="10"/>
  <c r="O5" i="10"/>
  <c r="K5" i="10"/>
  <c r="U5" i="10"/>
  <c r="L5" i="10"/>
  <c r="P5" i="10"/>
  <c r="R5" i="10"/>
  <c r="S5" i="10"/>
  <c r="M5" i="10"/>
  <c r="L81" i="3"/>
  <c r="U81" i="3"/>
  <c r="Q81" i="3"/>
  <c r="M81" i="3"/>
  <c r="K81" i="3"/>
  <c r="P81" i="3"/>
  <c r="N81" i="3"/>
  <c r="O81" i="3"/>
  <c r="O80" i="3"/>
  <c r="P80" i="3"/>
  <c r="M80" i="3"/>
  <c r="K80" i="3"/>
  <c r="Q80" i="3"/>
  <c r="L80" i="3"/>
  <c r="N80" i="3"/>
  <c r="U80" i="3"/>
  <c r="Q79" i="3"/>
  <c r="K79" i="3"/>
  <c r="O79" i="3"/>
  <c r="L79" i="3"/>
  <c r="U79" i="3"/>
  <c r="N79" i="3"/>
  <c r="M79" i="3"/>
  <c r="P79" i="3"/>
  <c r="O200" i="3"/>
  <c r="N200" i="3"/>
  <c r="P200" i="3"/>
  <c r="Q200" i="3"/>
  <c r="U200" i="3"/>
  <c r="M200" i="3"/>
  <c r="K200" i="3"/>
  <c r="L200" i="3"/>
  <c r="K199" i="3"/>
  <c r="N199" i="3"/>
  <c r="P199" i="3"/>
  <c r="Q199" i="3"/>
  <c r="O199" i="3"/>
  <c r="M199" i="3"/>
  <c r="U199" i="3"/>
  <c r="L199" i="3"/>
  <c r="L101" i="3"/>
  <c r="K101" i="3"/>
  <c r="M101" i="3"/>
  <c r="U101" i="3"/>
  <c r="P101" i="3"/>
  <c r="N101" i="3"/>
  <c r="O101" i="3"/>
  <c r="Q101" i="3"/>
  <c r="L78" i="3"/>
  <c r="K78" i="3"/>
  <c r="P78" i="3"/>
  <c r="O78" i="3"/>
  <c r="U78" i="3"/>
  <c r="N78" i="3"/>
  <c r="Q78" i="3"/>
  <c r="M78" i="3"/>
  <c r="Q77" i="3"/>
  <c r="M77" i="3"/>
  <c r="U77" i="3"/>
  <c r="K77" i="3"/>
  <c r="O77" i="3"/>
  <c r="N77" i="3"/>
  <c r="P77" i="3"/>
  <c r="L77" i="3"/>
  <c r="N76" i="3"/>
  <c r="Q76" i="3"/>
  <c r="U76" i="3"/>
  <c r="M76" i="3"/>
  <c r="O76" i="3"/>
  <c r="P76" i="3"/>
  <c r="L76" i="3"/>
  <c r="K76" i="3"/>
  <c r="Q114" i="3"/>
  <c r="L114" i="3"/>
  <c r="K114" i="3"/>
  <c r="O114" i="3"/>
  <c r="M114" i="3"/>
  <c r="U114" i="3"/>
  <c r="N114" i="3"/>
  <c r="P114" i="3"/>
  <c r="N159" i="3"/>
  <c r="Q159" i="3"/>
  <c r="U159" i="3"/>
  <c r="K159" i="3"/>
  <c r="M159" i="3"/>
  <c r="P159" i="3"/>
  <c r="O159" i="3"/>
  <c r="L159" i="3"/>
  <c r="M75" i="3"/>
  <c r="Q75" i="3"/>
  <c r="N75" i="3"/>
  <c r="P75" i="3"/>
  <c r="O75" i="3"/>
  <c r="U75" i="3"/>
  <c r="K75" i="3"/>
  <c r="L75" i="3"/>
  <c r="P163" i="3"/>
  <c r="L163" i="3"/>
  <c r="M163" i="3"/>
  <c r="O163" i="3"/>
  <c r="Q163" i="3"/>
  <c r="U163" i="3"/>
  <c r="N163" i="3"/>
  <c r="K163" i="3"/>
  <c r="L113" i="3"/>
  <c r="K113" i="3"/>
  <c r="U113" i="3"/>
  <c r="M113" i="3"/>
  <c r="O113" i="3"/>
  <c r="P113" i="3"/>
  <c r="N113" i="3"/>
  <c r="Q113" i="3"/>
  <c r="K158" i="3"/>
  <c r="U158" i="3"/>
  <c r="L158" i="3"/>
  <c r="O158" i="3"/>
  <c r="Q158" i="3"/>
  <c r="N158" i="3"/>
  <c r="M158" i="3"/>
  <c r="P158" i="3"/>
  <c r="P74" i="3"/>
  <c r="U74" i="3"/>
  <c r="L74" i="3"/>
  <c r="O74" i="3"/>
  <c r="M74" i="3"/>
  <c r="K74" i="3"/>
  <c r="Q74" i="3"/>
  <c r="N74" i="3"/>
  <c r="L166" i="3"/>
  <c r="U166" i="3"/>
  <c r="K166" i="3"/>
  <c r="O166" i="3"/>
  <c r="P166" i="3"/>
  <c r="Q166" i="3"/>
  <c r="M166" i="3"/>
  <c r="N166" i="3"/>
  <c r="P121" i="3"/>
  <c r="Q121" i="3"/>
  <c r="U121" i="3"/>
  <c r="L121" i="3"/>
  <c r="M121" i="3"/>
  <c r="N121" i="3"/>
  <c r="O121" i="3"/>
  <c r="K121" i="3"/>
  <c r="Q134" i="3"/>
  <c r="O134" i="3"/>
  <c r="K134" i="3"/>
  <c r="L134" i="3"/>
  <c r="N134" i="3"/>
  <c r="M134" i="3"/>
  <c r="P134" i="3"/>
  <c r="U134" i="3"/>
  <c r="K130" i="3"/>
  <c r="N130" i="3"/>
  <c r="O130" i="3"/>
  <c r="P130" i="3"/>
  <c r="M130" i="3"/>
  <c r="L130" i="3"/>
  <c r="Q130" i="3"/>
  <c r="U130" i="3"/>
  <c r="U208" i="3"/>
  <c r="N208" i="3"/>
  <c r="L208" i="3"/>
  <c r="Q208" i="3"/>
  <c r="O208" i="3"/>
  <c r="M208" i="3"/>
  <c r="P208" i="3"/>
  <c r="K208" i="3"/>
  <c r="P192" i="3"/>
  <c r="S192" i="3"/>
  <c r="T192" i="3"/>
  <c r="R192" i="3"/>
  <c r="U192" i="3"/>
  <c r="O192" i="3"/>
  <c r="N192" i="3"/>
  <c r="Q192" i="3"/>
  <c r="L192" i="3"/>
  <c r="M192" i="3"/>
  <c r="K192" i="3"/>
  <c r="R338" i="3"/>
  <c r="U338" i="3"/>
  <c r="T338" i="3"/>
  <c r="M338" i="3"/>
  <c r="P338" i="3"/>
  <c r="S338" i="3"/>
  <c r="O338" i="3"/>
  <c r="K338" i="3"/>
  <c r="N338" i="3"/>
  <c r="Q338" i="3"/>
  <c r="L338" i="3"/>
  <c r="N478" i="3"/>
  <c r="P478" i="3"/>
  <c r="L478" i="3"/>
  <c r="M478" i="3"/>
  <c r="R478" i="3"/>
  <c r="K478" i="3"/>
  <c r="T478" i="3"/>
  <c r="O478" i="3"/>
  <c r="S478" i="3"/>
  <c r="U478" i="3"/>
  <c r="Q478" i="3"/>
  <c r="M266" i="3"/>
  <c r="Q266" i="3"/>
  <c r="L266" i="3"/>
  <c r="U266" i="3"/>
  <c r="N266" i="3"/>
  <c r="P266" i="3"/>
  <c r="T266" i="3"/>
  <c r="O266" i="3"/>
  <c r="K266" i="3"/>
  <c r="R266" i="3"/>
  <c r="S266" i="3"/>
  <c r="T255" i="3"/>
  <c r="L255" i="3"/>
  <c r="K255" i="3"/>
  <c r="N255" i="3"/>
  <c r="M255" i="3"/>
  <c r="O255" i="3"/>
  <c r="U255" i="3"/>
  <c r="P255" i="3"/>
  <c r="R255" i="3"/>
  <c r="S255" i="3" s="1"/>
  <c r="Q255" i="3"/>
  <c r="S535" i="3"/>
  <c r="L535" i="3"/>
  <c r="M535" i="3"/>
  <c r="Q535" i="3"/>
  <c r="K535" i="3"/>
  <c r="N535" i="3"/>
  <c r="R535" i="3"/>
  <c r="P535" i="3"/>
  <c r="T535" i="3"/>
  <c r="U535" i="3"/>
  <c r="O535" i="3"/>
  <c r="M445" i="3"/>
  <c r="K445" i="3"/>
  <c r="R445" i="3"/>
  <c r="T445" i="3"/>
  <c r="O445" i="3"/>
  <c r="P445" i="3"/>
  <c r="S445" i="3"/>
  <c r="U445" i="3"/>
  <c r="N445" i="3"/>
  <c r="Q445" i="3"/>
  <c r="L445" i="3"/>
  <c r="U311" i="3"/>
  <c r="M311" i="3"/>
  <c r="R311" i="3"/>
  <c r="P311" i="3"/>
  <c r="N311" i="3"/>
  <c r="Q311" i="3"/>
  <c r="T311" i="3"/>
  <c r="O311" i="3"/>
  <c r="K311" i="3"/>
  <c r="S311" i="3"/>
  <c r="L311" i="3"/>
  <c r="U532" i="3"/>
  <c r="L532" i="3"/>
  <c r="O532" i="3"/>
  <c r="K532" i="3"/>
  <c r="N532" i="3"/>
  <c r="Q532" i="3"/>
  <c r="P532" i="3"/>
  <c r="M532" i="3"/>
  <c r="T532" i="3"/>
  <c r="R532" i="3"/>
  <c r="S532" i="3"/>
  <c r="R442" i="3"/>
  <c r="T442" i="3"/>
  <c r="U442" i="3"/>
  <c r="Q442" i="3"/>
  <c r="M442" i="3"/>
  <c r="K442" i="3"/>
  <c r="N442" i="3"/>
  <c r="S442" i="3"/>
  <c r="O442" i="3"/>
  <c r="L442" i="3"/>
  <c r="P442" i="3"/>
  <c r="Q486" i="3"/>
  <c r="O486" i="3"/>
  <c r="S486" i="3"/>
  <c r="U486" i="3"/>
  <c r="T486" i="3"/>
  <c r="P486" i="3"/>
  <c r="L486" i="3"/>
  <c r="N486" i="3"/>
  <c r="R486" i="3"/>
  <c r="M486" i="3"/>
  <c r="K486" i="3"/>
  <c r="L361" i="3"/>
  <c r="T361" i="3"/>
  <c r="R361" i="3"/>
  <c r="U361" i="3"/>
  <c r="N361" i="3"/>
  <c r="S361" i="3"/>
  <c r="P361" i="3"/>
  <c r="Q361" i="3"/>
  <c r="O361" i="3"/>
  <c r="K361" i="3"/>
  <c r="M361" i="3"/>
  <c r="Q512" i="3"/>
  <c r="S512" i="3"/>
  <c r="U512" i="3"/>
  <c r="T512" i="3"/>
  <c r="K512" i="3"/>
  <c r="P512" i="3"/>
  <c r="R512" i="3"/>
  <c r="L512" i="3"/>
  <c r="O512" i="3"/>
  <c r="M512" i="3"/>
  <c r="N512" i="3"/>
  <c r="K443" i="3"/>
  <c r="L443" i="3"/>
  <c r="M443" i="3"/>
  <c r="P443" i="3"/>
  <c r="O443" i="3"/>
  <c r="U443" i="3"/>
  <c r="T443" i="3"/>
  <c r="S443" i="3"/>
  <c r="N443" i="3"/>
  <c r="Q443" i="3"/>
  <c r="R443" i="3"/>
  <c r="L397" i="3"/>
  <c r="T397" i="3"/>
  <c r="K397" i="3"/>
  <c r="Q397" i="3"/>
  <c r="R397" i="3"/>
  <c r="U397" i="3"/>
  <c r="O397" i="3"/>
  <c r="M397" i="3"/>
  <c r="P397" i="3"/>
  <c r="N397" i="3"/>
  <c r="S397" i="3"/>
  <c r="M105" i="3"/>
  <c r="S105" i="3"/>
  <c r="P105" i="3"/>
  <c r="O105" i="3"/>
  <c r="Q105" i="3"/>
  <c r="T105" i="3"/>
  <c r="U105" i="3"/>
  <c r="K105" i="3"/>
  <c r="R105" i="3"/>
  <c r="L105" i="3"/>
  <c r="N105" i="3"/>
  <c r="T406" i="3"/>
  <c r="L406" i="3"/>
  <c r="N406" i="3"/>
  <c r="K406" i="3"/>
  <c r="U406" i="3"/>
  <c r="O406" i="3"/>
  <c r="Q406" i="3"/>
  <c r="M406" i="3"/>
  <c r="P406" i="3"/>
  <c r="R406" i="3"/>
  <c r="S406" i="3"/>
  <c r="R84" i="3"/>
  <c r="Q84" i="3"/>
  <c r="T84" i="3"/>
  <c r="L84" i="3"/>
  <c r="N84" i="3"/>
  <c r="M84" i="3"/>
  <c r="S84" i="3"/>
  <c r="U84" i="3"/>
  <c r="O84" i="3"/>
  <c r="P84" i="3"/>
  <c r="K84" i="3"/>
  <c r="M300" i="3"/>
  <c r="P300" i="3"/>
  <c r="U300" i="3"/>
  <c r="K300" i="3"/>
  <c r="T300" i="3"/>
  <c r="R300" i="3"/>
  <c r="Q300" i="3"/>
  <c r="O300" i="3"/>
  <c r="N300" i="3"/>
  <c r="S300" i="3"/>
  <c r="L300" i="3"/>
  <c r="Q465" i="3"/>
  <c r="N465" i="3"/>
  <c r="O465" i="3"/>
  <c r="M465" i="3"/>
  <c r="U465" i="3"/>
  <c r="S465" i="3"/>
  <c r="R465" i="3"/>
  <c r="K465" i="3"/>
  <c r="P465" i="3"/>
  <c r="L465" i="3"/>
  <c r="T465" i="3"/>
  <c r="N111" i="3"/>
  <c r="O111" i="3"/>
  <c r="T111" i="3"/>
  <c r="P111" i="3"/>
  <c r="K111" i="3"/>
  <c r="R111" i="3"/>
  <c r="S111" i="3"/>
  <c r="Q111" i="3"/>
  <c r="U111" i="3"/>
  <c r="M111" i="3"/>
  <c r="L111" i="3"/>
  <c r="K456" i="3"/>
  <c r="N456" i="3"/>
  <c r="R456" i="3"/>
  <c r="T456" i="3"/>
  <c r="Q456" i="3"/>
  <c r="M456" i="3"/>
  <c r="U456" i="3"/>
  <c r="S456" i="3"/>
  <c r="L456" i="3"/>
  <c r="P456" i="3"/>
  <c r="O456" i="3"/>
  <c r="U543" i="3"/>
  <c r="R543" i="3"/>
  <c r="T543" i="3"/>
  <c r="N543" i="3"/>
  <c r="P543" i="3"/>
  <c r="Q543" i="3"/>
  <c r="S543" i="3"/>
  <c r="O543" i="3"/>
  <c r="K543" i="3"/>
  <c r="L543" i="3"/>
  <c r="M543" i="3"/>
  <c r="R237" i="3"/>
  <c r="S237" i="3"/>
  <c r="O237" i="3"/>
  <c r="M237" i="3"/>
  <c r="L237" i="3"/>
  <c r="Q237" i="3"/>
  <c r="P237" i="3"/>
  <c r="U237" i="3"/>
  <c r="K237" i="3"/>
  <c r="T237" i="3"/>
  <c r="N237" i="3"/>
  <c r="O106" i="3"/>
  <c r="U106" i="3"/>
  <c r="L106" i="3"/>
  <c r="M106" i="3"/>
  <c r="P106" i="3"/>
  <c r="N106" i="3"/>
  <c r="Q106" i="3"/>
  <c r="K106" i="3"/>
  <c r="U474" i="3"/>
  <c r="L474" i="3"/>
  <c r="Q474" i="3"/>
  <c r="R474" i="3"/>
  <c r="P474" i="3"/>
  <c r="T474" i="3"/>
  <c r="O474" i="3"/>
  <c r="K474" i="3"/>
  <c r="S474" i="3"/>
  <c r="M474" i="3"/>
  <c r="N474" i="3"/>
  <c r="P312" i="3"/>
  <c r="K312" i="3"/>
  <c r="Q312" i="3"/>
  <c r="L312" i="3"/>
  <c r="M312" i="3"/>
  <c r="U312" i="3"/>
  <c r="S312" i="3"/>
  <c r="N312" i="3"/>
  <c r="O312" i="3"/>
  <c r="T312" i="3"/>
  <c r="R312" i="3"/>
  <c r="P303" i="3"/>
  <c r="O303" i="3"/>
  <c r="M303" i="3"/>
  <c r="Q303" i="3"/>
  <c r="K303" i="3"/>
  <c r="U303" i="3"/>
  <c r="R303" i="3"/>
  <c r="S303" i="3"/>
  <c r="L303" i="3"/>
  <c r="N303" i="3"/>
  <c r="T303" i="3"/>
  <c r="U552" i="3"/>
  <c r="O552" i="3"/>
  <c r="K552" i="3"/>
  <c r="P552" i="3"/>
  <c r="M552" i="3"/>
  <c r="L552" i="3"/>
  <c r="R552" i="3"/>
  <c r="T552" i="3"/>
  <c r="Q552" i="3"/>
  <c r="N552" i="3"/>
  <c r="S552" i="3"/>
  <c r="M470" i="3"/>
  <c r="K470" i="3"/>
  <c r="T470" i="3"/>
  <c r="U470" i="3"/>
  <c r="L470" i="3"/>
  <c r="P470" i="3"/>
  <c r="R470" i="3"/>
  <c r="N470" i="3"/>
  <c r="Q470" i="3"/>
  <c r="S470" i="3"/>
  <c r="O470" i="3"/>
  <c r="P416" i="3"/>
  <c r="U416" i="3"/>
  <c r="M416" i="3"/>
  <c r="T416" i="3"/>
  <c r="S416" i="3"/>
  <c r="Q416" i="3"/>
  <c r="L416" i="3"/>
  <c r="N416" i="3"/>
  <c r="R416" i="3"/>
  <c r="K416" i="3"/>
  <c r="O416" i="3"/>
  <c r="U302" i="3"/>
  <c r="T302" i="3"/>
  <c r="P302" i="3"/>
  <c r="N302" i="3"/>
  <c r="Q302" i="3"/>
  <c r="K302" i="3"/>
  <c r="S302" i="3"/>
  <c r="O302" i="3"/>
  <c r="M302" i="3"/>
  <c r="L302" i="3"/>
  <c r="R302" i="3"/>
  <c r="Q254" i="3"/>
  <c r="S254" i="3"/>
  <c r="R254" i="3"/>
  <c r="P254" i="3"/>
  <c r="L254" i="3"/>
  <c r="T254" i="3"/>
  <c r="N254" i="3"/>
  <c r="M254" i="3"/>
  <c r="O254" i="3"/>
  <c r="U254" i="3"/>
  <c r="K254" i="3"/>
  <c r="O268" i="3"/>
  <c r="U268" i="3"/>
  <c r="L268" i="3"/>
  <c r="Q268" i="3"/>
  <c r="K268" i="3"/>
  <c r="N268" i="3"/>
  <c r="M268" i="3"/>
  <c r="T268" i="3"/>
  <c r="R268" i="3"/>
  <c r="S268" i="3"/>
  <c r="P268" i="3"/>
  <c r="M205" i="3"/>
  <c r="K205" i="3"/>
  <c r="R205" i="3"/>
  <c r="S205" i="3"/>
  <c r="Q205" i="3"/>
  <c r="P205" i="3"/>
  <c r="N205" i="3"/>
  <c r="L205" i="3"/>
  <c r="O205" i="3"/>
  <c r="T205" i="3"/>
  <c r="U205" i="3"/>
  <c r="S309" i="3"/>
  <c r="M309" i="3"/>
  <c r="K309" i="3"/>
  <c r="Q309" i="3"/>
  <c r="R309" i="3"/>
  <c r="L309" i="3"/>
  <c r="U309" i="3"/>
  <c r="O309" i="3"/>
  <c r="N309" i="3"/>
  <c r="P309" i="3"/>
  <c r="T309" i="3"/>
  <c r="K173" i="3"/>
  <c r="M173" i="3"/>
  <c r="N173" i="3"/>
  <c r="T173" i="3"/>
  <c r="S173" i="3"/>
  <c r="L173" i="3"/>
  <c r="P173" i="3"/>
  <c r="O173" i="3"/>
  <c r="U173" i="3"/>
  <c r="R173" i="3"/>
  <c r="Q173" i="3"/>
  <c r="L381" i="3"/>
  <c r="O381" i="3"/>
  <c r="U381" i="3"/>
  <c r="M381" i="3"/>
  <c r="P381" i="3"/>
  <c r="N381" i="3"/>
  <c r="R381" i="3"/>
  <c r="Q381" i="3"/>
  <c r="K381" i="3"/>
  <c r="S381" i="3"/>
  <c r="T381" i="3"/>
  <c r="L306" i="3"/>
  <c r="M306" i="3"/>
  <c r="S306" i="3"/>
  <c r="T306" i="3"/>
  <c r="Q306" i="3"/>
  <c r="P306" i="3"/>
  <c r="U306" i="3"/>
  <c r="N306" i="3"/>
  <c r="K306" i="3"/>
  <c r="O306" i="3"/>
  <c r="R306" i="3"/>
  <c r="S570" i="3"/>
  <c r="P570" i="3"/>
  <c r="N570" i="3"/>
  <c r="T570" i="3"/>
  <c r="L570" i="3"/>
  <c r="M570" i="3"/>
  <c r="K570" i="3"/>
  <c r="O570" i="3"/>
  <c r="U570" i="3"/>
  <c r="Q570" i="3"/>
  <c r="R570" i="3"/>
  <c r="K548" i="3"/>
  <c r="U548" i="3"/>
  <c r="T548" i="3"/>
  <c r="P548" i="3"/>
  <c r="N548" i="3"/>
  <c r="S548" i="3"/>
  <c r="O548" i="3"/>
  <c r="L548" i="3"/>
  <c r="R548" i="3"/>
  <c r="M548" i="3"/>
  <c r="Q548" i="3"/>
  <c r="Q344" i="3"/>
  <c r="S344" i="3"/>
  <c r="R344" i="3"/>
  <c r="K344" i="3"/>
  <c r="N344" i="3"/>
  <c r="O344" i="3"/>
  <c r="P344" i="3"/>
  <c r="U344" i="3"/>
  <c r="T344" i="3"/>
  <c r="M344" i="3"/>
  <c r="L344" i="3"/>
  <c r="M547" i="3"/>
  <c r="Q547" i="3"/>
  <c r="R547" i="3"/>
  <c r="S547" i="3"/>
  <c r="O547" i="3"/>
  <c r="T547" i="3"/>
  <c r="U547" i="3"/>
  <c r="P547" i="3"/>
  <c r="N547" i="3"/>
  <c r="L547" i="3"/>
  <c r="K547" i="3"/>
  <c r="T295" i="3"/>
  <c r="K295" i="3"/>
  <c r="M295" i="3"/>
  <c r="Q295" i="3"/>
  <c r="N295" i="3"/>
  <c r="R295" i="3"/>
  <c r="O295" i="3"/>
  <c r="S295" i="3"/>
  <c r="P295" i="3"/>
  <c r="L295" i="3"/>
  <c r="U295" i="3"/>
  <c r="L520" i="3"/>
  <c r="K520" i="3"/>
  <c r="R520" i="3"/>
  <c r="U520" i="3"/>
  <c r="P520" i="3"/>
  <c r="O520" i="3"/>
  <c r="N520" i="3"/>
  <c r="S520" i="3"/>
  <c r="Q520" i="3"/>
  <c r="T520" i="3"/>
  <c r="M520" i="3"/>
  <c r="L422" i="3"/>
  <c r="T422" i="3"/>
  <c r="M422" i="3"/>
  <c r="K422" i="3"/>
  <c r="S422" i="3"/>
  <c r="Q422" i="3"/>
  <c r="O422" i="3"/>
  <c r="U422" i="3"/>
  <c r="R422" i="3"/>
  <c r="P422" i="3"/>
  <c r="N422" i="3"/>
  <c r="S521" i="3"/>
  <c r="K521" i="3"/>
  <c r="Q521" i="3"/>
  <c r="O521" i="3"/>
  <c r="R521" i="3"/>
  <c r="N521" i="3"/>
  <c r="M521" i="3"/>
  <c r="P521" i="3"/>
  <c r="L521" i="3"/>
  <c r="U521" i="3"/>
  <c r="T521" i="3"/>
  <c r="R429" i="3"/>
  <c r="N429" i="3"/>
  <c r="S429" i="3"/>
  <c r="K429" i="3"/>
  <c r="M429" i="3"/>
  <c r="T429" i="3"/>
  <c r="O429" i="3"/>
  <c r="L429" i="3"/>
  <c r="P429" i="3"/>
  <c r="Q429" i="3"/>
  <c r="U429" i="3"/>
  <c r="R272" i="3"/>
  <c r="O272" i="3"/>
  <c r="M272" i="3"/>
  <c r="L272" i="3"/>
  <c r="S272" i="3"/>
  <c r="T272" i="3"/>
  <c r="K272" i="3"/>
  <c r="N272" i="3"/>
  <c r="P272" i="3"/>
  <c r="U272" i="3"/>
  <c r="Q272" i="3"/>
  <c r="T287" i="3"/>
  <c r="K287" i="3"/>
  <c r="M287" i="3"/>
  <c r="S287" i="3"/>
  <c r="N287" i="3"/>
  <c r="U287" i="3"/>
  <c r="O287" i="3"/>
  <c r="P287" i="3"/>
  <c r="L287" i="3"/>
  <c r="Q287" i="3"/>
  <c r="R287" i="3"/>
  <c r="N441" i="3"/>
  <c r="U441" i="3"/>
  <c r="T441" i="3"/>
  <c r="P441" i="3"/>
  <c r="Q441" i="3"/>
  <c r="S441" i="3"/>
  <c r="L441" i="3"/>
  <c r="K441" i="3"/>
  <c r="R441" i="3"/>
  <c r="O441" i="3"/>
  <c r="M441" i="3"/>
  <c r="Q363" i="3"/>
  <c r="R363" i="3"/>
  <c r="N363" i="3"/>
  <c r="T363" i="3"/>
  <c r="S363" i="3"/>
  <c r="M363" i="3"/>
  <c r="O363" i="3"/>
  <c r="U363" i="3"/>
  <c r="K363" i="3"/>
  <c r="L363" i="3"/>
  <c r="P363" i="3"/>
  <c r="M505" i="3"/>
  <c r="P505" i="3"/>
  <c r="R505" i="3"/>
  <c r="Q505" i="3"/>
  <c r="T505" i="3"/>
  <c r="O505" i="3"/>
  <c r="N505" i="3"/>
  <c r="U505" i="3"/>
  <c r="S505" i="3"/>
  <c r="L505" i="3"/>
  <c r="K505" i="3"/>
  <c r="M464" i="3"/>
  <c r="T464" i="3"/>
  <c r="U464" i="3"/>
  <c r="N464" i="3"/>
  <c r="K464" i="3"/>
  <c r="S464" i="3"/>
  <c r="O464" i="3"/>
  <c r="L464" i="3"/>
  <c r="R464" i="3"/>
  <c r="P464" i="3"/>
  <c r="Q464" i="3"/>
  <c r="N457" i="3"/>
  <c r="K457" i="3"/>
  <c r="R457" i="3"/>
  <c r="P457" i="3"/>
  <c r="T457" i="3"/>
  <c r="O457" i="3"/>
  <c r="L457" i="3"/>
  <c r="S457" i="3"/>
  <c r="U457" i="3"/>
  <c r="M457" i="3"/>
  <c r="Q457" i="3"/>
  <c r="T455" i="3"/>
  <c r="R455" i="3"/>
  <c r="O455" i="3"/>
  <c r="S455" i="3"/>
  <c r="Q455" i="3"/>
  <c r="M455" i="3"/>
  <c r="K455" i="3"/>
  <c r="N455" i="3"/>
  <c r="L455" i="3"/>
  <c r="P455" i="3"/>
  <c r="U455" i="3"/>
  <c r="K293" i="3"/>
  <c r="N293" i="3"/>
  <c r="M293" i="3"/>
  <c r="S293" i="3"/>
  <c r="P293" i="3"/>
  <c r="U293" i="3"/>
  <c r="L293" i="3"/>
  <c r="R293" i="3"/>
  <c r="T293" i="3"/>
  <c r="O293" i="3"/>
  <c r="Q293" i="3"/>
  <c r="T229" i="3"/>
  <c r="K229" i="3"/>
  <c r="O229" i="3"/>
  <c r="M229" i="3"/>
  <c r="P229" i="3"/>
  <c r="R229" i="3"/>
  <c r="N229" i="3"/>
  <c r="S229" i="3"/>
  <c r="L229" i="3"/>
  <c r="Q229" i="3"/>
  <c r="U229" i="3"/>
  <c r="Q145" i="3"/>
  <c r="R145" i="3"/>
  <c r="K145" i="3"/>
  <c r="N145" i="3"/>
  <c r="M145" i="3"/>
  <c r="O145" i="3"/>
  <c r="S145" i="3"/>
  <c r="T145" i="3"/>
  <c r="U145" i="3"/>
  <c r="L145" i="3"/>
  <c r="P145" i="3"/>
  <c r="R340" i="3"/>
  <c r="Q340" i="3"/>
  <c r="O340" i="3"/>
  <c r="T340" i="3"/>
  <c r="N340" i="3"/>
  <c r="M340" i="3"/>
  <c r="L340" i="3"/>
  <c r="S340" i="3"/>
  <c r="P340" i="3"/>
  <c r="K340" i="3"/>
  <c r="U340" i="3"/>
  <c r="O530" i="3"/>
  <c r="T530" i="3"/>
  <c r="U530" i="3"/>
  <c r="Q530" i="3"/>
  <c r="R530" i="3"/>
  <c r="M530" i="3"/>
  <c r="S530" i="3"/>
  <c r="N530" i="3"/>
  <c r="P530" i="3"/>
  <c r="L530" i="3"/>
  <c r="K530" i="3"/>
  <c r="N379" i="3"/>
  <c r="O379" i="3"/>
  <c r="S379" i="3"/>
  <c r="Q379" i="3"/>
  <c r="R379" i="3"/>
  <c r="U379" i="3"/>
  <c r="K379" i="3"/>
  <c r="M379" i="3"/>
  <c r="T379" i="3"/>
  <c r="L379" i="3"/>
  <c r="P379" i="3"/>
  <c r="P398" i="3"/>
  <c r="U398" i="3"/>
  <c r="K398" i="3"/>
  <c r="Q398" i="3"/>
  <c r="S398" i="3"/>
  <c r="T398" i="3"/>
  <c r="L398" i="3"/>
  <c r="M398" i="3"/>
  <c r="R398" i="3"/>
  <c r="O398" i="3"/>
  <c r="N398" i="3"/>
  <c r="L451" i="3"/>
  <c r="M451" i="3"/>
  <c r="S451" i="3"/>
  <c r="O451" i="3"/>
  <c r="P451" i="3"/>
  <c r="R451" i="3"/>
  <c r="T451" i="3"/>
  <c r="Q451" i="3"/>
  <c r="K451" i="3"/>
  <c r="U451" i="3"/>
  <c r="N451" i="3"/>
  <c r="Q263" i="3"/>
  <c r="P263" i="3"/>
  <c r="R263" i="3"/>
  <c r="L263" i="3"/>
  <c r="S263" i="3"/>
  <c r="N263" i="3"/>
  <c r="U263" i="3"/>
  <c r="M263" i="3"/>
  <c r="O263" i="3"/>
  <c r="K263" i="3"/>
  <c r="T263" i="3"/>
  <c r="L232" i="3"/>
  <c r="S232" i="3"/>
  <c r="Q232" i="3"/>
  <c r="T232" i="3"/>
  <c r="O232" i="3"/>
  <c r="R232" i="3"/>
  <c r="P232" i="3"/>
  <c r="U232" i="3"/>
  <c r="M232" i="3"/>
  <c r="K232" i="3"/>
  <c r="N232" i="3"/>
  <c r="P516" i="3"/>
  <c r="U516" i="3"/>
  <c r="L516" i="3"/>
  <c r="K516" i="3"/>
  <c r="T516" i="3"/>
  <c r="O516" i="3"/>
  <c r="R516" i="3"/>
  <c r="S516" i="3"/>
  <c r="N516" i="3"/>
  <c r="Q516" i="3"/>
  <c r="M516" i="3"/>
  <c r="L373" i="3"/>
  <c r="M373" i="3"/>
  <c r="R373" i="3"/>
  <c r="S373" i="3"/>
  <c r="P373" i="3"/>
  <c r="U373" i="3"/>
  <c r="O373" i="3"/>
  <c r="K373" i="3"/>
  <c r="N373" i="3"/>
  <c r="T373" i="3"/>
  <c r="Q373" i="3"/>
  <c r="M323" i="3"/>
  <c r="T323" i="3"/>
  <c r="R323" i="3"/>
  <c r="K323" i="3"/>
  <c r="N323" i="3"/>
  <c r="S323" i="3"/>
  <c r="Q323" i="3"/>
  <c r="U323" i="3"/>
  <c r="O323" i="3"/>
  <c r="L323" i="3"/>
  <c r="P323" i="3"/>
  <c r="L407" i="3"/>
  <c r="O407" i="3"/>
  <c r="Q407" i="3"/>
  <c r="N407" i="3"/>
  <c r="R407" i="3"/>
  <c r="K407" i="3"/>
  <c r="P407" i="3"/>
  <c r="S407" i="3"/>
  <c r="U407" i="3"/>
  <c r="M407" i="3"/>
  <c r="T407" i="3"/>
  <c r="R534" i="3"/>
  <c r="M534" i="3"/>
  <c r="N534" i="3"/>
  <c r="T534" i="3"/>
  <c r="L534" i="3"/>
  <c r="Q534" i="3"/>
  <c r="P534" i="3"/>
  <c r="K534" i="3"/>
  <c r="U534" i="3"/>
  <c r="S534" i="3"/>
  <c r="O534" i="3"/>
  <c r="S380" i="3"/>
  <c r="P380" i="3"/>
  <c r="O380" i="3"/>
  <c r="U380" i="3"/>
  <c r="N380" i="3"/>
  <c r="R380" i="3"/>
  <c r="L380" i="3"/>
  <c r="Q380" i="3"/>
  <c r="K380" i="3"/>
  <c r="T380" i="3"/>
  <c r="M380" i="3"/>
  <c r="P528" i="3"/>
  <c r="U528" i="3"/>
  <c r="Q528" i="3"/>
  <c r="O528" i="3"/>
  <c r="M528" i="3"/>
  <c r="K528" i="3"/>
  <c r="R528" i="3"/>
  <c r="L528" i="3"/>
  <c r="T528" i="3"/>
  <c r="S528" i="3"/>
  <c r="N528" i="3"/>
  <c r="Q454" i="3"/>
  <c r="N454" i="3"/>
  <c r="S454" i="3"/>
  <c r="U454" i="3"/>
  <c r="M454" i="3"/>
  <c r="L454" i="3"/>
  <c r="K454" i="3"/>
  <c r="O454" i="3"/>
  <c r="T454" i="3"/>
  <c r="R454" i="3"/>
  <c r="P454" i="3"/>
  <c r="N439" i="3"/>
  <c r="U439" i="3"/>
  <c r="Q439" i="3"/>
  <c r="P439" i="3"/>
  <c r="M439" i="3"/>
  <c r="K439" i="3"/>
  <c r="O439" i="3"/>
  <c r="L439" i="3"/>
  <c r="T439" i="3"/>
  <c r="R439" i="3"/>
  <c r="S439" i="3"/>
  <c r="Q331" i="3"/>
  <c r="P331" i="3"/>
  <c r="T331" i="3"/>
  <c r="K331" i="3"/>
  <c r="N331" i="3"/>
  <c r="L331" i="3"/>
  <c r="S331" i="3"/>
  <c r="U331" i="3"/>
  <c r="R331" i="3"/>
  <c r="O331" i="3"/>
  <c r="M331" i="3"/>
  <c r="T452" i="3"/>
  <c r="P452" i="3"/>
  <c r="L452" i="3"/>
  <c r="M452" i="3"/>
  <c r="S452" i="3"/>
  <c r="R452" i="3"/>
  <c r="O452" i="3"/>
  <c r="Q452" i="3"/>
  <c r="N452" i="3"/>
  <c r="K452" i="3"/>
  <c r="U452" i="3"/>
  <c r="O362" i="3"/>
  <c r="T362" i="3"/>
  <c r="S362" i="3"/>
  <c r="M362" i="3"/>
  <c r="U362" i="3"/>
  <c r="K362" i="3"/>
  <c r="N362" i="3"/>
  <c r="P362" i="3"/>
  <c r="Q362" i="3"/>
  <c r="R362" i="3"/>
  <c r="L362" i="3"/>
  <c r="M240" i="3"/>
  <c r="O240" i="3"/>
  <c r="R240" i="3"/>
  <c r="S240" i="3"/>
  <c r="K240" i="3"/>
  <c r="Q240" i="3"/>
  <c r="U240" i="3"/>
  <c r="L240" i="3"/>
  <c r="P240" i="3"/>
  <c r="N240" i="3"/>
  <c r="T240" i="3"/>
  <c r="L556" i="3"/>
  <c r="M556" i="3"/>
  <c r="P556" i="3"/>
  <c r="O556" i="3"/>
  <c r="S556" i="3"/>
  <c r="U556" i="3"/>
  <c r="T556" i="3"/>
  <c r="K556" i="3"/>
  <c r="R556" i="3"/>
  <c r="Q556" i="3"/>
  <c r="N556" i="3"/>
  <c r="Q365" i="3"/>
  <c r="K365" i="3"/>
  <c r="L365" i="3"/>
  <c r="R365" i="3"/>
  <c r="M365" i="3"/>
  <c r="S365" i="3"/>
  <c r="P365" i="3"/>
  <c r="U365" i="3"/>
  <c r="N365" i="3"/>
  <c r="O365" i="3"/>
  <c r="T365" i="3"/>
  <c r="N168" i="3"/>
  <c r="Q168" i="3"/>
  <c r="M168" i="3"/>
  <c r="L168" i="3"/>
  <c r="K168" i="3"/>
  <c r="P168" i="3"/>
  <c r="O168" i="3"/>
  <c r="U168" i="3"/>
  <c r="R498" i="3"/>
  <c r="U498" i="3"/>
  <c r="T498" i="3"/>
  <c r="K498" i="3"/>
  <c r="S498" i="3"/>
  <c r="M498" i="3"/>
  <c r="O498" i="3"/>
  <c r="Q498" i="3"/>
  <c r="L498" i="3"/>
  <c r="P498" i="3"/>
  <c r="N498" i="3"/>
  <c r="K246" i="3"/>
  <c r="R246" i="3"/>
  <c r="M246" i="3"/>
  <c r="T246" i="3"/>
  <c r="Q246" i="3"/>
  <c r="O246" i="3"/>
  <c r="L246" i="3"/>
  <c r="P246" i="3"/>
  <c r="N246" i="3"/>
  <c r="U246" i="3"/>
  <c r="S246" i="3"/>
  <c r="Q259" i="3"/>
  <c r="N259" i="3"/>
  <c r="R259" i="3"/>
  <c r="K259" i="3"/>
  <c r="M259" i="3"/>
  <c r="O259" i="3"/>
  <c r="U259" i="3"/>
  <c r="T259" i="3"/>
  <c r="S259" i="3"/>
  <c r="L259" i="3"/>
  <c r="P259" i="3"/>
  <c r="R559" i="3"/>
  <c r="S559" i="3"/>
  <c r="T559" i="3"/>
  <c r="O559" i="3"/>
  <c r="U559" i="3"/>
  <c r="K559" i="3"/>
  <c r="M559" i="3"/>
  <c r="Q559" i="3"/>
  <c r="L559" i="3"/>
  <c r="N559" i="3"/>
  <c r="P559" i="3"/>
  <c r="Q479" i="3"/>
  <c r="K479" i="3"/>
  <c r="S479" i="3"/>
  <c r="U479" i="3"/>
  <c r="L479" i="3"/>
  <c r="N479" i="3"/>
  <c r="T479" i="3"/>
  <c r="P479" i="3"/>
  <c r="R479" i="3"/>
  <c r="O479" i="3"/>
  <c r="M479" i="3"/>
  <c r="R364" i="3"/>
  <c r="U364" i="3"/>
  <c r="N364" i="3"/>
  <c r="M364" i="3"/>
  <c r="O364" i="3"/>
  <c r="S364" i="3"/>
  <c r="T364" i="3"/>
  <c r="Q364" i="3"/>
  <c r="P364" i="3"/>
  <c r="K364" i="3"/>
  <c r="L364" i="3"/>
  <c r="N193" i="3"/>
  <c r="M193" i="3"/>
  <c r="U193" i="3"/>
  <c r="P193" i="3"/>
  <c r="Q193" i="3"/>
  <c r="K193" i="3"/>
  <c r="L193" i="3"/>
  <c r="O193" i="3"/>
  <c r="Q227" i="3"/>
  <c r="R227" i="3"/>
  <c r="O227" i="3"/>
  <c r="P227" i="3"/>
  <c r="M227" i="3"/>
  <c r="U227" i="3"/>
  <c r="N227" i="3"/>
  <c r="K227" i="3"/>
  <c r="S227" i="3"/>
  <c r="L227" i="3"/>
  <c r="T227" i="3"/>
  <c r="P409" i="3"/>
  <c r="M409" i="3"/>
  <c r="S409" i="3"/>
  <c r="T409" i="3"/>
  <c r="U409" i="3"/>
  <c r="O409" i="3"/>
  <c r="L409" i="3"/>
  <c r="N409" i="3"/>
  <c r="R409" i="3"/>
  <c r="Q409" i="3"/>
  <c r="K409" i="3"/>
  <c r="N231" i="3"/>
  <c r="M231" i="3"/>
  <c r="O231" i="3"/>
  <c r="P231" i="3"/>
  <c r="L231" i="3"/>
  <c r="Q231" i="3"/>
  <c r="K231" i="3"/>
  <c r="T231" i="3"/>
  <c r="U231" i="3"/>
  <c r="R231" i="3"/>
  <c r="S231" i="3" s="1"/>
  <c r="T567" i="3"/>
  <c r="S567" i="3"/>
  <c r="Q567" i="3"/>
  <c r="U567" i="3"/>
  <c r="O567" i="3"/>
  <c r="K567" i="3"/>
  <c r="P567" i="3"/>
  <c r="M567" i="3"/>
  <c r="L567" i="3"/>
  <c r="R567" i="3"/>
  <c r="N567" i="3"/>
  <c r="Q307" i="3"/>
  <c r="R307" i="3"/>
  <c r="P307" i="3"/>
  <c r="O307" i="3"/>
  <c r="T307" i="3"/>
  <c r="U307" i="3"/>
  <c r="L307" i="3"/>
  <c r="S307" i="3"/>
  <c r="M307" i="3"/>
  <c r="K307" i="3"/>
  <c r="N307" i="3"/>
  <c r="K541" i="3"/>
  <c r="Q541" i="3"/>
  <c r="O541" i="3"/>
  <c r="T541" i="3"/>
  <c r="N541" i="3"/>
  <c r="R541" i="3"/>
  <c r="P541" i="3"/>
  <c r="S541" i="3"/>
  <c r="U541" i="3"/>
  <c r="M541" i="3"/>
  <c r="L541" i="3"/>
  <c r="Q493" i="3"/>
  <c r="R493" i="3"/>
  <c r="M493" i="3"/>
  <c r="T493" i="3"/>
  <c r="P493" i="3"/>
  <c r="L493" i="3"/>
  <c r="N493" i="3"/>
  <c r="O493" i="3"/>
  <c r="U493" i="3"/>
  <c r="K493" i="3"/>
  <c r="S493" i="3"/>
  <c r="L504" i="3"/>
  <c r="M504" i="3"/>
  <c r="S504" i="3"/>
  <c r="Q504" i="3"/>
  <c r="K504" i="3"/>
  <c r="R504" i="3"/>
  <c r="T504" i="3"/>
  <c r="O504" i="3"/>
  <c r="P504" i="3"/>
  <c r="U504" i="3"/>
  <c r="N504" i="3"/>
  <c r="T475" i="3"/>
  <c r="M475" i="3"/>
  <c r="R475" i="3"/>
  <c r="O475" i="3"/>
  <c r="Q475" i="3"/>
  <c r="N475" i="3"/>
  <c r="K475" i="3"/>
  <c r="P475" i="3"/>
  <c r="L475" i="3"/>
  <c r="U475" i="3"/>
  <c r="S475" i="3"/>
  <c r="S510" i="3"/>
  <c r="R510" i="3"/>
  <c r="Q510" i="3"/>
  <c r="N510" i="3"/>
  <c r="P510" i="3"/>
  <c r="O510" i="3"/>
  <c r="K510" i="3"/>
  <c r="U510" i="3"/>
  <c r="L510" i="3"/>
  <c r="T510" i="3"/>
  <c r="M510" i="3"/>
  <c r="P178" i="3"/>
  <c r="R178" i="3"/>
  <c r="Q178" i="3"/>
  <c r="N178" i="3"/>
  <c r="L178" i="3"/>
  <c r="M178" i="3"/>
  <c r="O178" i="3"/>
  <c r="K178" i="3"/>
  <c r="T178" i="3"/>
  <c r="S178" i="3"/>
  <c r="U178" i="3"/>
  <c r="S420" i="3"/>
  <c r="K420" i="3"/>
  <c r="P420" i="3"/>
  <c r="N420" i="3"/>
  <c r="M420" i="3"/>
  <c r="T420" i="3"/>
  <c r="L420" i="3"/>
  <c r="O420" i="3"/>
  <c r="R420" i="3"/>
  <c r="Q420" i="3"/>
  <c r="U420" i="3"/>
  <c r="K515" i="3"/>
  <c r="Q515" i="3"/>
  <c r="M515" i="3"/>
  <c r="R515" i="3"/>
  <c r="N515" i="3"/>
  <c r="U515" i="3"/>
  <c r="O515" i="3"/>
  <c r="S515" i="3"/>
  <c r="P515" i="3"/>
  <c r="T515" i="3"/>
  <c r="L515" i="3"/>
  <c r="L225" i="3"/>
  <c r="Q225" i="3"/>
  <c r="P225" i="3"/>
  <c r="U225" i="3"/>
  <c r="M225" i="3"/>
  <c r="K225" i="3"/>
  <c r="N225" i="3"/>
  <c r="O225" i="3"/>
  <c r="R480" i="3"/>
  <c r="T480" i="3"/>
  <c r="L480" i="3"/>
  <c r="N480" i="3"/>
  <c r="M480" i="3"/>
  <c r="Q480" i="3"/>
  <c r="O480" i="3"/>
  <c r="S480" i="3"/>
  <c r="U480" i="3"/>
  <c r="K480" i="3"/>
  <c r="P480" i="3"/>
  <c r="U509" i="3"/>
  <c r="O509" i="3"/>
  <c r="S509" i="3"/>
  <c r="L509" i="3"/>
  <c r="N509" i="3"/>
  <c r="R509" i="3"/>
  <c r="K509" i="3"/>
  <c r="P509" i="3"/>
  <c r="T509" i="3"/>
  <c r="Q509" i="3"/>
  <c r="M509" i="3"/>
  <c r="L413" i="3"/>
  <c r="N413" i="3"/>
  <c r="O413" i="3"/>
  <c r="K413" i="3"/>
  <c r="T413" i="3"/>
  <c r="U413" i="3"/>
  <c r="M413" i="3"/>
  <c r="S413" i="3"/>
  <c r="Q413" i="3"/>
  <c r="R413" i="3"/>
  <c r="P413" i="3"/>
  <c r="Q538" i="3"/>
  <c r="P538" i="3"/>
  <c r="R538" i="3"/>
  <c r="K538" i="3"/>
  <c r="T538" i="3"/>
  <c r="M538" i="3"/>
  <c r="N538" i="3"/>
  <c r="O538" i="3"/>
  <c r="S538" i="3"/>
  <c r="L538" i="3"/>
  <c r="U538" i="3"/>
  <c r="O569" i="3"/>
  <c r="M569" i="3"/>
  <c r="N569" i="3"/>
  <c r="K569" i="3"/>
  <c r="Q569" i="3"/>
  <c r="L569" i="3"/>
  <c r="R569" i="3"/>
  <c r="S569" i="3"/>
  <c r="T569" i="3"/>
  <c r="U569" i="3"/>
  <c r="P569" i="3"/>
  <c r="N281" i="3"/>
  <c r="Q281" i="3"/>
  <c r="S281" i="3"/>
  <c r="M281" i="3"/>
  <c r="K281" i="3"/>
  <c r="O281" i="3"/>
  <c r="L281" i="3"/>
  <c r="T281" i="3"/>
  <c r="U281" i="3"/>
  <c r="P281" i="3"/>
  <c r="R281" i="3"/>
  <c r="N359" i="3"/>
  <c r="U359" i="3"/>
  <c r="Q359" i="3"/>
  <c r="O359" i="3"/>
  <c r="L359" i="3"/>
  <c r="T359" i="3"/>
  <c r="P359" i="3"/>
  <c r="S359" i="3"/>
  <c r="M359" i="3"/>
  <c r="R359" i="3"/>
  <c r="K359" i="3"/>
  <c r="O576" i="3"/>
  <c r="R576" i="3"/>
  <c r="Q576" i="3"/>
  <c r="M576" i="3"/>
  <c r="S576" i="3"/>
  <c r="N576" i="3"/>
  <c r="P576" i="3"/>
  <c r="L576" i="3"/>
  <c r="K576" i="3"/>
  <c r="U576" i="3"/>
  <c r="T576" i="3"/>
  <c r="N531" i="3"/>
  <c r="R531" i="3"/>
  <c r="S531" i="3"/>
  <c r="M531" i="3"/>
  <c r="Q531" i="3"/>
  <c r="P531" i="3"/>
  <c r="O531" i="3"/>
  <c r="L531" i="3"/>
  <c r="T531" i="3"/>
  <c r="K531" i="3"/>
  <c r="U531" i="3"/>
  <c r="L133" i="3"/>
  <c r="N133" i="3"/>
  <c r="U133" i="3"/>
  <c r="Q133" i="3"/>
  <c r="M133" i="3"/>
  <c r="O133" i="3"/>
  <c r="P133" i="3"/>
  <c r="K133" i="3"/>
  <c r="T415" i="3"/>
  <c r="R415" i="3"/>
  <c r="N415" i="3"/>
  <c r="K415" i="3"/>
  <c r="P415" i="3"/>
  <c r="O415" i="3"/>
  <c r="S415" i="3"/>
  <c r="Q415" i="3"/>
  <c r="M415" i="3"/>
  <c r="U415" i="3"/>
  <c r="L415" i="3"/>
  <c r="L554" i="3"/>
  <c r="N554" i="3"/>
  <c r="M554" i="3"/>
  <c r="K554" i="3"/>
  <c r="T554" i="3"/>
  <c r="U554" i="3"/>
  <c r="Q554" i="3"/>
  <c r="O554" i="3"/>
  <c r="R554" i="3"/>
  <c r="P554" i="3"/>
  <c r="S554" i="3"/>
  <c r="U241" i="3"/>
  <c r="T241" i="3"/>
  <c r="O241" i="3"/>
  <c r="P241" i="3"/>
  <c r="S241" i="3"/>
  <c r="Q241" i="3"/>
  <c r="R241" i="3"/>
  <c r="M241" i="3"/>
  <c r="K241" i="3"/>
  <c r="L241" i="3"/>
  <c r="N241" i="3"/>
  <c r="L489" i="3"/>
  <c r="M489" i="3"/>
  <c r="Q489" i="3"/>
  <c r="N489" i="3"/>
  <c r="T489" i="3"/>
  <c r="P489" i="3"/>
  <c r="U489" i="3"/>
  <c r="O489" i="3"/>
  <c r="K489" i="3"/>
  <c r="S489" i="3"/>
  <c r="R489" i="3"/>
  <c r="L119" i="3"/>
  <c r="T119" i="3"/>
  <c r="P119" i="3"/>
  <c r="R119" i="3"/>
  <c r="M119" i="3"/>
  <c r="U119" i="3"/>
  <c r="K119" i="3"/>
  <c r="N119" i="3"/>
  <c r="O119" i="3"/>
  <c r="Q119" i="3"/>
  <c r="S119" i="3"/>
  <c r="O304" i="3"/>
  <c r="S304" i="3"/>
  <c r="K304" i="3"/>
  <c r="Q304" i="3"/>
  <c r="U304" i="3"/>
  <c r="L304" i="3"/>
  <c r="T304" i="3"/>
  <c r="P304" i="3"/>
  <c r="R304" i="3"/>
  <c r="M304" i="3"/>
  <c r="N304" i="3"/>
  <c r="S351" i="3"/>
  <c r="O351" i="3"/>
  <c r="R351" i="3"/>
  <c r="U351" i="3"/>
  <c r="L351" i="3"/>
  <c r="Q351" i="3"/>
  <c r="P351" i="3"/>
  <c r="N351" i="3"/>
  <c r="T351" i="3"/>
  <c r="M351" i="3"/>
  <c r="K351" i="3"/>
  <c r="T497" i="3"/>
  <c r="K497" i="3"/>
  <c r="P497" i="3"/>
  <c r="S497" i="3"/>
  <c r="Q497" i="3"/>
  <c r="L497" i="3"/>
  <c r="N497" i="3"/>
  <c r="U497" i="3"/>
  <c r="R497" i="3"/>
  <c r="M497" i="3"/>
  <c r="O497" i="3"/>
  <c r="O499" i="3"/>
  <c r="L499" i="3"/>
  <c r="S499" i="3"/>
  <c r="Q499" i="3"/>
  <c r="P499" i="3"/>
  <c r="U499" i="3"/>
  <c r="K499" i="3"/>
  <c r="R499" i="3"/>
  <c r="N499" i="3"/>
  <c r="T499" i="3"/>
  <c r="M499" i="3"/>
  <c r="O235" i="3"/>
  <c r="L235" i="3"/>
  <c r="M235" i="3"/>
  <c r="R235" i="3"/>
  <c r="Q235" i="3"/>
  <c r="U235" i="3"/>
  <c r="K235" i="3"/>
  <c r="P235" i="3"/>
  <c r="N235" i="3"/>
  <c r="T235" i="3"/>
  <c r="S235" i="3"/>
  <c r="M194" i="3"/>
  <c r="L194" i="3"/>
  <c r="O194" i="3"/>
  <c r="S194" i="3"/>
  <c r="U194" i="3"/>
  <c r="T194" i="3"/>
  <c r="Q194" i="3"/>
  <c r="K194" i="3"/>
  <c r="N194" i="3"/>
  <c r="P194" i="3"/>
  <c r="R194" i="3"/>
  <c r="Q279" i="3"/>
  <c r="S279" i="3"/>
  <c r="N279" i="3"/>
  <c r="T279" i="3"/>
  <c r="R279" i="3"/>
  <c r="L279" i="3"/>
  <c r="O279" i="3"/>
  <c r="P279" i="3"/>
  <c r="K279" i="3"/>
  <c r="U279" i="3"/>
  <c r="M279" i="3"/>
  <c r="O313" i="3"/>
  <c r="K313" i="3"/>
  <c r="N313" i="3"/>
  <c r="M313" i="3"/>
  <c r="S313" i="3"/>
  <c r="U313" i="3"/>
  <c r="L313" i="3"/>
  <c r="P313" i="3"/>
  <c r="R313" i="3"/>
  <c r="T313" i="3"/>
  <c r="Q313" i="3"/>
  <c r="M278" i="3"/>
  <c r="O278" i="3"/>
  <c r="P278" i="3"/>
  <c r="L278" i="3"/>
  <c r="S278" i="3"/>
  <c r="T278" i="3"/>
  <c r="K278" i="3"/>
  <c r="U278" i="3"/>
  <c r="N278" i="3"/>
  <c r="R278" i="3"/>
  <c r="Q278" i="3"/>
  <c r="P414" i="3"/>
  <c r="M414" i="3"/>
  <c r="T414" i="3"/>
  <c r="R414" i="3"/>
  <c r="K414" i="3"/>
  <c r="N414" i="3"/>
  <c r="S414" i="3"/>
  <c r="L414" i="3"/>
  <c r="U414" i="3"/>
  <c r="Q414" i="3"/>
  <c r="O414" i="3"/>
  <c r="P265" i="3"/>
  <c r="L265" i="3"/>
  <c r="Q265" i="3"/>
  <c r="O265" i="3"/>
  <c r="S265" i="3"/>
  <c r="T265" i="3"/>
  <c r="M265" i="3"/>
  <c r="K265" i="3"/>
  <c r="U265" i="3"/>
  <c r="N265" i="3"/>
  <c r="R265" i="3"/>
  <c r="U401" i="3"/>
  <c r="K401" i="3"/>
  <c r="O401" i="3"/>
  <c r="L401" i="3"/>
  <c r="S401" i="3"/>
  <c r="T401" i="3"/>
  <c r="P401" i="3"/>
  <c r="N401" i="3"/>
  <c r="R401" i="3"/>
  <c r="M401" i="3"/>
  <c r="Q401" i="3"/>
  <c r="T314" i="3"/>
  <c r="Q314" i="3"/>
  <c r="N314" i="3"/>
  <c r="L314" i="3"/>
  <c r="K314" i="3"/>
  <c r="U314" i="3"/>
  <c r="R314" i="3"/>
  <c r="P314" i="3"/>
  <c r="S314" i="3"/>
  <c r="M314" i="3"/>
  <c r="O314" i="3"/>
  <c r="L368" i="3"/>
  <c r="Q368" i="3"/>
  <c r="M368" i="3"/>
  <c r="R368" i="3"/>
  <c r="T368" i="3"/>
  <c r="S368" i="3"/>
  <c r="K368" i="3"/>
  <c r="U368" i="3"/>
  <c r="P368" i="3"/>
  <c r="N368" i="3"/>
  <c r="O368" i="3"/>
  <c r="L277" i="3"/>
  <c r="M277" i="3"/>
  <c r="O277" i="3"/>
  <c r="U277" i="3"/>
  <c r="N277" i="3"/>
  <c r="S277" i="3"/>
  <c r="T277" i="3"/>
  <c r="K277" i="3"/>
  <c r="Q277" i="3"/>
  <c r="P277" i="3"/>
  <c r="R277" i="3"/>
  <c r="K264" i="3"/>
  <c r="R264" i="3"/>
  <c r="U264" i="3"/>
  <c r="P264" i="3"/>
  <c r="O264" i="3"/>
  <c r="S264" i="3"/>
  <c r="L264" i="3"/>
  <c r="Q264" i="3"/>
  <c r="T264" i="3"/>
  <c r="N264" i="3"/>
  <c r="M264" i="3"/>
  <c r="L518" i="3"/>
  <c r="O518" i="3"/>
  <c r="R518" i="3"/>
  <c r="P518" i="3"/>
  <c r="K518" i="3"/>
  <c r="T518" i="3"/>
  <c r="N518" i="3"/>
  <c r="S518" i="3"/>
  <c r="Q518" i="3"/>
  <c r="U518" i="3"/>
  <c r="M518" i="3"/>
  <c r="S292" i="3"/>
  <c r="L292" i="3"/>
  <c r="Q292" i="3"/>
  <c r="N292" i="3"/>
  <c r="O292" i="3"/>
  <c r="P292" i="3"/>
  <c r="R292" i="3"/>
  <c r="U292" i="3"/>
  <c r="M292" i="3"/>
  <c r="K292" i="3"/>
  <c r="T292" i="3"/>
  <c r="K494" i="3"/>
  <c r="O494" i="3"/>
  <c r="Q494" i="3"/>
  <c r="R494" i="3"/>
  <c r="S494" i="3"/>
  <c r="U494" i="3"/>
  <c r="L494" i="3"/>
  <c r="M494" i="3"/>
  <c r="P494" i="3"/>
  <c r="T494" i="3"/>
  <c r="N494" i="3"/>
  <c r="O249" i="3"/>
  <c r="T249" i="3"/>
  <c r="K249" i="3"/>
  <c r="R249" i="3"/>
  <c r="L249" i="3"/>
  <c r="N249" i="3"/>
  <c r="Q249" i="3"/>
  <c r="P249" i="3"/>
  <c r="M249" i="3"/>
  <c r="S249" i="3"/>
  <c r="U249" i="3"/>
  <c r="S271" i="3"/>
  <c r="L271" i="3"/>
  <c r="O271" i="3"/>
  <c r="T271" i="3"/>
  <c r="Q271" i="3"/>
  <c r="P271" i="3"/>
  <c r="R271" i="3"/>
  <c r="K271" i="3"/>
  <c r="M271" i="3"/>
  <c r="U271" i="3"/>
  <c r="N271" i="3"/>
  <c r="R507" i="3"/>
  <c r="U507" i="3"/>
  <c r="N507" i="3"/>
  <c r="L507" i="3"/>
  <c r="O507" i="3"/>
  <c r="S507" i="3"/>
  <c r="T507" i="3"/>
  <c r="Q507" i="3"/>
  <c r="P507" i="3"/>
  <c r="K507" i="3"/>
  <c r="M507" i="3"/>
  <c r="K330" i="3"/>
  <c r="Q330" i="3"/>
  <c r="L330" i="3"/>
  <c r="U330" i="3"/>
  <c r="S330" i="3"/>
  <c r="T330" i="3"/>
  <c r="P330" i="3"/>
  <c r="N330" i="3"/>
  <c r="M330" i="3"/>
  <c r="R330" i="3"/>
  <c r="O330" i="3"/>
  <c r="K355" i="3"/>
  <c r="M355" i="3"/>
  <c r="R355" i="3"/>
  <c r="L355" i="3"/>
  <c r="T355" i="3"/>
  <c r="P355" i="3"/>
  <c r="N355" i="3"/>
  <c r="U355" i="3"/>
  <c r="Q355" i="3"/>
  <c r="S355" i="3"/>
  <c r="O355" i="3"/>
  <c r="N389" i="3"/>
  <c r="Q389" i="3"/>
  <c r="M389" i="3"/>
  <c r="S389" i="3"/>
  <c r="R389" i="3"/>
  <c r="O389" i="3"/>
  <c r="P389" i="3"/>
  <c r="K389" i="3"/>
  <c r="T389" i="3"/>
  <c r="L389" i="3"/>
  <c r="U389" i="3"/>
  <c r="U174" i="3"/>
  <c r="O174" i="3"/>
  <c r="K174" i="3"/>
  <c r="L174" i="3"/>
  <c r="N174" i="3"/>
  <c r="P174" i="3"/>
  <c r="Q174" i="3"/>
  <c r="M174" i="3"/>
  <c r="O370" i="3"/>
  <c r="R370" i="3"/>
  <c r="M370" i="3"/>
  <c r="U370" i="3"/>
  <c r="T370" i="3"/>
  <c r="S370" i="3"/>
  <c r="N370" i="3"/>
  <c r="P370" i="3"/>
  <c r="Q370" i="3"/>
  <c r="L370" i="3"/>
  <c r="K370" i="3"/>
  <c r="K544" i="3"/>
  <c r="M544" i="3"/>
  <c r="S544" i="3"/>
  <c r="T544" i="3"/>
  <c r="L544" i="3"/>
  <c r="Q544" i="3"/>
  <c r="U544" i="3"/>
  <c r="O544" i="3"/>
  <c r="N544" i="3"/>
  <c r="R544" i="3"/>
  <c r="P544" i="3"/>
  <c r="M317" i="3"/>
  <c r="R317" i="3"/>
  <c r="S317" i="3"/>
  <c r="K317" i="3"/>
  <c r="O317" i="3"/>
  <c r="P317" i="3"/>
  <c r="N317" i="3"/>
  <c r="T317" i="3"/>
  <c r="L317" i="3"/>
  <c r="Q317" i="3"/>
  <c r="U317" i="3"/>
  <c r="O549" i="3"/>
  <c r="K549" i="3"/>
  <c r="P549" i="3"/>
  <c r="M549" i="3"/>
  <c r="R549" i="3"/>
  <c r="T549" i="3"/>
  <c r="U549" i="3"/>
  <c r="Q549" i="3"/>
  <c r="N549" i="3"/>
  <c r="S549" i="3"/>
  <c r="L549" i="3"/>
  <c r="K500" i="3"/>
  <c r="N500" i="3"/>
  <c r="T500" i="3"/>
  <c r="S500" i="3"/>
  <c r="Q500" i="3"/>
  <c r="U500" i="3"/>
  <c r="O500" i="3"/>
  <c r="L500" i="3"/>
  <c r="R500" i="3"/>
  <c r="M500" i="3"/>
  <c r="P500" i="3"/>
  <c r="R316" i="3"/>
  <c r="U316" i="3"/>
  <c r="N316" i="3"/>
  <c r="L316" i="3"/>
  <c r="S316" i="3"/>
  <c r="Q316" i="3"/>
  <c r="T316" i="3"/>
  <c r="O316" i="3"/>
  <c r="P316" i="3"/>
  <c r="M316" i="3"/>
  <c r="K316" i="3"/>
  <c r="K550" i="3"/>
  <c r="O550" i="3"/>
  <c r="S550" i="3"/>
  <c r="Q550" i="3"/>
  <c r="U550" i="3"/>
  <c r="R550" i="3"/>
  <c r="N550" i="3"/>
  <c r="M550" i="3"/>
  <c r="L550" i="3"/>
  <c r="P550" i="3"/>
  <c r="T550" i="3"/>
  <c r="R267" i="3"/>
  <c r="N267" i="3"/>
  <c r="U267" i="3"/>
  <c r="T267" i="3"/>
  <c r="O267" i="3"/>
  <c r="L267" i="3"/>
  <c r="Q267" i="3"/>
  <c r="K267" i="3"/>
  <c r="P267" i="3"/>
  <c r="S267" i="3"/>
  <c r="M267" i="3"/>
  <c r="K424" i="3"/>
  <c r="R424" i="3"/>
  <c r="M424" i="3"/>
  <c r="S424" i="3"/>
  <c r="Q424" i="3"/>
  <c r="N424" i="3"/>
  <c r="O424" i="3"/>
  <c r="L424" i="3"/>
  <c r="U424" i="3"/>
  <c r="P424" i="3"/>
  <c r="T424" i="3"/>
  <c r="U353" i="3"/>
  <c r="N353" i="3"/>
  <c r="O353" i="3"/>
  <c r="M353" i="3"/>
  <c r="Q353" i="3"/>
  <c r="R353" i="3"/>
  <c r="S353" i="3"/>
  <c r="K353" i="3"/>
  <c r="T353" i="3"/>
  <c r="P353" i="3"/>
  <c r="L353" i="3"/>
  <c r="P86" i="3"/>
  <c r="K86" i="3"/>
  <c r="O86" i="3"/>
  <c r="U86" i="3"/>
  <c r="L86" i="3"/>
  <c r="M86" i="3"/>
  <c r="Q86" i="3"/>
  <c r="N86" i="3"/>
  <c r="M179" i="3"/>
  <c r="K179" i="3"/>
  <c r="O179" i="3"/>
  <c r="Q179" i="3"/>
  <c r="U179" i="3"/>
  <c r="N179" i="3"/>
  <c r="L179" i="3"/>
  <c r="P179" i="3"/>
  <c r="P425" i="3"/>
  <c r="N425" i="3"/>
  <c r="S425" i="3"/>
  <c r="T425" i="3"/>
  <c r="R425" i="3"/>
  <c r="U425" i="3"/>
  <c r="K425" i="3"/>
  <c r="O425" i="3"/>
  <c r="Q425" i="3"/>
  <c r="M425" i="3"/>
  <c r="L425" i="3"/>
  <c r="P233" i="3"/>
  <c r="M233" i="3"/>
  <c r="S233" i="3"/>
  <c r="Q233" i="3"/>
  <c r="O233" i="3"/>
  <c r="K233" i="3"/>
  <c r="L233" i="3"/>
  <c r="N233" i="3"/>
  <c r="R233" i="3"/>
  <c r="T233" i="3"/>
  <c r="U233" i="3"/>
  <c r="K405" i="3"/>
  <c r="M405" i="3"/>
  <c r="N405" i="3"/>
  <c r="U405" i="3"/>
  <c r="O405" i="3"/>
  <c r="Q405" i="3"/>
  <c r="P405" i="3"/>
  <c r="R405" i="3"/>
  <c r="S405" i="3"/>
  <c r="L405" i="3"/>
  <c r="T405" i="3"/>
  <c r="R473" i="3"/>
  <c r="T473" i="3"/>
  <c r="M473" i="3"/>
  <c r="K473" i="3"/>
  <c r="Q473" i="3"/>
  <c r="P473" i="3"/>
  <c r="S473" i="3"/>
  <c r="N473" i="3"/>
  <c r="U473" i="3"/>
  <c r="O473" i="3"/>
  <c r="L473" i="3"/>
  <c r="M273" i="3"/>
  <c r="K273" i="3"/>
  <c r="P273" i="3"/>
  <c r="O273" i="3"/>
  <c r="S273" i="3"/>
  <c r="N273" i="3"/>
  <c r="L273" i="3"/>
  <c r="T273" i="3"/>
  <c r="R273" i="3"/>
  <c r="U273" i="3"/>
  <c r="Q273" i="3"/>
  <c r="Q539" i="3"/>
  <c r="M539" i="3"/>
  <c r="U539" i="3"/>
  <c r="O539" i="3"/>
  <c r="P539" i="3"/>
  <c r="T539" i="3"/>
  <c r="L539" i="3"/>
  <c r="N539" i="3"/>
  <c r="S539" i="3"/>
  <c r="R539" i="3"/>
  <c r="K539" i="3"/>
  <c r="N218" i="3"/>
  <c r="M218" i="3"/>
  <c r="O218" i="3"/>
  <c r="L218" i="3"/>
  <c r="K218" i="3"/>
  <c r="Q218" i="3"/>
  <c r="U218" i="3"/>
  <c r="P218" i="3"/>
  <c r="Q491" i="3"/>
  <c r="S491" i="3"/>
  <c r="L491" i="3"/>
  <c r="T491" i="3"/>
  <c r="R491" i="3"/>
  <c r="U491" i="3"/>
  <c r="K491" i="3"/>
  <c r="N491" i="3"/>
  <c r="M491" i="3"/>
  <c r="O491" i="3"/>
  <c r="P491" i="3"/>
  <c r="P248" i="3"/>
  <c r="T248" i="3"/>
  <c r="O248" i="3"/>
  <c r="U248" i="3"/>
  <c r="L248" i="3"/>
  <c r="Q248" i="3"/>
  <c r="M248" i="3"/>
  <c r="N248" i="3"/>
  <c r="S248" i="3"/>
  <c r="R248" i="3"/>
  <c r="K248" i="3"/>
  <c r="P410" i="3"/>
  <c r="N410" i="3"/>
  <c r="T410" i="3"/>
  <c r="R410" i="3"/>
  <c r="Q410" i="3"/>
  <c r="K410" i="3"/>
  <c r="O410" i="3"/>
  <c r="L410" i="3"/>
  <c r="S410" i="3"/>
  <c r="U410" i="3"/>
  <c r="M410" i="3"/>
  <c r="L332" i="3"/>
  <c r="M332" i="3"/>
  <c r="P332" i="3"/>
  <c r="N332" i="3"/>
  <c r="T332" i="3"/>
  <c r="K332" i="3"/>
  <c r="S332" i="3"/>
  <c r="O332" i="3"/>
  <c r="U332" i="3"/>
  <c r="R332" i="3"/>
  <c r="Q332" i="3"/>
  <c r="P217" i="3"/>
  <c r="S217" i="3"/>
  <c r="L217" i="3"/>
  <c r="U217" i="3"/>
  <c r="T217" i="3"/>
  <c r="R217" i="3"/>
  <c r="K217" i="3"/>
  <c r="Q217" i="3"/>
  <c r="N217" i="3"/>
  <c r="M217" i="3"/>
  <c r="O217" i="3"/>
  <c r="O319" i="3"/>
  <c r="S319" i="3"/>
  <c r="K319" i="3"/>
  <c r="M319" i="3"/>
  <c r="R319" i="3"/>
  <c r="Q319" i="3"/>
  <c r="P319" i="3"/>
  <c r="T319" i="3"/>
  <c r="N319" i="3"/>
  <c r="U319" i="3"/>
  <c r="L319" i="3"/>
  <c r="Q496" i="3"/>
  <c r="T496" i="3"/>
  <c r="N496" i="3"/>
  <c r="P496" i="3"/>
  <c r="S496" i="3"/>
  <c r="L496" i="3"/>
  <c r="R496" i="3"/>
  <c r="U496" i="3"/>
  <c r="M496" i="3"/>
  <c r="O496" i="3"/>
  <c r="K496" i="3"/>
  <c r="K525" i="3"/>
  <c r="N525" i="3"/>
  <c r="S525" i="3"/>
  <c r="P525" i="3"/>
  <c r="T525" i="3"/>
  <c r="Q525" i="3"/>
  <c r="R525" i="3"/>
  <c r="L525" i="3"/>
  <c r="U525" i="3"/>
  <c r="M525" i="3"/>
  <c r="O525" i="3"/>
  <c r="O540" i="3"/>
  <c r="T540" i="3"/>
  <c r="U540" i="3"/>
  <c r="P540" i="3"/>
  <c r="L540" i="3"/>
  <c r="N540" i="3"/>
  <c r="M540" i="3"/>
  <c r="Q540" i="3"/>
  <c r="R540" i="3"/>
  <c r="S540" i="3"/>
  <c r="K540" i="3"/>
  <c r="U183" i="3"/>
  <c r="P183" i="3"/>
  <c r="N183" i="3"/>
  <c r="M183" i="3"/>
  <c r="Q183" i="3"/>
  <c r="L183" i="3"/>
  <c r="O183" i="3"/>
  <c r="K183" i="3"/>
  <c r="N172" i="3"/>
  <c r="M172" i="3"/>
  <c r="Q172" i="3"/>
  <c r="K172" i="3"/>
  <c r="U172" i="3"/>
  <c r="P172" i="3"/>
  <c r="L172" i="3"/>
  <c r="O172" i="3"/>
  <c r="U502" i="3"/>
  <c r="O502" i="3"/>
  <c r="R502" i="3"/>
  <c r="Q502" i="3"/>
  <c r="M502" i="3"/>
  <c r="S502" i="3"/>
  <c r="P502" i="3"/>
  <c r="L502" i="3"/>
  <c r="K502" i="3"/>
  <c r="N502" i="3"/>
  <c r="T502" i="3"/>
  <c r="Q256" i="3"/>
  <c r="U256" i="3"/>
  <c r="M256" i="3"/>
  <c r="R256" i="3"/>
  <c r="P256" i="3"/>
  <c r="K256" i="3"/>
  <c r="L256" i="3"/>
  <c r="N256" i="3"/>
  <c r="S256" i="3"/>
  <c r="O256" i="3"/>
  <c r="T256" i="3"/>
  <c r="P297" i="3"/>
  <c r="Q297" i="3"/>
  <c r="O297" i="3"/>
  <c r="L297" i="3"/>
  <c r="U297" i="3"/>
  <c r="R297" i="3"/>
  <c r="T297" i="3"/>
  <c r="K297" i="3"/>
  <c r="M297" i="3"/>
  <c r="N297" i="3"/>
  <c r="S297" i="3"/>
  <c r="L247" i="3"/>
  <c r="S247" i="3"/>
  <c r="M247" i="3"/>
  <c r="O247" i="3"/>
  <c r="T247" i="3"/>
  <c r="N247" i="3"/>
  <c r="R247" i="3"/>
  <c r="U247" i="3"/>
  <c r="K247" i="3"/>
  <c r="Q247" i="3"/>
  <c r="P247" i="3"/>
  <c r="O280" i="3"/>
  <c r="M280" i="3"/>
  <c r="S280" i="3"/>
  <c r="P280" i="3"/>
  <c r="K280" i="3"/>
  <c r="T280" i="3"/>
  <c r="N280" i="3"/>
  <c r="L280" i="3"/>
  <c r="R280" i="3"/>
  <c r="U280" i="3"/>
  <c r="Q280" i="3"/>
  <c r="M433" i="3"/>
  <c r="U433" i="3"/>
  <c r="Q433" i="3"/>
  <c r="T433" i="3"/>
  <c r="N433" i="3"/>
  <c r="R433" i="3"/>
  <c r="S433" i="3"/>
  <c r="P433" i="3"/>
  <c r="L433" i="3"/>
  <c r="K433" i="3"/>
  <c r="O433" i="3"/>
  <c r="N468" i="3"/>
  <c r="U468" i="3"/>
  <c r="M468" i="3"/>
  <c r="Q468" i="3"/>
  <c r="T468" i="3"/>
  <c r="O468" i="3"/>
  <c r="R468" i="3"/>
  <c r="S468" i="3"/>
  <c r="L468" i="3"/>
  <c r="P468" i="3"/>
  <c r="K468" i="3"/>
  <c r="T276" i="3"/>
  <c r="P276" i="3"/>
  <c r="S276" i="3"/>
  <c r="Q276" i="3"/>
  <c r="K276" i="3"/>
  <c r="L276" i="3"/>
  <c r="U276" i="3"/>
  <c r="O276" i="3"/>
  <c r="M276" i="3"/>
  <c r="R276" i="3"/>
  <c r="N276" i="3"/>
  <c r="N294" i="3"/>
  <c r="L294" i="3"/>
  <c r="M294" i="3"/>
  <c r="O294" i="3"/>
  <c r="K294" i="3"/>
  <c r="P294" i="3"/>
  <c r="Q294" i="3"/>
  <c r="U294" i="3"/>
  <c r="S294" i="3"/>
  <c r="T294" i="3"/>
  <c r="R294" i="3"/>
  <c r="O236" i="3"/>
  <c r="S236" i="3"/>
  <c r="P236" i="3"/>
  <c r="L236" i="3"/>
  <c r="U236" i="3"/>
  <c r="K236" i="3"/>
  <c r="R236" i="3"/>
  <c r="N236" i="3"/>
  <c r="T236" i="3"/>
  <c r="Q236" i="3"/>
  <c r="M236" i="3"/>
  <c r="N269" i="3"/>
  <c r="P269" i="3"/>
  <c r="K269" i="3"/>
  <c r="M269" i="3"/>
  <c r="U269" i="3"/>
  <c r="S269" i="3"/>
  <c r="L269" i="3"/>
  <c r="T269" i="3"/>
  <c r="Q269" i="3"/>
  <c r="R269" i="3"/>
  <c r="O269" i="3"/>
  <c r="U360" i="3"/>
  <c r="T360" i="3"/>
  <c r="O360" i="3"/>
  <c r="P360" i="3"/>
  <c r="L360" i="3"/>
  <c r="M360" i="3"/>
  <c r="K360" i="3"/>
  <c r="Q360" i="3"/>
  <c r="S360" i="3"/>
  <c r="R360" i="3"/>
  <c r="N360" i="3"/>
  <c r="U513" i="3"/>
  <c r="M513" i="3"/>
  <c r="P513" i="3"/>
  <c r="S513" i="3"/>
  <c r="K513" i="3"/>
  <c r="L513" i="3"/>
  <c r="O513" i="3"/>
  <c r="N513" i="3"/>
  <c r="R513" i="3"/>
  <c r="T513" i="3"/>
  <c r="Q513" i="3"/>
  <c r="N146" i="3"/>
  <c r="K146" i="3"/>
  <c r="Q146" i="3"/>
  <c r="P146" i="3"/>
  <c r="O146" i="3"/>
  <c r="L146" i="3"/>
  <c r="M146" i="3"/>
  <c r="U146" i="3"/>
  <c r="P298" i="3"/>
  <c r="M298" i="3"/>
  <c r="L298" i="3"/>
  <c r="Q298" i="3"/>
  <c r="R298" i="3"/>
  <c r="N298" i="3"/>
  <c r="U298" i="3"/>
  <c r="S298" i="3"/>
  <c r="K298" i="3"/>
  <c r="O298" i="3"/>
  <c r="T298" i="3"/>
  <c r="M341" i="3"/>
  <c r="P341" i="3"/>
  <c r="K341" i="3"/>
  <c r="U341" i="3"/>
  <c r="L341" i="3"/>
  <c r="T341" i="3"/>
  <c r="N341" i="3"/>
  <c r="S341" i="3"/>
  <c r="O341" i="3"/>
  <c r="R341" i="3"/>
  <c r="Q341" i="3"/>
  <c r="K399" i="3"/>
  <c r="N399" i="3"/>
  <c r="P399" i="3"/>
  <c r="O399" i="3"/>
  <c r="Q399" i="3"/>
  <c r="M399" i="3"/>
  <c r="U399" i="3"/>
  <c r="R399" i="3"/>
  <c r="T399" i="3"/>
  <c r="L399" i="3"/>
  <c r="S399" i="3"/>
  <c r="M578" i="3"/>
  <c r="K578" i="3"/>
  <c r="N578" i="3"/>
  <c r="O578" i="3"/>
  <c r="S578" i="3"/>
  <c r="P578" i="3"/>
  <c r="L578" i="3"/>
  <c r="Q578" i="3"/>
  <c r="U578" i="3"/>
  <c r="R578" i="3"/>
  <c r="T578" i="3"/>
  <c r="P574" i="3"/>
  <c r="K574" i="3"/>
  <c r="M574" i="3"/>
  <c r="S574" i="3"/>
  <c r="L574" i="3"/>
  <c r="O574" i="3"/>
  <c r="T574" i="3"/>
  <c r="Q574" i="3"/>
  <c r="R574" i="3"/>
  <c r="N574" i="3"/>
  <c r="U574" i="3"/>
  <c r="P285" i="3"/>
  <c r="K285" i="3"/>
  <c r="Q285" i="3"/>
  <c r="L285" i="3"/>
  <c r="T285" i="3"/>
  <c r="R285" i="3"/>
  <c r="S285" i="3"/>
  <c r="U285" i="3"/>
  <c r="O285" i="3"/>
  <c r="N285" i="3"/>
  <c r="M285" i="3"/>
  <c r="R348" i="3"/>
  <c r="S348" i="3"/>
  <c r="N348" i="3"/>
  <c r="K348" i="3"/>
  <c r="Q348" i="3"/>
  <c r="P348" i="3"/>
  <c r="T348" i="3"/>
  <c r="L348" i="3"/>
  <c r="O348" i="3"/>
  <c r="U348" i="3"/>
  <c r="M348" i="3"/>
  <c r="M571" i="3"/>
  <c r="O571" i="3"/>
  <c r="P571" i="3"/>
  <c r="L571" i="3"/>
  <c r="Q571" i="3"/>
  <c r="T571" i="3"/>
  <c r="K571" i="3"/>
  <c r="S571" i="3"/>
  <c r="U571" i="3"/>
  <c r="R571" i="3"/>
  <c r="N571" i="3"/>
  <c r="N562" i="3"/>
  <c r="P562" i="3"/>
  <c r="S562" i="3"/>
  <c r="R562" i="3"/>
  <c r="L562" i="3"/>
  <c r="O562" i="3"/>
  <c r="T562" i="3"/>
  <c r="U562" i="3"/>
  <c r="Q562" i="3"/>
  <c r="M562" i="3"/>
  <c r="K562" i="3"/>
  <c r="P533" i="3"/>
  <c r="N533" i="3"/>
  <c r="O533" i="3"/>
  <c r="S533" i="3"/>
  <c r="L533" i="3"/>
  <c r="R533" i="3"/>
  <c r="U533" i="3"/>
  <c r="K533" i="3"/>
  <c r="T533" i="3"/>
  <c r="M533" i="3"/>
  <c r="Q533" i="3"/>
  <c r="T519" i="3"/>
  <c r="Q519" i="3"/>
  <c r="O519" i="3"/>
  <c r="L519" i="3"/>
  <c r="P519" i="3"/>
  <c r="U519" i="3"/>
  <c r="N519" i="3"/>
  <c r="S519" i="3"/>
  <c r="M519" i="3"/>
  <c r="R519" i="3"/>
  <c r="K519" i="3"/>
  <c r="K301" i="3"/>
  <c r="N301" i="3"/>
  <c r="T301" i="3"/>
  <c r="R301" i="3"/>
  <c r="U301" i="3"/>
  <c r="M301" i="3"/>
  <c r="S301" i="3"/>
  <c r="L301" i="3"/>
  <c r="O301" i="3"/>
  <c r="P301" i="3"/>
  <c r="Q301" i="3"/>
  <c r="K198" i="3"/>
  <c r="U198" i="3"/>
  <c r="L198" i="3"/>
  <c r="M198" i="3"/>
  <c r="N198" i="3"/>
  <c r="Q198" i="3"/>
  <c r="O198" i="3"/>
  <c r="P198" i="3"/>
  <c r="O100" i="3"/>
  <c r="Q100" i="3"/>
  <c r="U100" i="3"/>
  <c r="L100" i="3"/>
  <c r="P100" i="3"/>
  <c r="N100" i="3"/>
  <c r="M100" i="3"/>
  <c r="K100" i="3"/>
  <c r="K197" i="3"/>
  <c r="U197" i="3"/>
  <c r="Q197" i="3"/>
  <c r="P197" i="3"/>
  <c r="O197" i="3"/>
  <c r="L197" i="3"/>
  <c r="N197" i="3"/>
  <c r="M197" i="3"/>
  <c r="L99" i="3"/>
  <c r="M99" i="3"/>
  <c r="U99" i="3"/>
  <c r="Q99" i="3"/>
  <c r="P99" i="3"/>
  <c r="N99" i="3"/>
  <c r="O99" i="3"/>
  <c r="K99" i="3"/>
  <c r="Q196" i="3"/>
  <c r="P196" i="3"/>
  <c r="N196" i="3"/>
  <c r="O196" i="3"/>
  <c r="M196" i="3"/>
  <c r="U196" i="3"/>
  <c r="L196" i="3"/>
  <c r="K196" i="3"/>
  <c r="N98" i="3"/>
  <c r="U98" i="3"/>
  <c r="M98" i="3"/>
  <c r="K98" i="3"/>
  <c r="L98" i="3"/>
  <c r="Q98" i="3"/>
  <c r="P98" i="3"/>
  <c r="O98" i="3"/>
  <c r="U162" i="3"/>
  <c r="Q162" i="3"/>
  <c r="M162" i="3"/>
  <c r="L162" i="3"/>
  <c r="P162" i="3"/>
  <c r="N162" i="3"/>
  <c r="O162" i="3"/>
  <c r="K162" i="3"/>
  <c r="L190" i="3"/>
  <c r="K190" i="3"/>
  <c r="N190" i="3"/>
  <c r="Q190" i="3"/>
  <c r="O190" i="3"/>
  <c r="P190" i="3"/>
  <c r="R190" i="3"/>
  <c r="S190" i="3"/>
  <c r="U190" i="3"/>
  <c r="M190" i="3"/>
  <c r="T190" i="3"/>
  <c r="K411" i="3"/>
  <c r="S411" i="3"/>
  <c r="T411" i="3"/>
  <c r="N411" i="3"/>
  <c r="P411" i="3"/>
  <c r="Q411" i="3"/>
  <c r="M411" i="3"/>
  <c r="O411" i="3"/>
  <c r="U411" i="3"/>
  <c r="R411" i="3"/>
  <c r="L411" i="3"/>
  <c r="L112" i="3"/>
  <c r="M112" i="3"/>
  <c r="N112" i="3"/>
  <c r="P112" i="3"/>
  <c r="K112" i="3"/>
  <c r="O112" i="3"/>
  <c r="Q112" i="3"/>
  <c r="U112" i="3"/>
  <c r="L96" i="3"/>
  <c r="O96" i="3"/>
  <c r="Q96" i="3"/>
  <c r="T96" i="3"/>
  <c r="M96" i="3"/>
  <c r="R96" i="3"/>
  <c r="K96" i="3"/>
  <c r="U96" i="3"/>
  <c r="N96" i="3"/>
  <c r="P96" i="3"/>
  <c r="S96" i="3"/>
  <c r="L308" i="3"/>
  <c r="O308" i="3"/>
  <c r="S308" i="3"/>
  <c r="Q308" i="3"/>
  <c r="U308" i="3"/>
  <c r="R308" i="3"/>
  <c r="M308" i="3"/>
  <c r="T308" i="3"/>
  <c r="P308" i="3"/>
  <c r="N308" i="3"/>
  <c r="K308" i="3"/>
  <c r="T526" i="3"/>
  <c r="Q526" i="3"/>
  <c r="K526" i="3"/>
  <c r="S526" i="3"/>
  <c r="P526" i="3"/>
  <c r="R526" i="3"/>
  <c r="U526" i="3"/>
  <c r="O526" i="3"/>
  <c r="N526" i="3"/>
  <c r="M526" i="3"/>
  <c r="L526" i="3"/>
  <c r="N579" i="3"/>
  <c r="P579" i="3"/>
  <c r="K579" i="3"/>
  <c r="Q579" i="3"/>
  <c r="R579" i="3"/>
  <c r="S579" i="3"/>
  <c r="T579" i="3"/>
  <c r="O579" i="3"/>
  <c r="M579" i="3"/>
  <c r="L579" i="3"/>
  <c r="U579" i="3"/>
  <c r="S402" i="3"/>
  <c r="T402" i="3"/>
  <c r="M402" i="3"/>
  <c r="R402" i="3"/>
  <c r="Q402" i="3"/>
  <c r="N402" i="3"/>
  <c r="U402" i="3"/>
  <c r="O402" i="3"/>
  <c r="P402" i="3"/>
  <c r="K402" i="3"/>
  <c r="L402" i="3"/>
  <c r="K337" i="3"/>
  <c r="N337" i="3"/>
  <c r="U337" i="3"/>
  <c r="R337" i="3"/>
  <c r="P337" i="3"/>
  <c r="M337" i="3"/>
  <c r="L337" i="3"/>
  <c r="T337" i="3"/>
  <c r="S337" i="3"/>
  <c r="O337" i="3"/>
  <c r="Q337" i="3"/>
  <c r="M157" i="3"/>
  <c r="Q157" i="3"/>
  <c r="U157" i="3"/>
  <c r="N157" i="3"/>
  <c r="L157" i="3"/>
  <c r="O157" i="3"/>
  <c r="P157" i="3"/>
  <c r="K157" i="3"/>
  <c r="M132" i="3"/>
  <c r="L132" i="3"/>
  <c r="Q132" i="3"/>
  <c r="R132" i="3"/>
  <c r="K132" i="3"/>
  <c r="O132" i="3"/>
  <c r="P132" i="3"/>
  <c r="T132" i="3"/>
  <c r="N132" i="3"/>
  <c r="U132" i="3"/>
  <c r="S132" i="3"/>
  <c r="T463" i="3"/>
  <c r="O463" i="3"/>
  <c r="M463" i="3"/>
  <c r="K463" i="3"/>
  <c r="Q463" i="3"/>
  <c r="U463" i="3"/>
  <c r="N463" i="3"/>
  <c r="R463" i="3"/>
  <c r="P463" i="3"/>
  <c r="L463" i="3"/>
  <c r="S463" i="3"/>
  <c r="L347" i="3"/>
  <c r="Q347" i="3"/>
  <c r="R347" i="3"/>
  <c r="O347" i="3"/>
  <c r="T347" i="3"/>
  <c r="K347" i="3"/>
  <c r="P347" i="3"/>
  <c r="S347" i="3"/>
  <c r="U347" i="3"/>
  <c r="M347" i="3"/>
  <c r="N347" i="3"/>
  <c r="L195" i="3"/>
  <c r="M195" i="3"/>
  <c r="P195" i="3"/>
  <c r="K195" i="3"/>
  <c r="O195" i="3"/>
  <c r="N195" i="3"/>
  <c r="U195" i="3"/>
  <c r="Q195" i="3"/>
  <c r="K523" i="3"/>
  <c r="T523" i="3"/>
  <c r="M523" i="3"/>
  <c r="N523" i="3"/>
  <c r="L523" i="3"/>
  <c r="O523" i="3"/>
  <c r="Q523" i="3"/>
  <c r="U523" i="3"/>
  <c r="S523" i="3"/>
  <c r="R523" i="3"/>
  <c r="P523" i="3"/>
  <c r="L383" i="3"/>
  <c r="S383" i="3"/>
  <c r="M383" i="3"/>
  <c r="U383" i="3"/>
  <c r="O383" i="3"/>
  <c r="K383" i="3"/>
  <c r="Q383" i="3"/>
  <c r="P383" i="3"/>
  <c r="N383" i="3"/>
  <c r="T383" i="3"/>
  <c r="R383" i="3"/>
  <c r="O243" i="3"/>
  <c r="U243" i="3"/>
  <c r="M243" i="3"/>
  <c r="N243" i="3"/>
  <c r="R243" i="3"/>
  <c r="K243" i="3"/>
  <c r="Q243" i="3"/>
  <c r="L243" i="3"/>
  <c r="P243" i="3"/>
  <c r="T243" i="3"/>
  <c r="S243" i="3"/>
  <c r="Q488" i="3"/>
  <c r="R488" i="3"/>
  <c r="S488" i="3"/>
  <c r="P488" i="3"/>
  <c r="T488" i="3"/>
  <c r="K488" i="3"/>
  <c r="U488" i="3"/>
  <c r="M488" i="3"/>
  <c r="O488" i="3"/>
  <c r="L488" i="3"/>
  <c r="N488" i="3"/>
  <c r="U400" i="3"/>
  <c r="L400" i="3"/>
  <c r="N400" i="3"/>
  <c r="O400" i="3"/>
  <c r="T400" i="3"/>
  <c r="R400" i="3"/>
  <c r="P400" i="3"/>
  <c r="Q400" i="3"/>
  <c r="S400" i="3"/>
  <c r="K400" i="3"/>
  <c r="M400" i="3"/>
  <c r="K156" i="3"/>
  <c r="Q156" i="3"/>
  <c r="U156" i="3"/>
  <c r="O156" i="3"/>
  <c r="P156" i="3"/>
  <c r="R156" i="3"/>
  <c r="M156" i="3"/>
  <c r="L156" i="3"/>
  <c r="S156" i="3"/>
  <c r="T156" i="3"/>
  <c r="N156" i="3"/>
  <c r="L290" i="3"/>
  <c r="R290" i="3"/>
  <c r="N290" i="3"/>
  <c r="S290" i="3"/>
  <c r="P290" i="3"/>
  <c r="T290" i="3"/>
  <c r="U290" i="3"/>
  <c r="K290" i="3"/>
  <c r="Q290" i="3"/>
  <c r="M290" i="3"/>
  <c r="O290" i="3"/>
  <c r="Q546" i="3"/>
  <c r="M546" i="3"/>
  <c r="T546" i="3"/>
  <c r="P546" i="3"/>
  <c r="O546" i="3"/>
  <c r="U546" i="3"/>
  <c r="S546" i="3"/>
  <c r="K546" i="3"/>
  <c r="N546" i="3"/>
  <c r="L546" i="3"/>
  <c r="R546" i="3"/>
  <c r="K460" i="3"/>
  <c r="Q460" i="3"/>
  <c r="T460" i="3"/>
  <c r="N460" i="3"/>
  <c r="P460" i="3"/>
  <c r="U460" i="3"/>
  <c r="O460" i="3"/>
  <c r="S460" i="3"/>
  <c r="R460" i="3"/>
  <c r="M460" i="3"/>
  <c r="L460" i="3"/>
  <c r="U226" i="3"/>
  <c r="N226" i="3"/>
  <c r="S226" i="3"/>
  <c r="Q226" i="3"/>
  <c r="T226" i="3"/>
  <c r="M226" i="3"/>
  <c r="L226" i="3"/>
  <c r="O226" i="3"/>
  <c r="K226" i="3"/>
  <c r="P226" i="3"/>
  <c r="R226" i="3"/>
  <c r="M73" i="3"/>
  <c r="Q73" i="3"/>
  <c r="N73" i="3"/>
  <c r="O73" i="3"/>
  <c r="K73" i="3"/>
  <c r="L73" i="3"/>
  <c r="P73" i="3"/>
  <c r="U73" i="3"/>
  <c r="Q575" i="3"/>
  <c r="R575" i="3"/>
  <c r="T575" i="3"/>
  <c r="M575" i="3"/>
  <c r="K575" i="3"/>
  <c r="P575" i="3"/>
  <c r="U575" i="3"/>
  <c r="N575" i="3"/>
  <c r="O575" i="3"/>
  <c r="L575" i="3"/>
  <c r="S575" i="3"/>
  <c r="Q386" i="3"/>
  <c r="L386" i="3"/>
  <c r="M386" i="3"/>
  <c r="T386" i="3"/>
  <c r="K386" i="3"/>
  <c r="U386" i="3"/>
  <c r="S386" i="3"/>
  <c r="N386" i="3"/>
  <c r="P386" i="3"/>
  <c r="O386" i="3"/>
  <c r="R386" i="3"/>
  <c r="Q283" i="3"/>
  <c r="L283" i="3"/>
  <c r="S283" i="3"/>
  <c r="R283" i="3"/>
  <c r="P283" i="3"/>
  <c r="U283" i="3"/>
  <c r="K283" i="3"/>
  <c r="T283" i="3"/>
  <c r="O283" i="3"/>
  <c r="N283" i="3"/>
  <c r="M283" i="3"/>
  <c r="L537" i="3"/>
  <c r="S537" i="3"/>
  <c r="U537" i="3"/>
  <c r="M537" i="3"/>
  <c r="Q537" i="3"/>
  <c r="K537" i="3"/>
  <c r="N537" i="3"/>
  <c r="T537" i="3"/>
  <c r="O537" i="3"/>
  <c r="R537" i="3"/>
  <c r="P537" i="3"/>
  <c r="Q329" i="3"/>
  <c r="M329" i="3"/>
  <c r="T329" i="3"/>
  <c r="P329" i="3"/>
  <c r="S329" i="3"/>
  <c r="U329" i="3"/>
  <c r="L329" i="3"/>
  <c r="N329" i="3"/>
  <c r="O329" i="3"/>
  <c r="K329" i="3"/>
  <c r="R329" i="3"/>
  <c r="Q245" i="3"/>
  <c r="N245" i="3"/>
  <c r="U245" i="3"/>
  <c r="L245" i="3"/>
  <c r="R245" i="3"/>
  <c r="P245" i="3"/>
  <c r="M245" i="3"/>
  <c r="K245" i="3"/>
  <c r="T245" i="3"/>
  <c r="S245" i="3"/>
  <c r="O245" i="3"/>
  <c r="T376" i="3"/>
  <c r="P376" i="3"/>
  <c r="S376" i="3"/>
  <c r="M376" i="3"/>
  <c r="U376" i="3"/>
  <c r="Q376" i="3"/>
  <c r="N376" i="3"/>
  <c r="L376" i="3"/>
  <c r="O376" i="3"/>
  <c r="K376" i="3"/>
  <c r="R376" i="3"/>
  <c r="T260" i="3"/>
  <c r="R260" i="3"/>
  <c r="L260" i="3"/>
  <c r="K260" i="3"/>
  <c r="O260" i="3"/>
  <c r="U260" i="3"/>
  <c r="P260" i="3"/>
  <c r="N260" i="3"/>
  <c r="M260" i="3"/>
  <c r="S260" i="3"/>
  <c r="Q260" i="3"/>
  <c r="S296" i="3"/>
  <c r="N296" i="3"/>
  <c r="T296" i="3"/>
  <c r="P296" i="3"/>
  <c r="O296" i="3"/>
  <c r="K296" i="3"/>
  <c r="U296" i="3"/>
  <c r="L296" i="3"/>
  <c r="M296" i="3"/>
  <c r="Q296" i="3"/>
  <c r="R296" i="3"/>
  <c r="K261" i="3"/>
  <c r="O261" i="3"/>
  <c r="R261" i="3"/>
  <c r="N261" i="3"/>
  <c r="P261" i="3"/>
  <c r="S261" i="3"/>
  <c r="Q261" i="3"/>
  <c r="T261" i="3"/>
  <c r="L261" i="3"/>
  <c r="M261" i="3"/>
  <c r="U261" i="3"/>
  <c r="U387" i="3"/>
  <c r="S387" i="3"/>
  <c r="O387" i="3"/>
  <c r="N387" i="3"/>
  <c r="T387" i="3"/>
  <c r="M387" i="3"/>
  <c r="K387" i="3"/>
  <c r="Q387" i="3"/>
  <c r="P387" i="3"/>
  <c r="R387" i="3"/>
  <c r="L387" i="3"/>
  <c r="O580" i="3"/>
  <c r="R580" i="3"/>
  <c r="Q580" i="3"/>
  <c r="S580" i="3"/>
  <c r="U580" i="3"/>
  <c r="N580" i="3"/>
  <c r="L580" i="3"/>
  <c r="P580" i="3"/>
  <c r="T580" i="3"/>
  <c r="K580" i="3"/>
  <c r="M580" i="3"/>
  <c r="S275" i="3"/>
  <c r="M275" i="3"/>
  <c r="R275" i="3"/>
  <c r="K275" i="3"/>
  <c r="Q275" i="3"/>
  <c r="L275" i="3"/>
  <c r="N275" i="3"/>
  <c r="U275" i="3"/>
  <c r="O275" i="3"/>
  <c r="P275" i="3"/>
  <c r="T275" i="3"/>
  <c r="P299" i="3"/>
  <c r="K299" i="3"/>
  <c r="R299" i="3"/>
  <c r="O299" i="3"/>
  <c r="U299" i="3"/>
  <c r="N299" i="3"/>
  <c r="M299" i="3"/>
  <c r="S299" i="3"/>
  <c r="T299" i="3"/>
  <c r="L299" i="3"/>
  <c r="Q299" i="3"/>
  <c r="L336" i="3"/>
  <c r="S336" i="3"/>
  <c r="K336" i="3"/>
  <c r="P336" i="3"/>
  <c r="N336" i="3"/>
  <c r="Q336" i="3"/>
  <c r="M336" i="3"/>
  <c r="T336" i="3"/>
  <c r="O336" i="3"/>
  <c r="R336" i="3"/>
  <c r="U336" i="3"/>
  <c r="U354" i="3"/>
  <c r="N354" i="3"/>
  <c r="K354" i="3"/>
  <c r="O354" i="3"/>
  <c r="R354" i="3"/>
  <c r="M354" i="3"/>
  <c r="T354" i="3"/>
  <c r="P354" i="3"/>
  <c r="L354" i="3"/>
  <c r="S354" i="3"/>
  <c r="Q354" i="3"/>
  <c r="T382" i="3"/>
  <c r="M382" i="3"/>
  <c r="O382" i="3"/>
  <c r="K382" i="3"/>
  <c r="P382" i="3"/>
  <c r="N382" i="3"/>
  <c r="R382" i="3"/>
  <c r="Q382" i="3"/>
  <c r="L382" i="3"/>
  <c r="S382" i="3"/>
  <c r="U382" i="3"/>
  <c r="L487" i="3"/>
  <c r="M487" i="3"/>
  <c r="N487" i="3"/>
  <c r="P487" i="3"/>
  <c r="Q487" i="3"/>
  <c r="O487" i="3"/>
  <c r="R487" i="3"/>
  <c r="U487" i="3"/>
  <c r="K487" i="3"/>
  <c r="T487" i="3"/>
  <c r="S487" i="3"/>
  <c r="Q471" i="3"/>
  <c r="T471" i="3"/>
  <c r="S471" i="3"/>
  <c r="P471" i="3"/>
  <c r="M471" i="3"/>
  <c r="U471" i="3"/>
  <c r="N471" i="3"/>
  <c r="R471" i="3"/>
  <c r="O471" i="3"/>
  <c r="L471" i="3"/>
  <c r="K471" i="3"/>
  <c r="P384" i="3"/>
  <c r="O384" i="3"/>
  <c r="T384" i="3"/>
  <c r="N384" i="3"/>
  <c r="L384" i="3"/>
  <c r="S384" i="3"/>
  <c r="M384" i="3"/>
  <c r="Q384" i="3"/>
  <c r="K384" i="3"/>
  <c r="R384" i="3"/>
  <c r="U384" i="3"/>
  <c r="O349" i="3"/>
  <c r="L349" i="3"/>
  <c r="R349" i="3"/>
  <c r="P349" i="3"/>
  <c r="S349" i="3"/>
  <c r="K349" i="3"/>
  <c r="M349" i="3"/>
  <c r="U349" i="3"/>
  <c r="N349" i="3"/>
  <c r="T349" i="3"/>
  <c r="Q349" i="3"/>
  <c r="M97" i="3"/>
  <c r="N97" i="3"/>
  <c r="U97" i="3"/>
  <c r="K97" i="3"/>
  <c r="L97" i="3"/>
  <c r="Q97" i="3"/>
  <c r="O97" i="3"/>
  <c r="P97" i="3"/>
  <c r="P286" i="3"/>
  <c r="L286" i="3"/>
  <c r="U286" i="3"/>
  <c r="O286" i="3"/>
  <c r="R286" i="3"/>
  <c r="S286" i="3"/>
  <c r="Q286" i="3"/>
  <c r="K286" i="3"/>
  <c r="N286" i="3"/>
  <c r="T286" i="3"/>
  <c r="M286" i="3"/>
  <c r="K524" i="3"/>
  <c r="M524" i="3"/>
  <c r="P524" i="3"/>
  <c r="N524" i="3"/>
  <c r="O524" i="3"/>
  <c r="Q524" i="3"/>
  <c r="S524" i="3"/>
  <c r="T524" i="3"/>
  <c r="R524" i="3"/>
  <c r="U524" i="3"/>
  <c r="L524" i="3"/>
  <c r="T385" i="3"/>
  <c r="S385" i="3"/>
  <c r="P385" i="3"/>
  <c r="Q385" i="3"/>
  <c r="U385" i="3"/>
  <c r="O385" i="3"/>
  <c r="M385" i="3"/>
  <c r="K385" i="3"/>
  <c r="R385" i="3"/>
  <c r="N385" i="3"/>
  <c r="L385" i="3"/>
  <c r="M484" i="3"/>
  <c r="L484" i="3"/>
  <c r="P484" i="3"/>
  <c r="Q484" i="3"/>
  <c r="N484" i="3"/>
  <c r="S484" i="3"/>
  <c r="O484" i="3"/>
  <c r="K484" i="3"/>
  <c r="T484" i="3"/>
  <c r="R484" i="3"/>
  <c r="U484" i="3"/>
  <c r="K378" i="3"/>
  <c r="U378" i="3"/>
  <c r="N378" i="3"/>
  <c r="Q378" i="3"/>
  <c r="O378" i="3"/>
  <c r="P378" i="3"/>
  <c r="T378" i="3"/>
  <c r="R378" i="3"/>
  <c r="S378" i="3"/>
  <c r="L378" i="3"/>
  <c r="M378" i="3"/>
  <c r="R182" i="3"/>
  <c r="S182" i="3"/>
  <c r="M182" i="3"/>
  <c r="U182" i="3"/>
  <c r="T182" i="3"/>
  <c r="L182" i="3"/>
  <c r="K182" i="3"/>
  <c r="N182" i="3"/>
  <c r="Q182" i="3"/>
  <c r="O182" i="3"/>
  <c r="P182" i="3"/>
  <c r="U165" i="3"/>
  <c r="K165" i="3"/>
  <c r="Q165" i="3"/>
  <c r="O165" i="3"/>
  <c r="M165" i="3"/>
  <c r="L165" i="3"/>
  <c r="N165" i="3"/>
  <c r="P165" i="3"/>
  <c r="K426" i="3"/>
  <c r="S426" i="3"/>
  <c r="Q426" i="3"/>
  <c r="O426" i="3"/>
  <c r="N426" i="3"/>
  <c r="U426" i="3"/>
  <c r="P426" i="3"/>
  <c r="R426" i="3"/>
  <c r="M426" i="3"/>
  <c r="L426" i="3"/>
  <c r="T426" i="3"/>
  <c r="N262" i="3"/>
  <c r="Q262" i="3"/>
  <c r="M262" i="3"/>
  <c r="U262" i="3"/>
  <c r="T262" i="3"/>
  <c r="L262" i="3"/>
  <c r="P262" i="3"/>
  <c r="S262" i="3"/>
  <c r="R262" i="3"/>
  <c r="O262" i="3"/>
  <c r="K262" i="3"/>
  <c r="P250" i="3"/>
  <c r="K250" i="3"/>
  <c r="M250" i="3"/>
  <c r="R250" i="3"/>
  <c r="S250" i="3"/>
  <c r="N250" i="3"/>
  <c r="L250" i="3"/>
  <c r="U250" i="3"/>
  <c r="Q250" i="3"/>
  <c r="T250" i="3"/>
  <c r="O250" i="3"/>
  <c r="S558" i="3"/>
  <c r="Q558" i="3"/>
  <c r="M558" i="3"/>
  <c r="U558" i="3"/>
  <c r="P558" i="3"/>
  <c r="N558" i="3"/>
  <c r="O558" i="3"/>
  <c r="R558" i="3"/>
  <c r="L558" i="3"/>
  <c r="K558" i="3"/>
  <c r="T558" i="3"/>
  <c r="Q326" i="3"/>
  <c r="P326" i="3"/>
  <c r="K326" i="3"/>
  <c r="T326" i="3"/>
  <c r="U326" i="3"/>
  <c r="L326" i="3"/>
  <c r="N326" i="3"/>
  <c r="S326" i="3"/>
  <c r="R326" i="3"/>
  <c r="M326" i="3"/>
  <c r="O326" i="3"/>
  <c r="N444" i="3"/>
  <c r="L444" i="3"/>
  <c r="R444" i="3"/>
  <c r="O444" i="3"/>
  <c r="K444" i="3"/>
  <c r="T444" i="3"/>
  <c r="P444" i="3"/>
  <c r="Q444" i="3"/>
  <c r="M444" i="3"/>
  <c r="U444" i="3"/>
  <c r="S444" i="3"/>
  <c r="N164" i="3"/>
  <c r="P164" i="3"/>
  <c r="Q164" i="3"/>
  <c r="M164" i="3"/>
  <c r="R164" i="3"/>
  <c r="S164" i="3"/>
  <c r="L164" i="3"/>
  <c r="T164" i="3"/>
  <c r="O164" i="3"/>
  <c r="K164" i="3"/>
  <c r="U164" i="3"/>
  <c r="L372" i="3"/>
  <c r="U372" i="3"/>
  <c r="N372" i="3"/>
  <c r="T372" i="3"/>
  <c r="P372" i="3"/>
  <c r="S372" i="3"/>
  <c r="Q372" i="3"/>
  <c r="K372" i="3"/>
  <c r="O372" i="3"/>
  <c r="R372" i="3"/>
  <c r="M372" i="3"/>
  <c r="Q352" i="3"/>
  <c r="N352" i="3"/>
  <c r="O352" i="3"/>
  <c r="L352" i="3"/>
  <c r="M352" i="3"/>
  <c r="P352" i="3"/>
  <c r="R352" i="3"/>
  <c r="U352" i="3"/>
  <c r="T352" i="3"/>
  <c r="S352" i="3"/>
  <c r="K352" i="3"/>
  <c r="T469" i="3"/>
  <c r="R469" i="3"/>
  <c r="O469" i="3"/>
  <c r="N469" i="3"/>
  <c r="S469" i="3"/>
  <c r="K469" i="3"/>
  <c r="P469" i="3"/>
  <c r="U469" i="3"/>
  <c r="L469" i="3"/>
  <c r="M469" i="3"/>
  <c r="Q469" i="3"/>
  <c r="R333" i="3"/>
  <c r="U333" i="3"/>
  <c r="O333" i="3"/>
  <c r="Q333" i="3"/>
  <c r="M333" i="3"/>
  <c r="P333" i="3"/>
  <c r="K333" i="3"/>
  <c r="L333" i="3"/>
  <c r="N333" i="3"/>
  <c r="S333" i="3"/>
  <c r="T333" i="3"/>
  <c r="Q234" i="3"/>
  <c r="M234" i="3"/>
  <c r="P234" i="3"/>
  <c r="R234" i="3"/>
  <c r="K234" i="3"/>
  <c r="T234" i="3"/>
  <c r="L234" i="3"/>
  <c r="N234" i="3"/>
  <c r="O234" i="3"/>
  <c r="S234" i="3"/>
  <c r="U234" i="3"/>
  <c r="T404" i="3"/>
  <c r="P404" i="3"/>
  <c r="K404" i="3"/>
  <c r="M404" i="3"/>
  <c r="R404" i="3"/>
  <c r="L404" i="3"/>
  <c r="O404" i="3"/>
  <c r="U404" i="3"/>
  <c r="N404" i="3"/>
  <c r="S404" i="3"/>
  <c r="Q404" i="3"/>
  <c r="L419" i="3"/>
  <c r="N419" i="3"/>
  <c r="Q419" i="3"/>
  <c r="S419" i="3"/>
  <c r="T419" i="3"/>
  <c r="R419" i="3"/>
  <c r="M419" i="3"/>
  <c r="U419" i="3"/>
  <c r="O419" i="3"/>
  <c r="P419" i="3"/>
  <c r="K419" i="3"/>
  <c r="N270" i="3"/>
  <c r="U270" i="3"/>
  <c r="K270" i="3"/>
  <c r="L270" i="3"/>
  <c r="P270" i="3"/>
  <c r="T270" i="3"/>
  <c r="Q270" i="3"/>
  <c r="R270" i="3"/>
  <c r="O270" i="3"/>
  <c r="M270" i="3"/>
  <c r="S270" i="3"/>
  <c r="R395" i="3"/>
  <c r="O395" i="3"/>
  <c r="L395" i="3"/>
  <c r="T395" i="3"/>
  <c r="P395" i="3"/>
  <c r="Q395" i="3"/>
  <c r="U395" i="3"/>
  <c r="S395" i="3"/>
  <c r="M395" i="3"/>
  <c r="K395" i="3"/>
  <c r="N395" i="3"/>
  <c r="U161" i="3"/>
  <c r="K161" i="3"/>
  <c r="P161" i="3"/>
  <c r="O161" i="3"/>
  <c r="N161" i="3"/>
  <c r="Q161" i="3"/>
  <c r="M161" i="3"/>
  <c r="L161" i="3"/>
  <c r="L335" i="3"/>
  <c r="O335" i="3"/>
  <c r="K335" i="3"/>
  <c r="N335" i="3"/>
  <c r="R335" i="3"/>
  <c r="M335" i="3"/>
  <c r="T335" i="3"/>
  <c r="U335" i="3"/>
  <c r="S335" i="3"/>
  <c r="P335" i="3"/>
  <c r="Q335" i="3"/>
  <c r="Q238" i="3"/>
  <c r="K238" i="3"/>
  <c r="U238" i="3"/>
  <c r="O238" i="3"/>
  <c r="N238" i="3"/>
  <c r="L238" i="3"/>
  <c r="P238" i="3"/>
  <c r="S238" i="3"/>
  <c r="M238" i="3"/>
  <c r="T238" i="3"/>
  <c r="R238" i="3"/>
  <c r="L430" i="3"/>
  <c r="U430" i="3"/>
  <c r="T430" i="3"/>
  <c r="Q430" i="3"/>
  <c r="S430" i="3"/>
  <c r="M430" i="3"/>
  <c r="K430" i="3"/>
  <c r="O430" i="3"/>
  <c r="R430" i="3"/>
  <c r="P430" i="3"/>
  <c r="N430" i="3"/>
  <c r="O282" i="3"/>
  <c r="S282" i="3"/>
  <c r="R282" i="3"/>
  <c r="T282" i="3"/>
  <c r="L282" i="3"/>
  <c r="U282" i="3"/>
  <c r="Q282" i="3"/>
  <c r="P282" i="3"/>
  <c r="N282" i="3"/>
  <c r="M282" i="3"/>
  <c r="K282" i="3"/>
  <c r="P564" i="3"/>
  <c r="S564" i="3"/>
  <c r="Q564" i="3"/>
  <c r="L564" i="3"/>
  <c r="M564" i="3"/>
  <c r="T564" i="3"/>
  <c r="N564" i="3"/>
  <c r="U564" i="3"/>
  <c r="R564" i="3"/>
  <c r="O564" i="3"/>
  <c r="K564" i="3"/>
  <c r="N483" i="3"/>
  <c r="Q483" i="3"/>
  <c r="L483" i="3"/>
  <c r="M483" i="3"/>
  <c r="O483" i="3"/>
  <c r="R483" i="3"/>
  <c r="U483" i="3"/>
  <c r="S483" i="3"/>
  <c r="T483" i="3"/>
  <c r="P483" i="3"/>
  <c r="K483" i="3"/>
  <c r="N171" i="3"/>
  <c r="S171" i="3"/>
  <c r="P171" i="3"/>
  <c r="U171" i="3"/>
  <c r="M171" i="3"/>
  <c r="K171" i="3"/>
  <c r="L171" i="3"/>
  <c r="T171" i="3"/>
  <c r="O171" i="3"/>
  <c r="R171" i="3"/>
  <c r="Q171" i="3"/>
  <c r="L239" i="3"/>
  <c r="M239" i="3"/>
  <c r="O239" i="3"/>
  <c r="P239" i="3"/>
  <c r="Q239" i="3"/>
  <c r="S239" i="3"/>
  <c r="U239" i="3"/>
  <c r="R239" i="3"/>
  <c r="K239" i="3"/>
  <c r="T239" i="3"/>
  <c r="N239" i="3"/>
  <c r="U369" i="3"/>
  <c r="L369" i="3"/>
  <c r="R369" i="3"/>
  <c r="S369" i="3"/>
  <c r="N369" i="3"/>
  <c r="P369" i="3"/>
  <c r="M369" i="3"/>
  <c r="T369" i="3"/>
  <c r="O369" i="3"/>
  <c r="Q369" i="3"/>
  <c r="K369" i="3"/>
  <c r="N120" i="3"/>
  <c r="U120" i="3"/>
  <c r="M120" i="3"/>
  <c r="K120" i="3"/>
  <c r="L120" i="3"/>
  <c r="O120" i="3"/>
  <c r="P120" i="3"/>
  <c r="Q120" i="3"/>
  <c r="Q477" i="3"/>
  <c r="K477" i="3"/>
  <c r="S477" i="3"/>
  <c r="O477" i="3"/>
  <c r="R477" i="3"/>
  <c r="P477" i="3"/>
  <c r="N477" i="3"/>
  <c r="T477" i="3"/>
  <c r="M477" i="3"/>
  <c r="U477" i="3"/>
  <c r="L477" i="3"/>
  <c r="M450" i="3"/>
  <c r="R450" i="3"/>
  <c r="U450" i="3"/>
  <c r="S450" i="3"/>
  <c r="N450" i="3"/>
  <c r="P450" i="3"/>
  <c r="Q450" i="3"/>
  <c r="T450" i="3"/>
  <c r="O450" i="3"/>
  <c r="K450" i="3"/>
  <c r="L450" i="3"/>
  <c r="P551" i="3"/>
  <c r="Q551" i="3"/>
  <c r="S551" i="3"/>
  <c r="R551" i="3"/>
  <c r="N551" i="3"/>
  <c r="M551" i="3"/>
  <c r="O551" i="3"/>
  <c r="L551" i="3"/>
  <c r="K551" i="3"/>
  <c r="T551" i="3"/>
  <c r="U551" i="3"/>
  <c r="K563" i="3"/>
  <c r="L563" i="3"/>
  <c r="R563" i="3"/>
  <c r="S563" i="3"/>
  <c r="O563" i="3"/>
  <c r="P563" i="3"/>
  <c r="N563" i="3"/>
  <c r="U563" i="3"/>
  <c r="M563" i="3"/>
  <c r="T563" i="3"/>
  <c r="Q563" i="3"/>
  <c r="O517" i="3"/>
  <c r="T517" i="3"/>
  <c r="K517" i="3"/>
  <c r="L517" i="3"/>
  <c r="S517" i="3"/>
  <c r="U517" i="3"/>
  <c r="Q517" i="3"/>
  <c r="R517" i="3"/>
  <c r="N517" i="3"/>
  <c r="M517" i="3"/>
  <c r="P517" i="3"/>
  <c r="M467" i="3"/>
  <c r="U467" i="3"/>
  <c r="P467" i="3"/>
  <c r="K467" i="3"/>
  <c r="N467" i="3"/>
  <c r="T467" i="3"/>
  <c r="O467" i="3"/>
  <c r="S467" i="3"/>
  <c r="L467" i="3"/>
  <c r="Q467" i="3"/>
  <c r="R467" i="3"/>
  <c r="U228" i="3"/>
  <c r="M228" i="3"/>
  <c r="O228" i="3"/>
  <c r="Q228" i="3"/>
  <c r="R228" i="3"/>
  <c r="K228" i="3"/>
  <c r="L228" i="3"/>
  <c r="N228" i="3"/>
  <c r="S228" i="3"/>
  <c r="P228" i="3"/>
  <c r="T228" i="3"/>
  <c r="K453" i="3"/>
  <c r="L453" i="3"/>
  <c r="N453" i="3"/>
  <c r="R453" i="3"/>
  <c r="U453" i="3"/>
  <c r="T453" i="3"/>
  <c r="M453" i="3"/>
  <c r="S453" i="3"/>
  <c r="O453" i="3"/>
  <c r="P453" i="3"/>
  <c r="Q453" i="3"/>
  <c r="U482" i="3"/>
  <c r="R482" i="3"/>
  <c r="Q482" i="3"/>
  <c r="N482" i="3"/>
  <c r="K482" i="3"/>
  <c r="S482" i="3"/>
  <c r="T482" i="3"/>
  <c r="M482" i="3"/>
  <c r="L482" i="3"/>
  <c r="O482" i="3"/>
  <c r="P482" i="3"/>
  <c r="R421" i="3"/>
  <c r="U421" i="3"/>
  <c r="P421" i="3"/>
  <c r="S421" i="3"/>
  <c r="Q421" i="3"/>
  <c r="N421" i="3"/>
  <c r="M421" i="3"/>
  <c r="O421" i="3"/>
  <c r="T421" i="3"/>
  <c r="K421" i="3"/>
  <c r="L421" i="3"/>
  <c r="T288" i="3"/>
  <c r="P288" i="3"/>
  <c r="Q288" i="3"/>
  <c r="S288" i="3"/>
  <c r="M288" i="3"/>
  <c r="O288" i="3"/>
  <c r="K288" i="3"/>
  <c r="N288" i="3"/>
  <c r="R288" i="3"/>
  <c r="L288" i="3"/>
  <c r="U288" i="3"/>
  <c r="T461" i="3"/>
  <c r="L461" i="3"/>
  <c r="M461" i="3"/>
  <c r="Q461" i="3"/>
  <c r="R461" i="3"/>
  <c r="U461" i="3"/>
  <c r="O461" i="3"/>
  <c r="P461" i="3"/>
  <c r="S461" i="3"/>
  <c r="K461" i="3"/>
  <c r="N461" i="3"/>
  <c r="Q466" i="3"/>
  <c r="P466" i="3"/>
  <c r="R466" i="3"/>
  <c r="K466" i="3"/>
  <c r="S466" i="3"/>
  <c r="L466" i="3"/>
  <c r="M466" i="3"/>
  <c r="N466" i="3"/>
  <c r="O466" i="3"/>
  <c r="T466" i="3"/>
  <c r="U466" i="3"/>
  <c r="Q418" i="3"/>
  <c r="U418" i="3"/>
  <c r="R418" i="3"/>
  <c r="T418" i="3"/>
  <c r="K418" i="3"/>
  <c r="O418" i="3"/>
  <c r="S418" i="3"/>
  <c r="N418" i="3"/>
  <c r="L418" i="3"/>
  <c r="P418" i="3"/>
  <c r="M418" i="3"/>
  <c r="Q434" i="3"/>
  <c r="O434" i="3"/>
  <c r="L434" i="3"/>
  <c r="K434" i="3"/>
  <c r="S434" i="3"/>
  <c r="U434" i="3"/>
  <c r="R434" i="3"/>
  <c r="N434" i="3"/>
  <c r="M434" i="3"/>
  <c r="P434" i="3"/>
  <c r="T434" i="3"/>
  <c r="S565" i="3"/>
  <c r="L565" i="3"/>
  <c r="O565" i="3"/>
  <c r="U565" i="3"/>
  <c r="T565" i="3"/>
  <c r="Q565" i="3"/>
  <c r="R565" i="3"/>
  <c r="P565" i="3"/>
  <c r="N565" i="3"/>
  <c r="M565" i="3"/>
  <c r="K565" i="3"/>
  <c r="S436" i="3"/>
  <c r="Q436" i="3"/>
  <c r="M436" i="3"/>
  <c r="R436" i="3"/>
  <c r="N436" i="3"/>
  <c r="P436" i="3"/>
  <c r="L436" i="3"/>
  <c r="O436" i="3"/>
  <c r="T436" i="3"/>
  <c r="U436" i="3"/>
  <c r="K436" i="3"/>
  <c r="N377" i="3"/>
  <c r="U377" i="3"/>
  <c r="Q377" i="3"/>
  <c r="T377" i="3"/>
  <c r="S377" i="3"/>
  <c r="P377" i="3"/>
  <c r="M377" i="3"/>
  <c r="O377" i="3"/>
  <c r="K377" i="3"/>
  <c r="R377" i="3"/>
  <c r="L377" i="3"/>
  <c r="O357" i="3"/>
  <c r="R357" i="3"/>
  <c r="M357" i="3"/>
  <c r="K357" i="3"/>
  <c r="N357" i="3"/>
  <c r="Q357" i="3"/>
  <c r="T357" i="3"/>
  <c r="S357" i="3"/>
  <c r="U357" i="3"/>
  <c r="L357" i="3"/>
  <c r="P357" i="3"/>
  <c r="Q257" i="3"/>
  <c r="T257" i="3"/>
  <c r="S257" i="3"/>
  <c r="M257" i="3"/>
  <c r="L257" i="3"/>
  <c r="K257" i="3"/>
  <c r="U257" i="3"/>
  <c r="P257" i="3"/>
  <c r="R257" i="3"/>
  <c r="N257" i="3"/>
  <c r="O257" i="3"/>
  <c r="U522" i="3"/>
  <c r="K522" i="3"/>
  <c r="O522" i="3"/>
  <c r="Q522" i="3"/>
  <c r="R522" i="3"/>
  <c r="L522" i="3"/>
  <c r="P522" i="3"/>
  <c r="N522" i="3"/>
  <c r="S522" i="3"/>
  <c r="T522" i="3"/>
  <c r="M522" i="3"/>
  <c r="M514" i="3"/>
  <c r="K514" i="3"/>
  <c r="L514" i="3"/>
  <c r="N514" i="3"/>
  <c r="U514" i="3"/>
  <c r="R514" i="3"/>
  <c r="P514" i="3"/>
  <c r="T514" i="3"/>
  <c r="O514" i="3"/>
  <c r="Q514" i="3"/>
  <c r="S514" i="3"/>
  <c r="O423" i="3"/>
  <c r="Q423" i="3"/>
  <c r="N423" i="3"/>
  <c r="M423" i="3"/>
  <c r="L423" i="3"/>
  <c r="U423" i="3"/>
  <c r="K423" i="3"/>
  <c r="P423" i="3"/>
  <c r="S423" i="3"/>
  <c r="R423" i="3"/>
  <c r="T423" i="3"/>
  <c r="K458" i="3"/>
  <c r="N458" i="3"/>
  <c r="P458" i="3"/>
  <c r="M458" i="3"/>
  <c r="T458" i="3"/>
  <c r="O458" i="3"/>
  <c r="S458" i="3"/>
  <c r="Q458" i="3"/>
  <c r="R458" i="3"/>
  <c r="U458" i="3"/>
  <c r="L458" i="3"/>
  <c r="P230" i="3"/>
  <c r="K230" i="3"/>
  <c r="U230" i="3"/>
  <c r="M230" i="3"/>
  <c r="Q230" i="3"/>
  <c r="L230" i="3"/>
  <c r="T230" i="3"/>
  <c r="R230" i="3"/>
  <c r="N230" i="3"/>
  <c r="O230" i="3"/>
  <c r="S230" i="3"/>
  <c r="N315" i="3"/>
  <c r="R315" i="3"/>
  <c r="Q315" i="3"/>
  <c r="L315" i="3"/>
  <c r="O315" i="3"/>
  <c r="K315" i="3"/>
  <c r="P315" i="3"/>
  <c r="T315" i="3"/>
  <c r="S315" i="3"/>
  <c r="M315" i="3"/>
  <c r="U315" i="3"/>
  <c r="P160" i="3"/>
  <c r="O160" i="3"/>
  <c r="R160" i="3"/>
  <c r="Q160" i="3"/>
  <c r="T160" i="3"/>
  <c r="L160" i="3"/>
  <c r="S160" i="3"/>
  <c r="K160" i="3"/>
  <c r="N160" i="3"/>
  <c r="U160" i="3"/>
  <c r="M160" i="3"/>
  <c r="U555" i="3"/>
  <c r="M555" i="3"/>
  <c r="R555" i="3"/>
  <c r="O555" i="3"/>
  <c r="T555" i="3"/>
  <c r="K555" i="3"/>
  <c r="N555" i="3"/>
  <c r="S555" i="3"/>
  <c r="P555" i="3"/>
  <c r="L555" i="3"/>
  <c r="Q555" i="3"/>
  <c r="Q472" i="3"/>
  <c r="P472" i="3"/>
  <c r="K472" i="3"/>
  <c r="T472" i="3"/>
  <c r="O472" i="3"/>
  <c r="L472" i="3"/>
  <c r="S472" i="3"/>
  <c r="U472" i="3"/>
  <c r="N472" i="3"/>
  <c r="R472" i="3"/>
  <c r="M472" i="3"/>
  <c r="K252" i="3"/>
  <c r="R252" i="3"/>
  <c r="M252" i="3"/>
  <c r="L252" i="3"/>
  <c r="O252" i="3"/>
  <c r="T252" i="3"/>
  <c r="Q252" i="3"/>
  <c r="S252" i="3"/>
  <c r="N252" i="3"/>
  <c r="P252" i="3"/>
  <c r="U252" i="3"/>
  <c r="K553" i="3"/>
  <c r="R553" i="3"/>
  <c r="N553" i="3"/>
  <c r="M553" i="3"/>
  <c r="U553" i="3"/>
  <c r="O553" i="3"/>
  <c r="L553" i="3"/>
  <c r="Q553" i="3"/>
  <c r="S553" i="3"/>
  <c r="P553" i="3"/>
  <c r="T553" i="3"/>
  <c r="Q573" i="3"/>
  <c r="M573" i="3"/>
  <c r="O573" i="3"/>
  <c r="P573" i="3"/>
  <c r="R573" i="3"/>
  <c r="L573" i="3"/>
  <c r="K573" i="3"/>
  <c r="U573" i="3"/>
  <c r="N573" i="3"/>
  <c r="S573" i="3"/>
  <c r="T573" i="3"/>
  <c r="Q572" i="3"/>
  <c r="M572" i="3"/>
  <c r="T572" i="3"/>
  <c r="O572" i="3"/>
  <c r="S572" i="3"/>
  <c r="U572" i="3"/>
  <c r="N572" i="3"/>
  <c r="L572" i="3"/>
  <c r="K572" i="3"/>
  <c r="P572" i="3"/>
  <c r="R572" i="3"/>
  <c r="Q127" i="3"/>
  <c r="U127" i="3"/>
  <c r="P127" i="3"/>
  <c r="S127" i="3"/>
  <c r="N127" i="3"/>
  <c r="O127" i="3"/>
  <c r="K127" i="3"/>
  <c r="R127" i="3"/>
  <c r="T127" i="3"/>
  <c r="M127" i="3"/>
  <c r="L127" i="3"/>
  <c r="K501" i="3"/>
  <c r="R501" i="3"/>
  <c r="O501" i="3"/>
  <c r="T501" i="3"/>
  <c r="Q501" i="3"/>
  <c r="S501" i="3"/>
  <c r="U501" i="3"/>
  <c r="N501" i="3"/>
  <c r="L501" i="3"/>
  <c r="M501" i="3"/>
  <c r="P501" i="3"/>
  <c r="M408" i="3"/>
  <c r="U408" i="3"/>
  <c r="O408" i="3"/>
  <c r="R408" i="3"/>
  <c r="T408" i="3"/>
  <c r="N408" i="3"/>
  <c r="K408" i="3"/>
  <c r="L408" i="3"/>
  <c r="P408" i="3"/>
  <c r="Q408" i="3"/>
  <c r="S408" i="3"/>
  <c r="T459" i="3"/>
  <c r="S459" i="3"/>
  <c r="U459" i="3"/>
  <c r="M459" i="3"/>
  <c r="K459" i="3"/>
  <c r="O459" i="3"/>
  <c r="Q459" i="3"/>
  <c r="R459" i="3"/>
  <c r="N459" i="3"/>
  <c r="L459" i="3"/>
  <c r="P459" i="3"/>
  <c r="U427" i="3"/>
  <c r="K427" i="3"/>
  <c r="O427" i="3"/>
  <c r="S427" i="3"/>
  <c r="Q427" i="3"/>
  <c r="L427" i="3"/>
  <c r="P427" i="3"/>
  <c r="M427" i="3"/>
  <c r="R427" i="3"/>
  <c r="T427" i="3"/>
  <c r="N427" i="3"/>
  <c r="M396" i="3"/>
  <c r="T396" i="3"/>
  <c r="P396" i="3"/>
  <c r="L396" i="3"/>
  <c r="U396" i="3"/>
  <c r="O396" i="3"/>
  <c r="Q396" i="3"/>
  <c r="K396" i="3"/>
  <c r="S396" i="3"/>
  <c r="R396" i="3"/>
  <c r="N396" i="3"/>
  <c r="K375" i="3"/>
  <c r="M375" i="3"/>
  <c r="R375" i="3"/>
  <c r="L375" i="3"/>
  <c r="N375" i="3"/>
  <c r="S375" i="3"/>
  <c r="T375" i="3"/>
  <c r="U375" i="3"/>
  <c r="Q375" i="3"/>
  <c r="P375" i="3"/>
  <c r="O375" i="3"/>
  <c r="N321" i="3"/>
  <c r="M321" i="3"/>
  <c r="K321" i="3"/>
  <c r="T321" i="3"/>
  <c r="L321" i="3"/>
  <c r="Q321" i="3"/>
  <c r="P321" i="3"/>
  <c r="U321" i="3"/>
  <c r="S321" i="3"/>
  <c r="O321" i="3"/>
  <c r="R321" i="3"/>
  <c r="P529" i="3"/>
  <c r="M529" i="3"/>
  <c r="S529" i="3"/>
  <c r="O529" i="3"/>
  <c r="T529" i="3"/>
  <c r="U529" i="3"/>
  <c r="N529" i="3"/>
  <c r="K529" i="3"/>
  <c r="R529" i="3"/>
  <c r="L529" i="3"/>
  <c r="Q529" i="3"/>
  <c r="N390" i="3"/>
  <c r="K390" i="3"/>
  <c r="R390" i="3"/>
  <c r="Q390" i="3"/>
  <c r="T390" i="3"/>
  <c r="O390" i="3"/>
  <c r="U390" i="3"/>
  <c r="M390" i="3"/>
  <c r="P390" i="3"/>
  <c r="L390" i="3"/>
  <c r="S390" i="3"/>
  <c r="Q438" i="3"/>
  <c r="O438" i="3"/>
  <c r="M438" i="3"/>
  <c r="N438" i="3"/>
  <c r="P438" i="3"/>
  <c r="T438" i="3"/>
  <c r="U438" i="3"/>
  <c r="S438" i="3"/>
  <c r="R438" i="3"/>
  <c r="K438" i="3"/>
  <c r="L438" i="3"/>
  <c r="R446" i="3"/>
  <c r="S446" i="3"/>
  <c r="K446" i="3"/>
  <c r="M446" i="3"/>
  <c r="N446" i="3"/>
  <c r="U446" i="3"/>
  <c r="P446" i="3"/>
  <c r="T446" i="3"/>
  <c r="L446" i="3"/>
  <c r="Q446" i="3"/>
  <c r="O446" i="3"/>
  <c r="S476" i="3"/>
  <c r="L476" i="3"/>
  <c r="P476" i="3"/>
  <c r="O476" i="3"/>
  <c r="N476" i="3"/>
  <c r="M476" i="3"/>
  <c r="K476" i="3"/>
  <c r="T476" i="3"/>
  <c r="U476" i="3"/>
  <c r="Q476" i="3"/>
  <c r="R476" i="3"/>
  <c r="L508" i="3"/>
  <c r="T508" i="3"/>
  <c r="P508" i="3"/>
  <c r="S508" i="3"/>
  <c r="U508" i="3"/>
  <c r="K508" i="3"/>
  <c r="R508" i="3"/>
  <c r="Q508" i="3"/>
  <c r="O508" i="3"/>
  <c r="M508" i="3"/>
  <c r="N508" i="3"/>
  <c r="T356" i="3"/>
  <c r="N356" i="3"/>
  <c r="Q356" i="3"/>
  <c r="U356" i="3"/>
  <c r="O356" i="3"/>
  <c r="M356" i="3"/>
  <c r="L356" i="3"/>
  <c r="K356" i="3"/>
  <c r="R356" i="3"/>
  <c r="S356" i="3"/>
  <c r="P356" i="3"/>
  <c r="U258" i="3"/>
  <c r="P258" i="3"/>
  <c r="S258" i="3"/>
  <c r="R258" i="3"/>
  <c r="L258" i="3"/>
  <c r="M258" i="3"/>
  <c r="O258" i="3"/>
  <c r="K258" i="3"/>
  <c r="N258" i="3"/>
  <c r="T258" i="3"/>
  <c r="Q258" i="3"/>
  <c r="M448" i="3"/>
  <c r="S448" i="3"/>
  <c r="T448" i="3"/>
  <c r="P448" i="3"/>
  <c r="N448" i="3"/>
  <c r="R448" i="3"/>
  <c r="U448" i="3"/>
  <c r="O448" i="3"/>
  <c r="K448" i="3"/>
  <c r="L448" i="3"/>
  <c r="Q448" i="3"/>
  <c r="O224" i="3"/>
  <c r="Q224" i="3"/>
  <c r="M224" i="3"/>
  <c r="N224" i="3"/>
  <c r="L224" i="3"/>
  <c r="K224" i="3"/>
  <c r="R224" i="3"/>
  <c r="P224" i="3"/>
  <c r="T224" i="3"/>
  <c r="U224" i="3"/>
  <c r="S224" i="3"/>
  <c r="T495" i="3"/>
  <c r="U495" i="3"/>
  <c r="M495" i="3"/>
  <c r="L495" i="3"/>
  <c r="N495" i="3"/>
  <c r="K495" i="3"/>
  <c r="R495" i="3"/>
  <c r="S495" i="3"/>
  <c r="P495" i="3"/>
  <c r="Q495" i="3"/>
  <c r="O495" i="3"/>
  <c r="M403" i="3"/>
  <c r="T403" i="3"/>
  <c r="N403" i="3"/>
  <c r="L403" i="3"/>
  <c r="U403" i="3"/>
  <c r="O403" i="3"/>
  <c r="K403" i="3"/>
  <c r="R403" i="3"/>
  <c r="P403" i="3"/>
  <c r="S403" i="3"/>
  <c r="Q403" i="3"/>
  <c r="O334" i="3"/>
  <c r="Q334" i="3"/>
  <c r="T334" i="3"/>
  <c r="S334" i="3"/>
  <c r="N334" i="3"/>
  <c r="M334" i="3"/>
  <c r="R334" i="3"/>
  <c r="U334" i="3"/>
  <c r="L334" i="3"/>
  <c r="K334" i="3"/>
  <c r="P334" i="3"/>
  <c r="O527" i="3"/>
  <c r="K527" i="3"/>
  <c r="U527" i="3"/>
  <c r="L527" i="3"/>
  <c r="M527" i="3"/>
  <c r="N527" i="3"/>
  <c r="Q527" i="3"/>
  <c r="S527" i="3"/>
  <c r="T527" i="3"/>
  <c r="R527" i="3"/>
  <c r="P527" i="3"/>
  <c r="R291" i="3"/>
  <c r="T291" i="3"/>
  <c r="K291" i="3"/>
  <c r="L291" i="3"/>
  <c r="Q291" i="3"/>
  <c r="U291" i="3"/>
  <c r="O291" i="3"/>
  <c r="P291" i="3"/>
  <c r="N291" i="3"/>
  <c r="S291" i="3"/>
  <c r="M291" i="3"/>
  <c r="Q391" i="3"/>
  <c r="P391" i="3"/>
  <c r="U391" i="3"/>
  <c r="O391" i="3"/>
  <c r="T391" i="3"/>
  <c r="N391" i="3"/>
  <c r="R391" i="3"/>
  <c r="K391" i="3"/>
  <c r="L391" i="3"/>
  <c r="S391" i="3"/>
  <c r="M391" i="3"/>
  <c r="S393" i="3"/>
  <c r="O393" i="3"/>
  <c r="L393" i="3"/>
  <c r="U393" i="3"/>
  <c r="Q393" i="3"/>
  <c r="P393" i="3"/>
  <c r="N393" i="3"/>
  <c r="K393" i="3"/>
  <c r="R393" i="3"/>
  <c r="T393" i="3"/>
  <c r="M393" i="3"/>
  <c r="R350" i="3"/>
  <c r="M350" i="3"/>
  <c r="U350" i="3"/>
  <c r="N350" i="3"/>
  <c r="L350" i="3"/>
  <c r="K350" i="3"/>
  <c r="S350" i="3"/>
  <c r="T350" i="3"/>
  <c r="Q350" i="3"/>
  <c r="P350" i="3"/>
  <c r="O350" i="3"/>
  <c r="L440" i="3"/>
  <c r="P440" i="3"/>
  <c r="R440" i="3"/>
  <c r="O440" i="3"/>
  <c r="M440" i="3"/>
  <c r="T440" i="3"/>
  <c r="N440" i="3"/>
  <c r="Q440" i="3"/>
  <c r="K440" i="3"/>
  <c r="U440" i="3"/>
  <c r="S440" i="3"/>
  <c r="Q536" i="3"/>
  <c r="R536" i="3"/>
  <c r="K536" i="3"/>
  <c r="U536" i="3"/>
  <c r="S536" i="3"/>
  <c r="M536" i="3"/>
  <c r="P536" i="3"/>
  <c r="N536" i="3"/>
  <c r="L536" i="3"/>
  <c r="T536" i="3"/>
  <c r="O536" i="3"/>
  <c r="L566" i="3"/>
  <c r="M566" i="3"/>
  <c r="N566" i="3"/>
  <c r="Q566" i="3"/>
  <c r="R566" i="3"/>
  <c r="K566" i="3"/>
  <c r="O566" i="3"/>
  <c r="U566" i="3"/>
  <c r="P566" i="3"/>
  <c r="S566" i="3"/>
  <c r="T566" i="3"/>
  <c r="L367" i="3"/>
  <c r="Q367" i="3"/>
  <c r="M367" i="3"/>
  <c r="P367" i="3"/>
  <c r="K367" i="3"/>
  <c r="N367" i="3"/>
  <c r="R367" i="3"/>
  <c r="U367" i="3"/>
  <c r="O367" i="3"/>
  <c r="S367" i="3"/>
  <c r="T367" i="3"/>
  <c r="P462" i="3"/>
  <c r="T462" i="3"/>
  <c r="N462" i="3"/>
  <c r="R462" i="3"/>
  <c r="L462" i="3"/>
  <c r="U462" i="3"/>
  <c r="O462" i="3"/>
  <c r="Q462" i="3"/>
  <c r="S462" i="3"/>
  <c r="K462" i="3"/>
  <c r="M462" i="3"/>
  <c r="T412" i="3"/>
  <c r="Q412" i="3"/>
  <c r="M412" i="3"/>
  <c r="U412" i="3"/>
  <c r="S412" i="3"/>
  <c r="L412" i="3"/>
  <c r="P412" i="3"/>
  <c r="O412" i="3"/>
  <c r="R412" i="3"/>
  <c r="N412" i="3"/>
  <c r="K412" i="3"/>
  <c r="M346" i="3"/>
  <c r="P346" i="3"/>
  <c r="T346" i="3"/>
  <c r="R346" i="3"/>
  <c r="Q346" i="3"/>
  <c r="U346" i="3"/>
  <c r="K346" i="3"/>
  <c r="N346" i="3"/>
  <c r="O346" i="3"/>
  <c r="S346" i="3"/>
  <c r="L346" i="3"/>
  <c r="K251" i="3"/>
  <c r="T251" i="3"/>
  <c r="S251" i="3"/>
  <c r="U251" i="3"/>
  <c r="R251" i="3"/>
  <c r="P251" i="3"/>
  <c r="N251" i="3"/>
  <c r="Q251" i="3"/>
  <c r="L251" i="3"/>
  <c r="O251" i="3"/>
  <c r="M251" i="3"/>
  <c r="O435" i="3"/>
  <c r="N435" i="3"/>
  <c r="M435" i="3"/>
  <c r="L435" i="3"/>
  <c r="S435" i="3"/>
  <c r="P435" i="3"/>
  <c r="U435" i="3"/>
  <c r="Q435" i="3"/>
  <c r="T435" i="3"/>
  <c r="K435" i="3"/>
  <c r="R435" i="3"/>
  <c r="R432" i="3"/>
  <c r="O432" i="3"/>
  <c r="K432" i="3"/>
  <c r="N432" i="3"/>
  <c r="T432" i="3"/>
  <c r="Q432" i="3"/>
  <c r="L432" i="3"/>
  <c r="S432" i="3"/>
  <c r="M432" i="3"/>
  <c r="U432" i="3"/>
  <c r="P432" i="3"/>
  <c r="Q366" i="3"/>
  <c r="P366" i="3"/>
  <c r="T366" i="3"/>
  <c r="L366" i="3"/>
  <c r="U366" i="3"/>
  <c r="N366" i="3"/>
  <c r="O366" i="3"/>
  <c r="R366" i="3"/>
  <c r="K366" i="3"/>
  <c r="S366" i="3"/>
  <c r="M366" i="3"/>
  <c r="M437" i="3"/>
  <c r="R437" i="3"/>
  <c r="O437" i="3"/>
  <c r="S437" i="3"/>
  <c r="T437" i="3"/>
  <c r="L437" i="3"/>
  <c r="U437" i="3"/>
  <c r="K437" i="3"/>
  <c r="N437" i="3"/>
  <c r="P437" i="3"/>
  <c r="Q437" i="3"/>
  <c r="T431" i="3"/>
  <c r="N431" i="3"/>
  <c r="U431" i="3"/>
  <c r="K431" i="3"/>
  <c r="M431" i="3"/>
  <c r="L431" i="3"/>
  <c r="S431" i="3"/>
  <c r="Q431" i="3"/>
  <c r="O431" i="3"/>
  <c r="P431" i="3"/>
  <c r="R431" i="3"/>
  <c r="O325" i="3"/>
  <c r="U325" i="3"/>
  <c r="T325" i="3"/>
  <c r="R325" i="3"/>
  <c r="L325" i="3"/>
  <c r="M325" i="3"/>
  <c r="S325" i="3"/>
  <c r="K325" i="3"/>
  <c r="N325" i="3"/>
  <c r="P325" i="3"/>
  <c r="Q325" i="3"/>
  <c r="S447" i="3"/>
  <c r="O447" i="3"/>
  <c r="R447" i="3"/>
  <c r="N447" i="3"/>
  <c r="U447" i="3"/>
  <c r="M447" i="3"/>
  <c r="T447" i="3"/>
  <c r="Q447" i="3"/>
  <c r="P447" i="3"/>
  <c r="K447" i="3"/>
  <c r="L447" i="3"/>
  <c r="S358" i="3"/>
  <c r="M358" i="3"/>
  <c r="N358" i="3"/>
  <c r="T358" i="3"/>
  <c r="O358" i="3"/>
  <c r="U358" i="3"/>
  <c r="L358" i="3"/>
  <c r="R358" i="3"/>
  <c r="P358" i="3"/>
  <c r="K358" i="3"/>
  <c r="Q358" i="3"/>
  <c r="K129" i="3"/>
  <c r="M129" i="3"/>
  <c r="P129" i="3"/>
  <c r="L129" i="3"/>
  <c r="O129" i="3"/>
  <c r="N129" i="3"/>
  <c r="Q129" i="3"/>
  <c r="U129" i="3"/>
  <c r="L207" i="3"/>
  <c r="M207" i="3"/>
  <c r="K207" i="3"/>
  <c r="U207" i="3"/>
  <c r="Q207" i="3"/>
  <c r="P207" i="3"/>
  <c r="N207" i="3"/>
  <c r="O207" i="3"/>
  <c r="O85" i="3"/>
  <c r="L85" i="3"/>
  <c r="M85" i="3"/>
  <c r="Q85" i="3"/>
  <c r="N85" i="3"/>
  <c r="K85" i="3"/>
  <c r="U85" i="3"/>
  <c r="P85" i="3"/>
  <c r="K561" i="3"/>
  <c r="U561" i="3"/>
  <c r="L561" i="3"/>
  <c r="Q561" i="3"/>
  <c r="M561" i="3"/>
  <c r="O561" i="3"/>
  <c r="P561" i="3"/>
  <c r="S561" i="3"/>
  <c r="T561" i="3"/>
  <c r="R561" i="3"/>
  <c r="N561" i="3"/>
  <c r="L327" i="3"/>
  <c r="S327" i="3"/>
  <c r="O327" i="3"/>
  <c r="U327" i="3"/>
  <c r="R327" i="3"/>
  <c r="P327" i="3"/>
  <c r="M327" i="3"/>
  <c r="N327" i="3"/>
  <c r="K327" i="3"/>
  <c r="T327" i="3"/>
  <c r="Q327" i="3"/>
  <c r="T374" i="3"/>
  <c r="L374" i="3"/>
  <c r="N374" i="3"/>
  <c r="O374" i="3"/>
  <c r="P374" i="3"/>
  <c r="R374" i="3"/>
  <c r="M374" i="3"/>
  <c r="S374" i="3"/>
  <c r="K374" i="3"/>
  <c r="U374" i="3"/>
  <c r="Q374" i="3"/>
  <c r="P490" i="3"/>
  <c r="Q490" i="3"/>
  <c r="T490" i="3"/>
  <c r="L490" i="3"/>
  <c r="U490" i="3"/>
  <c r="M490" i="3"/>
  <c r="N490" i="3"/>
  <c r="S490" i="3"/>
  <c r="O490" i="3"/>
  <c r="K490" i="3"/>
  <c r="R490" i="3"/>
  <c r="Q128" i="3"/>
  <c r="P128" i="3"/>
  <c r="N128" i="3"/>
  <c r="L128" i="3"/>
  <c r="K128" i="3"/>
  <c r="U128" i="3"/>
  <c r="O128" i="3"/>
  <c r="M128" i="3"/>
  <c r="O244" i="3"/>
  <c r="N244" i="3"/>
  <c r="M244" i="3"/>
  <c r="K244" i="3"/>
  <c r="L244" i="3"/>
  <c r="S244" i="3"/>
  <c r="P244" i="3"/>
  <c r="R244" i="3"/>
  <c r="T244" i="3"/>
  <c r="U244" i="3"/>
  <c r="Q244" i="3"/>
  <c r="R371" i="3"/>
  <c r="N371" i="3"/>
  <c r="L371" i="3"/>
  <c r="S371" i="3"/>
  <c r="U371" i="3"/>
  <c r="M371" i="3"/>
  <c r="K371" i="3"/>
  <c r="O371" i="3"/>
  <c r="Q371" i="3"/>
  <c r="P371" i="3"/>
  <c r="T371" i="3"/>
  <c r="P506" i="3"/>
  <c r="M506" i="3"/>
  <c r="K506" i="3"/>
  <c r="N506" i="3"/>
  <c r="R506" i="3"/>
  <c r="T506" i="3"/>
  <c r="U506" i="3"/>
  <c r="S506" i="3"/>
  <c r="Q506" i="3"/>
  <c r="O506" i="3"/>
  <c r="L506" i="3"/>
  <c r="K343" i="3"/>
  <c r="O343" i="3"/>
  <c r="L343" i="3"/>
  <c r="N343" i="3"/>
  <c r="U343" i="3"/>
  <c r="Q343" i="3"/>
  <c r="S343" i="3"/>
  <c r="P343" i="3"/>
  <c r="R343" i="3"/>
  <c r="T343" i="3"/>
  <c r="M343" i="3"/>
  <c r="M557" i="3"/>
  <c r="S557" i="3"/>
  <c r="R557" i="3"/>
  <c r="N557" i="3"/>
  <c r="P557" i="3"/>
  <c r="Q557" i="3"/>
  <c r="O557" i="3"/>
  <c r="T557" i="3"/>
  <c r="U557" i="3"/>
  <c r="L557" i="3"/>
  <c r="K557" i="3"/>
  <c r="T289" i="3"/>
  <c r="Q289" i="3"/>
  <c r="K289" i="3"/>
  <c r="P289" i="3"/>
  <c r="M289" i="3"/>
  <c r="S289" i="3"/>
  <c r="O289" i="3"/>
  <c r="R289" i="3"/>
  <c r="N289" i="3"/>
  <c r="U289" i="3"/>
  <c r="L289" i="3"/>
  <c r="L388" i="3"/>
  <c r="Q388" i="3"/>
  <c r="O388" i="3"/>
  <c r="P388" i="3"/>
  <c r="T388" i="3"/>
  <c r="N388" i="3"/>
  <c r="R388" i="3"/>
  <c r="U388" i="3"/>
  <c r="S388" i="3"/>
  <c r="M388" i="3"/>
  <c r="K388" i="3"/>
  <c r="N392" i="3"/>
  <c r="O392" i="3"/>
  <c r="Q392" i="3"/>
  <c r="S392" i="3"/>
  <c r="R392" i="3"/>
  <c r="P392" i="3"/>
  <c r="U392" i="3"/>
  <c r="L392" i="3"/>
  <c r="T392" i="3"/>
  <c r="K392" i="3"/>
  <c r="M392" i="3"/>
  <c r="T428" i="3"/>
  <c r="O428" i="3"/>
  <c r="U428" i="3"/>
  <c r="R428" i="3"/>
  <c r="K428" i="3"/>
  <c r="L428" i="3"/>
  <c r="S428" i="3"/>
  <c r="Q428" i="3"/>
  <c r="N428" i="3"/>
  <c r="P428" i="3"/>
  <c r="M428" i="3"/>
  <c r="R167" i="3"/>
  <c r="N167" i="3"/>
  <c r="Q167" i="3"/>
  <c r="P167" i="3"/>
  <c r="L167" i="3"/>
  <c r="S167" i="3"/>
  <c r="M167" i="3"/>
  <c r="K167" i="3"/>
  <c r="U167" i="3"/>
  <c r="O167" i="3"/>
  <c r="T167" i="3"/>
  <c r="Q417" i="3"/>
  <c r="S417" i="3"/>
  <c r="L417" i="3"/>
  <c r="U417" i="3"/>
  <c r="M417" i="3"/>
  <c r="K417" i="3"/>
  <c r="R417" i="3"/>
  <c r="O417" i="3"/>
  <c r="P417" i="3"/>
  <c r="T417" i="3"/>
  <c r="N417" i="3"/>
  <c r="R328" i="3"/>
  <c r="K328" i="3"/>
  <c r="O328" i="3"/>
  <c r="U328" i="3"/>
  <c r="S328" i="3"/>
  <c r="M328" i="3"/>
  <c r="Q328" i="3"/>
  <c r="N328" i="3"/>
  <c r="L328" i="3"/>
  <c r="T328" i="3"/>
  <c r="P328" i="3"/>
  <c r="O560" i="3"/>
  <c r="N560" i="3"/>
  <c r="U560" i="3"/>
  <c r="T560" i="3"/>
  <c r="L560" i="3"/>
  <c r="M560" i="3"/>
  <c r="P560" i="3"/>
  <c r="Q560" i="3"/>
  <c r="S560" i="3"/>
  <c r="K560" i="3"/>
  <c r="R560" i="3"/>
  <c r="L284" i="3"/>
  <c r="T284" i="3"/>
  <c r="S284" i="3"/>
  <c r="U284" i="3"/>
  <c r="O284" i="3"/>
  <c r="P284" i="3"/>
  <c r="R284" i="3"/>
  <c r="M284" i="3"/>
  <c r="K284" i="3"/>
  <c r="Q284" i="3"/>
  <c r="N284" i="3"/>
  <c r="M322" i="3"/>
  <c r="O322" i="3"/>
  <c r="S322" i="3"/>
  <c r="Q322" i="3"/>
  <c r="U322" i="3"/>
  <c r="P322" i="3"/>
  <c r="R322" i="3"/>
  <c r="N322" i="3"/>
  <c r="K322" i="3"/>
  <c r="L322" i="3"/>
  <c r="T322" i="3"/>
  <c r="O492" i="3"/>
  <c r="Q492" i="3"/>
  <c r="K492" i="3"/>
  <c r="S492" i="3"/>
  <c r="T492" i="3"/>
  <c r="U492" i="3"/>
  <c r="P492" i="3"/>
  <c r="N492" i="3"/>
  <c r="R492" i="3"/>
  <c r="L492" i="3"/>
  <c r="M492" i="3"/>
  <c r="N542" i="3"/>
  <c r="O542" i="3"/>
  <c r="R542" i="3"/>
  <c r="P542" i="3"/>
  <c r="U542" i="3"/>
  <c r="L542" i="3"/>
  <c r="K542" i="3"/>
  <c r="Q542" i="3"/>
  <c r="T542" i="3"/>
  <c r="S542" i="3"/>
  <c r="M542" i="3"/>
  <c r="R253" i="3"/>
  <c r="T253" i="3"/>
  <c r="M253" i="3"/>
  <c r="L253" i="3"/>
  <c r="S253" i="3"/>
  <c r="K253" i="3"/>
  <c r="N253" i="3"/>
  <c r="P253" i="3"/>
  <c r="U253" i="3"/>
  <c r="O253" i="3"/>
  <c r="Q253" i="3"/>
  <c r="O320" i="3"/>
  <c r="S320" i="3"/>
  <c r="L320" i="3"/>
  <c r="Q320" i="3"/>
  <c r="R320" i="3"/>
  <c r="P320" i="3"/>
  <c r="M320" i="3"/>
  <c r="T320" i="3"/>
  <c r="K320" i="3"/>
  <c r="N320" i="3"/>
  <c r="U320" i="3"/>
  <c r="N503" i="3"/>
  <c r="K503" i="3"/>
  <c r="T503" i="3"/>
  <c r="O503" i="3"/>
  <c r="Q503" i="3"/>
  <c r="P503" i="3"/>
  <c r="L503" i="3"/>
  <c r="R503" i="3"/>
  <c r="M503" i="3"/>
  <c r="S503" i="3"/>
  <c r="U503" i="3"/>
  <c r="N481" i="3"/>
  <c r="T481" i="3"/>
  <c r="K481" i="3"/>
  <c r="U481" i="3"/>
  <c r="M481" i="3"/>
  <c r="R481" i="3"/>
  <c r="Q481" i="3"/>
  <c r="L481" i="3"/>
  <c r="O481" i="3"/>
  <c r="P481" i="3"/>
  <c r="S481" i="3"/>
  <c r="S274" i="3"/>
  <c r="M274" i="3"/>
  <c r="N274" i="3"/>
  <c r="O274" i="3"/>
  <c r="Q274" i="3"/>
  <c r="K274" i="3"/>
  <c r="R274" i="3"/>
  <c r="T274" i="3"/>
  <c r="L274" i="3"/>
  <c r="U274" i="3"/>
  <c r="P274" i="3"/>
  <c r="Q339" i="3"/>
  <c r="T339" i="3"/>
  <c r="K339" i="3"/>
  <c r="S339" i="3"/>
  <c r="P339" i="3"/>
  <c r="L339" i="3"/>
  <c r="R339" i="3"/>
  <c r="M339" i="3"/>
  <c r="N339" i="3"/>
  <c r="O339" i="3"/>
  <c r="U339" i="3"/>
  <c r="R310" i="3"/>
  <c r="T310" i="3"/>
  <c r="S310" i="3"/>
  <c r="Q310" i="3"/>
  <c r="P310" i="3"/>
  <c r="L310" i="3"/>
  <c r="N310" i="3"/>
  <c r="M310" i="3"/>
  <c r="K310" i="3"/>
  <c r="U310" i="3"/>
  <c r="O310" i="3"/>
  <c r="R511" i="3"/>
  <c r="S511" i="3"/>
  <c r="K511" i="3"/>
  <c r="P511" i="3"/>
  <c r="T511" i="3"/>
  <c r="M511" i="3"/>
  <c r="L511" i="3"/>
  <c r="U511" i="3"/>
  <c r="O511" i="3"/>
  <c r="Q511" i="3"/>
  <c r="N511" i="3"/>
  <c r="Q242" i="3"/>
  <c r="L242" i="3"/>
  <c r="T242" i="3"/>
  <c r="N242" i="3"/>
  <c r="R242" i="3"/>
  <c r="S242" i="3"/>
  <c r="M242" i="3"/>
  <c r="P242" i="3"/>
  <c r="O242" i="3"/>
  <c r="K242" i="3"/>
  <c r="U242" i="3"/>
  <c r="U394" i="3"/>
  <c r="R394" i="3"/>
  <c r="Q394" i="3"/>
  <c r="T394" i="3"/>
  <c r="K394" i="3"/>
  <c r="L394" i="3"/>
  <c r="M394" i="3"/>
  <c r="N394" i="3"/>
  <c r="O394" i="3"/>
  <c r="S394" i="3"/>
  <c r="P394" i="3"/>
  <c r="Q568" i="3"/>
  <c r="M568" i="3"/>
  <c r="K568" i="3"/>
  <c r="R568" i="3"/>
  <c r="N568" i="3"/>
  <c r="T568" i="3"/>
  <c r="U568" i="3"/>
  <c r="L568" i="3"/>
  <c r="S568" i="3"/>
  <c r="O568" i="3"/>
  <c r="P568" i="3"/>
  <c r="P345" i="3"/>
  <c r="K345" i="3"/>
  <c r="R345" i="3"/>
  <c r="S345" i="3"/>
  <c r="U345" i="3"/>
  <c r="L345" i="3"/>
  <c r="O345" i="3"/>
  <c r="N345" i="3"/>
  <c r="T345" i="3"/>
  <c r="Q345" i="3"/>
  <c r="M345" i="3"/>
  <c r="T545" i="3"/>
  <c r="L545" i="3"/>
  <c r="P545" i="3"/>
  <c r="N545" i="3"/>
  <c r="K545" i="3"/>
  <c r="M545" i="3"/>
  <c r="U545" i="3"/>
  <c r="O545" i="3"/>
  <c r="S545" i="3"/>
  <c r="Q545" i="3"/>
  <c r="R545" i="3"/>
  <c r="P305" i="3"/>
  <c r="M305" i="3"/>
  <c r="U305" i="3"/>
  <c r="Q305" i="3"/>
  <c r="K305" i="3"/>
  <c r="S305" i="3"/>
  <c r="O305" i="3"/>
  <c r="R305" i="3"/>
  <c r="N305" i="3"/>
  <c r="L305" i="3"/>
  <c r="T305" i="3"/>
  <c r="S318" i="3"/>
  <c r="K318" i="3"/>
  <c r="L318" i="3"/>
  <c r="M318" i="3"/>
  <c r="O318" i="3"/>
  <c r="R318" i="3"/>
  <c r="P318" i="3"/>
  <c r="Q318" i="3"/>
  <c r="U318" i="3"/>
  <c r="N318" i="3"/>
  <c r="T318" i="3"/>
  <c r="L485" i="3"/>
  <c r="P485" i="3"/>
  <c r="S485" i="3"/>
  <c r="Q485" i="3"/>
  <c r="R485" i="3"/>
  <c r="T485" i="3"/>
  <c r="U485" i="3"/>
  <c r="N485" i="3"/>
  <c r="O485" i="3"/>
  <c r="M485" i="3"/>
  <c r="K485" i="3"/>
  <c r="P324" i="3"/>
  <c r="K324" i="3"/>
  <c r="L324" i="3"/>
  <c r="U324" i="3"/>
  <c r="M324" i="3"/>
  <c r="N324" i="3"/>
  <c r="R324" i="3"/>
  <c r="Q324" i="3"/>
  <c r="T324" i="3"/>
  <c r="S324" i="3"/>
  <c r="O324" i="3"/>
  <c r="N577" i="3"/>
  <c r="S577" i="3"/>
  <c r="O577" i="3"/>
  <c r="L577" i="3"/>
  <c r="P577" i="3"/>
  <c r="R577" i="3"/>
  <c r="U577" i="3"/>
  <c r="K577" i="3"/>
  <c r="M577" i="3"/>
  <c r="Q577" i="3"/>
  <c r="T577" i="3"/>
  <c r="M449" i="3"/>
  <c r="P449" i="3"/>
  <c r="L449" i="3"/>
  <c r="S449" i="3"/>
  <c r="K449" i="3"/>
  <c r="U449" i="3"/>
  <c r="Q449" i="3"/>
  <c r="R449" i="3"/>
  <c r="T449" i="3"/>
  <c r="N449" i="3"/>
  <c r="O449" i="3"/>
  <c r="P206" i="3"/>
  <c r="L206" i="3"/>
  <c r="M206" i="3"/>
  <c r="Q206" i="3"/>
  <c r="N206" i="3"/>
  <c r="U206" i="3"/>
  <c r="K206" i="3"/>
  <c r="O206" i="3"/>
  <c r="T342" i="3"/>
  <c r="O342" i="3"/>
  <c r="Q342" i="3"/>
  <c r="K342" i="3"/>
  <c r="P342" i="3"/>
  <c r="N342" i="3"/>
  <c r="U342" i="3"/>
  <c r="R342" i="3"/>
  <c r="S342" i="3"/>
  <c r="L342" i="3"/>
  <c r="M342" i="3"/>
  <c r="O191" i="3"/>
  <c r="Q191" i="3"/>
  <c r="M191" i="3"/>
  <c r="K191" i="3"/>
  <c r="P191" i="3"/>
  <c r="N191" i="3"/>
  <c r="L191" i="3"/>
  <c r="U191" i="3"/>
  <c r="U12" i="7"/>
  <c r="Q12" i="7"/>
  <c r="P12" i="7"/>
  <c r="T12" i="7"/>
  <c r="L12" i="7"/>
  <c r="O12" i="7"/>
  <c r="N12" i="7"/>
  <c r="S12" i="7"/>
  <c r="K12" i="7"/>
  <c r="R12" i="7"/>
  <c r="M12" i="7"/>
  <c r="Q16" i="7"/>
  <c r="K16" i="7"/>
  <c r="T16" i="7"/>
  <c r="M16" i="7"/>
  <c r="O16" i="7"/>
  <c r="L16" i="7"/>
  <c r="N16" i="7"/>
  <c r="U16" i="7"/>
  <c r="P16" i="7"/>
  <c r="S16" i="7"/>
  <c r="R16" i="7"/>
  <c r="Q11" i="7"/>
  <c r="N11" i="7"/>
  <c r="T11" i="7"/>
  <c r="P11" i="7"/>
  <c r="U11" i="7"/>
  <c r="O11" i="7"/>
  <c r="R11" i="7"/>
  <c r="S11" i="7"/>
  <c r="M11" i="7"/>
  <c r="K11" i="7"/>
  <c r="L11" i="7"/>
  <c r="N20" i="7"/>
  <c r="U20" i="7"/>
  <c r="Q20" i="7"/>
  <c r="T20" i="7"/>
  <c r="M20" i="7"/>
  <c r="P20" i="7"/>
  <c r="K20" i="7"/>
  <c r="L20" i="7"/>
  <c r="S20" i="7"/>
  <c r="O20" i="7"/>
  <c r="R20" i="7"/>
  <c r="Q10" i="7"/>
  <c r="O10" i="7"/>
  <c r="N10" i="7"/>
  <c r="M10" i="7"/>
  <c r="S10" i="7"/>
  <c r="K10" i="7"/>
  <c r="L10" i="7"/>
  <c r="R10" i="7"/>
  <c r="U10" i="7"/>
  <c r="T10" i="7"/>
  <c r="P10" i="7"/>
  <c r="M18" i="7"/>
  <c r="P18" i="7"/>
  <c r="R18" i="7"/>
  <c r="U18" i="7"/>
  <c r="N18" i="7"/>
  <c r="K18" i="7"/>
  <c r="L18" i="7"/>
  <c r="Q18" i="7"/>
  <c r="O18" i="7"/>
  <c r="S18" i="7"/>
  <c r="T18" i="7"/>
  <c r="K13" i="7"/>
  <c r="R13" i="7"/>
  <c r="P13" i="7"/>
  <c r="U13" i="7"/>
  <c r="Q13" i="7"/>
  <c r="L13" i="7"/>
  <c r="S13" i="7"/>
  <c r="O13" i="7"/>
  <c r="M13" i="7"/>
  <c r="T13" i="7"/>
  <c r="N13" i="7"/>
  <c r="M8" i="7"/>
  <c r="N8" i="7"/>
  <c r="U8" i="7"/>
  <c r="L8" i="7"/>
  <c r="P8" i="7"/>
  <c r="S8" i="7"/>
  <c r="Q8" i="7"/>
  <c r="K8" i="7"/>
  <c r="O8" i="7"/>
  <c r="T8" i="7"/>
  <c r="R8" i="7"/>
  <c r="S14" i="7"/>
  <c r="R14" i="7"/>
  <c r="U14" i="7"/>
  <c r="K14" i="7"/>
  <c r="O14" i="7"/>
  <c r="L14" i="7"/>
  <c r="M14" i="7"/>
  <c r="P14" i="7"/>
  <c r="Q14" i="7"/>
  <c r="N14" i="7"/>
  <c r="T14" i="7"/>
  <c r="Q19" i="7"/>
  <c r="T19" i="7"/>
  <c r="U19" i="7"/>
  <c r="M19" i="7"/>
  <c r="P19" i="7"/>
  <c r="R19" i="7"/>
  <c r="O19" i="7"/>
  <c r="L19" i="7"/>
  <c r="N19" i="7"/>
  <c r="K19" i="7"/>
  <c r="S19" i="7"/>
  <c r="K7" i="7"/>
  <c r="R7" i="7"/>
  <c r="U7" i="7"/>
  <c r="S7" i="7"/>
  <c r="O7" i="7"/>
  <c r="L7" i="7"/>
  <c r="Q7" i="7"/>
  <c r="M7" i="7"/>
  <c r="T7" i="7"/>
  <c r="N7" i="7"/>
  <c r="P7" i="7"/>
  <c r="N21" i="7"/>
  <c r="T21" i="7"/>
  <c r="L21" i="7"/>
  <c r="R21" i="7"/>
  <c r="K21" i="7"/>
  <c r="M21" i="7"/>
  <c r="P21" i="7"/>
  <c r="S21" i="7"/>
  <c r="O21" i="7"/>
  <c r="U21" i="7"/>
  <c r="Q21" i="7"/>
  <c r="R6" i="7"/>
  <c r="O6" i="7"/>
  <c r="P6" i="7"/>
  <c r="M6" i="7"/>
  <c r="K6" i="7"/>
  <c r="S6" i="7"/>
  <c r="U6" i="7"/>
  <c r="T6" i="7"/>
  <c r="L6" i="7"/>
  <c r="Q6" i="7"/>
  <c r="N6" i="7"/>
  <c r="K15" i="7"/>
  <c r="Q15" i="7"/>
  <c r="S15" i="7"/>
  <c r="T15" i="7"/>
  <c r="R15" i="7"/>
  <c r="O15" i="7"/>
  <c r="P15" i="7"/>
  <c r="L15" i="7"/>
  <c r="N15" i="7"/>
  <c r="M15" i="7"/>
  <c r="U15" i="7"/>
  <c r="T9" i="7"/>
  <c r="N9" i="7"/>
  <c r="M9" i="7"/>
  <c r="L9" i="7"/>
  <c r="Q9" i="7"/>
  <c r="P9" i="7"/>
  <c r="R9" i="7"/>
  <c r="S9" i="7"/>
  <c r="U9" i="7"/>
  <c r="K9" i="7"/>
  <c r="O9" i="7"/>
  <c r="Q17" i="7"/>
  <c r="T17" i="7"/>
  <c r="O17" i="7"/>
  <c r="N17" i="7"/>
  <c r="M17" i="7"/>
  <c r="K17" i="7"/>
  <c r="U17" i="7"/>
  <c r="S17" i="7"/>
  <c r="L17" i="7"/>
  <c r="P17" i="7"/>
  <c r="R17" i="7"/>
  <c r="L3" i="7"/>
  <c r="M3" i="7"/>
  <c r="K3" i="7"/>
  <c r="N3" i="7"/>
  <c r="O3" i="7"/>
  <c r="Q3" i="7" s="1"/>
  <c r="P3" i="7"/>
  <c r="U3" i="7"/>
  <c r="Q15" i="6"/>
  <c r="M15" i="6"/>
  <c r="L15" i="6"/>
  <c r="N15" i="6"/>
  <c r="K15" i="6"/>
  <c r="P15" i="6"/>
  <c r="U15" i="6"/>
  <c r="O15" i="6"/>
  <c r="M37" i="6"/>
  <c r="R37" i="6"/>
  <c r="T37" i="6"/>
  <c r="L37" i="6"/>
  <c r="O37" i="6"/>
  <c r="N37" i="6"/>
  <c r="S37" i="6"/>
  <c r="P37" i="6"/>
  <c r="K37" i="6"/>
  <c r="Q37" i="6"/>
  <c r="U37" i="6"/>
  <c r="K36" i="6"/>
  <c r="S36" i="6"/>
  <c r="L36" i="6"/>
  <c r="N36" i="6"/>
  <c r="Q36" i="6"/>
  <c r="R36" i="6"/>
  <c r="P36" i="6"/>
  <c r="M36" i="6"/>
  <c r="T36" i="6"/>
  <c r="U36" i="6"/>
  <c r="O36" i="6"/>
  <c r="L13" i="6"/>
  <c r="R13" i="6"/>
  <c r="K13" i="6"/>
  <c r="O13" i="6"/>
  <c r="S13" i="6"/>
  <c r="N13" i="6"/>
  <c r="Q13" i="6"/>
  <c r="P13" i="6"/>
  <c r="U13" i="6"/>
  <c r="M13" i="6"/>
  <c r="T13" i="6"/>
  <c r="Q24" i="6"/>
  <c r="M24" i="6"/>
  <c r="T24" i="6"/>
  <c r="K24" i="6"/>
  <c r="O24" i="6"/>
  <c r="R24" i="6"/>
  <c r="N24" i="6"/>
  <c r="L24" i="6"/>
  <c r="U24" i="6"/>
  <c r="P24" i="6"/>
  <c r="S24" i="6"/>
  <c r="N40" i="6"/>
  <c r="U40" i="6"/>
  <c r="P40" i="6"/>
  <c r="S40" i="6"/>
  <c r="T40" i="6"/>
  <c r="R40" i="6"/>
  <c r="K40" i="6"/>
  <c r="M40" i="6"/>
  <c r="O40" i="6"/>
  <c r="L40" i="6"/>
  <c r="Q40" i="6"/>
  <c r="L21" i="6"/>
  <c r="T21" i="6"/>
  <c r="O21" i="6"/>
  <c r="N21" i="6"/>
  <c r="R21" i="6"/>
  <c r="U21" i="6"/>
  <c r="M21" i="6"/>
  <c r="Q21" i="6"/>
  <c r="K21" i="6"/>
  <c r="P21" i="6"/>
  <c r="S21" i="6"/>
  <c r="O28" i="6"/>
  <c r="U28" i="6"/>
  <c r="P28" i="6"/>
  <c r="T28" i="6"/>
  <c r="R28" i="6"/>
  <c r="N28" i="6"/>
  <c r="S28" i="6"/>
  <c r="Q28" i="6"/>
  <c r="M28" i="6"/>
  <c r="K28" i="6"/>
  <c r="L28" i="6"/>
  <c r="M19" i="6"/>
  <c r="O19" i="6"/>
  <c r="R19" i="6"/>
  <c r="U19" i="6"/>
  <c r="S19" i="6"/>
  <c r="K19" i="6"/>
  <c r="T19" i="6"/>
  <c r="N19" i="6"/>
  <c r="L19" i="6"/>
  <c r="P19" i="6"/>
  <c r="Q19" i="6"/>
  <c r="L25" i="6"/>
  <c r="O25" i="6"/>
  <c r="R25" i="6"/>
  <c r="U25" i="6"/>
  <c r="P25" i="6"/>
  <c r="Q25" i="6"/>
  <c r="T25" i="6"/>
  <c r="S25" i="6"/>
  <c r="K25" i="6"/>
  <c r="M25" i="6"/>
  <c r="N25" i="6"/>
  <c r="L30" i="6"/>
  <c r="R30" i="6"/>
  <c r="S30" i="6"/>
  <c r="P30" i="6"/>
  <c r="K30" i="6"/>
  <c r="Q30" i="6"/>
  <c r="U30" i="6"/>
  <c r="N30" i="6"/>
  <c r="M30" i="6"/>
  <c r="T30" i="6"/>
  <c r="O30" i="6"/>
  <c r="S33" i="6"/>
  <c r="L33" i="6"/>
  <c r="M33" i="6"/>
  <c r="R33" i="6"/>
  <c r="K33" i="6"/>
  <c r="O33" i="6"/>
  <c r="N33" i="6"/>
  <c r="P33" i="6"/>
  <c r="U33" i="6"/>
  <c r="T33" i="6"/>
  <c r="Q33" i="6"/>
  <c r="O39" i="6"/>
  <c r="T39" i="6"/>
  <c r="Q39" i="6"/>
  <c r="P39" i="6"/>
  <c r="S39" i="6"/>
  <c r="U39" i="6"/>
  <c r="R39" i="6"/>
  <c r="K39" i="6"/>
  <c r="M39" i="6"/>
  <c r="L39" i="6"/>
  <c r="N39" i="6"/>
  <c r="P38" i="6"/>
  <c r="Q38" i="6"/>
  <c r="S38" i="6"/>
  <c r="O38" i="6"/>
  <c r="N38" i="6"/>
  <c r="R38" i="6"/>
  <c r="T38" i="6"/>
  <c r="K38" i="6"/>
  <c r="U38" i="6"/>
  <c r="L38" i="6"/>
  <c r="M38" i="6"/>
  <c r="R23" i="6"/>
  <c r="P23" i="6"/>
  <c r="U23" i="6"/>
  <c r="L23" i="6"/>
  <c r="T23" i="6"/>
  <c r="O23" i="6"/>
  <c r="Q23" i="6"/>
  <c r="N23" i="6"/>
  <c r="K23" i="6"/>
  <c r="M23" i="6"/>
  <c r="S23" i="6"/>
  <c r="M29" i="6"/>
  <c r="Q29" i="6"/>
  <c r="T29" i="6"/>
  <c r="O29" i="6"/>
  <c r="K29" i="6"/>
  <c r="R29" i="6"/>
  <c r="P29" i="6"/>
  <c r="N29" i="6"/>
  <c r="L29" i="6"/>
  <c r="S29" i="6"/>
  <c r="U29" i="6"/>
  <c r="Q31" i="6"/>
  <c r="O31" i="6"/>
  <c r="U31" i="6"/>
  <c r="K31" i="6"/>
  <c r="S31" i="6"/>
  <c r="T31" i="6"/>
  <c r="L31" i="6"/>
  <c r="P31" i="6"/>
  <c r="N31" i="6"/>
  <c r="R31" i="6"/>
  <c r="M31" i="6"/>
  <c r="Q18" i="6"/>
  <c r="S18" i="6"/>
  <c r="M18" i="6"/>
  <c r="O18" i="6"/>
  <c r="U18" i="6"/>
  <c r="N18" i="6"/>
  <c r="L18" i="6"/>
  <c r="P18" i="6"/>
  <c r="T18" i="6"/>
  <c r="R18" i="6"/>
  <c r="K18" i="6"/>
  <c r="S22" i="6"/>
  <c r="P22" i="6"/>
  <c r="M22" i="6"/>
  <c r="L22" i="6"/>
  <c r="T22" i="6"/>
  <c r="R22" i="6"/>
  <c r="K22" i="6"/>
  <c r="Q22" i="6"/>
  <c r="O22" i="6"/>
  <c r="U22" i="6"/>
  <c r="N22" i="6"/>
  <c r="N27" i="6"/>
  <c r="K27" i="6"/>
  <c r="L27" i="6"/>
  <c r="O27" i="6"/>
  <c r="P27" i="6"/>
  <c r="Q27" i="6"/>
  <c r="U27" i="6"/>
  <c r="R27" i="6"/>
  <c r="M27" i="6"/>
  <c r="T27" i="6"/>
  <c r="S27" i="6"/>
  <c r="O14" i="6"/>
  <c r="P14" i="6"/>
  <c r="U14" i="6"/>
  <c r="M14" i="6"/>
  <c r="K14" i="6"/>
  <c r="L14" i="6"/>
  <c r="Q14" i="6"/>
  <c r="N14" i="6"/>
  <c r="K20" i="6"/>
  <c r="U20" i="6"/>
  <c r="N20" i="6"/>
  <c r="R20" i="6"/>
  <c r="L20" i="6"/>
  <c r="M20" i="6"/>
  <c r="T20" i="6"/>
  <c r="P20" i="6"/>
  <c r="O20" i="6"/>
  <c r="Q20" i="6"/>
  <c r="S20" i="6"/>
  <c r="Q12" i="6"/>
  <c r="O12" i="6"/>
  <c r="L12" i="6"/>
  <c r="K12" i="6"/>
  <c r="U12" i="6"/>
  <c r="N12" i="6"/>
  <c r="P12" i="6"/>
  <c r="M12" i="6"/>
  <c r="K34" i="6"/>
  <c r="N34" i="6"/>
  <c r="T34" i="6"/>
  <c r="M34" i="6"/>
  <c r="R34" i="6"/>
  <c r="S34" i="6"/>
  <c r="Q34" i="6"/>
  <c r="L34" i="6"/>
  <c r="P34" i="6"/>
  <c r="O34" i="6"/>
  <c r="U34" i="6"/>
  <c r="K32" i="6"/>
  <c r="M32" i="6"/>
  <c r="P32" i="6"/>
  <c r="R32" i="6"/>
  <c r="U32" i="6"/>
  <c r="T32" i="6"/>
  <c r="N32" i="6"/>
  <c r="S32" i="6"/>
  <c r="Q32" i="6"/>
  <c r="L32" i="6"/>
  <c r="O32" i="6"/>
  <c r="P26" i="6"/>
  <c r="S26" i="6"/>
  <c r="N26" i="6"/>
  <c r="Q26" i="6"/>
  <c r="U26" i="6"/>
  <c r="L26" i="6"/>
  <c r="M26" i="6"/>
  <c r="O26" i="6"/>
  <c r="R26" i="6"/>
  <c r="T26" i="6"/>
  <c r="K26" i="6"/>
  <c r="R35" i="6"/>
  <c r="M35" i="6"/>
  <c r="Q35" i="6"/>
  <c r="P35" i="6"/>
  <c r="S35" i="6"/>
  <c r="L35" i="6"/>
  <c r="K35" i="6"/>
  <c r="O35" i="6"/>
  <c r="N35" i="6"/>
  <c r="U35" i="6"/>
  <c r="T35" i="6"/>
  <c r="T17" i="5"/>
  <c r="S17" i="5"/>
  <c r="R17" i="5"/>
  <c r="U17" i="5"/>
  <c r="Q17" i="5"/>
  <c r="P17" i="5"/>
  <c r="O17" i="5"/>
  <c r="L17" i="5"/>
  <c r="K17" i="5"/>
  <c r="N17" i="5"/>
  <c r="M17" i="5"/>
  <c r="S10" i="5"/>
  <c r="O10" i="5"/>
  <c r="M10" i="5"/>
  <c r="N10" i="5"/>
  <c r="R10" i="5"/>
  <c r="K10" i="5"/>
  <c r="L10" i="5"/>
  <c r="Q10" i="5"/>
  <c r="T10" i="5"/>
  <c r="U10" i="5"/>
  <c r="P10" i="5"/>
  <c r="K20" i="5"/>
  <c r="M20" i="5"/>
  <c r="L20" i="5"/>
  <c r="R20" i="5"/>
  <c r="N20" i="5"/>
  <c r="Q20" i="5"/>
  <c r="S20" i="5"/>
  <c r="T20" i="5"/>
  <c r="P20" i="5"/>
  <c r="O20" i="5"/>
  <c r="U20" i="5"/>
  <c r="O22" i="5"/>
  <c r="N22" i="5"/>
  <c r="L22" i="5"/>
  <c r="P22" i="5"/>
  <c r="K22" i="5"/>
  <c r="M22" i="5"/>
  <c r="Q22" i="5"/>
  <c r="S22" i="5"/>
  <c r="U22" i="5"/>
  <c r="R22" i="5"/>
  <c r="T22" i="5"/>
  <c r="Q9" i="5"/>
  <c r="S9" i="5"/>
  <c r="O9" i="5"/>
  <c r="L9" i="5"/>
  <c r="T9" i="5"/>
  <c r="P9" i="5"/>
  <c r="M9" i="5"/>
  <c r="R9" i="5"/>
  <c r="K9" i="5"/>
  <c r="U9" i="5"/>
  <c r="N9" i="5"/>
  <c r="N19" i="5"/>
  <c r="L19" i="5"/>
  <c r="P19" i="5"/>
  <c r="M19" i="5"/>
  <c r="U19" i="5"/>
  <c r="Q19" i="5"/>
  <c r="R19" i="5"/>
  <c r="T19" i="5"/>
  <c r="S19" i="5"/>
  <c r="K19" i="5"/>
  <c r="O19" i="5"/>
  <c r="M11" i="5"/>
  <c r="U11" i="5"/>
  <c r="O11" i="5"/>
  <c r="T11" i="5"/>
  <c r="Q11" i="5"/>
  <c r="K11" i="5"/>
  <c r="S11" i="5"/>
  <c r="R11" i="5"/>
  <c r="P11" i="5"/>
  <c r="L11" i="5"/>
  <c r="N11" i="5"/>
  <c r="S12" i="5"/>
  <c r="P12" i="5"/>
  <c r="T12" i="5"/>
  <c r="K12" i="5"/>
  <c r="Q12" i="5"/>
  <c r="M12" i="5"/>
  <c r="U12" i="5"/>
  <c r="N12" i="5"/>
  <c r="O12" i="5"/>
  <c r="R12" i="5"/>
  <c r="L12" i="5"/>
  <c r="N14" i="5"/>
  <c r="P14" i="5"/>
  <c r="L14" i="5"/>
  <c r="O14" i="5"/>
  <c r="Q14" i="5"/>
  <c r="T14" i="5"/>
  <c r="R14" i="5"/>
  <c r="U14" i="5"/>
  <c r="S14" i="5"/>
  <c r="M14" i="5"/>
  <c r="K14" i="5"/>
  <c r="R16" i="5"/>
  <c r="K16" i="5"/>
  <c r="T16" i="5"/>
  <c r="M16" i="5"/>
  <c r="Q16" i="5"/>
  <c r="O16" i="5"/>
  <c r="L16" i="5"/>
  <c r="P16" i="5"/>
  <c r="N16" i="5"/>
  <c r="U16" i="5"/>
  <c r="S16" i="5"/>
  <c r="O8" i="5"/>
  <c r="P8" i="5"/>
  <c r="T8" i="5"/>
  <c r="R8" i="5"/>
  <c r="Q8" i="5"/>
  <c r="M8" i="5"/>
  <c r="N8" i="5"/>
  <c r="U8" i="5"/>
  <c r="S8" i="5"/>
  <c r="K8" i="5"/>
  <c r="L8" i="5"/>
  <c r="O21" i="5"/>
  <c r="P21" i="5"/>
  <c r="M21" i="5"/>
  <c r="R21" i="5"/>
  <c r="N21" i="5"/>
  <c r="U21" i="5"/>
  <c r="L21" i="5"/>
  <c r="K21" i="5"/>
  <c r="Q21" i="5"/>
  <c r="T21" i="5"/>
  <c r="S21" i="5"/>
  <c r="S15" i="5"/>
  <c r="L15" i="5"/>
  <c r="P15" i="5"/>
  <c r="O15" i="5"/>
  <c r="U15" i="5"/>
  <c r="N15" i="5"/>
  <c r="R15" i="5"/>
  <c r="M15" i="5"/>
  <c r="K15" i="5"/>
  <c r="Q15" i="5"/>
  <c r="T15" i="5"/>
  <c r="S7" i="5"/>
  <c r="Q7" i="5"/>
  <c r="R7" i="5"/>
  <c r="U7" i="5"/>
  <c r="O7" i="5"/>
  <c r="K7" i="5"/>
  <c r="L7" i="5"/>
  <c r="P7" i="5"/>
  <c r="N7" i="5"/>
  <c r="M7" i="5"/>
  <c r="T7" i="5"/>
  <c r="U18" i="5"/>
  <c r="M18" i="5"/>
  <c r="R18" i="5"/>
  <c r="P18" i="5"/>
  <c r="N18" i="5"/>
  <c r="O18" i="5"/>
  <c r="K18" i="5"/>
  <c r="T18" i="5"/>
  <c r="S18" i="5"/>
  <c r="L18" i="5"/>
  <c r="Q18" i="5"/>
  <c r="P13" i="5"/>
  <c r="N13" i="5"/>
  <c r="K13" i="5"/>
  <c r="R13" i="5"/>
  <c r="T13" i="5"/>
  <c r="O13" i="5"/>
  <c r="Q13" i="5"/>
  <c r="S13" i="5"/>
  <c r="U13" i="5"/>
  <c r="L13" i="5"/>
  <c r="M13" i="5"/>
  <c r="O6" i="5"/>
  <c r="Q6" i="5" s="1"/>
  <c r="K6" i="5"/>
  <c r="L6" i="5"/>
  <c r="N6" i="5"/>
  <c r="M6" i="5"/>
  <c r="P6" i="5"/>
  <c r="U6" i="5"/>
  <c r="N122" i="4"/>
  <c r="O122" i="4"/>
  <c r="Q122" i="4" s="1"/>
  <c r="U122" i="4"/>
  <c r="M122" i="4"/>
  <c r="L122" i="4"/>
  <c r="L215" i="4"/>
  <c r="N215" i="4"/>
  <c r="O215" i="4"/>
  <c r="Q215" i="4" s="1"/>
  <c r="U215" i="4"/>
  <c r="M215" i="4"/>
  <c r="N147" i="4"/>
  <c r="O147" i="4"/>
  <c r="Q147" i="4" s="1"/>
  <c r="M147" i="4"/>
  <c r="L147" i="4"/>
  <c r="U147" i="4"/>
  <c r="U195" i="4"/>
  <c r="L195" i="4"/>
  <c r="O195" i="4"/>
  <c r="Q195" i="4" s="1"/>
  <c r="M195" i="4"/>
  <c r="N195" i="4"/>
  <c r="M158" i="4"/>
  <c r="U158" i="4"/>
  <c r="N158" i="4"/>
  <c r="O158" i="4"/>
  <c r="Q158" i="4" s="1"/>
  <c r="L158" i="4"/>
  <c r="U184" i="4"/>
  <c r="O184" i="4"/>
  <c r="Q184" i="4" s="1"/>
  <c r="L184" i="4"/>
  <c r="N184" i="4"/>
  <c r="M184" i="4"/>
  <c r="L226" i="4"/>
  <c r="U226" i="4"/>
  <c r="M226" i="4"/>
  <c r="O226" i="4"/>
  <c r="Q226" i="4" s="1"/>
  <c r="N226" i="4"/>
  <c r="U121" i="4"/>
  <c r="O121" i="4"/>
  <c r="Q121" i="4" s="1"/>
  <c r="M121" i="4"/>
  <c r="L121" i="4"/>
  <c r="N121" i="4"/>
  <c r="O120" i="4"/>
  <c r="Q120" i="4" s="1"/>
  <c r="U120" i="4"/>
  <c r="M120" i="4"/>
  <c r="N120" i="4"/>
  <c r="L120" i="4"/>
  <c r="O214" i="4"/>
  <c r="Q214" i="4" s="1"/>
  <c r="U214" i="4"/>
  <c r="N214" i="4"/>
  <c r="L214" i="4"/>
  <c r="M214" i="4"/>
  <c r="U119" i="4"/>
  <c r="O119" i="4"/>
  <c r="Q119" i="4" s="1"/>
  <c r="N119" i="4"/>
  <c r="M119" i="4"/>
  <c r="L119" i="4"/>
  <c r="O213" i="4"/>
  <c r="Q213" i="4" s="1"/>
  <c r="L213" i="4"/>
  <c r="N213" i="4"/>
  <c r="U213" i="4"/>
  <c r="M213" i="4"/>
  <c r="M118" i="4"/>
  <c r="N118" i="4"/>
  <c r="L118" i="4"/>
  <c r="U118" i="4"/>
  <c r="O118" i="4"/>
  <c r="Q118" i="4" s="1"/>
  <c r="L221" i="4"/>
  <c r="U221" i="4"/>
  <c r="M221" i="4"/>
  <c r="N221" i="4"/>
  <c r="O221" i="4"/>
  <c r="Q221" i="4" s="1"/>
  <c r="U199" i="4"/>
  <c r="L199" i="4"/>
  <c r="N199" i="4"/>
  <c r="M199" i="4"/>
  <c r="O199" i="4"/>
  <c r="Q199" i="4" s="1"/>
  <c r="M146" i="4"/>
  <c r="O146" i="4"/>
  <c r="Q146" i="4" s="1"/>
  <c r="U146" i="4"/>
  <c r="N146" i="4"/>
  <c r="L146" i="4"/>
  <c r="U194" i="4"/>
  <c r="N194" i="4"/>
  <c r="L194" i="4"/>
  <c r="M194" i="4"/>
  <c r="O194" i="4"/>
  <c r="Q194" i="4" s="1"/>
  <c r="U157" i="4"/>
  <c r="O157" i="4"/>
  <c r="Q157" i="4" s="1"/>
  <c r="L157" i="4"/>
  <c r="N157" i="4"/>
  <c r="M157" i="4"/>
  <c r="L183" i="4"/>
  <c r="N183" i="4"/>
  <c r="O183" i="4"/>
  <c r="Q183" i="4" s="1"/>
  <c r="M183" i="4"/>
  <c r="U183" i="4"/>
  <c r="O117" i="4"/>
  <c r="Q117" i="4" s="1"/>
  <c r="M117" i="4"/>
  <c r="N117" i="4"/>
  <c r="U117" i="4"/>
  <c r="L117" i="4"/>
  <c r="M225" i="4"/>
  <c r="O225" i="4"/>
  <c r="Q225" i="4" s="1"/>
  <c r="U225" i="4"/>
  <c r="L225" i="4"/>
  <c r="N225" i="4"/>
  <c r="M220" i="4"/>
  <c r="L220" i="4"/>
  <c r="U220" i="4"/>
  <c r="O220" i="4"/>
  <c r="Q220" i="4" s="1"/>
  <c r="N220" i="4"/>
  <c r="L198" i="4"/>
  <c r="O198" i="4"/>
  <c r="Q198" i="4" s="1"/>
  <c r="N198" i="4"/>
  <c r="U198" i="4"/>
  <c r="M198" i="4"/>
  <c r="L145" i="4"/>
  <c r="M145" i="4"/>
  <c r="O145" i="4"/>
  <c r="Q145" i="4" s="1"/>
  <c r="N145" i="4"/>
  <c r="U145" i="4"/>
  <c r="O193" i="4"/>
  <c r="Q193" i="4" s="1"/>
  <c r="N193" i="4"/>
  <c r="M193" i="4"/>
  <c r="U193" i="4"/>
  <c r="L193" i="4"/>
  <c r="O156" i="4"/>
  <c r="Q156" i="4" s="1"/>
  <c r="L156" i="4"/>
  <c r="U156" i="4"/>
  <c r="N156" i="4"/>
  <c r="M156" i="4"/>
  <c r="U182" i="4"/>
  <c r="O182" i="4"/>
  <c r="Q182" i="4" s="1"/>
  <c r="M182" i="4"/>
  <c r="N182" i="4"/>
  <c r="L182" i="4"/>
  <c r="M116" i="4"/>
  <c r="N116" i="4"/>
  <c r="U116" i="4"/>
  <c r="L116" i="4"/>
  <c r="O116" i="4"/>
  <c r="Q116" i="4" s="1"/>
  <c r="O167" i="4"/>
  <c r="Q167" i="4" s="1"/>
  <c r="L167" i="4"/>
  <c r="U167" i="4"/>
  <c r="N167" i="4"/>
  <c r="M167" i="4"/>
  <c r="S313" i="4"/>
  <c r="R313" i="4"/>
  <c r="Y313" i="4"/>
  <c r="T313" i="4"/>
  <c r="L313" i="4"/>
  <c r="Q313" i="4"/>
  <c r="M313" i="4"/>
  <c r="O313" i="4"/>
  <c r="U313" i="4"/>
  <c r="Z313" i="4"/>
  <c r="N313" i="4"/>
  <c r="Y320" i="4"/>
  <c r="S320" i="4"/>
  <c r="L320" i="4"/>
  <c r="Q320" i="4"/>
  <c r="U320" i="4"/>
  <c r="R320" i="4"/>
  <c r="T320" i="4"/>
  <c r="M320" i="4"/>
  <c r="O320" i="4"/>
  <c r="Z320" i="4"/>
  <c r="N320" i="4"/>
  <c r="Y321" i="4"/>
  <c r="S321" i="4"/>
  <c r="T321" i="4"/>
  <c r="O321" i="4"/>
  <c r="R321" i="4"/>
  <c r="M321" i="4"/>
  <c r="N321" i="4"/>
  <c r="Q321" i="4"/>
  <c r="Z321" i="4"/>
  <c r="L321" i="4"/>
  <c r="U321" i="4"/>
  <c r="M197" i="4"/>
  <c r="O197" i="4"/>
  <c r="Q197" i="4" s="1"/>
  <c r="N197" i="4"/>
  <c r="L197" i="4"/>
  <c r="U197" i="4"/>
  <c r="Z197" i="4"/>
  <c r="Z198" i="4" s="1"/>
  <c r="Z199" i="4" s="1"/>
  <c r="T345" i="4"/>
  <c r="R345" i="4"/>
  <c r="M345" i="4"/>
  <c r="S345" i="4"/>
  <c r="N345" i="4"/>
  <c r="Y345" i="4"/>
  <c r="L345" i="4"/>
  <c r="Q345" i="4"/>
  <c r="U345" i="4"/>
  <c r="O345" i="4"/>
  <c r="Z345" i="4"/>
  <c r="M331" i="4"/>
  <c r="Y331" i="4"/>
  <c r="S331" i="4"/>
  <c r="T331" i="4"/>
  <c r="N331" i="4"/>
  <c r="L331" i="4"/>
  <c r="Z331" i="4"/>
  <c r="Q331" i="4"/>
  <c r="U331" i="4"/>
  <c r="O331" i="4"/>
  <c r="R331" i="4"/>
  <c r="U353" i="4"/>
  <c r="T353" i="4"/>
  <c r="L353" i="4"/>
  <c r="N353" i="4"/>
  <c r="R353" i="4"/>
  <c r="Z353" i="4"/>
  <c r="M353" i="4"/>
  <c r="Q353" i="4"/>
  <c r="Y353" i="4"/>
  <c r="S353" i="4"/>
  <c r="O353" i="4"/>
  <c r="O144" i="4"/>
  <c r="Q144" i="4" s="1"/>
  <c r="M144" i="4"/>
  <c r="U144" i="4"/>
  <c r="L144" i="4"/>
  <c r="Z144" i="4"/>
  <c r="Z147" i="4" s="1"/>
  <c r="N144" i="4"/>
  <c r="T298" i="4"/>
  <c r="U298" i="4"/>
  <c r="N298" i="4"/>
  <c r="M298" i="4"/>
  <c r="S298" i="4"/>
  <c r="Z298" i="4"/>
  <c r="Y298" i="4"/>
  <c r="L298" i="4"/>
  <c r="Q298" i="4"/>
  <c r="R298" i="4"/>
  <c r="O298" i="4"/>
  <c r="N238" i="4"/>
  <c r="Z238" i="4"/>
  <c r="M238" i="4"/>
  <c r="L238" i="4"/>
  <c r="S238" i="4"/>
  <c r="T238" i="4"/>
  <c r="R238" i="4"/>
  <c r="Y238" i="4"/>
  <c r="U238" i="4"/>
  <c r="Q238" i="4"/>
  <c r="O238" i="4"/>
  <c r="N316" i="4"/>
  <c r="Z316" i="4"/>
  <c r="Y316" i="4"/>
  <c r="U316" i="4"/>
  <c r="S316" i="4"/>
  <c r="L316" i="4"/>
  <c r="T316" i="4"/>
  <c r="O316" i="4"/>
  <c r="M316" i="4"/>
  <c r="R316" i="4"/>
  <c r="Q316" i="4"/>
  <c r="R314" i="4"/>
  <c r="Y314" i="4"/>
  <c r="Z314" i="4"/>
  <c r="N314" i="4"/>
  <c r="Q314" i="4"/>
  <c r="S314" i="4"/>
  <c r="T314" i="4"/>
  <c r="O314" i="4"/>
  <c r="U314" i="4"/>
  <c r="M314" i="4"/>
  <c r="L314" i="4"/>
  <c r="N134" i="4"/>
  <c r="U134" i="4"/>
  <c r="Z134" i="4"/>
  <c r="Z142" i="4" s="1"/>
  <c r="O134" i="4"/>
  <c r="Q134" i="4" s="1"/>
  <c r="L134" i="4"/>
  <c r="M134" i="4"/>
  <c r="L192" i="4"/>
  <c r="M192" i="4"/>
  <c r="Z192" i="4"/>
  <c r="Z195" i="4" s="1"/>
  <c r="N192" i="4"/>
  <c r="O192" i="4"/>
  <c r="Q192" i="4" s="1"/>
  <c r="U192" i="4"/>
  <c r="S299" i="4"/>
  <c r="O299" i="4"/>
  <c r="Y299" i="4"/>
  <c r="L299" i="4"/>
  <c r="N299" i="4"/>
  <c r="U299" i="4"/>
  <c r="M299" i="4"/>
  <c r="R299" i="4"/>
  <c r="Z299" i="4"/>
  <c r="T299" i="4"/>
  <c r="Q299" i="4"/>
  <c r="R368" i="4"/>
  <c r="S368" i="4"/>
  <c r="Q368" i="4"/>
  <c r="Y368" i="4"/>
  <c r="O368" i="4"/>
  <c r="M368" i="4"/>
  <c r="U368" i="4"/>
  <c r="N368" i="4"/>
  <c r="T368" i="4"/>
  <c r="L368" i="4"/>
  <c r="Z368" i="4"/>
  <c r="T369" i="4"/>
  <c r="R369" i="4"/>
  <c r="S369" i="4"/>
  <c r="Z369" i="4"/>
  <c r="Y369" i="4"/>
  <c r="L369" i="4"/>
  <c r="N369" i="4"/>
  <c r="Q369" i="4"/>
  <c r="M369" i="4"/>
  <c r="U369" i="4"/>
  <c r="O369" i="4"/>
  <c r="T315" i="4"/>
  <c r="Q315" i="4"/>
  <c r="Z315" i="4"/>
  <c r="S315" i="4"/>
  <c r="L315" i="4"/>
  <c r="N315" i="4"/>
  <c r="M315" i="4"/>
  <c r="Y315" i="4"/>
  <c r="O315" i="4"/>
  <c r="U315" i="4"/>
  <c r="R315" i="4"/>
  <c r="Z270" i="4"/>
  <c r="Q270" i="4"/>
  <c r="O270" i="4"/>
  <c r="U270" i="4"/>
  <c r="L270" i="4"/>
  <c r="T270" i="4"/>
  <c r="R270" i="4"/>
  <c r="M270" i="4"/>
  <c r="Y270" i="4"/>
  <c r="S270" i="4"/>
  <c r="N270" i="4"/>
  <c r="M235" i="4"/>
  <c r="Q235" i="4"/>
  <c r="R235" i="4"/>
  <c r="S235" i="4"/>
  <c r="U235" i="4"/>
  <c r="Y235" i="4"/>
  <c r="L235" i="4"/>
  <c r="O235" i="4"/>
  <c r="Z235" i="4"/>
  <c r="N235" i="4"/>
  <c r="T235" i="4"/>
  <c r="M261" i="4"/>
  <c r="R261" i="4"/>
  <c r="Z261" i="4"/>
  <c r="S261" i="4"/>
  <c r="Y261" i="4"/>
  <c r="U261" i="4"/>
  <c r="Q261" i="4"/>
  <c r="T261" i="4"/>
  <c r="L261" i="4"/>
  <c r="O261" i="4"/>
  <c r="N261" i="4"/>
  <c r="R302" i="4"/>
  <c r="T302" i="4"/>
  <c r="Y302" i="4"/>
  <c r="O302" i="4"/>
  <c r="U302" i="4"/>
  <c r="S302" i="4"/>
  <c r="Z302" i="4"/>
  <c r="N302" i="4"/>
  <c r="L302" i="4"/>
  <c r="Q302" i="4"/>
  <c r="M302" i="4"/>
  <c r="T148" i="4"/>
  <c r="N148" i="4"/>
  <c r="O148" i="4"/>
  <c r="Y148" i="4"/>
  <c r="Z148" i="4"/>
  <c r="Q148" i="4"/>
  <c r="M148" i="4"/>
  <c r="S148" i="4"/>
  <c r="R148" i="4"/>
  <c r="U148" i="4"/>
  <c r="L148" i="4"/>
  <c r="Y285" i="4"/>
  <c r="R285" i="4"/>
  <c r="L285" i="4"/>
  <c r="T285" i="4"/>
  <c r="U285" i="4"/>
  <c r="N285" i="4"/>
  <c r="Q285" i="4"/>
  <c r="Z285" i="4"/>
  <c r="M285" i="4"/>
  <c r="S285" i="4"/>
  <c r="O285" i="4"/>
  <c r="Y217" i="4"/>
  <c r="S217" i="4"/>
  <c r="M217" i="4"/>
  <c r="T217" i="4"/>
  <c r="N217" i="4"/>
  <c r="O217" i="4"/>
  <c r="Q217" i="4"/>
  <c r="U217" i="4"/>
  <c r="Z217" i="4"/>
  <c r="R217" i="4"/>
  <c r="L217" i="4"/>
  <c r="T307" i="4"/>
  <c r="N307" i="4"/>
  <c r="O307" i="4"/>
  <c r="L307" i="4"/>
  <c r="U307" i="4"/>
  <c r="R307" i="4"/>
  <c r="Z307" i="4"/>
  <c r="M307" i="4"/>
  <c r="Y307" i="4"/>
  <c r="S307" i="4"/>
  <c r="Q307" i="4"/>
  <c r="Z123" i="4"/>
  <c r="T123" i="4"/>
  <c r="O123" i="4"/>
  <c r="S123" i="4"/>
  <c r="Y123" i="4"/>
  <c r="N123" i="4"/>
  <c r="R123" i="4"/>
  <c r="M123" i="4"/>
  <c r="U123" i="4"/>
  <c r="L123" i="4"/>
  <c r="Q123" i="4"/>
  <c r="M341" i="4"/>
  <c r="O341" i="4"/>
  <c r="Q341" i="4"/>
  <c r="U341" i="4"/>
  <c r="Y341" i="4"/>
  <c r="S341" i="4"/>
  <c r="Z341" i="4"/>
  <c r="N341" i="4"/>
  <c r="L341" i="4"/>
  <c r="T341" i="4"/>
  <c r="R341" i="4"/>
  <c r="N248" i="4"/>
  <c r="Y248" i="4"/>
  <c r="T248" i="4"/>
  <c r="M248" i="4"/>
  <c r="O248" i="4"/>
  <c r="Q248" i="4"/>
  <c r="S248" i="4"/>
  <c r="Z248" i="4"/>
  <c r="L248" i="4"/>
  <c r="U248" i="4"/>
  <c r="R248" i="4"/>
  <c r="M133" i="4"/>
  <c r="L133" i="4"/>
  <c r="U133" i="4"/>
  <c r="T133" i="4"/>
  <c r="R133" i="4"/>
  <c r="O133" i="4"/>
  <c r="Q133" i="4"/>
  <c r="N133" i="4"/>
  <c r="Z133" i="4"/>
  <c r="S133" i="4"/>
  <c r="Y133" i="4"/>
  <c r="S262" i="4"/>
  <c r="N262" i="4"/>
  <c r="T262" i="4"/>
  <c r="Q262" i="4"/>
  <c r="R262" i="4"/>
  <c r="O262" i="4"/>
  <c r="Y262" i="4"/>
  <c r="L262" i="4"/>
  <c r="U262" i="4"/>
  <c r="Z262" i="4"/>
  <c r="M262" i="4"/>
  <c r="U243" i="4"/>
  <c r="Z243" i="4"/>
  <c r="S243" i="4"/>
  <c r="Y243" i="4"/>
  <c r="T243" i="4"/>
  <c r="R243" i="4"/>
  <c r="N243" i="4"/>
  <c r="Q243" i="4"/>
  <c r="M243" i="4"/>
  <c r="L243" i="4"/>
  <c r="O243" i="4"/>
  <c r="Q336" i="4"/>
  <c r="R336" i="4"/>
  <c r="O336" i="4"/>
  <c r="U336" i="4"/>
  <c r="L336" i="4"/>
  <c r="M336" i="4"/>
  <c r="N336" i="4"/>
  <c r="S336" i="4"/>
  <c r="Z336" i="4"/>
  <c r="T336" i="4"/>
  <c r="Y336" i="4"/>
  <c r="U209" i="4"/>
  <c r="Z209" i="4"/>
  <c r="O209" i="4"/>
  <c r="R209" i="4"/>
  <c r="L209" i="4"/>
  <c r="Q209" i="4"/>
  <c r="M209" i="4"/>
  <c r="T209" i="4"/>
  <c r="S209" i="4"/>
  <c r="Y209" i="4"/>
  <c r="N209" i="4"/>
  <c r="L335" i="4"/>
  <c r="Y335" i="4"/>
  <c r="Q335" i="4"/>
  <c r="Z335" i="4"/>
  <c r="R335" i="4"/>
  <c r="U335" i="4"/>
  <c r="N335" i="4"/>
  <c r="M335" i="4"/>
  <c r="S335" i="4"/>
  <c r="T335" i="4"/>
  <c r="O335" i="4"/>
  <c r="O296" i="4"/>
  <c r="U296" i="4"/>
  <c r="N296" i="4"/>
  <c r="M296" i="4"/>
  <c r="L296" i="4"/>
  <c r="T296" i="4"/>
  <c r="R296" i="4"/>
  <c r="S296" i="4"/>
  <c r="Y296" i="4"/>
  <c r="Z296" i="4"/>
  <c r="Q296" i="4"/>
  <c r="N149" i="4"/>
  <c r="L149" i="4"/>
  <c r="Z149" i="4"/>
  <c r="Z150" i="4" s="1"/>
  <c r="Z151" i="4" s="1"/>
  <c r="Z152" i="4" s="1"/>
  <c r="Z153" i="4" s="1"/>
  <c r="U149" i="4"/>
  <c r="O149" i="4"/>
  <c r="Q149" i="4" s="1"/>
  <c r="M149" i="4"/>
  <c r="U312" i="4"/>
  <c r="Z312" i="4"/>
  <c r="Y312" i="4"/>
  <c r="M312" i="4"/>
  <c r="Q312" i="4"/>
  <c r="R312" i="4"/>
  <c r="N312" i="4"/>
  <c r="S312" i="4"/>
  <c r="L312" i="4"/>
  <c r="T312" i="4"/>
  <c r="O312" i="4"/>
  <c r="O287" i="4"/>
  <c r="U287" i="4"/>
  <c r="M287" i="4"/>
  <c r="Q287" i="4"/>
  <c r="R287" i="4"/>
  <c r="Y287" i="4"/>
  <c r="N287" i="4"/>
  <c r="L287" i="4"/>
  <c r="T287" i="4"/>
  <c r="Z287" i="4"/>
  <c r="S287" i="4"/>
  <c r="N125" i="4"/>
  <c r="L125" i="4"/>
  <c r="O125" i="4"/>
  <c r="Q125" i="4" s="1"/>
  <c r="M125" i="4"/>
  <c r="U125" i="4"/>
  <c r="L346" i="4"/>
  <c r="Q346" i="4"/>
  <c r="Z346" i="4"/>
  <c r="N346" i="4"/>
  <c r="T346" i="4"/>
  <c r="M346" i="4"/>
  <c r="R346" i="4"/>
  <c r="Y346" i="4"/>
  <c r="S346" i="4"/>
  <c r="U346" i="4"/>
  <c r="O346" i="4"/>
  <c r="U201" i="4"/>
  <c r="O201" i="4"/>
  <c r="Q201" i="4" s="1"/>
  <c r="N201" i="4"/>
  <c r="Z201" i="4"/>
  <c r="Z208" i="4" s="1"/>
  <c r="M201" i="4"/>
  <c r="L201" i="4"/>
  <c r="S280" i="4"/>
  <c r="R280" i="4"/>
  <c r="N280" i="4"/>
  <c r="Y280" i="4"/>
  <c r="Q280" i="4"/>
  <c r="Z280" i="4"/>
  <c r="U280" i="4"/>
  <c r="T280" i="4"/>
  <c r="L280" i="4"/>
  <c r="O280" i="4"/>
  <c r="M280" i="4"/>
  <c r="L349" i="4"/>
  <c r="M349" i="4"/>
  <c r="S349" i="4"/>
  <c r="O349" i="4"/>
  <c r="N349" i="4"/>
  <c r="R349" i="4"/>
  <c r="U349" i="4"/>
  <c r="Z349" i="4"/>
  <c r="Q349" i="4"/>
  <c r="Y349" i="4"/>
  <c r="T349" i="4"/>
  <c r="U256" i="4"/>
  <c r="L256" i="4"/>
  <c r="S256" i="4"/>
  <c r="Z256" i="4"/>
  <c r="O256" i="4"/>
  <c r="T256" i="4"/>
  <c r="M256" i="4"/>
  <c r="Q256" i="4"/>
  <c r="N256" i="4"/>
  <c r="Y256" i="4"/>
  <c r="R256" i="4"/>
  <c r="O265" i="4"/>
  <c r="S265" i="4"/>
  <c r="Q265" i="4"/>
  <c r="Y265" i="4"/>
  <c r="L265" i="4"/>
  <c r="T265" i="4"/>
  <c r="Z265" i="4"/>
  <c r="R265" i="4"/>
  <c r="N265" i="4"/>
  <c r="M265" i="4"/>
  <c r="U265" i="4"/>
  <c r="U352" i="4"/>
  <c r="L352" i="4"/>
  <c r="Z352" i="4"/>
  <c r="S352" i="4"/>
  <c r="M352" i="4"/>
  <c r="O352" i="4"/>
  <c r="R352" i="4"/>
  <c r="Y352" i="4"/>
  <c r="N352" i="4"/>
  <c r="Q352" i="4"/>
  <c r="T352" i="4"/>
  <c r="M364" i="4"/>
  <c r="U364" i="4"/>
  <c r="L364" i="4"/>
  <c r="R364" i="4"/>
  <c r="Q364" i="4"/>
  <c r="S364" i="4"/>
  <c r="O364" i="4"/>
  <c r="Z364" i="4"/>
  <c r="N364" i="4"/>
  <c r="T364" i="4"/>
  <c r="Y364" i="4"/>
  <c r="T284" i="4"/>
  <c r="Q284" i="4"/>
  <c r="U284" i="4"/>
  <c r="O284" i="4"/>
  <c r="Z284" i="4"/>
  <c r="R284" i="4"/>
  <c r="M284" i="4"/>
  <c r="S284" i="4"/>
  <c r="N284" i="4"/>
  <c r="L284" i="4"/>
  <c r="Y284" i="4"/>
  <c r="T264" i="4"/>
  <c r="Y264" i="4"/>
  <c r="Q264" i="4"/>
  <c r="U264" i="4"/>
  <c r="R264" i="4"/>
  <c r="Z264" i="4"/>
  <c r="N264" i="4"/>
  <c r="L264" i="4"/>
  <c r="S264" i="4"/>
  <c r="M264" i="4"/>
  <c r="O264" i="4"/>
  <c r="Z323" i="4"/>
  <c r="Y323" i="4"/>
  <c r="M323" i="4"/>
  <c r="T323" i="4"/>
  <c r="R323" i="4"/>
  <c r="N323" i="4"/>
  <c r="O323" i="4"/>
  <c r="S323" i="4"/>
  <c r="L323" i="4"/>
  <c r="Q323" i="4"/>
  <c r="U323" i="4"/>
  <c r="S272" i="4"/>
  <c r="Z272" i="4"/>
  <c r="U272" i="4"/>
  <c r="N272" i="4"/>
  <c r="T272" i="4"/>
  <c r="M272" i="4"/>
  <c r="Q272" i="4"/>
  <c r="L272" i="4"/>
  <c r="R272" i="4"/>
  <c r="O272" i="4"/>
  <c r="Y272" i="4"/>
  <c r="L104" i="4"/>
  <c r="U104" i="4"/>
  <c r="N104" i="4"/>
  <c r="M104" i="4"/>
  <c r="Z104" i="4"/>
  <c r="Z105" i="4" s="1"/>
  <c r="Z106" i="4" s="1"/>
  <c r="Z107" i="4" s="1"/>
  <c r="Z108" i="4" s="1"/>
  <c r="Z109" i="4" s="1"/>
  <c r="Z110" i="4" s="1"/>
  <c r="Z111" i="4" s="1"/>
  <c r="Z112" i="4" s="1"/>
  <c r="Z113" i="4" s="1"/>
  <c r="O104" i="4"/>
  <c r="Q104" i="4" s="1"/>
  <c r="L357" i="4"/>
  <c r="Z357" i="4"/>
  <c r="O357" i="4"/>
  <c r="S357" i="4"/>
  <c r="Q357" i="4"/>
  <c r="R357" i="4"/>
  <c r="T357" i="4"/>
  <c r="U357" i="4"/>
  <c r="M357" i="4"/>
  <c r="Y357" i="4"/>
  <c r="N357" i="4"/>
  <c r="Z124" i="4"/>
  <c r="Z125" i="4" s="1"/>
  <c r="Z126" i="4" s="1"/>
  <c r="Z127" i="4" s="1"/>
  <c r="Z128" i="4" s="1"/>
  <c r="Z129" i="4" s="1"/>
  <c r="Z130" i="4" s="1"/>
  <c r="Z131" i="4" s="1"/>
  <c r="Z132" i="4" s="1"/>
  <c r="L124" i="4"/>
  <c r="O124" i="4"/>
  <c r="Q124" i="4" s="1"/>
  <c r="M124" i="4"/>
  <c r="U124" i="4"/>
  <c r="N124" i="4"/>
  <c r="L330" i="4"/>
  <c r="R330" i="4"/>
  <c r="Z330" i="4"/>
  <c r="T330" i="4"/>
  <c r="U330" i="4"/>
  <c r="O330" i="4"/>
  <c r="M330" i="4"/>
  <c r="S330" i="4"/>
  <c r="N330" i="4"/>
  <c r="Q330" i="4"/>
  <c r="Y330" i="4"/>
  <c r="Z169" i="4"/>
  <c r="Q169" i="4"/>
  <c r="Y169" i="4"/>
  <c r="O169" i="4"/>
  <c r="U169" i="4"/>
  <c r="N169" i="4"/>
  <c r="R169" i="4"/>
  <c r="T169" i="4"/>
  <c r="L169" i="4"/>
  <c r="M169" i="4"/>
  <c r="S169" i="4"/>
  <c r="M347" i="4"/>
  <c r="N347" i="4"/>
  <c r="Y347" i="4"/>
  <c r="L347" i="4"/>
  <c r="T347" i="4"/>
  <c r="Q347" i="4"/>
  <c r="Z347" i="4"/>
  <c r="U347" i="4"/>
  <c r="O347" i="4"/>
  <c r="R347" i="4"/>
  <c r="S347" i="4" s="1"/>
  <c r="L250" i="4"/>
  <c r="Z250" i="4"/>
  <c r="S250" i="4"/>
  <c r="N250" i="4"/>
  <c r="Y250" i="4"/>
  <c r="Q250" i="4"/>
  <c r="R250" i="4"/>
  <c r="U250" i="4"/>
  <c r="O250" i="4"/>
  <c r="T250" i="4"/>
  <c r="M250" i="4"/>
  <c r="T154" i="4"/>
  <c r="Y154" i="4"/>
  <c r="Z154" i="4"/>
  <c r="O154" i="4"/>
  <c r="S154" i="4"/>
  <c r="N154" i="4"/>
  <c r="L154" i="4"/>
  <c r="R154" i="4"/>
  <c r="M154" i="4"/>
  <c r="U154" i="4"/>
  <c r="Q154" i="4"/>
  <c r="N355" i="4"/>
  <c r="R355" i="4"/>
  <c r="O355" i="4"/>
  <c r="M355" i="4"/>
  <c r="L355" i="4"/>
  <c r="S355" i="4"/>
  <c r="Z355" i="4"/>
  <c r="Q355" i="4"/>
  <c r="U355" i="4"/>
  <c r="T355" i="4"/>
  <c r="Y355" i="4"/>
  <c r="O249" i="4"/>
  <c r="L249" i="4"/>
  <c r="R249" i="4"/>
  <c r="Q249" i="4"/>
  <c r="S249" i="4"/>
  <c r="T249" i="4"/>
  <c r="U249" i="4"/>
  <c r="N249" i="4"/>
  <c r="M249" i="4"/>
  <c r="Y249" i="4"/>
  <c r="Z249" i="4"/>
  <c r="R271" i="4"/>
  <c r="N271" i="4"/>
  <c r="L271" i="4"/>
  <c r="U271" i="4"/>
  <c r="Q271" i="4"/>
  <c r="M271" i="4"/>
  <c r="Y271" i="4"/>
  <c r="T271" i="4"/>
  <c r="Z271" i="4"/>
  <c r="S271" i="4"/>
  <c r="O271" i="4"/>
  <c r="M170" i="4"/>
  <c r="U170" i="4"/>
  <c r="N170" i="4"/>
  <c r="L170" i="4"/>
  <c r="Z170" i="4"/>
  <c r="Z175" i="4" s="1"/>
  <c r="O170" i="4"/>
  <c r="Q170" i="4" s="1"/>
  <c r="Y344" i="4"/>
  <c r="O344" i="4"/>
  <c r="Q344" i="4"/>
  <c r="L344" i="4"/>
  <c r="Z344" i="4"/>
  <c r="N344" i="4"/>
  <c r="R344" i="4"/>
  <c r="S344" i="4"/>
  <c r="T344" i="4"/>
  <c r="U344" i="4"/>
  <c r="M344" i="4"/>
  <c r="U310" i="4"/>
  <c r="O310" i="4"/>
  <c r="N310" i="4"/>
  <c r="R310" i="4"/>
  <c r="L310" i="4"/>
  <c r="Z310" i="4"/>
  <c r="S310" i="4"/>
  <c r="M310" i="4"/>
  <c r="Q310" i="4"/>
  <c r="Y310" i="4"/>
  <c r="T310" i="4"/>
  <c r="L361" i="4"/>
  <c r="O361" i="4"/>
  <c r="U361" i="4"/>
  <c r="Z361" i="4"/>
  <c r="R361" i="4"/>
  <c r="Q361" i="4"/>
  <c r="N361" i="4"/>
  <c r="T361" i="4"/>
  <c r="Y361" i="4"/>
  <c r="S361" i="4"/>
  <c r="M361" i="4"/>
  <c r="N370" i="4"/>
  <c r="U370" i="4"/>
  <c r="M370" i="4"/>
  <c r="Q370" i="4"/>
  <c r="S370" i="4"/>
  <c r="Y370" i="4"/>
  <c r="L370" i="4"/>
  <c r="T370" i="4"/>
  <c r="Z370" i="4"/>
  <c r="R370" i="4"/>
  <c r="O370" i="4"/>
  <c r="R327" i="4"/>
  <c r="U327" i="4"/>
  <c r="T327" i="4"/>
  <c r="L327" i="4"/>
  <c r="Z327" i="4"/>
  <c r="S327" i="4"/>
  <c r="O327" i="4"/>
  <c r="Q327" i="4"/>
  <c r="M327" i="4"/>
  <c r="Y327" i="4"/>
  <c r="N327" i="4"/>
  <c r="M247" i="4"/>
  <c r="S247" i="4"/>
  <c r="Z247" i="4"/>
  <c r="Q247" i="4"/>
  <c r="R247" i="4"/>
  <c r="N247" i="4"/>
  <c r="T247" i="4"/>
  <c r="O247" i="4"/>
  <c r="Y247" i="4"/>
  <c r="U247" i="4"/>
  <c r="L247" i="4"/>
  <c r="O263" i="4"/>
  <c r="Q263" i="4"/>
  <c r="Z263" i="4"/>
  <c r="U263" i="4"/>
  <c r="T263" i="4"/>
  <c r="L263" i="4"/>
  <c r="Y263" i="4"/>
  <c r="M263" i="4"/>
  <c r="S263" i="4"/>
  <c r="R263" i="4"/>
  <c r="N263" i="4"/>
  <c r="T239" i="4"/>
  <c r="Y239" i="4"/>
  <c r="R239" i="4"/>
  <c r="Z239" i="4"/>
  <c r="M239" i="4"/>
  <c r="O239" i="4"/>
  <c r="N239" i="4"/>
  <c r="U239" i="4"/>
  <c r="Q239" i="4"/>
  <c r="L239" i="4"/>
  <c r="S239" i="4"/>
  <c r="O297" i="4"/>
  <c r="T297" i="4"/>
  <c r="Q297" i="4"/>
  <c r="Y297" i="4"/>
  <c r="L297" i="4"/>
  <c r="N297" i="4"/>
  <c r="M297" i="4"/>
  <c r="S297" i="4"/>
  <c r="U297" i="4"/>
  <c r="Z297" i="4"/>
  <c r="R297" i="4"/>
  <c r="L322" i="4"/>
  <c r="N322" i="4"/>
  <c r="U322" i="4"/>
  <c r="S322" i="4"/>
  <c r="R322" i="4"/>
  <c r="Q322" i="4"/>
  <c r="Y322" i="4"/>
  <c r="M322" i="4"/>
  <c r="T322" i="4"/>
  <c r="O322" i="4"/>
  <c r="Z322" i="4"/>
  <c r="Z269" i="4"/>
  <c r="S269" i="4"/>
  <c r="O269" i="4"/>
  <c r="M269" i="4"/>
  <c r="T269" i="4"/>
  <c r="L269" i="4"/>
  <c r="N269" i="4"/>
  <c r="Q269" i="4"/>
  <c r="U269" i="4"/>
  <c r="R269" i="4"/>
  <c r="Y269" i="4"/>
  <c r="U166" i="4"/>
  <c r="L166" i="4"/>
  <c r="N166" i="4"/>
  <c r="O166" i="4"/>
  <c r="Q166" i="4" s="1"/>
  <c r="M166" i="4"/>
  <c r="Z166" i="4"/>
  <c r="Z168" i="4" s="1"/>
  <c r="O281" i="4"/>
  <c r="R281" i="4"/>
  <c r="S281" i="4"/>
  <c r="M281" i="4"/>
  <c r="N281" i="4"/>
  <c r="T281" i="4"/>
  <c r="Z281" i="4"/>
  <c r="U281" i="4"/>
  <c r="Y281" i="4"/>
  <c r="Q281" i="4"/>
  <c r="L281" i="4"/>
  <c r="T258" i="4"/>
  <c r="R258" i="4"/>
  <c r="N258" i="4"/>
  <c r="U258" i="4"/>
  <c r="L258" i="4"/>
  <c r="Y258" i="4"/>
  <c r="Q258" i="4"/>
  <c r="S258" i="4"/>
  <c r="O258" i="4"/>
  <c r="Z258" i="4"/>
  <c r="M258" i="4"/>
  <c r="L304" i="4"/>
  <c r="N304" i="4"/>
  <c r="M304" i="4"/>
  <c r="T304" i="4"/>
  <c r="O304" i="4"/>
  <c r="S304" i="4"/>
  <c r="U304" i="4"/>
  <c r="Y304" i="4"/>
  <c r="Q304" i="4"/>
  <c r="R304" i="4"/>
  <c r="Z304" i="4"/>
  <c r="U354" i="4"/>
  <c r="R354" i="4"/>
  <c r="Z354" i="4"/>
  <c r="M354" i="4"/>
  <c r="S354" i="4"/>
  <c r="L354" i="4"/>
  <c r="N354" i="4"/>
  <c r="O354" i="4"/>
  <c r="T354" i="4"/>
  <c r="Q354" i="4"/>
  <c r="Y354" i="4"/>
  <c r="Z337" i="4"/>
  <c r="U337" i="4"/>
  <c r="Y337" i="4"/>
  <c r="R337" i="4"/>
  <c r="L337" i="4"/>
  <c r="T337" i="4"/>
  <c r="Q337" i="4"/>
  <c r="M337" i="4"/>
  <c r="S337" i="4"/>
  <c r="O337" i="4"/>
  <c r="N337" i="4"/>
  <c r="N318" i="4"/>
  <c r="M318" i="4"/>
  <c r="Y318" i="4"/>
  <c r="T318" i="4"/>
  <c r="Q318" i="4"/>
  <c r="U318" i="4"/>
  <c r="Z318" i="4"/>
  <c r="S318" i="4"/>
  <c r="L318" i="4"/>
  <c r="O318" i="4"/>
  <c r="R318" i="4"/>
  <c r="S293" i="4"/>
  <c r="U293" i="4"/>
  <c r="Z293" i="4"/>
  <c r="R293" i="4"/>
  <c r="Y293" i="4"/>
  <c r="Q293" i="4"/>
  <c r="M293" i="4"/>
  <c r="O293" i="4"/>
  <c r="N293" i="4"/>
  <c r="T293" i="4"/>
  <c r="L293" i="4"/>
  <c r="M266" i="4"/>
  <c r="S266" i="4"/>
  <c r="L266" i="4"/>
  <c r="U266" i="4"/>
  <c r="Z266" i="4"/>
  <c r="T266" i="4"/>
  <c r="Y266" i="4"/>
  <c r="N266" i="4"/>
  <c r="O266" i="4"/>
  <c r="R266" i="4"/>
  <c r="Q266" i="4"/>
  <c r="Y367" i="4"/>
  <c r="O367" i="4"/>
  <c r="U367" i="4"/>
  <c r="M367" i="4"/>
  <c r="N367" i="4"/>
  <c r="S367" i="4"/>
  <c r="Z367" i="4"/>
  <c r="R367" i="4"/>
  <c r="T367" i="4"/>
  <c r="L367" i="4"/>
  <c r="Q367" i="4"/>
  <c r="U191" i="4"/>
  <c r="S191" i="4"/>
  <c r="Z191" i="4"/>
  <c r="O191" i="4"/>
  <c r="N191" i="4"/>
  <c r="L191" i="4"/>
  <c r="M191" i="4"/>
  <c r="Y191" i="4"/>
  <c r="T191" i="4"/>
  <c r="Q191" i="4"/>
  <c r="R191" i="4"/>
  <c r="T242" i="4"/>
  <c r="L242" i="4"/>
  <c r="U242" i="4"/>
  <c r="S242" i="4"/>
  <c r="R242" i="4"/>
  <c r="M242" i="4"/>
  <c r="N242" i="4"/>
  <c r="Z242" i="4"/>
  <c r="Q242" i="4"/>
  <c r="O242" i="4"/>
  <c r="Y242" i="4"/>
  <c r="S309" i="4"/>
  <c r="O309" i="4"/>
  <c r="T309" i="4"/>
  <c r="Z309" i="4"/>
  <c r="R309" i="4"/>
  <c r="M309" i="4"/>
  <c r="U309" i="4"/>
  <c r="N309" i="4"/>
  <c r="Q309" i="4"/>
  <c r="L309" i="4"/>
  <c r="Y309" i="4"/>
  <c r="O329" i="4"/>
  <c r="M329" i="4"/>
  <c r="Z329" i="4"/>
  <c r="N329" i="4"/>
  <c r="Y329" i="4"/>
  <c r="R329" i="4"/>
  <c r="T329" i="4"/>
  <c r="L329" i="4"/>
  <c r="Q329" i="4"/>
  <c r="S329" i="4"/>
  <c r="U329" i="4"/>
  <c r="M114" i="4"/>
  <c r="Y114" i="4"/>
  <c r="N114" i="4"/>
  <c r="L114" i="4"/>
  <c r="S114" i="4"/>
  <c r="U114" i="4"/>
  <c r="R114" i="4"/>
  <c r="T114" i="4"/>
  <c r="Q114" i="4"/>
  <c r="O114" i="4"/>
  <c r="Z114" i="4"/>
  <c r="M273" i="4"/>
  <c r="Q273" i="4"/>
  <c r="Y273" i="4"/>
  <c r="N273" i="4"/>
  <c r="Z273" i="4"/>
  <c r="U273" i="4"/>
  <c r="T273" i="4"/>
  <c r="O273" i="4"/>
  <c r="S273" i="4"/>
  <c r="R273" i="4"/>
  <c r="L273" i="4"/>
  <c r="L212" i="4"/>
  <c r="N212" i="4"/>
  <c r="M212" i="4"/>
  <c r="U212" i="4"/>
  <c r="O212" i="4"/>
  <c r="Q212" i="4" s="1"/>
  <c r="U211" i="4"/>
  <c r="L211" i="4"/>
  <c r="M211" i="4"/>
  <c r="N211" i="4"/>
  <c r="O211" i="4"/>
  <c r="Q211" i="4" s="1"/>
  <c r="N224" i="4"/>
  <c r="M224" i="4"/>
  <c r="O224" i="4"/>
  <c r="Q224" i="4" s="1"/>
  <c r="U224" i="4"/>
  <c r="L224" i="4"/>
  <c r="U219" i="4"/>
  <c r="L219" i="4"/>
  <c r="N219" i="4"/>
  <c r="O219" i="4"/>
  <c r="Q219" i="4" s="1"/>
  <c r="M219" i="4"/>
  <c r="Q274" i="4"/>
  <c r="U274" i="4"/>
  <c r="Z274" i="4"/>
  <c r="T274" i="4"/>
  <c r="R274" i="4"/>
  <c r="M274" i="4"/>
  <c r="Y274" i="4"/>
  <c r="N274" i="4"/>
  <c r="S274" i="4"/>
  <c r="L274" i="4"/>
  <c r="O274" i="4"/>
  <c r="O359" i="4"/>
  <c r="Z359" i="4"/>
  <c r="T359" i="4"/>
  <c r="Q359" i="4"/>
  <c r="R359" i="4"/>
  <c r="U359" i="4"/>
  <c r="M359" i="4"/>
  <c r="L359" i="4"/>
  <c r="N359" i="4"/>
  <c r="S359" i="4"/>
  <c r="Y359" i="4"/>
  <c r="S351" i="4"/>
  <c r="U351" i="4"/>
  <c r="T351" i="4"/>
  <c r="Z351" i="4"/>
  <c r="O351" i="4"/>
  <c r="M351" i="4"/>
  <c r="Y351" i="4"/>
  <c r="N351" i="4"/>
  <c r="L351" i="4"/>
  <c r="R351" i="4"/>
  <c r="Q351" i="4"/>
  <c r="O231" i="4"/>
  <c r="S231" i="4"/>
  <c r="R231" i="4"/>
  <c r="L231" i="4"/>
  <c r="Y231" i="4"/>
  <c r="T231" i="4"/>
  <c r="Q231" i="4"/>
  <c r="Z231" i="4"/>
  <c r="M231" i="4"/>
  <c r="U231" i="4"/>
  <c r="N231" i="4"/>
  <c r="N340" i="4"/>
  <c r="S340" i="4"/>
  <c r="Z340" i="4"/>
  <c r="Y340" i="4"/>
  <c r="M340" i="4"/>
  <c r="O340" i="4"/>
  <c r="L340" i="4"/>
  <c r="Q340" i="4"/>
  <c r="R340" i="4"/>
  <c r="U340" i="4"/>
  <c r="T340" i="4"/>
  <c r="M210" i="4"/>
  <c r="N210" i="4"/>
  <c r="Z210" i="4"/>
  <c r="Z211" i="4" s="1"/>
  <c r="Z212" i="4" s="1"/>
  <c r="Z213" i="4" s="1"/>
  <c r="Z214" i="4" s="1"/>
  <c r="Z215" i="4" s="1"/>
  <c r="Z216" i="4" s="1"/>
  <c r="L210" i="4"/>
  <c r="O210" i="4"/>
  <c r="Q210" i="4" s="1"/>
  <c r="U210" i="4"/>
  <c r="S279" i="4"/>
  <c r="T279" i="4"/>
  <c r="Z279" i="4"/>
  <c r="L279" i="4"/>
  <c r="Q279" i="4"/>
  <c r="M279" i="4"/>
  <c r="O279" i="4"/>
  <c r="R279" i="4"/>
  <c r="N279" i="4"/>
  <c r="Y279" i="4"/>
  <c r="U279" i="4"/>
  <c r="T241" i="4"/>
  <c r="M241" i="4"/>
  <c r="S241" i="4"/>
  <c r="R241" i="4"/>
  <c r="Z241" i="4"/>
  <c r="Q241" i="4"/>
  <c r="N241" i="4"/>
  <c r="L241" i="4"/>
  <c r="Y241" i="4"/>
  <c r="O241" i="4"/>
  <c r="U241" i="4"/>
  <c r="Z365" i="4"/>
  <c r="R365" i="4"/>
  <c r="U365" i="4"/>
  <c r="N365" i="4"/>
  <c r="Y365" i="4"/>
  <c r="T365" i="4"/>
  <c r="M365" i="4"/>
  <c r="Q365" i="4"/>
  <c r="O365" i="4"/>
  <c r="S365" i="4"/>
  <c r="L365" i="4"/>
  <c r="Q229" i="4"/>
  <c r="Y229" i="4"/>
  <c r="O229" i="4"/>
  <c r="S229" i="4"/>
  <c r="M229" i="4"/>
  <c r="L229" i="4"/>
  <c r="T229" i="4"/>
  <c r="Z229" i="4"/>
  <c r="N229" i="4"/>
  <c r="U229" i="4"/>
  <c r="R229" i="4"/>
  <c r="T324" i="4"/>
  <c r="M324" i="4"/>
  <c r="Q324" i="4"/>
  <c r="N324" i="4"/>
  <c r="L324" i="4"/>
  <c r="O324" i="4"/>
  <c r="U324" i="4"/>
  <c r="S324" i="4"/>
  <c r="Y324" i="4"/>
  <c r="R324" i="4"/>
  <c r="Z324" i="4"/>
  <c r="Z196" i="4"/>
  <c r="S196" i="4"/>
  <c r="O196" i="4"/>
  <c r="U196" i="4"/>
  <c r="N196" i="4"/>
  <c r="M196" i="4"/>
  <c r="L196" i="4"/>
  <c r="Q196" i="4"/>
  <c r="R196" i="4"/>
  <c r="Y196" i="4"/>
  <c r="T196" i="4"/>
  <c r="S333" i="4"/>
  <c r="T333" i="4"/>
  <c r="M333" i="4"/>
  <c r="O333" i="4"/>
  <c r="U333" i="4"/>
  <c r="Y333" i="4"/>
  <c r="N333" i="4"/>
  <c r="Z333" i="4"/>
  <c r="Q333" i="4"/>
  <c r="L333" i="4"/>
  <c r="R333" i="4"/>
  <c r="L253" i="4"/>
  <c r="N253" i="4"/>
  <c r="T253" i="4"/>
  <c r="Y253" i="4"/>
  <c r="S253" i="4"/>
  <c r="M253" i="4"/>
  <c r="U253" i="4"/>
  <c r="Z253" i="4"/>
  <c r="O253" i="4"/>
  <c r="R253" i="4"/>
  <c r="Q253" i="4"/>
  <c r="N288" i="4"/>
  <c r="R288" i="4"/>
  <c r="S288" i="4"/>
  <c r="O288" i="4"/>
  <c r="Y288" i="4"/>
  <c r="Z288" i="4"/>
  <c r="U288" i="4"/>
  <c r="Q288" i="4"/>
  <c r="L288" i="4"/>
  <c r="T288" i="4"/>
  <c r="M288" i="4"/>
  <c r="Q366" i="4"/>
  <c r="Y366" i="4"/>
  <c r="N366" i="4"/>
  <c r="M366" i="4"/>
  <c r="L366" i="4"/>
  <c r="S366" i="4"/>
  <c r="Z366" i="4"/>
  <c r="R366" i="4"/>
  <c r="T366" i="4"/>
  <c r="O366" i="4"/>
  <c r="U366" i="4"/>
  <c r="Z276" i="4"/>
  <c r="T276" i="4"/>
  <c r="R276" i="4"/>
  <c r="N276" i="4"/>
  <c r="L276" i="4"/>
  <c r="O276" i="4"/>
  <c r="Y276" i="4"/>
  <c r="U276" i="4"/>
  <c r="M276" i="4"/>
  <c r="S276" i="4"/>
  <c r="Q276" i="4"/>
  <c r="Y180" i="4"/>
  <c r="S180" i="4"/>
  <c r="M180" i="4"/>
  <c r="O180" i="4"/>
  <c r="Q180" i="4"/>
  <c r="N180" i="4"/>
  <c r="U180" i="4"/>
  <c r="Z180" i="4"/>
  <c r="L180" i="4"/>
  <c r="T180" i="4"/>
  <c r="R180" i="4"/>
  <c r="R373" i="4"/>
  <c r="S373" i="4"/>
  <c r="O373" i="4"/>
  <c r="L373" i="4"/>
  <c r="Z373" i="4"/>
  <c r="M373" i="4"/>
  <c r="N373" i="4"/>
  <c r="Y373" i="4"/>
  <c r="Q373" i="4"/>
  <c r="T373" i="4"/>
  <c r="U373" i="4"/>
  <c r="L332" i="4"/>
  <c r="N332" i="4"/>
  <c r="Y332" i="4"/>
  <c r="U332" i="4"/>
  <c r="Q332" i="4"/>
  <c r="M332" i="4"/>
  <c r="Z332" i="4"/>
  <c r="O332" i="4"/>
  <c r="S332" i="4"/>
  <c r="R332" i="4"/>
  <c r="T332" i="4"/>
  <c r="Y326" i="4"/>
  <c r="U326" i="4"/>
  <c r="L326" i="4"/>
  <c r="S326" i="4"/>
  <c r="R326" i="4"/>
  <c r="T326" i="4"/>
  <c r="Q326" i="4"/>
  <c r="Z326" i="4"/>
  <c r="O326" i="4"/>
  <c r="M326" i="4"/>
  <c r="N326" i="4"/>
  <c r="N311" i="4"/>
  <c r="L311" i="4"/>
  <c r="O311" i="4"/>
  <c r="T311" i="4"/>
  <c r="R311" i="4"/>
  <c r="U311" i="4"/>
  <c r="S311" i="4"/>
  <c r="Z311" i="4"/>
  <c r="Q311" i="4"/>
  <c r="M311" i="4"/>
  <c r="Y311" i="4"/>
  <c r="Q286" i="4"/>
  <c r="O286" i="4"/>
  <c r="M286" i="4"/>
  <c r="S286" i="4"/>
  <c r="T286" i="4"/>
  <c r="R286" i="4"/>
  <c r="U286" i="4"/>
  <c r="Z286" i="4"/>
  <c r="Y286" i="4"/>
  <c r="N286" i="4"/>
  <c r="L286" i="4"/>
  <c r="M338" i="4"/>
  <c r="T338" i="4"/>
  <c r="U338" i="4"/>
  <c r="Z338" i="4"/>
  <c r="L338" i="4"/>
  <c r="O338" i="4"/>
  <c r="R338" i="4"/>
  <c r="S338" i="4"/>
  <c r="Y338" i="4"/>
  <c r="N338" i="4"/>
  <c r="Q338" i="4"/>
  <c r="R371" i="4"/>
  <c r="N371" i="4"/>
  <c r="O371" i="4"/>
  <c r="S371" i="4"/>
  <c r="Z371" i="4"/>
  <c r="Y371" i="4"/>
  <c r="Q371" i="4"/>
  <c r="T371" i="4"/>
  <c r="M371" i="4"/>
  <c r="U371" i="4"/>
  <c r="L371" i="4"/>
  <c r="Z291" i="4"/>
  <c r="U291" i="4"/>
  <c r="T291" i="4"/>
  <c r="Q291" i="4"/>
  <c r="N291" i="4"/>
  <c r="S291" i="4"/>
  <c r="O291" i="4"/>
  <c r="L291" i="4"/>
  <c r="Y291" i="4"/>
  <c r="M291" i="4"/>
  <c r="R291" i="4"/>
  <c r="U275" i="4"/>
  <c r="N275" i="4"/>
  <c r="Y275" i="4"/>
  <c r="O275" i="4"/>
  <c r="Q275" i="4"/>
  <c r="M275" i="4"/>
  <c r="T275" i="4"/>
  <c r="Z275" i="4"/>
  <c r="S275" i="4"/>
  <c r="R275" i="4"/>
  <c r="L275" i="4"/>
  <c r="T240" i="4"/>
  <c r="S240" i="4"/>
  <c r="O240" i="4"/>
  <c r="R240" i="4"/>
  <c r="Y240" i="4"/>
  <c r="M240" i="4"/>
  <c r="L240" i="4"/>
  <c r="N240" i="4"/>
  <c r="Q240" i="4"/>
  <c r="U240" i="4"/>
  <c r="Z240" i="4"/>
  <c r="Q328" i="4"/>
  <c r="Y328" i="4"/>
  <c r="Z328" i="4"/>
  <c r="U328" i="4"/>
  <c r="R328" i="4"/>
  <c r="M328" i="4"/>
  <c r="L328" i="4"/>
  <c r="O328" i="4"/>
  <c r="S328" i="4"/>
  <c r="N328" i="4"/>
  <c r="T328" i="4"/>
  <c r="O155" i="4"/>
  <c r="Q155" i="4" s="1"/>
  <c r="M155" i="4"/>
  <c r="U155" i="4"/>
  <c r="N155" i="4"/>
  <c r="Z155" i="4"/>
  <c r="Z156" i="4" s="1"/>
  <c r="L155" i="4"/>
  <c r="N181" i="4"/>
  <c r="O181" i="4"/>
  <c r="Q181" i="4" s="1"/>
  <c r="U181" i="4"/>
  <c r="M181" i="4"/>
  <c r="Z181" i="4"/>
  <c r="Z189" i="4" s="1"/>
  <c r="L181" i="4"/>
  <c r="T317" i="4"/>
  <c r="M317" i="4"/>
  <c r="U317" i="4"/>
  <c r="O317" i="4"/>
  <c r="Z317" i="4"/>
  <c r="Y317" i="4"/>
  <c r="S317" i="4"/>
  <c r="L317" i="4"/>
  <c r="Q317" i="4"/>
  <c r="R317" i="4"/>
  <c r="N317" i="4"/>
  <c r="S325" i="4"/>
  <c r="U325" i="4"/>
  <c r="N325" i="4"/>
  <c r="Q325" i="4"/>
  <c r="Y325" i="4"/>
  <c r="Z325" i="4"/>
  <c r="L325" i="4"/>
  <c r="O325" i="4"/>
  <c r="R325" i="4"/>
  <c r="M325" i="4"/>
  <c r="T325" i="4"/>
  <c r="S358" i="4"/>
  <c r="Z358" i="4"/>
  <c r="Q358" i="4"/>
  <c r="M358" i="4"/>
  <c r="O358" i="4"/>
  <c r="U358" i="4"/>
  <c r="R358" i="4"/>
  <c r="N358" i="4"/>
  <c r="T358" i="4"/>
  <c r="Y358" i="4"/>
  <c r="L358" i="4"/>
  <c r="S295" i="4"/>
  <c r="Q295" i="4"/>
  <c r="Z295" i="4"/>
  <c r="T295" i="4"/>
  <c r="R295" i="4"/>
  <c r="M295" i="4"/>
  <c r="Y295" i="4"/>
  <c r="O295" i="4"/>
  <c r="L295" i="4"/>
  <c r="U295" i="4"/>
  <c r="N295" i="4"/>
  <c r="S289" i="4"/>
  <c r="O289" i="4"/>
  <c r="T289" i="4"/>
  <c r="Z289" i="4"/>
  <c r="L289" i="4"/>
  <c r="R289" i="4"/>
  <c r="Y289" i="4"/>
  <c r="U289" i="4"/>
  <c r="N289" i="4"/>
  <c r="Q289" i="4"/>
  <c r="M289" i="4"/>
  <c r="U233" i="4"/>
  <c r="L233" i="4"/>
  <c r="T233" i="4"/>
  <c r="O233" i="4"/>
  <c r="Y233" i="4"/>
  <c r="M233" i="4"/>
  <c r="R233" i="4"/>
  <c r="N233" i="4"/>
  <c r="Z233" i="4"/>
  <c r="S233" i="4"/>
  <c r="Q233" i="4"/>
  <c r="L267" i="4"/>
  <c r="Y267" i="4"/>
  <c r="O267" i="4"/>
  <c r="Q267" i="4"/>
  <c r="T267" i="4"/>
  <c r="Z267" i="4"/>
  <c r="U267" i="4"/>
  <c r="R267" i="4"/>
  <c r="S267" i="4"/>
  <c r="N267" i="4"/>
  <c r="M267" i="4"/>
  <c r="S339" i="4"/>
  <c r="T339" i="4"/>
  <c r="U339" i="4"/>
  <c r="N339" i="4"/>
  <c r="R339" i="4"/>
  <c r="O339" i="4"/>
  <c r="L339" i="4"/>
  <c r="Z339" i="4"/>
  <c r="Y339" i="4"/>
  <c r="M339" i="4"/>
  <c r="Q339" i="4"/>
  <c r="U292" i="4"/>
  <c r="M292" i="4"/>
  <c r="O292" i="4"/>
  <c r="R292" i="4"/>
  <c r="N292" i="4"/>
  <c r="Z292" i="4"/>
  <c r="L292" i="4"/>
  <c r="Y292" i="4"/>
  <c r="T292" i="4"/>
  <c r="Q292" i="4"/>
  <c r="S292" i="4"/>
  <c r="U115" i="4"/>
  <c r="L115" i="4"/>
  <c r="M115" i="4"/>
  <c r="O115" i="4"/>
  <c r="Q115" i="4" s="1"/>
  <c r="Z115" i="4"/>
  <c r="Z116" i="4" s="1"/>
  <c r="Z117" i="4" s="1"/>
  <c r="Z118" i="4" s="1"/>
  <c r="Z119" i="4" s="1"/>
  <c r="Z120" i="4" s="1"/>
  <c r="Z121" i="4" s="1"/>
  <c r="Z122" i="4" s="1"/>
  <c r="N115" i="4"/>
  <c r="T244" i="4"/>
  <c r="Z244" i="4"/>
  <c r="O244" i="4"/>
  <c r="Q244" i="4"/>
  <c r="N244" i="4"/>
  <c r="L244" i="4"/>
  <c r="R244" i="4"/>
  <c r="U244" i="4"/>
  <c r="S244" i="4"/>
  <c r="Y244" i="4"/>
  <c r="M244" i="4"/>
  <c r="Y334" i="4"/>
  <c r="M334" i="4"/>
  <c r="U334" i="4"/>
  <c r="Q334" i="4"/>
  <c r="T334" i="4"/>
  <c r="L334" i="4"/>
  <c r="Z334" i="4"/>
  <c r="O334" i="4"/>
  <c r="N334" i="4"/>
  <c r="R334" i="4"/>
  <c r="S334" i="4"/>
  <c r="M342" i="4"/>
  <c r="O342" i="4"/>
  <c r="S342" i="4"/>
  <c r="N342" i="4"/>
  <c r="T342" i="4"/>
  <c r="U342" i="4"/>
  <c r="R342" i="4"/>
  <c r="Q342" i="4"/>
  <c r="Y342" i="4"/>
  <c r="Z342" i="4"/>
  <c r="L342" i="4"/>
  <c r="Z230" i="4"/>
  <c r="M230" i="4"/>
  <c r="N230" i="4"/>
  <c r="O230" i="4"/>
  <c r="Y230" i="4"/>
  <c r="S230" i="4"/>
  <c r="L230" i="4"/>
  <c r="T230" i="4"/>
  <c r="Q230" i="4"/>
  <c r="R230" i="4"/>
  <c r="U230" i="4"/>
  <c r="U303" i="4"/>
  <c r="Q303" i="4"/>
  <c r="N303" i="4"/>
  <c r="S303" i="4"/>
  <c r="M303" i="4"/>
  <c r="O303" i="4"/>
  <c r="T303" i="4"/>
  <c r="Z303" i="4"/>
  <c r="L303" i="4"/>
  <c r="R303" i="4"/>
  <c r="Y303" i="4"/>
  <c r="T348" i="4"/>
  <c r="U348" i="4"/>
  <c r="S348" i="4"/>
  <c r="N348" i="4"/>
  <c r="R348" i="4"/>
  <c r="Y348" i="4"/>
  <c r="O348" i="4"/>
  <c r="L348" i="4"/>
  <c r="Z348" i="4"/>
  <c r="M348" i="4"/>
  <c r="Q348" i="4"/>
  <c r="M165" i="4"/>
  <c r="O165" i="4"/>
  <c r="Z165" i="4"/>
  <c r="Y165" i="4"/>
  <c r="R165" i="4"/>
  <c r="T165" i="4"/>
  <c r="U165" i="4"/>
  <c r="L165" i="4"/>
  <c r="Q165" i="4"/>
  <c r="N165" i="4"/>
  <c r="S165" i="4"/>
  <c r="O356" i="4"/>
  <c r="Z356" i="4"/>
  <c r="M356" i="4"/>
  <c r="Y356" i="4"/>
  <c r="T356" i="4"/>
  <c r="S356" i="4"/>
  <c r="U356" i="4"/>
  <c r="R356" i="4"/>
  <c r="L356" i="4"/>
  <c r="Q356" i="4"/>
  <c r="N356" i="4"/>
  <c r="U143" i="4"/>
  <c r="O143" i="4"/>
  <c r="Q143" i="4"/>
  <c r="T143" i="4"/>
  <c r="N143" i="4"/>
  <c r="L143" i="4"/>
  <c r="S143" i="4"/>
  <c r="R143" i="4"/>
  <c r="M143" i="4"/>
  <c r="Z143" i="4"/>
  <c r="Y143" i="4"/>
  <c r="M300" i="4"/>
  <c r="Y300" i="4"/>
  <c r="U300" i="4"/>
  <c r="S300" i="4"/>
  <c r="T300" i="4"/>
  <c r="Z300" i="4"/>
  <c r="O300" i="4"/>
  <c r="N300" i="4"/>
  <c r="R300" i="4"/>
  <c r="L300" i="4"/>
  <c r="Q300" i="4"/>
  <c r="R372" i="4"/>
  <c r="N372" i="4"/>
  <c r="L372" i="4"/>
  <c r="U372" i="4"/>
  <c r="M372" i="4"/>
  <c r="Y372" i="4"/>
  <c r="Z372" i="4"/>
  <c r="Q372" i="4"/>
  <c r="O372" i="4"/>
  <c r="T372" i="4"/>
  <c r="S372" i="4"/>
  <c r="R228" i="4"/>
  <c r="O228" i="4"/>
  <c r="Y228" i="4"/>
  <c r="M228" i="4"/>
  <c r="Q228" i="4"/>
  <c r="T228" i="4"/>
  <c r="Z228" i="4"/>
  <c r="N228" i="4"/>
  <c r="S228" i="4"/>
  <c r="L228" i="4"/>
  <c r="U228" i="4"/>
  <c r="L360" i="4"/>
  <c r="S360" i="4"/>
  <c r="U360" i="4"/>
  <c r="R360" i="4"/>
  <c r="O360" i="4"/>
  <c r="Y360" i="4"/>
  <c r="T360" i="4"/>
  <c r="Q360" i="4"/>
  <c r="M360" i="4"/>
  <c r="Z360" i="4"/>
  <c r="N360" i="4"/>
  <c r="O374" i="4"/>
  <c r="S374" i="4"/>
  <c r="Y374" i="4"/>
  <c r="T374" i="4"/>
  <c r="Z374" i="4"/>
  <c r="N374" i="4"/>
  <c r="L374" i="4"/>
  <c r="U374" i="4"/>
  <c r="R374" i="4"/>
  <c r="M374" i="4"/>
  <c r="Q374" i="4"/>
  <c r="Y222" i="4"/>
  <c r="O222" i="4"/>
  <c r="L222" i="4"/>
  <c r="S222" i="4"/>
  <c r="T222" i="4"/>
  <c r="Z222" i="4"/>
  <c r="R222" i="4"/>
  <c r="U222" i="4"/>
  <c r="N222" i="4"/>
  <c r="M222" i="4"/>
  <c r="Q222" i="4"/>
  <c r="S245" i="4"/>
  <c r="Y245" i="4"/>
  <c r="O245" i="4"/>
  <c r="M245" i="4"/>
  <c r="R245" i="4"/>
  <c r="Z245" i="4"/>
  <c r="T245" i="4"/>
  <c r="Q245" i="4"/>
  <c r="U245" i="4"/>
  <c r="L245" i="4"/>
  <c r="N245" i="4"/>
  <c r="M290" i="4"/>
  <c r="Y290" i="4"/>
  <c r="N290" i="4"/>
  <c r="L290" i="4"/>
  <c r="S290" i="4"/>
  <c r="Q290" i="4"/>
  <c r="T290" i="4"/>
  <c r="U290" i="4"/>
  <c r="R290" i="4"/>
  <c r="Z290" i="4"/>
  <c r="O290" i="4"/>
  <c r="Y246" i="4"/>
  <c r="R246" i="4"/>
  <c r="U246" i="4"/>
  <c r="Q246" i="4"/>
  <c r="O246" i="4"/>
  <c r="S246" i="4"/>
  <c r="T246" i="4"/>
  <c r="N246" i="4"/>
  <c r="Z246" i="4"/>
  <c r="L246" i="4"/>
  <c r="M246" i="4"/>
  <c r="T283" i="4"/>
  <c r="Q283" i="4"/>
  <c r="U283" i="4"/>
  <c r="M283" i="4"/>
  <c r="S283" i="4"/>
  <c r="O283" i="4"/>
  <c r="R283" i="4"/>
  <c r="Z283" i="4"/>
  <c r="N283" i="4"/>
  <c r="Y283" i="4"/>
  <c r="L283" i="4"/>
  <c r="M254" i="4"/>
  <c r="N254" i="4"/>
  <c r="T254" i="4"/>
  <c r="S254" i="4"/>
  <c r="R254" i="4"/>
  <c r="U254" i="4"/>
  <c r="O254" i="4"/>
  <c r="Y254" i="4"/>
  <c r="L254" i="4"/>
  <c r="Q254" i="4"/>
  <c r="Z254" i="4"/>
  <c r="L294" i="4"/>
  <c r="O294" i="4"/>
  <c r="T294" i="4"/>
  <c r="S294" i="4"/>
  <c r="M294" i="4"/>
  <c r="N294" i="4"/>
  <c r="Y294" i="4"/>
  <c r="R294" i="4"/>
  <c r="Z294" i="4"/>
  <c r="U294" i="4"/>
  <c r="Q294" i="4"/>
  <c r="T350" i="4"/>
  <c r="Z350" i="4"/>
  <c r="L350" i="4"/>
  <c r="U350" i="4"/>
  <c r="Q350" i="4"/>
  <c r="M350" i="4"/>
  <c r="Y350" i="4"/>
  <c r="N350" i="4"/>
  <c r="R350" i="4"/>
  <c r="S350" i="4" s="1"/>
  <c r="O350" i="4"/>
  <c r="O200" i="4"/>
  <c r="L200" i="4"/>
  <c r="Y200" i="4"/>
  <c r="Q200" i="4"/>
  <c r="N200" i="4"/>
  <c r="T200" i="4"/>
  <c r="U200" i="4"/>
  <c r="R200" i="4"/>
  <c r="Z200" i="4"/>
  <c r="S200" i="4"/>
  <c r="M200" i="4"/>
  <c r="L260" i="4"/>
  <c r="Z260" i="4"/>
  <c r="N260" i="4"/>
  <c r="U260" i="4"/>
  <c r="R260" i="4"/>
  <c r="Q260" i="4"/>
  <c r="M260" i="4"/>
  <c r="O260" i="4"/>
  <c r="S260" i="4"/>
  <c r="Y260" i="4"/>
  <c r="T260" i="4"/>
  <c r="Y232" i="4"/>
  <c r="Z232" i="4"/>
  <c r="T232" i="4"/>
  <c r="L232" i="4"/>
  <c r="Q232" i="4"/>
  <c r="R232" i="4"/>
  <c r="N232" i="4"/>
  <c r="S232" i="4"/>
  <c r="U232" i="4"/>
  <c r="O232" i="4"/>
  <c r="M232" i="4"/>
  <c r="M257" i="4"/>
  <c r="O257" i="4"/>
  <c r="R257" i="4"/>
  <c r="S257" i="4"/>
  <c r="Z257" i="4"/>
  <c r="N257" i="4"/>
  <c r="Q257" i="4"/>
  <c r="U257" i="4"/>
  <c r="T257" i="4"/>
  <c r="L257" i="4"/>
  <c r="Y257" i="4"/>
  <c r="T277" i="4"/>
  <c r="Q277" i="4"/>
  <c r="Y277" i="4"/>
  <c r="U277" i="4"/>
  <c r="R277" i="4"/>
  <c r="S277" i="4"/>
  <c r="O277" i="4"/>
  <c r="Z277" i="4"/>
  <c r="L277" i="4"/>
  <c r="M277" i="4"/>
  <c r="N277" i="4"/>
  <c r="U259" i="4"/>
  <c r="S259" i="4"/>
  <c r="O259" i="4"/>
  <c r="L259" i="4"/>
  <c r="Z259" i="4"/>
  <c r="Q259" i="4"/>
  <c r="N259" i="4"/>
  <c r="T259" i="4"/>
  <c r="R259" i="4"/>
  <c r="Y259" i="4"/>
  <c r="M259" i="4"/>
  <c r="T362" i="4"/>
  <c r="Q362" i="4"/>
  <c r="N362" i="4"/>
  <c r="L362" i="4"/>
  <c r="Z362" i="4"/>
  <c r="M362" i="4"/>
  <c r="O362" i="4"/>
  <c r="S362" i="4"/>
  <c r="Y362" i="4"/>
  <c r="U362" i="4"/>
  <c r="R362" i="4"/>
  <c r="O282" i="4"/>
  <c r="M282" i="4"/>
  <c r="R282" i="4"/>
  <c r="U282" i="4"/>
  <c r="T282" i="4"/>
  <c r="Q282" i="4"/>
  <c r="Z282" i="4"/>
  <c r="S282" i="4"/>
  <c r="L282" i="4"/>
  <c r="N282" i="4"/>
  <c r="Y282" i="4"/>
  <c r="Z305" i="4"/>
  <c r="T305" i="4"/>
  <c r="Q305" i="4"/>
  <c r="Y305" i="4"/>
  <c r="L305" i="4"/>
  <c r="U305" i="4"/>
  <c r="O305" i="4"/>
  <c r="M305" i="4"/>
  <c r="R305" i="4"/>
  <c r="S305" i="4"/>
  <c r="N305" i="4"/>
  <c r="L251" i="4"/>
  <c r="U251" i="4"/>
  <c r="O251" i="4"/>
  <c r="M251" i="4"/>
  <c r="R251" i="4"/>
  <c r="Q251" i="4"/>
  <c r="N251" i="4"/>
  <c r="T251" i="4"/>
  <c r="Z251" i="4"/>
  <c r="Y251" i="4"/>
  <c r="S251" i="4"/>
  <c r="L223" i="4"/>
  <c r="Z223" i="4"/>
  <c r="Z224" i="4" s="1"/>
  <c r="Z225" i="4" s="1"/>
  <c r="Z226" i="4" s="1"/>
  <c r="Z227" i="4" s="1"/>
  <c r="M223" i="4"/>
  <c r="N223" i="4"/>
  <c r="U223" i="4"/>
  <c r="O223" i="4"/>
  <c r="Q223" i="4" s="1"/>
  <c r="N252" i="4"/>
  <c r="S252" i="4"/>
  <c r="R252" i="4"/>
  <c r="M252" i="4"/>
  <c r="Y252" i="4"/>
  <c r="L252" i="4"/>
  <c r="Z252" i="4"/>
  <c r="Q252" i="4"/>
  <c r="T252" i="4"/>
  <c r="U252" i="4"/>
  <c r="O252" i="4"/>
  <c r="U301" i="4"/>
  <c r="O301" i="4"/>
  <c r="Y301" i="4"/>
  <c r="T301" i="4"/>
  <c r="L301" i="4"/>
  <c r="Q301" i="4"/>
  <c r="R301" i="4"/>
  <c r="M301" i="4"/>
  <c r="Z301" i="4"/>
  <c r="S301" i="4"/>
  <c r="N301" i="4"/>
  <c r="N319" i="4"/>
  <c r="U319" i="4"/>
  <c r="Q319" i="4"/>
  <c r="Z319" i="4"/>
  <c r="Y319" i="4"/>
  <c r="M319" i="4"/>
  <c r="T319" i="4"/>
  <c r="O319" i="4"/>
  <c r="R319" i="4"/>
  <c r="S319" i="4"/>
  <c r="L319" i="4"/>
  <c r="M343" i="4"/>
  <c r="O343" i="4"/>
  <c r="N343" i="4"/>
  <c r="S343" i="4"/>
  <c r="Q343" i="4"/>
  <c r="R343" i="4"/>
  <c r="T343" i="4"/>
  <c r="L343" i="4"/>
  <c r="U343" i="4"/>
  <c r="Y343" i="4"/>
  <c r="Z343" i="4"/>
  <c r="U308" i="4"/>
  <c r="T308" i="4"/>
  <c r="Y308" i="4"/>
  <c r="L308" i="4"/>
  <c r="Z308" i="4"/>
  <c r="O308" i="4"/>
  <c r="R308" i="4"/>
  <c r="S308" i="4"/>
  <c r="Q308" i="4"/>
  <c r="N308" i="4"/>
  <c r="M308" i="4"/>
  <c r="N234" i="4"/>
  <c r="Y234" i="4"/>
  <c r="T234" i="4"/>
  <c r="Z234" i="4"/>
  <c r="L234" i="4"/>
  <c r="Q234" i="4"/>
  <c r="M234" i="4"/>
  <c r="S234" i="4"/>
  <c r="U234" i="4"/>
  <c r="R234" i="4"/>
  <c r="O234" i="4"/>
  <c r="M278" i="4"/>
  <c r="U278" i="4"/>
  <c r="T278" i="4"/>
  <c r="Q278" i="4"/>
  <c r="S278" i="4"/>
  <c r="Z278" i="4"/>
  <c r="L278" i="4"/>
  <c r="N278" i="4"/>
  <c r="O278" i="4"/>
  <c r="Y278" i="4"/>
  <c r="R278" i="4"/>
  <c r="U218" i="4"/>
  <c r="Z218" i="4"/>
  <c r="Z219" i="4" s="1"/>
  <c r="Z220" i="4" s="1"/>
  <c r="Z221" i="4" s="1"/>
  <c r="O218" i="4"/>
  <c r="Q218" i="4" s="1"/>
  <c r="L218" i="4"/>
  <c r="M218" i="4"/>
  <c r="N218" i="4"/>
  <c r="R255" i="4"/>
  <c r="T255" i="4"/>
  <c r="Z255" i="4"/>
  <c r="Y255" i="4"/>
  <c r="Q255" i="4"/>
  <c r="M255" i="4"/>
  <c r="N255" i="4"/>
  <c r="S255" i="4"/>
  <c r="U255" i="4"/>
  <c r="L255" i="4"/>
  <c r="O255" i="4"/>
  <c r="S363" i="4"/>
  <c r="T363" i="4"/>
  <c r="Q363" i="4"/>
  <c r="Y363" i="4"/>
  <c r="L363" i="4"/>
  <c r="R363" i="4"/>
  <c r="N363" i="4"/>
  <c r="O363" i="4"/>
  <c r="U363" i="4"/>
  <c r="M363" i="4"/>
  <c r="Z363" i="4"/>
  <c r="Q236" i="4"/>
  <c r="O236" i="4"/>
  <c r="M236" i="4"/>
  <c r="N236" i="4"/>
  <c r="T236" i="4"/>
  <c r="L236" i="4"/>
  <c r="Y236" i="4"/>
  <c r="S236" i="4"/>
  <c r="Z236" i="4"/>
  <c r="R236" i="4"/>
  <c r="U236" i="4"/>
  <c r="O237" i="4"/>
  <c r="Y237" i="4"/>
  <c r="Z237" i="4"/>
  <c r="U237" i="4"/>
  <c r="N237" i="4"/>
  <c r="L237" i="4"/>
  <c r="S237" i="4"/>
  <c r="T237" i="4"/>
  <c r="M237" i="4"/>
  <c r="Q237" i="4"/>
  <c r="R237" i="4"/>
  <c r="R268" i="4"/>
  <c r="S268" i="4"/>
  <c r="L268" i="4"/>
  <c r="M268" i="4"/>
  <c r="Y268" i="4"/>
  <c r="Z268" i="4"/>
  <c r="T268" i="4"/>
  <c r="Q268" i="4"/>
  <c r="N268" i="4"/>
  <c r="O268" i="4"/>
  <c r="U268" i="4"/>
  <c r="M306" i="4"/>
  <c r="U306" i="4"/>
  <c r="T306" i="4"/>
  <c r="Z306" i="4"/>
  <c r="Q306" i="4"/>
  <c r="O306" i="4"/>
  <c r="L306" i="4"/>
  <c r="Y306" i="4"/>
  <c r="N306" i="4"/>
  <c r="S306" i="4"/>
  <c r="R306" i="4"/>
  <c r="U5" i="8"/>
  <c r="N5" i="8"/>
  <c r="L5" i="8"/>
  <c r="O5" i="8"/>
  <c r="Q5" i="8" s="1"/>
  <c r="M5" i="8"/>
  <c r="P5" i="8"/>
  <c r="K5" i="8"/>
  <c r="X20" i="3"/>
  <c r="V20" i="3"/>
  <c r="W20" i="3" s="1"/>
  <c r="X51" i="3"/>
  <c r="V51" i="3"/>
  <c r="X66" i="3"/>
  <c r="V66" i="3"/>
  <c r="X56" i="3"/>
  <c r="V56" i="3"/>
  <c r="X4" i="3"/>
  <c r="V4" i="3"/>
  <c r="V13" i="3"/>
  <c r="W13" i="3" s="1"/>
  <c r="X13" i="3"/>
  <c r="V32" i="3"/>
  <c r="X32" i="3"/>
  <c r="X65" i="3"/>
  <c r="V65" i="3"/>
  <c r="W65" i="3" s="1"/>
  <c r="V14" i="3"/>
  <c r="X14" i="3"/>
  <c r="V16" i="3"/>
  <c r="X16" i="3"/>
  <c r="X72" i="3"/>
  <c r="V72" i="3"/>
  <c r="W72" i="3" s="1"/>
  <c r="V31" i="3"/>
  <c r="W31" i="3" s="1"/>
  <c r="X31" i="3"/>
  <c r="X42" i="3"/>
  <c r="V42" i="3"/>
  <c r="X3" i="8"/>
  <c r="V3" i="8"/>
  <c r="V3" i="5"/>
  <c r="X3" i="5"/>
  <c r="X103" i="4"/>
  <c r="V103" i="4"/>
  <c r="W103" i="4" s="1"/>
  <c r="X10" i="4"/>
  <c r="V10" i="4"/>
  <c r="W10" i="4" s="1"/>
  <c r="J10" i="4" s="1"/>
  <c r="X37" i="4"/>
  <c r="V37" i="4"/>
  <c r="W37" i="4" s="1"/>
  <c r="J37" i="4" s="1"/>
  <c r="X36" i="4"/>
  <c r="V36" i="4"/>
  <c r="W36" i="4" s="1"/>
  <c r="V90" i="4"/>
  <c r="W90" i="4" s="1"/>
  <c r="J90" i="4" s="1"/>
  <c r="X90" i="4"/>
  <c r="X20" i="4"/>
  <c r="V20" i="4"/>
  <c r="W20" i="4" s="1"/>
  <c r="J20" i="4" s="1"/>
  <c r="X38" i="4"/>
  <c r="V38" i="4"/>
  <c r="W38" i="4" s="1"/>
  <c r="J38" i="4" s="1"/>
  <c r="X74" i="4"/>
  <c r="V74" i="4"/>
  <c r="W74" i="4" s="1"/>
  <c r="J74" i="4" s="1"/>
  <c r="X26" i="4"/>
  <c r="V26" i="4"/>
  <c r="W26" i="4" s="1"/>
  <c r="J26" i="4" s="1"/>
  <c r="X29" i="4"/>
  <c r="V29" i="4"/>
  <c r="W29" i="4" s="1"/>
  <c r="X52" i="4"/>
  <c r="V52" i="4"/>
  <c r="W52" i="4" s="1"/>
  <c r="J52" i="4" s="1"/>
  <c r="V19" i="4"/>
  <c r="W19" i="4" s="1"/>
  <c r="X19" i="4"/>
  <c r="V9" i="4"/>
  <c r="W9" i="4" s="1"/>
  <c r="X9" i="4"/>
  <c r="V84" i="4"/>
  <c r="W84" i="4" s="1"/>
  <c r="J84" i="4" s="1"/>
  <c r="X84" i="4"/>
  <c r="X4" i="4"/>
  <c r="V4" i="4"/>
  <c r="W4" i="4" s="1"/>
  <c r="J4" i="4" s="1"/>
  <c r="X93" i="4"/>
  <c r="V93" i="4"/>
  <c r="W93" i="4" s="1"/>
  <c r="J93" i="4" s="1"/>
  <c r="V11" i="6"/>
  <c r="W11" i="6" s="1"/>
  <c r="X11" i="6"/>
  <c r="V27" i="3"/>
  <c r="X27" i="3"/>
  <c r="V52" i="3"/>
  <c r="X52" i="3"/>
  <c r="V67" i="3"/>
  <c r="X67" i="3"/>
  <c r="V5" i="3"/>
  <c r="X5" i="3"/>
  <c r="X23" i="3"/>
  <c r="V23" i="3"/>
  <c r="V58" i="3"/>
  <c r="X58" i="3"/>
  <c r="V33" i="3"/>
  <c r="X33" i="3"/>
  <c r="V43" i="3"/>
  <c r="X43" i="3"/>
  <c r="V91" i="4"/>
  <c r="W91" i="4" s="1"/>
  <c r="J91" i="4" s="1"/>
  <c r="X91" i="4"/>
  <c r="X21" i="4"/>
  <c r="V21" i="4"/>
  <c r="W21" i="4" s="1"/>
  <c r="J21" i="4" s="1"/>
  <c r="X31" i="4"/>
  <c r="V31" i="4"/>
  <c r="W31" i="4" s="1"/>
  <c r="J31" i="4" s="1"/>
  <c r="X65" i="4"/>
  <c r="V65" i="4"/>
  <c r="W65" i="4" s="1"/>
  <c r="J65" i="4" s="1"/>
  <c r="X47" i="4"/>
  <c r="V47" i="4"/>
  <c r="W47" i="4" s="1"/>
  <c r="J47" i="4" s="1"/>
  <c r="X39" i="4"/>
  <c r="V39" i="4"/>
  <c r="W39" i="4" s="1"/>
  <c r="J39" i="4" s="1"/>
  <c r="V75" i="4"/>
  <c r="W75" i="4" s="1"/>
  <c r="J75" i="4" s="1"/>
  <c r="X75" i="4"/>
  <c r="X27" i="4"/>
  <c r="V27" i="4"/>
  <c r="W27" i="4" s="1"/>
  <c r="J27" i="4" s="1"/>
  <c r="V53" i="4"/>
  <c r="W53" i="4" s="1"/>
  <c r="J53" i="4" s="1"/>
  <c r="X53" i="4"/>
  <c r="X81" i="4"/>
  <c r="V81" i="4"/>
  <c r="W81" i="4" s="1"/>
  <c r="J81" i="4" s="1"/>
  <c r="V16" i="4"/>
  <c r="W16" i="4" s="1"/>
  <c r="J16" i="4" s="1"/>
  <c r="X16" i="4"/>
  <c r="V94" i="4"/>
  <c r="W94" i="4" s="1"/>
  <c r="J94" i="4" s="1"/>
  <c r="X94" i="4"/>
  <c r="V24" i="3"/>
  <c r="X24" i="3"/>
  <c r="X59" i="3"/>
  <c r="V59" i="3"/>
  <c r="V12" i="4"/>
  <c r="W12" i="4" s="1"/>
  <c r="J12" i="4" s="1"/>
  <c r="X12" i="4"/>
  <c r="X22" i="4"/>
  <c r="V22" i="4"/>
  <c r="W22" i="4" s="1"/>
  <c r="J22" i="4" s="1"/>
  <c r="X48" i="4"/>
  <c r="V48" i="4"/>
  <c r="W48" i="4" s="1"/>
  <c r="J48" i="4" s="1"/>
  <c r="V40" i="4"/>
  <c r="W40" i="4" s="1"/>
  <c r="J40" i="4" s="1"/>
  <c r="X40" i="4"/>
  <c r="V86" i="4"/>
  <c r="W86" i="4" s="1"/>
  <c r="J86" i="4" s="1"/>
  <c r="X86" i="4"/>
  <c r="X17" i="4"/>
  <c r="V17" i="4"/>
  <c r="W17" i="4" s="1"/>
  <c r="J17" i="4" s="1"/>
  <c r="V6" i="4"/>
  <c r="W6" i="4" s="1"/>
  <c r="J6" i="4" s="1"/>
  <c r="X6" i="4"/>
  <c r="V95" i="4"/>
  <c r="W95" i="4" s="1"/>
  <c r="J95" i="4" s="1"/>
  <c r="X95" i="4"/>
  <c r="X6" i="6"/>
  <c r="V6" i="6"/>
  <c r="X54" i="3"/>
  <c r="V54" i="3"/>
  <c r="V60" i="3"/>
  <c r="X60" i="3"/>
  <c r="X35" i="3"/>
  <c r="V35" i="3"/>
  <c r="V45" i="3"/>
  <c r="X45" i="3"/>
  <c r="V13" i="4"/>
  <c r="W13" i="4" s="1"/>
  <c r="J13" i="4" s="1"/>
  <c r="X13" i="4"/>
  <c r="V77" i="4"/>
  <c r="W77" i="4" s="1"/>
  <c r="J77" i="4" s="1"/>
  <c r="X77" i="4"/>
  <c r="V18" i="4"/>
  <c r="W18" i="4" s="1"/>
  <c r="J18" i="4" s="1"/>
  <c r="X18" i="4"/>
  <c r="V96" i="4"/>
  <c r="W96" i="4" s="1"/>
  <c r="J96" i="4" s="1"/>
  <c r="X96" i="4"/>
  <c r="V7" i="6"/>
  <c r="X7" i="6"/>
  <c r="V8" i="3"/>
  <c r="X8" i="3"/>
  <c r="X36" i="3"/>
  <c r="V36" i="3"/>
  <c r="X46" i="3"/>
  <c r="V46" i="3"/>
  <c r="V34" i="4"/>
  <c r="W34" i="4" s="1"/>
  <c r="J34" i="4" s="1"/>
  <c r="X34" i="4"/>
  <c r="V50" i="4"/>
  <c r="W50" i="4" s="1"/>
  <c r="J50" i="4" s="1"/>
  <c r="X50" i="4"/>
  <c r="V56" i="4"/>
  <c r="W56" i="4" s="1"/>
  <c r="J56" i="4" s="1"/>
  <c r="X56" i="4"/>
  <c r="X8" i="4"/>
  <c r="V8" i="4"/>
  <c r="W8" i="4" s="1"/>
  <c r="J8" i="4" s="1"/>
  <c r="V71" i="3"/>
  <c r="X71" i="3"/>
  <c r="V62" i="3"/>
  <c r="X62" i="3"/>
  <c r="X37" i="3"/>
  <c r="V37" i="3"/>
  <c r="X47" i="3"/>
  <c r="V47" i="3"/>
  <c r="V43" i="4"/>
  <c r="W43" i="4" s="1"/>
  <c r="J43" i="4" s="1"/>
  <c r="X43" i="4"/>
  <c r="X10" i="3"/>
  <c r="V10" i="3"/>
  <c r="X63" i="3"/>
  <c r="V63" i="3"/>
  <c r="V48" i="3"/>
  <c r="X48" i="3"/>
  <c r="X70" i="4"/>
  <c r="V70" i="4"/>
  <c r="W70" i="4" s="1"/>
  <c r="J70" i="4" s="1"/>
  <c r="X58" i="4"/>
  <c r="V58" i="4"/>
  <c r="W58" i="4" s="1"/>
  <c r="J58" i="4" s="1"/>
  <c r="V99" i="4"/>
  <c r="W99" i="4" s="1"/>
  <c r="J99" i="4" s="1"/>
  <c r="X99" i="4"/>
  <c r="X39" i="3"/>
  <c r="V39" i="3"/>
  <c r="X49" i="3"/>
  <c r="V49" i="3"/>
  <c r="V71" i="4"/>
  <c r="W71" i="4" s="1"/>
  <c r="J71" i="4" s="1"/>
  <c r="X71" i="4"/>
  <c r="V59" i="4"/>
  <c r="W59" i="4" s="1"/>
  <c r="J59" i="4" s="1"/>
  <c r="X59" i="4"/>
  <c r="X12" i="3"/>
  <c r="V12" i="3"/>
  <c r="V25" i="3"/>
  <c r="W25" i="3" s="1"/>
  <c r="X25" i="3"/>
  <c r="X26" i="3"/>
  <c r="V26" i="3"/>
  <c r="V21" i="3"/>
  <c r="X21" i="3"/>
  <c r="V41" i="3"/>
  <c r="W41" i="3" s="1"/>
  <c r="X41" i="3"/>
  <c r="X15" i="3"/>
  <c r="V15" i="3"/>
  <c r="W15" i="3" s="1"/>
  <c r="V55" i="3"/>
  <c r="W55" i="3" s="1"/>
  <c r="X55" i="3"/>
  <c r="V22" i="3"/>
  <c r="X22" i="3"/>
  <c r="V57" i="3"/>
  <c r="X57" i="3"/>
  <c r="V50" i="3"/>
  <c r="W50" i="3" s="1"/>
  <c r="X50" i="3"/>
  <c r="X4" i="8"/>
  <c r="V4" i="8"/>
  <c r="W4" i="8" s="1"/>
  <c r="X5" i="5"/>
  <c r="V5" i="5"/>
  <c r="W5" i="5" s="1"/>
  <c r="V45" i="4"/>
  <c r="W45" i="4" s="1"/>
  <c r="J45" i="4" s="1"/>
  <c r="X45" i="4"/>
  <c r="V44" i="4"/>
  <c r="W44" i="4" s="1"/>
  <c r="X44" i="4"/>
  <c r="V89" i="4"/>
  <c r="W89" i="4" s="1"/>
  <c r="X89" i="4"/>
  <c r="X83" i="4"/>
  <c r="V83" i="4"/>
  <c r="W83" i="4" s="1"/>
  <c r="V73" i="4"/>
  <c r="W73" i="4" s="1"/>
  <c r="J73" i="4" s="1"/>
  <c r="X73" i="4"/>
  <c r="X30" i="4"/>
  <c r="V30" i="4"/>
  <c r="W30" i="4" s="1"/>
  <c r="J30" i="4" s="1"/>
  <c r="X64" i="4"/>
  <c r="V64" i="4"/>
  <c r="W64" i="4" s="1"/>
  <c r="J64" i="4" s="1"/>
  <c r="V25" i="4"/>
  <c r="W25" i="4" s="1"/>
  <c r="J25" i="4" s="1"/>
  <c r="X25" i="4"/>
  <c r="X46" i="4"/>
  <c r="V46" i="4"/>
  <c r="W46" i="4" s="1"/>
  <c r="J46" i="4" s="1"/>
  <c r="V14" i="4"/>
  <c r="W14" i="4" s="1"/>
  <c r="X14" i="4"/>
  <c r="X72" i="4"/>
  <c r="V72" i="4"/>
  <c r="W72" i="4" s="1"/>
  <c r="X24" i="4"/>
  <c r="V24" i="4"/>
  <c r="W24" i="4" s="1"/>
  <c r="X51" i="4"/>
  <c r="V51" i="4"/>
  <c r="W51" i="4" s="1"/>
  <c r="X80" i="4"/>
  <c r="V80" i="4"/>
  <c r="W80" i="4" s="1"/>
  <c r="J80" i="4" s="1"/>
  <c r="V15" i="4"/>
  <c r="W15" i="4" s="1"/>
  <c r="J15" i="4" s="1"/>
  <c r="X15" i="4"/>
  <c r="X63" i="4"/>
  <c r="V63" i="4"/>
  <c r="W63" i="4" s="1"/>
  <c r="V79" i="4"/>
  <c r="W79" i="4" s="1"/>
  <c r="X79" i="4"/>
  <c r="X92" i="4"/>
  <c r="V92" i="4"/>
  <c r="W92" i="4" s="1"/>
  <c r="X3" i="6"/>
  <c r="V3" i="6"/>
  <c r="X4" i="6"/>
  <c r="V4" i="6"/>
  <c r="V17" i="3"/>
  <c r="X17" i="3"/>
  <c r="V4" i="5"/>
  <c r="X4" i="5"/>
  <c r="V11" i="4"/>
  <c r="W11" i="4" s="1"/>
  <c r="J11" i="4" s="1"/>
  <c r="X11" i="4"/>
  <c r="X85" i="4"/>
  <c r="V85" i="4"/>
  <c r="W85" i="4" s="1"/>
  <c r="J85" i="4" s="1"/>
  <c r="V5" i="4"/>
  <c r="W5" i="4" s="1"/>
  <c r="J5" i="4" s="1"/>
  <c r="X5" i="4"/>
  <c r="V5" i="6"/>
  <c r="X5" i="6"/>
  <c r="V28" i="3"/>
  <c r="X28" i="3"/>
  <c r="V53" i="3"/>
  <c r="X53" i="3"/>
  <c r="V68" i="3"/>
  <c r="X68" i="3"/>
  <c r="V6" i="3"/>
  <c r="X6" i="3"/>
  <c r="X34" i="3"/>
  <c r="V34" i="3"/>
  <c r="X18" i="3"/>
  <c r="V18" i="3"/>
  <c r="X44" i="3"/>
  <c r="V44" i="3"/>
  <c r="X32" i="4"/>
  <c r="V32" i="4"/>
  <c r="W32" i="4" s="1"/>
  <c r="J32" i="4" s="1"/>
  <c r="V66" i="4"/>
  <c r="W66" i="4" s="1"/>
  <c r="J66" i="4" s="1"/>
  <c r="X66" i="4"/>
  <c r="V76" i="4"/>
  <c r="W76" i="4" s="1"/>
  <c r="J76" i="4" s="1"/>
  <c r="X76" i="4"/>
  <c r="X28" i="4"/>
  <c r="V28" i="4"/>
  <c r="W28" i="4" s="1"/>
  <c r="J28" i="4" s="1"/>
  <c r="V54" i="4"/>
  <c r="W54" i="4" s="1"/>
  <c r="J54" i="4" s="1"/>
  <c r="X54" i="4"/>
  <c r="X82" i="4"/>
  <c r="V82" i="4"/>
  <c r="W82" i="4" s="1"/>
  <c r="J82" i="4" s="1"/>
  <c r="V29" i="3"/>
  <c r="X29" i="3"/>
  <c r="X69" i="3"/>
  <c r="V69" i="3"/>
  <c r="V7" i="3"/>
  <c r="X7" i="3"/>
  <c r="V19" i="3"/>
  <c r="X19" i="3"/>
  <c r="V23" i="4"/>
  <c r="W23" i="4" s="1"/>
  <c r="J23" i="4" s="1"/>
  <c r="X23" i="4"/>
  <c r="X33" i="4"/>
  <c r="V33" i="4"/>
  <c r="W33" i="4" s="1"/>
  <c r="J33" i="4" s="1"/>
  <c r="X67" i="4"/>
  <c r="V67" i="4"/>
  <c r="W67" i="4" s="1"/>
  <c r="J67" i="4" s="1"/>
  <c r="V49" i="4"/>
  <c r="W49" i="4" s="1"/>
  <c r="J49" i="4" s="1"/>
  <c r="X49" i="4"/>
  <c r="X41" i="4"/>
  <c r="V41" i="4"/>
  <c r="W41" i="4" s="1"/>
  <c r="J41" i="4" s="1"/>
  <c r="V55" i="4"/>
  <c r="W55" i="4" s="1"/>
  <c r="J55" i="4" s="1"/>
  <c r="X55" i="4"/>
  <c r="V87" i="4"/>
  <c r="W87" i="4" s="1"/>
  <c r="J87" i="4" s="1"/>
  <c r="X87" i="4"/>
  <c r="X7" i="4"/>
  <c r="V7" i="4"/>
  <c r="W7" i="4" s="1"/>
  <c r="J7" i="4" s="1"/>
  <c r="X30" i="3"/>
  <c r="V30" i="3"/>
  <c r="V70" i="3"/>
  <c r="X70" i="3"/>
  <c r="X61" i="3"/>
  <c r="V61" i="3"/>
  <c r="V68" i="4"/>
  <c r="W68" i="4" s="1"/>
  <c r="J68" i="4" s="1"/>
  <c r="X68" i="4"/>
  <c r="V42" i="4"/>
  <c r="W42" i="4" s="1"/>
  <c r="J42" i="4" s="1"/>
  <c r="X42" i="4"/>
  <c r="V78" i="4"/>
  <c r="W78" i="4" s="1"/>
  <c r="J78" i="4" s="1"/>
  <c r="X78" i="4"/>
  <c r="X88" i="4"/>
  <c r="V88" i="4"/>
  <c r="W88" i="4" s="1"/>
  <c r="J88" i="4" s="1"/>
  <c r="X97" i="4"/>
  <c r="V97" i="4"/>
  <c r="W97" i="4" s="1"/>
  <c r="J97" i="4" s="1"/>
  <c r="X8" i="6"/>
  <c r="V8" i="6"/>
  <c r="V9" i="3"/>
  <c r="X9" i="3"/>
  <c r="V35" i="4"/>
  <c r="W35" i="4" s="1"/>
  <c r="J35" i="4" s="1"/>
  <c r="X35" i="4"/>
  <c r="V69" i="4"/>
  <c r="W69" i="4" s="1"/>
  <c r="J69" i="4" s="1"/>
  <c r="X69" i="4"/>
  <c r="X57" i="4"/>
  <c r="V57" i="4"/>
  <c r="W57" i="4" s="1"/>
  <c r="J57" i="4" s="1"/>
  <c r="V98" i="4"/>
  <c r="W98" i="4" s="1"/>
  <c r="J98" i="4" s="1"/>
  <c r="X98" i="4"/>
  <c r="V9" i="6"/>
  <c r="X9" i="6"/>
  <c r="X38" i="3"/>
  <c r="V38" i="3"/>
  <c r="X10" i="6"/>
  <c r="V10" i="6"/>
  <c r="V11" i="3"/>
  <c r="X11" i="3"/>
  <c r="V64" i="3"/>
  <c r="X64" i="3"/>
  <c r="X100" i="4"/>
  <c r="V100" i="4"/>
  <c r="W100" i="4" s="1"/>
  <c r="J100" i="4" s="1"/>
  <c r="X40" i="3"/>
  <c r="V40" i="3"/>
  <c r="X60" i="4"/>
  <c r="V60" i="4"/>
  <c r="W60" i="4" s="1"/>
  <c r="J60" i="4" s="1"/>
  <c r="V101" i="4"/>
  <c r="W101" i="4" s="1"/>
  <c r="J101" i="4" s="1"/>
  <c r="X101" i="4"/>
  <c r="V61" i="4"/>
  <c r="W61" i="4" s="1"/>
  <c r="J61" i="4" s="1"/>
  <c r="X61" i="4"/>
  <c r="X102" i="4"/>
  <c r="V102" i="4"/>
  <c r="W102" i="4" s="1"/>
  <c r="J102" i="4" s="1"/>
  <c r="V62" i="4"/>
  <c r="W62" i="4" s="1"/>
  <c r="J62" i="4" s="1"/>
  <c r="X62" i="4"/>
  <c r="T144" i="3"/>
  <c r="T143" i="3"/>
  <c r="T95" i="3"/>
  <c r="T142" i="4"/>
  <c r="T141" i="4"/>
  <c r="T152" i="3"/>
  <c r="T190" i="4"/>
  <c r="T131" i="4"/>
  <c r="T207" i="4"/>
  <c r="T163" i="4"/>
  <c r="T130" i="4"/>
  <c r="T206" i="4"/>
  <c r="T204" i="3"/>
  <c r="T118" i="3"/>
  <c r="T125" i="3"/>
  <c r="T138" i="3"/>
  <c r="T212" i="3"/>
  <c r="T110" i="3"/>
  <c r="T90" i="3"/>
  <c r="T222" i="3"/>
  <c r="T187" i="3"/>
  <c r="T150" i="3"/>
  <c r="T188" i="4"/>
  <c r="T153" i="4"/>
  <c r="T129" i="4"/>
  <c r="T205" i="4"/>
  <c r="T161" i="4"/>
  <c r="T137" i="4"/>
  <c r="T107" i="4"/>
  <c r="T173" i="4"/>
  <c r="T83" i="3"/>
  <c r="T202" i="3"/>
  <c r="T103" i="3"/>
  <c r="T116" i="3"/>
  <c r="T123" i="3"/>
  <c r="T136" i="3"/>
  <c r="T210" i="3"/>
  <c r="T108" i="3"/>
  <c r="T170" i="3"/>
  <c r="T176" i="3"/>
  <c r="T88" i="3"/>
  <c r="T181" i="3"/>
  <c r="T220" i="3"/>
  <c r="T185" i="3"/>
  <c r="T148" i="3"/>
  <c r="T160" i="4"/>
  <c r="T136" i="4"/>
  <c r="T106" i="4"/>
  <c r="T172" i="4"/>
  <c r="T82" i="3"/>
  <c r="T201" i="3"/>
  <c r="T102" i="3"/>
  <c r="T115" i="3"/>
  <c r="T122" i="3"/>
  <c r="T135" i="3"/>
  <c r="T131" i="3"/>
  <c r="T209" i="3"/>
  <c r="T107" i="3"/>
  <c r="T169" i="3"/>
  <c r="T175" i="3"/>
  <c r="T87" i="3"/>
  <c r="T180" i="3"/>
  <c r="T219" i="3"/>
  <c r="T184" i="3"/>
  <c r="T147" i="3"/>
  <c r="T216" i="4"/>
  <c r="T185" i="4"/>
  <c r="T150" i="4"/>
  <c r="T126" i="4"/>
  <c r="T202" i="4"/>
  <c r="T81" i="3"/>
  <c r="T80" i="3"/>
  <c r="T79" i="3"/>
  <c r="T200" i="3"/>
  <c r="T199" i="3"/>
  <c r="T101" i="3"/>
  <c r="T78" i="3"/>
  <c r="T77" i="3"/>
  <c r="T76" i="3"/>
  <c r="T114" i="3"/>
  <c r="T121" i="3"/>
  <c r="T134" i="3"/>
  <c r="T130" i="3"/>
  <c r="T208" i="3"/>
  <c r="T106" i="3"/>
  <c r="T168" i="3"/>
  <c r="T225" i="3"/>
  <c r="T174" i="3"/>
  <c r="T86" i="3"/>
  <c r="T179" i="3"/>
  <c r="T146" i="3"/>
  <c r="T198" i="3"/>
  <c r="T100" i="3"/>
  <c r="T197" i="3"/>
  <c r="T99" i="3"/>
  <c r="T196" i="3"/>
  <c r="T98" i="3"/>
  <c r="T162" i="3"/>
  <c r="T195" i="3"/>
  <c r="T73" i="3"/>
  <c r="T97" i="3"/>
  <c r="T120" i="3"/>
  <c r="T129" i="3"/>
  <c r="T207" i="3"/>
  <c r="T85" i="3"/>
  <c r="T128" i="3"/>
  <c r="T191" i="3"/>
  <c r="T12" i="6"/>
  <c r="T6" i="5"/>
  <c r="T122" i="4"/>
  <c r="T215" i="4"/>
  <c r="T147" i="4"/>
  <c r="T195" i="4"/>
  <c r="T184" i="4"/>
  <c r="T194" i="4"/>
  <c r="T183" i="4"/>
  <c r="T193" i="4"/>
  <c r="T116" i="4"/>
  <c r="T167" i="4"/>
  <c r="T197" i="4"/>
  <c r="T134" i="4"/>
  <c r="T149" i="4"/>
  <c r="T125" i="4"/>
  <c r="T104" i="4"/>
  <c r="T166" i="4"/>
  <c r="T212" i="4"/>
  <c r="T211" i="4"/>
  <c r="T224" i="4"/>
  <c r="T219" i="4"/>
  <c r="T155" i="4"/>
  <c r="T115" i="4"/>
  <c r="T223" i="4"/>
  <c r="P28" i="1"/>
  <c r="M28" i="1"/>
  <c r="L97" i="1"/>
  <c r="M97" i="1"/>
  <c r="O97" i="1"/>
  <c r="O73" i="1"/>
  <c r="M73" i="1"/>
  <c r="M95" i="1"/>
  <c r="P95" i="1"/>
  <c r="O95" i="1"/>
  <c r="O68" i="1"/>
  <c r="N68" i="1"/>
  <c r="M94" i="1"/>
  <c r="L94" i="1"/>
  <c r="N94" i="1"/>
  <c r="O126" i="1"/>
  <c r="L126" i="1"/>
  <c r="N93" i="1"/>
  <c r="L93" i="1"/>
  <c r="M93" i="1"/>
  <c r="M24" i="1"/>
  <c r="O24" i="1"/>
  <c r="L17" i="1"/>
  <c r="P17" i="1"/>
  <c r="M17" i="1"/>
  <c r="M92" i="1"/>
  <c r="P92" i="1"/>
  <c r="P99" i="1"/>
  <c r="L99" i="1"/>
  <c r="M99" i="1"/>
  <c r="P66" i="1"/>
  <c r="O66" i="1"/>
  <c r="O14" i="1"/>
  <c r="M14" i="1"/>
  <c r="P14" i="1"/>
  <c r="L41" i="1"/>
  <c r="M41" i="1"/>
  <c r="P75" i="1"/>
  <c r="O75" i="1"/>
  <c r="M75" i="1"/>
  <c r="O36" i="1"/>
  <c r="L36" i="1"/>
  <c r="P30" i="1"/>
  <c r="L30" i="1"/>
  <c r="O30" i="1"/>
  <c r="M131" i="1"/>
  <c r="N131" i="1"/>
  <c r="M124" i="1"/>
  <c r="O124" i="1"/>
  <c r="N124" i="1"/>
  <c r="P22" i="1"/>
  <c r="O22" i="1"/>
  <c r="L104" i="1"/>
  <c r="P104" i="1"/>
  <c r="N104" i="1"/>
  <c r="N20" i="1"/>
  <c r="P20" i="1"/>
  <c r="O69" i="1"/>
  <c r="M69" i="1"/>
  <c r="N69" i="1"/>
  <c r="P96" i="1"/>
  <c r="O96" i="1"/>
  <c r="L102" i="1"/>
  <c r="N102" i="1"/>
  <c r="M102" i="1"/>
  <c r="P3" i="1"/>
  <c r="M3" i="1"/>
  <c r="N125" i="1"/>
  <c r="P125" i="1"/>
  <c r="M125" i="1"/>
  <c r="M132" i="1"/>
  <c r="O132" i="1"/>
  <c r="O127" i="1"/>
  <c r="L127" i="1"/>
  <c r="N127" i="1"/>
  <c r="O106" i="1"/>
  <c r="N106" i="1"/>
  <c r="O27" i="1"/>
  <c r="N27" i="1"/>
  <c r="L27" i="1"/>
  <c r="P58" i="1"/>
  <c r="O58" i="1"/>
  <c r="N116" i="1"/>
  <c r="P116" i="1"/>
  <c r="O116" i="1"/>
  <c r="M32" i="1"/>
  <c r="N32" i="1"/>
  <c r="M37" i="1"/>
  <c r="O37" i="1"/>
  <c r="N37" i="1"/>
  <c r="M74" i="1"/>
  <c r="O74" i="1"/>
  <c r="L80" i="1"/>
  <c r="N80" i="1"/>
  <c r="O80" i="1"/>
  <c r="O85" i="1"/>
  <c r="N85" i="1"/>
  <c r="M118" i="1"/>
  <c r="O118" i="1"/>
  <c r="N118" i="1"/>
  <c r="M62" i="1"/>
  <c r="N62" i="1"/>
  <c r="L88" i="1"/>
  <c r="O88" i="1"/>
  <c r="M88" i="1"/>
  <c r="O33" i="1"/>
  <c r="N33" i="1"/>
  <c r="N112" i="1"/>
  <c r="O112" i="1"/>
  <c r="M112" i="1"/>
  <c r="O39" i="1"/>
  <c r="N39" i="1"/>
  <c r="P35" i="1"/>
  <c r="O35" i="1"/>
  <c r="N35" i="1"/>
  <c r="L71" i="1"/>
  <c r="O71" i="1"/>
  <c r="M121" i="1"/>
  <c r="O121" i="1"/>
  <c r="L121" i="1"/>
  <c r="M18" i="1"/>
  <c r="O18" i="1"/>
  <c r="L107" i="1"/>
  <c r="M107" i="1"/>
  <c r="N107" i="1"/>
  <c r="R71" i="3"/>
  <c r="M84" i="1"/>
  <c r="P84" i="1"/>
  <c r="O23" i="1"/>
  <c r="L23" i="1"/>
  <c r="N23" i="1"/>
  <c r="M57" i="1"/>
  <c r="P57" i="1"/>
  <c r="L59" i="1"/>
  <c r="N59" i="1"/>
  <c r="M59" i="1"/>
  <c r="N29" i="1"/>
  <c r="M29" i="1"/>
  <c r="O82" i="1"/>
  <c r="L82" i="1"/>
  <c r="M82" i="1"/>
  <c r="N61" i="1"/>
  <c r="M61" i="1"/>
  <c r="P77" i="1"/>
  <c r="O77" i="1"/>
  <c r="L77" i="1"/>
  <c r="O122" i="1"/>
  <c r="N122" i="1"/>
  <c r="M19" i="1"/>
  <c r="N19" i="1"/>
  <c r="O19" i="1"/>
  <c r="O108" i="1"/>
  <c r="N108" i="1"/>
  <c r="L78" i="1"/>
  <c r="O78" i="1"/>
  <c r="M78" i="1"/>
  <c r="P15" i="1"/>
  <c r="N15" i="1"/>
  <c r="N117" i="1"/>
  <c r="O117" i="1"/>
  <c r="M117" i="1"/>
  <c r="O40" i="1"/>
  <c r="M40" i="1"/>
  <c r="M70" i="1"/>
  <c r="N70" i="1"/>
  <c r="L70" i="1"/>
  <c r="O72" i="1"/>
  <c r="N72" i="1"/>
  <c r="L63" i="1"/>
  <c r="M63" i="1"/>
  <c r="N63" i="1"/>
  <c r="L105" i="1"/>
  <c r="O105" i="1"/>
  <c r="O60" i="1"/>
  <c r="N60" i="1"/>
  <c r="L60" i="1"/>
  <c r="P130" i="1"/>
  <c r="L130" i="1"/>
  <c r="L114" i="1"/>
  <c r="N114" i="1"/>
  <c r="M114" i="1"/>
  <c r="N123" i="1"/>
  <c r="O123" i="1"/>
  <c r="P119" i="1"/>
  <c r="L119" i="1"/>
  <c r="M119" i="1"/>
  <c r="L109" i="1"/>
  <c r="O109" i="1"/>
  <c r="O129" i="1"/>
  <c r="M129" i="1"/>
  <c r="P129" i="1"/>
  <c r="P81" i="1"/>
  <c r="L81" i="1"/>
  <c r="N101" i="1"/>
  <c r="L101" i="1"/>
  <c r="O101" i="1"/>
  <c r="M65" i="1"/>
  <c r="P65" i="1"/>
  <c r="P91" i="1"/>
  <c r="M91" i="1"/>
  <c r="N91" i="1"/>
  <c r="M111" i="1"/>
  <c r="O111" i="1"/>
  <c r="L34" i="1"/>
  <c r="O34" i="1"/>
  <c r="N34" i="1"/>
  <c r="M120" i="1"/>
  <c r="L120" i="1"/>
  <c r="N83" i="1"/>
  <c r="M83" i="1"/>
  <c r="O83" i="1"/>
  <c r="N21" i="1"/>
  <c r="M21" i="1"/>
  <c r="M25" i="1"/>
  <c r="P25" i="1"/>
  <c r="O25" i="1"/>
  <c r="L86" i="1"/>
  <c r="P86" i="1"/>
  <c r="O67" i="1"/>
  <c r="L67" i="1"/>
  <c r="M67" i="1"/>
  <c r="P89" i="1"/>
  <c r="O89" i="1"/>
  <c r="N128" i="1"/>
  <c r="P128" i="1"/>
  <c r="L128" i="1"/>
  <c r="O87" i="1"/>
  <c r="P87" i="1"/>
  <c r="P90" i="1"/>
  <c r="O90" i="1"/>
  <c r="M90" i="1"/>
  <c r="N16" i="1"/>
  <c r="P16" i="1"/>
  <c r="O98" i="1"/>
  <c r="L98" i="1"/>
  <c r="N98" i="1"/>
  <c r="O64" i="1"/>
  <c r="M64" i="1"/>
  <c r="M113" i="1"/>
  <c r="P113" i="1"/>
  <c r="O113" i="1"/>
  <c r="N26" i="1"/>
  <c r="L26" i="1"/>
  <c r="P103" i="1"/>
  <c r="L103" i="1"/>
  <c r="O103" i="1"/>
  <c r="P115" i="1"/>
  <c r="M115" i="1"/>
  <c r="P110" i="1"/>
  <c r="L110" i="1"/>
  <c r="O110" i="1"/>
  <c r="N31" i="1"/>
  <c r="P31" i="1"/>
  <c r="M100" i="1"/>
  <c r="P100" i="1"/>
  <c r="O100" i="1"/>
  <c r="T155" i="3"/>
  <c r="T113" i="4"/>
  <c r="T179" i="4"/>
  <c r="T142" i="3"/>
  <c r="T216" i="3"/>
  <c r="T94" i="3"/>
  <c r="T154" i="3"/>
  <c r="T112" i="4"/>
  <c r="T178" i="4"/>
  <c r="T141" i="3"/>
  <c r="T215" i="3"/>
  <c r="T93" i="3"/>
  <c r="T153" i="3"/>
  <c r="T132" i="4"/>
  <c r="T208" i="4"/>
  <c r="T111" i="4"/>
  <c r="T177" i="4"/>
  <c r="T140" i="3"/>
  <c r="T214" i="3"/>
  <c r="T92" i="3"/>
  <c r="T189" i="3"/>
  <c r="T164" i="4"/>
  <c r="T140" i="4"/>
  <c r="T110" i="4"/>
  <c r="T176" i="4"/>
  <c r="T126" i="3"/>
  <c r="T139" i="3"/>
  <c r="T213" i="3"/>
  <c r="T91" i="3"/>
  <c r="T223" i="3"/>
  <c r="T188" i="3"/>
  <c r="T151" i="3"/>
  <c r="T189" i="4"/>
  <c r="T139" i="4"/>
  <c r="T109" i="4"/>
  <c r="T175" i="4"/>
  <c r="T162" i="4"/>
  <c r="T138" i="4"/>
  <c r="T108" i="4"/>
  <c r="T174" i="4"/>
  <c r="T203" i="3"/>
  <c r="T104" i="3"/>
  <c r="T117" i="3"/>
  <c r="T124" i="3"/>
  <c r="T137" i="3"/>
  <c r="T211" i="3"/>
  <c r="T109" i="3"/>
  <c r="T177" i="3"/>
  <c r="T89" i="3"/>
  <c r="T221" i="3"/>
  <c r="T186" i="3"/>
  <c r="T149" i="3"/>
  <c r="T187" i="4"/>
  <c r="T152" i="4"/>
  <c r="T128" i="4"/>
  <c r="T204" i="4"/>
  <c r="T5" i="7"/>
  <c r="T17" i="6"/>
  <c r="T186" i="4"/>
  <c r="T151" i="4"/>
  <c r="T127" i="4"/>
  <c r="T203" i="4"/>
  <c r="T4" i="7"/>
  <c r="T16" i="6"/>
  <c r="T159" i="4"/>
  <c r="T227" i="4"/>
  <c r="T168" i="4"/>
  <c r="T135" i="4"/>
  <c r="T105" i="4"/>
  <c r="T171" i="4"/>
  <c r="T3" i="10"/>
  <c r="T75" i="3"/>
  <c r="T163" i="3"/>
  <c r="T113" i="3"/>
  <c r="T158" i="3"/>
  <c r="T74" i="3"/>
  <c r="T166" i="3"/>
  <c r="T193" i="3"/>
  <c r="T133" i="3"/>
  <c r="T218" i="3"/>
  <c r="T183" i="3"/>
  <c r="T172" i="3"/>
  <c r="T112" i="3"/>
  <c r="T157" i="3"/>
  <c r="T165" i="3"/>
  <c r="T161" i="3"/>
  <c r="T206" i="3"/>
  <c r="T3" i="7"/>
  <c r="T15" i="6"/>
  <c r="T14" i="6"/>
  <c r="T158" i="4"/>
  <c r="T226" i="4"/>
  <c r="T121" i="4"/>
  <c r="T120" i="4"/>
  <c r="T214" i="4"/>
  <c r="T119" i="4"/>
  <c r="T213" i="4"/>
  <c r="T118" i="4"/>
  <c r="T221" i="4"/>
  <c r="T199" i="4"/>
  <c r="T146" i="4"/>
  <c r="T157" i="4"/>
  <c r="T117" i="4"/>
  <c r="T225" i="4"/>
  <c r="T220" i="4"/>
  <c r="T198" i="4"/>
  <c r="T145" i="4"/>
  <c r="T156" i="4"/>
  <c r="T182" i="4"/>
  <c r="T144" i="4"/>
  <c r="T192" i="4"/>
  <c r="T201" i="4"/>
  <c r="T124" i="4"/>
  <c r="T170" i="4"/>
  <c r="T210" i="4"/>
  <c r="T181" i="4"/>
  <c r="T218" i="4"/>
  <c r="T5" i="8"/>
  <c r="L28" i="1"/>
  <c r="N28" i="1"/>
  <c r="O28" i="1"/>
  <c r="N97" i="1"/>
  <c r="P97" i="1"/>
  <c r="P73" i="1"/>
  <c r="N73" i="1"/>
  <c r="L73" i="1"/>
  <c r="N95" i="1"/>
  <c r="L95" i="1"/>
  <c r="L68" i="1"/>
  <c r="P68" i="1"/>
  <c r="M68" i="1"/>
  <c r="O94" i="1"/>
  <c r="P94" i="1"/>
  <c r="P126" i="1"/>
  <c r="M126" i="1"/>
  <c r="N126" i="1"/>
  <c r="P93" i="1"/>
  <c r="O93" i="1"/>
  <c r="L24" i="1"/>
  <c r="P24" i="1"/>
  <c r="N24" i="1"/>
  <c r="O17" i="1"/>
  <c r="N17" i="1"/>
  <c r="O92" i="1"/>
  <c r="N92" i="1"/>
  <c r="L92" i="1"/>
  <c r="O99" i="1"/>
  <c r="N99" i="1"/>
  <c r="L66" i="1"/>
  <c r="M66" i="1"/>
  <c r="N66" i="1"/>
  <c r="N14" i="1"/>
  <c r="L14" i="1"/>
  <c r="O41" i="1"/>
  <c r="N41" i="1"/>
  <c r="P41" i="1"/>
  <c r="N75" i="1"/>
  <c r="L75" i="1"/>
  <c r="M36" i="1"/>
  <c r="N36" i="1"/>
  <c r="P36" i="1"/>
  <c r="N30" i="1"/>
  <c r="M30" i="1"/>
  <c r="L131" i="1"/>
  <c r="O131" i="1"/>
  <c r="P131" i="1"/>
  <c r="P124" i="1"/>
  <c r="L124" i="1"/>
  <c r="N22" i="1"/>
  <c r="M22" i="1"/>
  <c r="L22" i="1"/>
  <c r="O104" i="1"/>
  <c r="M104" i="1"/>
  <c r="L20" i="1"/>
  <c r="M20" i="1"/>
  <c r="O20" i="1"/>
  <c r="L69" i="1"/>
  <c r="P69" i="1"/>
  <c r="L96" i="1"/>
  <c r="M96" i="1"/>
  <c r="N96" i="1"/>
  <c r="P102" i="1"/>
  <c r="O102" i="1"/>
  <c r="L3" i="1"/>
  <c r="O3" i="1"/>
  <c r="N3" i="1"/>
  <c r="L125" i="1"/>
  <c r="O125" i="1"/>
  <c r="N132" i="1"/>
  <c r="P132" i="1"/>
  <c r="L132" i="1"/>
  <c r="M127" i="1"/>
  <c r="P127" i="1"/>
  <c r="M106" i="1"/>
  <c r="P106" i="1"/>
  <c r="L106" i="1"/>
  <c r="P27" i="1"/>
  <c r="M27" i="1"/>
  <c r="M58" i="1"/>
  <c r="L58" i="1"/>
  <c r="N58" i="1"/>
  <c r="L116" i="1"/>
  <c r="M116" i="1"/>
  <c r="L32" i="1"/>
  <c r="O32" i="1"/>
  <c r="P32" i="1"/>
  <c r="P37" i="1"/>
  <c r="L37" i="1"/>
  <c r="N74" i="1"/>
  <c r="L74" i="1"/>
  <c r="P74" i="1"/>
  <c r="P80" i="1"/>
  <c r="M80" i="1"/>
  <c r="P85" i="1"/>
  <c r="L85" i="1"/>
  <c r="M85" i="1"/>
  <c r="L118" i="1"/>
  <c r="P118" i="1"/>
  <c r="P62" i="1"/>
  <c r="L62" i="1"/>
  <c r="O62" i="1"/>
  <c r="N88" i="1"/>
  <c r="P88" i="1"/>
  <c r="L33" i="1"/>
  <c r="M33" i="1"/>
  <c r="P33" i="1"/>
  <c r="P112" i="1"/>
  <c r="L112" i="1"/>
  <c r="P39" i="1"/>
  <c r="M39" i="1"/>
  <c r="L39" i="1"/>
  <c r="L35" i="1"/>
  <c r="M35" i="1"/>
  <c r="N71" i="1"/>
  <c r="M71" i="1"/>
  <c r="P71" i="1"/>
  <c r="P121" i="1"/>
  <c r="N121" i="1"/>
  <c r="N18" i="1"/>
  <c r="P18" i="1"/>
  <c r="L18" i="1"/>
  <c r="O107" i="1"/>
  <c r="P107" i="1"/>
  <c r="R3" i="8"/>
  <c r="O84" i="1"/>
  <c r="L84" i="1"/>
  <c r="N84" i="1"/>
  <c r="P23" i="1"/>
  <c r="M23" i="1"/>
  <c r="L57" i="1"/>
  <c r="O57" i="1"/>
  <c r="N57" i="1"/>
  <c r="P59" i="1"/>
  <c r="O59" i="1"/>
  <c r="L29" i="1"/>
  <c r="O29" i="1"/>
  <c r="P29" i="1"/>
  <c r="N82" i="1"/>
  <c r="P82" i="1"/>
  <c r="L61" i="1"/>
  <c r="O61" i="1"/>
  <c r="P61" i="1"/>
  <c r="M77" i="1"/>
  <c r="N77" i="1"/>
  <c r="P122" i="1"/>
  <c r="L122" i="1"/>
  <c r="M122" i="1"/>
  <c r="L19" i="1"/>
  <c r="P19" i="1"/>
  <c r="P108" i="1"/>
  <c r="M108" i="1"/>
  <c r="L108" i="1"/>
  <c r="P78" i="1"/>
  <c r="N78" i="1"/>
  <c r="M15" i="1"/>
  <c r="L15" i="1"/>
  <c r="O15" i="1"/>
  <c r="P117" i="1"/>
  <c r="L117" i="1"/>
  <c r="P40" i="1"/>
  <c r="L40" i="1"/>
  <c r="N40" i="1"/>
  <c r="O70" i="1"/>
  <c r="P70" i="1"/>
  <c r="M72" i="1"/>
  <c r="L72" i="1"/>
  <c r="P72" i="1"/>
  <c r="P63" i="1"/>
  <c r="O63" i="1"/>
  <c r="M105" i="1"/>
  <c r="P105" i="1"/>
  <c r="N105" i="1"/>
  <c r="P60" i="1"/>
  <c r="M60" i="1"/>
  <c r="N130" i="1"/>
  <c r="O130" i="1"/>
  <c r="M130" i="1"/>
  <c r="P114" i="1"/>
  <c r="O114" i="1"/>
  <c r="L123" i="1"/>
  <c r="P123" i="1"/>
  <c r="M123" i="1"/>
  <c r="O119" i="1"/>
  <c r="N119" i="1"/>
  <c r="M109" i="1"/>
  <c r="P109" i="1"/>
  <c r="N109" i="1"/>
  <c r="L129" i="1"/>
  <c r="N129" i="1"/>
  <c r="O81" i="1"/>
  <c r="M81" i="1"/>
  <c r="N81" i="1"/>
  <c r="M101" i="1"/>
  <c r="P101" i="1"/>
  <c r="L65" i="1"/>
  <c r="N65" i="1"/>
  <c r="O65" i="1"/>
  <c r="O91" i="1"/>
  <c r="L91" i="1"/>
  <c r="L111" i="1"/>
  <c r="P111" i="1"/>
  <c r="N111" i="1"/>
  <c r="M34" i="1"/>
  <c r="P34" i="1"/>
  <c r="O120" i="1"/>
  <c r="P120" i="1"/>
  <c r="N120" i="1"/>
  <c r="P83" i="1"/>
  <c r="L83" i="1"/>
  <c r="P21" i="1"/>
  <c r="L21" i="1"/>
  <c r="O21" i="1"/>
  <c r="N25" i="1"/>
  <c r="L25" i="1"/>
  <c r="N86" i="1"/>
  <c r="M86" i="1"/>
  <c r="O86" i="1"/>
  <c r="P67" i="1"/>
  <c r="N67" i="1"/>
  <c r="M89" i="1"/>
  <c r="N89" i="1"/>
  <c r="L89" i="1"/>
  <c r="O128" i="1"/>
  <c r="M128" i="1"/>
  <c r="M87" i="1"/>
  <c r="L87" i="1"/>
  <c r="N87" i="1"/>
  <c r="L90" i="1"/>
  <c r="N90" i="1"/>
  <c r="L16" i="1"/>
  <c r="M16" i="1"/>
  <c r="O16" i="1"/>
  <c r="M98" i="1"/>
  <c r="P98" i="1"/>
  <c r="N64" i="1"/>
  <c r="L64" i="1"/>
  <c r="P64" i="1"/>
  <c r="N113" i="1"/>
  <c r="L113" i="1"/>
  <c r="O26" i="1"/>
  <c r="P26" i="1"/>
  <c r="M26" i="1"/>
  <c r="N103" i="1"/>
  <c r="M103" i="1"/>
  <c r="L115" i="1"/>
  <c r="N115" i="1"/>
  <c r="O115" i="1"/>
  <c r="M110" i="1"/>
  <c r="N110" i="1"/>
  <c r="M31" i="1"/>
  <c r="O31" i="1"/>
  <c r="L31" i="1"/>
  <c r="L100" i="1"/>
  <c r="N100" i="1"/>
  <c r="W40" i="3" l="1"/>
  <c r="J40" i="3" s="1"/>
  <c r="Y40" i="3"/>
  <c r="W10" i="6"/>
  <c r="J10" i="6" s="1"/>
  <c r="Y10" i="6"/>
  <c r="W38" i="3"/>
  <c r="J38" i="3" s="1"/>
  <c r="Y38" i="3"/>
  <c r="W8" i="6"/>
  <c r="J8" i="6" s="1"/>
  <c r="Y8" i="6"/>
  <c r="W61" i="3"/>
  <c r="J61" i="3" s="1"/>
  <c r="Y61" i="3"/>
  <c r="W30" i="3"/>
  <c r="J30" i="3" s="1"/>
  <c r="Y30" i="3"/>
  <c r="W69" i="3"/>
  <c r="J69" i="3" s="1"/>
  <c r="Y69" i="3"/>
  <c r="W44" i="3"/>
  <c r="J44" i="3" s="1"/>
  <c r="Y44" i="3"/>
  <c r="W18" i="3"/>
  <c r="J18" i="3" s="1"/>
  <c r="Y18" i="3"/>
  <c r="W34" i="3"/>
  <c r="J34" i="3" s="1"/>
  <c r="Y34" i="3"/>
  <c r="W4" i="6"/>
  <c r="J4" i="6" s="1"/>
  <c r="Y4" i="6"/>
  <c r="W3" i="6"/>
  <c r="J3" i="6" s="1"/>
  <c r="Y3" i="6"/>
  <c r="W26" i="3"/>
  <c r="J26" i="3" s="1"/>
  <c r="Y26" i="3"/>
  <c r="W12" i="3"/>
  <c r="J12" i="3" s="1"/>
  <c r="Y12" i="3"/>
  <c r="W49" i="3"/>
  <c r="J49" i="3" s="1"/>
  <c r="Y49" i="3"/>
  <c r="W39" i="3"/>
  <c r="J39" i="3" s="1"/>
  <c r="Y39" i="3"/>
  <c r="W63" i="3"/>
  <c r="J63" i="3" s="1"/>
  <c r="Y63" i="3"/>
  <c r="W10" i="3"/>
  <c r="J10" i="3" s="1"/>
  <c r="Y10" i="3"/>
  <c r="W47" i="3"/>
  <c r="J47" i="3" s="1"/>
  <c r="Y47" i="3"/>
  <c r="W37" i="3"/>
  <c r="J37" i="3" s="1"/>
  <c r="Y37" i="3"/>
  <c r="W46" i="3"/>
  <c r="J46" i="3" s="1"/>
  <c r="Y46" i="3"/>
  <c r="W36" i="3"/>
  <c r="J36" i="3" s="1"/>
  <c r="Y36" i="3"/>
  <c r="W35" i="3"/>
  <c r="J35" i="3" s="1"/>
  <c r="Y35" i="3"/>
  <c r="W54" i="3"/>
  <c r="J54" i="3" s="1"/>
  <c r="Y54" i="3"/>
  <c r="W6" i="6"/>
  <c r="J6" i="6" s="1"/>
  <c r="Y6" i="6"/>
  <c r="W59" i="3"/>
  <c r="J59" i="3" s="1"/>
  <c r="Y59" i="3"/>
  <c r="W23" i="3"/>
  <c r="J23" i="3" s="1"/>
  <c r="Y23" i="3"/>
  <c r="W3" i="8"/>
  <c r="J3" i="8" s="1"/>
  <c r="Y3" i="8"/>
  <c r="W42" i="3"/>
  <c r="J42" i="3" s="1"/>
  <c r="Y42" i="3"/>
  <c r="W4" i="3"/>
  <c r="J4" i="3" s="1"/>
  <c r="Y4" i="3"/>
  <c r="W56" i="3"/>
  <c r="J56" i="3" s="1"/>
  <c r="Y56" i="3"/>
  <c r="W66" i="3"/>
  <c r="J66" i="3" s="1"/>
  <c r="Y66" i="3"/>
  <c r="W51" i="3"/>
  <c r="J51" i="3" s="1"/>
  <c r="Y51" i="3"/>
  <c r="W64" i="3"/>
  <c r="J64" i="3" s="1"/>
  <c r="Y64" i="3"/>
  <c r="W11" i="3"/>
  <c r="J11" i="3" s="1"/>
  <c r="Y11" i="3"/>
  <c r="W9" i="6"/>
  <c r="J9" i="6" s="1"/>
  <c r="Y9" i="6"/>
  <c r="W9" i="3"/>
  <c r="J9" i="3" s="1"/>
  <c r="Y9" i="3"/>
  <c r="W70" i="3"/>
  <c r="J70" i="3" s="1"/>
  <c r="Y70" i="3"/>
  <c r="W19" i="3"/>
  <c r="J19" i="3" s="1"/>
  <c r="Y19" i="3"/>
  <c r="W7" i="3"/>
  <c r="J7" i="3" s="1"/>
  <c r="Y7" i="3"/>
  <c r="W29" i="3"/>
  <c r="J29" i="3" s="1"/>
  <c r="Y29" i="3"/>
  <c r="W6" i="3"/>
  <c r="J6" i="3" s="1"/>
  <c r="Y6" i="3"/>
  <c r="W68" i="3"/>
  <c r="J68" i="3" s="1"/>
  <c r="Y68" i="3"/>
  <c r="W53" i="3"/>
  <c r="J53" i="3" s="1"/>
  <c r="Y53" i="3"/>
  <c r="W28" i="3"/>
  <c r="J28" i="3" s="1"/>
  <c r="Y28" i="3"/>
  <c r="W5" i="6"/>
  <c r="J5" i="6" s="1"/>
  <c r="Y5" i="6"/>
  <c r="W4" i="5"/>
  <c r="J4" i="5" s="1"/>
  <c r="Y4" i="5"/>
  <c r="W17" i="3"/>
  <c r="J17" i="3" s="1"/>
  <c r="Y17" i="3"/>
  <c r="W57" i="3"/>
  <c r="J57" i="3" s="1"/>
  <c r="Y57" i="3"/>
  <c r="W22" i="3"/>
  <c r="J22" i="3" s="1"/>
  <c r="Y22" i="3"/>
  <c r="W21" i="3"/>
  <c r="J21" i="3" s="1"/>
  <c r="Y21" i="3"/>
  <c r="W48" i="3"/>
  <c r="J48" i="3" s="1"/>
  <c r="Y48" i="3"/>
  <c r="W62" i="3"/>
  <c r="J62" i="3" s="1"/>
  <c r="Y62" i="3"/>
  <c r="W71" i="3"/>
  <c r="J71" i="3" s="1"/>
  <c r="Y71" i="3"/>
  <c r="W8" i="3"/>
  <c r="J8" i="3" s="1"/>
  <c r="Y8" i="3"/>
  <c r="W7" i="6"/>
  <c r="J7" i="6" s="1"/>
  <c r="Y7" i="6"/>
  <c r="W45" i="3"/>
  <c r="J45" i="3" s="1"/>
  <c r="Y45" i="3"/>
  <c r="W60" i="3"/>
  <c r="J60" i="3" s="1"/>
  <c r="Y60" i="3"/>
  <c r="W24" i="3"/>
  <c r="J24" i="3" s="1"/>
  <c r="Y24" i="3"/>
  <c r="W43" i="3"/>
  <c r="J43" i="3" s="1"/>
  <c r="Y43" i="3"/>
  <c r="W33" i="3"/>
  <c r="J33" i="3" s="1"/>
  <c r="Y33" i="3"/>
  <c r="W58" i="3"/>
  <c r="J58" i="3" s="1"/>
  <c r="Y58" i="3"/>
  <c r="W5" i="3"/>
  <c r="J5" i="3" s="1"/>
  <c r="Y5" i="3"/>
  <c r="W67" i="3"/>
  <c r="J67" i="3" s="1"/>
  <c r="Y67" i="3"/>
  <c r="W52" i="3"/>
  <c r="J52" i="3" s="1"/>
  <c r="Y52" i="3"/>
  <c r="W27" i="3"/>
  <c r="J27" i="3" s="1"/>
  <c r="Y27" i="3"/>
  <c r="W3" i="5"/>
  <c r="J3" i="5" s="1"/>
  <c r="Y3" i="5"/>
  <c r="W16" i="3"/>
  <c r="J16" i="3" s="1"/>
  <c r="Y16" i="3"/>
  <c r="W14" i="3"/>
  <c r="J14" i="3" s="1"/>
  <c r="Y14" i="3"/>
  <c r="W32" i="3"/>
  <c r="J32" i="3" s="1"/>
  <c r="Y32" i="3"/>
  <c r="Z145" i="4"/>
  <c r="N133" i="1"/>
  <c r="O133" i="1"/>
  <c r="L133" i="1"/>
  <c r="M133" i="1"/>
  <c r="P133" i="1"/>
  <c r="Y102" i="4"/>
  <c r="Y60" i="4"/>
  <c r="Y57" i="4"/>
  <c r="Y97" i="4"/>
  <c r="Y7" i="4"/>
  <c r="Y67" i="4"/>
  <c r="Y62" i="4"/>
  <c r="Y61" i="4"/>
  <c r="Y101" i="4"/>
  <c r="Y98" i="4"/>
  <c r="Y69" i="4"/>
  <c r="Y35" i="4"/>
  <c r="Y78" i="4"/>
  <c r="Y42" i="4"/>
  <c r="Y68" i="4"/>
  <c r="Y87" i="4"/>
  <c r="Y55" i="4"/>
  <c r="Y49" i="4"/>
  <c r="Y23" i="4"/>
  <c r="Y54" i="4"/>
  <c r="Y76" i="4"/>
  <c r="Y66" i="4"/>
  <c r="Y5" i="4"/>
  <c r="Y11" i="4"/>
  <c r="Y15" i="4"/>
  <c r="Y25" i="4"/>
  <c r="Y73" i="4"/>
  <c r="Y45" i="4"/>
  <c r="Y59" i="4"/>
  <c r="Y71" i="4"/>
  <c r="Y99" i="4"/>
  <c r="Y43" i="4"/>
  <c r="Y56" i="4"/>
  <c r="Y50" i="4"/>
  <c r="Y34" i="4"/>
  <c r="Y96" i="4"/>
  <c r="Y18" i="4"/>
  <c r="Y77" i="4"/>
  <c r="Y13" i="4"/>
  <c r="Y95" i="4"/>
  <c r="Y6" i="4"/>
  <c r="Y86" i="4"/>
  <c r="Y40" i="4"/>
  <c r="Y12" i="4"/>
  <c r="Y94" i="4"/>
  <c r="Y16" i="4"/>
  <c r="Y53" i="4"/>
  <c r="Y75" i="4"/>
  <c r="Y91" i="4"/>
  <c r="Y84" i="4"/>
  <c r="Y90" i="4"/>
  <c r="V306" i="4"/>
  <c r="W306" i="4" s="1"/>
  <c r="X306" i="4"/>
  <c r="V268" i="4"/>
  <c r="W268" i="4" s="1"/>
  <c r="X268" i="4"/>
  <c r="X237" i="4"/>
  <c r="V237" i="4"/>
  <c r="W237" i="4" s="1"/>
  <c r="X236" i="4"/>
  <c r="V236" i="4"/>
  <c r="W236" i="4" s="1"/>
  <c r="V363" i="4"/>
  <c r="W363" i="4" s="1"/>
  <c r="X363" i="4"/>
  <c r="X255" i="4"/>
  <c r="V255" i="4"/>
  <c r="W255" i="4" s="1"/>
  <c r="X218" i="4"/>
  <c r="V218" i="4"/>
  <c r="W218" i="4" s="1"/>
  <c r="J218" i="4" s="1"/>
  <c r="V308" i="4"/>
  <c r="W308" i="4" s="1"/>
  <c r="X308" i="4"/>
  <c r="V319" i="4"/>
  <c r="W319" i="4" s="1"/>
  <c r="X319" i="4"/>
  <c r="X301" i="4"/>
  <c r="V301" i="4"/>
  <c r="W301" i="4" s="1"/>
  <c r="V252" i="4"/>
  <c r="W252" i="4" s="1"/>
  <c r="X252" i="4"/>
  <c r="V282" i="4"/>
  <c r="W282" i="4" s="1"/>
  <c r="X282" i="4"/>
  <c r="V277" i="4"/>
  <c r="W277" i="4" s="1"/>
  <c r="X277" i="4"/>
  <c r="V260" i="4"/>
  <c r="W260" i="4" s="1"/>
  <c r="X260" i="4"/>
  <c r="X200" i="4"/>
  <c r="V200" i="4"/>
  <c r="W200" i="4" s="1"/>
  <c r="X294" i="4"/>
  <c r="V294" i="4"/>
  <c r="W294" i="4" s="1"/>
  <c r="V254" i="4"/>
  <c r="W254" i="4" s="1"/>
  <c r="X254" i="4"/>
  <c r="V283" i="4"/>
  <c r="W283" i="4" s="1"/>
  <c r="X283" i="4"/>
  <c r="V246" i="4"/>
  <c r="W246" i="4" s="1"/>
  <c r="X246" i="4"/>
  <c r="V245" i="4"/>
  <c r="W245" i="4" s="1"/>
  <c r="X245" i="4"/>
  <c r="V360" i="4"/>
  <c r="W360" i="4" s="1"/>
  <c r="X360" i="4"/>
  <c r="X372" i="4"/>
  <c r="V372" i="4"/>
  <c r="W372" i="4" s="1"/>
  <c r="V300" i="4"/>
  <c r="W300" i="4" s="1"/>
  <c r="X300" i="4"/>
  <c r="X143" i="4"/>
  <c r="V143" i="4"/>
  <c r="W143" i="4" s="1"/>
  <c r="X348" i="4"/>
  <c r="V348" i="4"/>
  <c r="W348" i="4" s="1"/>
  <c r="X303" i="4"/>
  <c r="V303" i="4"/>
  <c r="W303" i="4" s="1"/>
  <c r="X342" i="4"/>
  <c r="V342" i="4"/>
  <c r="W342" i="4" s="1"/>
  <c r="X334" i="4"/>
  <c r="V334" i="4"/>
  <c r="W334" i="4" s="1"/>
  <c r="X295" i="4"/>
  <c r="V295" i="4"/>
  <c r="W295" i="4" s="1"/>
  <c r="V325" i="4"/>
  <c r="W325" i="4" s="1"/>
  <c r="X325" i="4"/>
  <c r="X181" i="4"/>
  <c r="V181" i="4"/>
  <c r="W181" i="4" s="1"/>
  <c r="J181" i="4" s="1"/>
  <c r="V328" i="4"/>
  <c r="W328" i="4" s="1"/>
  <c r="X328" i="4"/>
  <c r="V240" i="4"/>
  <c r="W240" i="4" s="1"/>
  <c r="X240" i="4"/>
  <c r="V291" i="4"/>
  <c r="W291" i="4" s="1"/>
  <c r="X291" i="4"/>
  <c r="V371" i="4"/>
  <c r="W371" i="4" s="1"/>
  <c r="X371" i="4"/>
  <c r="X311" i="4"/>
  <c r="V311" i="4"/>
  <c r="W311" i="4" s="1"/>
  <c r="V326" i="4"/>
  <c r="W326" i="4" s="1"/>
  <c r="X326" i="4"/>
  <c r="V332" i="4"/>
  <c r="W332" i="4" s="1"/>
  <c r="X332" i="4"/>
  <c r="X373" i="4"/>
  <c r="V373" i="4"/>
  <c r="W373" i="4" s="1"/>
  <c r="X180" i="4"/>
  <c r="V180" i="4"/>
  <c r="W180" i="4" s="1"/>
  <c r="V366" i="4"/>
  <c r="W366" i="4" s="1"/>
  <c r="X366" i="4"/>
  <c r="V253" i="4"/>
  <c r="W253" i="4" s="1"/>
  <c r="X253" i="4"/>
  <c r="V333" i="4"/>
  <c r="W333" i="4" s="1"/>
  <c r="X333" i="4"/>
  <c r="X196" i="4"/>
  <c r="V196" i="4"/>
  <c r="W196" i="4" s="1"/>
  <c r="X324" i="4"/>
  <c r="V324" i="4"/>
  <c r="W324" i="4" s="1"/>
  <c r="V229" i="4"/>
  <c r="W229" i="4" s="1"/>
  <c r="X229" i="4"/>
  <c r="X279" i="4"/>
  <c r="V279" i="4"/>
  <c r="W279" i="4" s="1"/>
  <c r="V340" i="4"/>
  <c r="W340" i="4" s="1"/>
  <c r="X340" i="4"/>
  <c r="V231" i="4"/>
  <c r="W231" i="4" s="1"/>
  <c r="X231" i="4"/>
  <c r="X351" i="4"/>
  <c r="V351" i="4"/>
  <c r="W351" i="4" s="1"/>
  <c r="X274" i="4"/>
  <c r="V274" i="4"/>
  <c r="W274" i="4" s="1"/>
  <c r="V219" i="4"/>
  <c r="W219" i="4" s="1"/>
  <c r="J219" i="4" s="1"/>
  <c r="X219" i="4"/>
  <c r="X211" i="4"/>
  <c r="V211" i="4"/>
  <c r="W211" i="4" s="1"/>
  <c r="J211" i="4" s="1"/>
  <c r="V273" i="4"/>
  <c r="W273" i="4" s="1"/>
  <c r="X273" i="4"/>
  <c r="X114" i="4"/>
  <c r="V114" i="4"/>
  <c r="W114" i="4" s="1"/>
  <c r="X191" i="4"/>
  <c r="V191" i="4"/>
  <c r="W191" i="4" s="1"/>
  <c r="V367" i="4"/>
  <c r="W367" i="4" s="1"/>
  <c r="X367" i="4"/>
  <c r="V318" i="4"/>
  <c r="W318" i="4" s="1"/>
  <c r="X318" i="4"/>
  <c r="X354" i="4"/>
  <c r="V354" i="4"/>
  <c r="W354" i="4" s="1"/>
  <c r="X304" i="4"/>
  <c r="V304" i="4"/>
  <c r="W304" i="4" s="1"/>
  <c r="X269" i="4"/>
  <c r="V269" i="4"/>
  <c r="W269" i="4" s="1"/>
  <c r="V297" i="4"/>
  <c r="W297" i="4" s="1"/>
  <c r="X297" i="4"/>
  <c r="V327" i="4"/>
  <c r="W327" i="4" s="1"/>
  <c r="X327" i="4"/>
  <c r="X370" i="4"/>
  <c r="V370" i="4"/>
  <c r="W370" i="4" s="1"/>
  <c r="V271" i="4"/>
  <c r="W271" i="4" s="1"/>
  <c r="X271" i="4"/>
  <c r="X355" i="4"/>
  <c r="V355" i="4"/>
  <c r="W355" i="4" s="1"/>
  <c r="X154" i="4"/>
  <c r="V154" i="4"/>
  <c r="W154" i="4" s="1"/>
  <c r="V250" i="4"/>
  <c r="W250" i="4" s="1"/>
  <c r="X250" i="4"/>
  <c r="X347" i="4"/>
  <c r="V347" i="4"/>
  <c r="W347" i="4" s="1"/>
  <c r="V124" i="4"/>
  <c r="W124" i="4" s="1"/>
  <c r="J124" i="4" s="1"/>
  <c r="X124" i="4"/>
  <c r="V357" i="4"/>
  <c r="W357" i="4" s="1"/>
  <c r="X357" i="4"/>
  <c r="X104" i="4"/>
  <c r="V104" i="4"/>
  <c r="W104" i="4" s="1"/>
  <c r="J104" i="4" s="1"/>
  <c r="X323" i="4"/>
  <c r="V323" i="4"/>
  <c r="W323" i="4" s="1"/>
  <c r="X264" i="4"/>
  <c r="V264" i="4"/>
  <c r="W264" i="4" s="1"/>
  <c r="X364" i="4"/>
  <c r="V364" i="4"/>
  <c r="W364" i="4" s="1"/>
  <c r="V265" i="4"/>
  <c r="W265" i="4" s="1"/>
  <c r="X265" i="4"/>
  <c r="V280" i="4"/>
  <c r="W280" i="4" s="1"/>
  <c r="X280" i="4"/>
  <c r="X201" i="4"/>
  <c r="V201" i="4"/>
  <c r="W201" i="4" s="1"/>
  <c r="J201" i="4" s="1"/>
  <c r="X346" i="4"/>
  <c r="V346" i="4"/>
  <c r="W346" i="4" s="1"/>
  <c r="X125" i="4"/>
  <c r="V125" i="4"/>
  <c r="W125" i="4" s="1"/>
  <c r="J125" i="4" s="1"/>
  <c r="X312" i="4"/>
  <c r="V312" i="4"/>
  <c r="W312" i="4" s="1"/>
  <c r="V149" i="4"/>
  <c r="W149" i="4" s="1"/>
  <c r="J149" i="4" s="1"/>
  <c r="X149" i="4"/>
  <c r="X296" i="4"/>
  <c r="V296" i="4"/>
  <c r="W296" i="4" s="1"/>
  <c r="X336" i="4"/>
  <c r="V336" i="4"/>
  <c r="W336" i="4" s="1"/>
  <c r="X262" i="4"/>
  <c r="V262" i="4"/>
  <c r="W262" i="4" s="1"/>
  <c r="X261" i="4"/>
  <c r="V261" i="4"/>
  <c r="W261" i="4" s="1"/>
  <c r="X270" i="4"/>
  <c r="V270" i="4"/>
  <c r="W270" i="4" s="1"/>
  <c r="V368" i="4"/>
  <c r="W368" i="4" s="1"/>
  <c r="X368" i="4"/>
  <c r="V134" i="4"/>
  <c r="W134" i="4" s="1"/>
  <c r="J134" i="4" s="1"/>
  <c r="X134" i="4"/>
  <c r="V238" i="4"/>
  <c r="W238" i="4" s="1"/>
  <c r="X238" i="4"/>
  <c r="V298" i="4"/>
  <c r="W298" i="4" s="1"/>
  <c r="X298" i="4"/>
  <c r="X144" i="4"/>
  <c r="V144" i="4"/>
  <c r="W144" i="4" s="1"/>
  <c r="J144" i="4" s="1"/>
  <c r="V353" i="4"/>
  <c r="W353" i="4" s="1"/>
  <c r="X353" i="4"/>
  <c r="V321" i="4"/>
  <c r="W321" i="4" s="1"/>
  <c r="X321" i="4"/>
  <c r="X313" i="4"/>
  <c r="V313" i="4"/>
  <c r="W313" i="4" s="1"/>
  <c r="Z167" i="4"/>
  <c r="X167" i="4"/>
  <c r="V167" i="4"/>
  <c r="W167" i="4" s="1"/>
  <c r="J167" i="4" s="1"/>
  <c r="V116" i="4"/>
  <c r="W116" i="4" s="1"/>
  <c r="J116" i="4" s="1"/>
  <c r="X116" i="4"/>
  <c r="Z193" i="4"/>
  <c r="V198" i="4"/>
  <c r="W198" i="4" s="1"/>
  <c r="J198" i="4" s="1"/>
  <c r="X198" i="4"/>
  <c r="V117" i="4"/>
  <c r="W117" i="4" s="1"/>
  <c r="J117" i="4" s="1"/>
  <c r="X117" i="4"/>
  <c r="Z183" i="4"/>
  <c r="X183" i="4"/>
  <c r="V183" i="4"/>
  <c r="W183" i="4" s="1"/>
  <c r="J183" i="4" s="1"/>
  <c r="Z194" i="4"/>
  <c r="X194" i="4"/>
  <c r="V194" i="4"/>
  <c r="W194" i="4" s="1"/>
  <c r="J194" i="4" s="1"/>
  <c r="X221" i="4"/>
  <c r="V221" i="4"/>
  <c r="W221" i="4" s="1"/>
  <c r="J221" i="4" s="1"/>
  <c r="V118" i="4"/>
  <c r="W118" i="4" s="1"/>
  <c r="J118" i="4" s="1"/>
  <c r="X118" i="4"/>
  <c r="V213" i="4"/>
  <c r="W213" i="4" s="1"/>
  <c r="J213" i="4" s="1"/>
  <c r="X213" i="4"/>
  <c r="X214" i="4"/>
  <c r="V214" i="4"/>
  <c r="W214" i="4" s="1"/>
  <c r="J214" i="4" s="1"/>
  <c r="V120" i="4"/>
  <c r="W120" i="4" s="1"/>
  <c r="J120" i="4" s="1"/>
  <c r="X120" i="4"/>
  <c r="X226" i="4"/>
  <c r="V226" i="4"/>
  <c r="W226" i="4" s="1"/>
  <c r="J226" i="4" s="1"/>
  <c r="Z184" i="4"/>
  <c r="V184" i="4"/>
  <c r="W184" i="4" s="1"/>
  <c r="J184" i="4" s="1"/>
  <c r="X184" i="4"/>
  <c r="V158" i="4"/>
  <c r="W158" i="4" s="1"/>
  <c r="J158" i="4" s="1"/>
  <c r="X158" i="4"/>
  <c r="V195" i="4"/>
  <c r="W195" i="4" s="1"/>
  <c r="J195" i="4" s="1"/>
  <c r="X195" i="4"/>
  <c r="X147" i="4"/>
  <c r="V147" i="4"/>
  <c r="W147" i="4" s="1"/>
  <c r="J147" i="4" s="1"/>
  <c r="X122" i="4"/>
  <c r="V122" i="4"/>
  <c r="W122" i="4" s="1"/>
  <c r="J122" i="4" s="1"/>
  <c r="X18" i="5"/>
  <c r="V18" i="5"/>
  <c r="W18" i="5" s="1"/>
  <c r="V7" i="5"/>
  <c r="W7" i="5" s="1"/>
  <c r="X7" i="5"/>
  <c r="X15" i="5"/>
  <c r="V15" i="5"/>
  <c r="W15" i="5" s="1"/>
  <c r="X8" i="5"/>
  <c r="V8" i="5"/>
  <c r="W8" i="5" s="1"/>
  <c r="X22" i="5"/>
  <c r="V22" i="5"/>
  <c r="W22" i="5" s="1"/>
  <c r="X20" i="5"/>
  <c r="V20" i="5"/>
  <c r="W20" i="5" s="1"/>
  <c r="V10" i="5"/>
  <c r="W10" i="5" s="1"/>
  <c r="X10" i="5"/>
  <c r="X17" i="5"/>
  <c r="V17" i="5"/>
  <c r="W17" i="5" s="1"/>
  <c r="V35" i="6"/>
  <c r="W35" i="6" s="1"/>
  <c r="X35" i="6"/>
  <c r="X32" i="6"/>
  <c r="V32" i="6"/>
  <c r="W32" i="6" s="1"/>
  <c r="X34" i="6"/>
  <c r="V34" i="6"/>
  <c r="W34" i="6" s="1"/>
  <c r="X14" i="6"/>
  <c r="V14" i="6"/>
  <c r="X27" i="6"/>
  <c r="V27" i="6"/>
  <c r="W27" i="6" s="1"/>
  <c r="V22" i="6"/>
  <c r="W22" i="6" s="1"/>
  <c r="X22" i="6"/>
  <c r="X29" i="6"/>
  <c r="V29" i="6"/>
  <c r="W29" i="6" s="1"/>
  <c r="V39" i="6"/>
  <c r="W39" i="6" s="1"/>
  <c r="X39" i="6"/>
  <c r="X33" i="6"/>
  <c r="V33" i="6"/>
  <c r="W33" i="6" s="1"/>
  <c r="X30" i="6"/>
  <c r="V30" i="6"/>
  <c r="W30" i="6" s="1"/>
  <c r="X40" i="6"/>
  <c r="V40" i="6"/>
  <c r="W40" i="6" s="1"/>
  <c r="V13" i="6"/>
  <c r="W13" i="6" s="1"/>
  <c r="X13" i="6"/>
  <c r="V36" i="6"/>
  <c r="W36" i="6" s="1"/>
  <c r="X36" i="6"/>
  <c r="X37" i="6"/>
  <c r="V37" i="6"/>
  <c r="W37" i="6" s="1"/>
  <c r="X15" i="6"/>
  <c r="V15" i="6"/>
  <c r="V17" i="7"/>
  <c r="W17" i="7" s="1"/>
  <c r="X17" i="7"/>
  <c r="V15" i="7"/>
  <c r="W15" i="7" s="1"/>
  <c r="X15" i="7"/>
  <c r="V19" i="7"/>
  <c r="W19" i="7" s="1"/>
  <c r="X19" i="7"/>
  <c r="X8" i="7"/>
  <c r="V8" i="7"/>
  <c r="W8" i="7" s="1"/>
  <c r="X13" i="7"/>
  <c r="V13" i="7"/>
  <c r="W13" i="7" s="1"/>
  <c r="V18" i="7"/>
  <c r="W18" i="7" s="1"/>
  <c r="X18" i="7"/>
  <c r="X16" i="7"/>
  <c r="V16" i="7"/>
  <c r="W16" i="7" s="1"/>
  <c r="V342" i="3"/>
  <c r="W342" i="3" s="1"/>
  <c r="X342" i="3"/>
  <c r="V449" i="3"/>
  <c r="W449" i="3" s="1"/>
  <c r="X449" i="3"/>
  <c r="X485" i="3"/>
  <c r="V485" i="3"/>
  <c r="W485" i="3" s="1"/>
  <c r="X305" i="3"/>
  <c r="V305" i="3"/>
  <c r="W305" i="3" s="1"/>
  <c r="X345" i="3"/>
  <c r="V345" i="3"/>
  <c r="W345" i="3" s="1"/>
  <c r="X394" i="3"/>
  <c r="V394" i="3"/>
  <c r="W394" i="3" s="1"/>
  <c r="X511" i="3"/>
  <c r="V511" i="3"/>
  <c r="W511" i="3" s="1"/>
  <c r="X481" i="3"/>
  <c r="V481" i="3"/>
  <c r="W481" i="3" s="1"/>
  <c r="X503" i="3"/>
  <c r="V503" i="3"/>
  <c r="W503" i="3" s="1"/>
  <c r="X492" i="3"/>
  <c r="V492" i="3"/>
  <c r="W492" i="3" s="1"/>
  <c r="X284" i="3"/>
  <c r="V284" i="3"/>
  <c r="W284" i="3" s="1"/>
  <c r="X560" i="3"/>
  <c r="V560" i="3"/>
  <c r="W560" i="3" s="1"/>
  <c r="V328" i="3"/>
  <c r="W328" i="3" s="1"/>
  <c r="X328" i="3"/>
  <c r="V417" i="3"/>
  <c r="W417" i="3" s="1"/>
  <c r="X417" i="3"/>
  <c r="X428" i="3"/>
  <c r="V428" i="3"/>
  <c r="W428" i="3" s="1"/>
  <c r="X392" i="3"/>
  <c r="V392" i="3"/>
  <c r="W392" i="3" s="1"/>
  <c r="V388" i="3"/>
  <c r="W388" i="3" s="1"/>
  <c r="X388" i="3"/>
  <c r="X289" i="3"/>
  <c r="V289" i="3"/>
  <c r="W289" i="3" s="1"/>
  <c r="V557" i="3"/>
  <c r="W557" i="3" s="1"/>
  <c r="X557" i="3"/>
  <c r="V343" i="3"/>
  <c r="W343" i="3" s="1"/>
  <c r="X343" i="3"/>
  <c r="V128" i="3"/>
  <c r="X128" i="3"/>
  <c r="X207" i="3"/>
  <c r="V207" i="3"/>
  <c r="V358" i="3"/>
  <c r="W358" i="3" s="1"/>
  <c r="X358" i="3"/>
  <c r="X325" i="3"/>
  <c r="V325" i="3"/>
  <c r="W325" i="3" s="1"/>
  <c r="V366" i="3"/>
  <c r="W366" i="3" s="1"/>
  <c r="X366" i="3"/>
  <c r="X251" i="3"/>
  <c r="V251" i="3"/>
  <c r="W251" i="3" s="1"/>
  <c r="V346" i="3"/>
  <c r="W346" i="3" s="1"/>
  <c r="X346" i="3"/>
  <c r="X412" i="3"/>
  <c r="V412" i="3"/>
  <c r="W412" i="3" s="1"/>
  <c r="X536" i="3"/>
  <c r="V536" i="3"/>
  <c r="W536" i="3" s="1"/>
  <c r="X440" i="3"/>
  <c r="V440" i="3"/>
  <c r="W440" i="3" s="1"/>
  <c r="X393" i="3"/>
  <c r="V393" i="3"/>
  <c r="W393" i="3" s="1"/>
  <c r="X391" i="3"/>
  <c r="V391" i="3"/>
  <c r="W391" i="3" s="1"/>
  <c r="V527" i="3"/>
  <c r="W527" i="3" s="1"/>
  <c r="X527" i="3"/>
  <c r="V403" i="3"/>
  <c r="W403" i="3" s="1"/>
  <c r="X403" i="3"/>
  <c r="V224" i="3"/>
  <c r="W224" i="3" s="1"/>
  <c r="X224" i="3"/>
  <c r="X258" i="3"/>
  <c r="V258" i="3"/>
  <c r="W258" i="3" s="1"/>
  <c r="X356" i="3"/>
  <c r="V356" i="3"/>
  <c r="W356" i="3" s="1"/>
  <c r="V508" i="3"/>
  <c r="W508" i="3" s="1"/>
  <c r="X508" i="3"/>
  <c r="X438" i="3"/>
  <c r="V438" i="3"/>
  <c r="W438" i="3" s="1"/>
  <c r="V390" i="3"/>
  <c r="W390" i="3" s="1"/>
  <c r="X390" i="3"/>
  <c r="V375" i="3"/>
  <c r="W375" i="3" s="1"/>
  <c r="X375" i="3"/>
  <c r="V396" i="3"/>
  <c r="W396" i="3" s="1"/>
  <c r="X396" i="3"/>
  <c r="V459" i="3"/>
  <c r="W459" i="3" s="1"/>
  <c r="X459" i="3"/>
  <c r="V408" i="3"/>
  <c r="W408" i="3" s="1"/>
  <c r="X408" i="3"/>
  <c r="X501" i="3"/>
  <c r="V501" i="3"/>
  <c r="W501" i="3" s="1"/>
  <c r="V127" i="3"/>
  <c r="W127" i="3" s="1"/>
  <c r="X127" i="3"/>
  <c r="V573" i="3"/>
  <c r="W573" i="3" s="1"/>
  <c r="X573" i="3"/>
  <c r="X553" i="3"/>
  <c r="V553" i="3"/>
  <c r="W553" i="3" s="1"/>
  <c r="X472" i="3"/>
  <c r="V472" i="3"/>
  <c r="W472" i="3" s="1"/>
  <c r="V555" i="3"/>
  <c r="W555" i="3" s="1"/>
  <c r="X555" i="3"/>
  <c r="X160" i="3"/>
  <c r="V160" i="3"/>
  <c r="W160" i="3" s="1"/>
  <c r="V315" i="3"/>
  <c r="W315" i="3" s="1"/>
  <c r="X315" i="3"/>
  <c r="X230" i="3"/>
  <c r="V230" i="3"/>
  <c r="W230" i="3" s="1"/>
  <c r="V458" i="3"/>
  <c r="W458" i="3" s="1"/>
  <c r="X458" i="3"/>
  <c r="V423" i="3"/>
  <c r="W423" i="3" s="1"/>
  <c r="X423" i="3"/>
  <c r="X514" i="3"/>
  <c r="V514" i="3"/>
  <c r="W514" i="3" s="1"/>
  <c r="V522" i="3"/>
  <c r="W522" i="3" s="1"/>
  <c r="X522" i="3"/>
  <c r="X257" i="3"/>
  <c r="V257" i="3"/>
  <c r="W257" i="3" s="1"/>
  <c r="X357" i="3"/>
  <c r="V357" i="3"/>
  <c r="W357" i="3" s="1"/>
  <c r="X377" i="3"/>
  <c r="V377" i="3"/>
  <c r="W377" i="3" s="1"/>
  <c r="V565" i="3"/>
  <c r="W565" i="3" s="1"/>
  <c r="X565" i="3"/>
  <c r="X434" i="3"/>
  <c r="V434" i="3"/>
  <c r="W434" i="3" s="1"/>
  <c r="X466" i="3"/>
  <c r="V466" i="3"/>
  <c r="W466" i="3" s="1"/>
  <c r="X288" i="3"/>
  <c r="V288" i="3"/>
  <c r="W288" i="3" s="1"/>
  <c r="V421" i="3"/>
  <c r="W421" i="3" s="1"/>
  <c r="X421" i="3"/>
  <c r="X453" i="3"/>
  <c r="V453" i="3"/>
  <c r="W453" i="3" s="1"/>
  <c r="X517" i="3"/>
  <c r="V517" i="3"/>
  <c r="W517" i="3" s="1"/>
  <c r="V450" i="3"/>
  <c r="W450" i="3" s="1"/>
  <c r="X450" i="3"/>
  <c r="V477" i="3"/>
  <c r="W477" i="3" s="1"/>
  <c r="X477" i="3"/>
  <c r="V120" i="3"/>
  <c r="X120" i="3"/>
  <c r="V369" i="3"/>
  <c r="W369" i="3" s="1"/>
  <c r="X369" i="3"/>
  <c r="X564" i="3"/>
  <c r="V564" i="3"/>
  <c r="W564" i="3" s="1"/>
  <c r="X282" i="3"/>
  <c r="V282" i="3"/>
  <c r="W282" i="3" s="1"/>
  <c r="X430" i="3"/>
  <c r="V430" i="3"/>
  <c r="W430" i="3" s="1"/>
  <c r="V238" i="3"/>
  <c r="W238" i="3" s="1"/>
  <c r="X238" i="3"/>
  <c r="X335" i="3"/>
  <c r="V335" i="3"/>
  <c r="W335" i="3" s="1"/>
  <c r="V161" i="3"/>
  <c r="X161" i="3"/>
  <c r="V395" i="3"/>
  <c r="W395" i="3" s="1"/>
  <c r="X395" i="3"/>
  <c r="V270" i="3"/>
  <c r="W270" i="3" s="1"/>
  <c r="X270" i="3"/>
  <c r="X419" i="3"/>
  <c r="V419" i="3"/>
  <c r="W419" i="3" s="1"/>
  <c r="X404" i="3"/>
  <c r="V404" i="3"/>
  <c r="W404" i="3" s="1"/>
  <c r="V333" i="3"/>
  <c r="W333" i="3" s="1"/>
  <c r="X333" i="3"/>
  <c r="V469" i="3"/>
  <c r="W469" i="3" s="1"/>
  <c r="X469" i="3"/>
  <c r="V352" i="3"/>
  <c r="W352" i="3" s="1"/>
  <c r="X352" i="3"/>
  <c r="V558" i="3"/>
  <c r="W558" i="3" s="1"/>
  <c r="X558" i="3"/>
  <c r="X426" i="3"/>
  <c r="V426" i="3"/>
  <c r="W426" i="3" s="1"/>
  <c r="X165" i="3"/>
  <c r="V165" i="3"/>
  <c r="X182" i="3"/>
  <c r="V182" i="3"/>
  <c r="W182" i="3" s="1"/>
  <c r="X378" i="3"/>
  <c r="V378" i="3"/>
  <c r="W378" i="3" s="1"/>
  <c r="X484" i="3"/>
  <c r="V484" i="3"/>
  <c r="W484" i="3" s="1"/>
  <c r="V385" i="3"/>
  <c r="W385" i="3" s="1"/>
  <c r="X385" i="3"/>
  <c r="V286" i="3"/>
  <c r="W286" i="3" s="1"/>
  <c r="X286" i="3"/>
  <c r="X349" i="3"/>
  <c r="V349" i="3"/>
  <c r="W349" i="3" s="1"/>
  <c r="V471" i="3"/>
  <c r="W471" i="3" s="1"/>
  <c r="X471" i="3"/>
  <c r="V336" i="3"/>
  <c r="W336" i="3" s="1"/>
  <c r="X336" i="3"/>
  <c r="X296" i="3"/>
  <c r="V296" i="3"/>
  <c r="W296" i="3" s="1"/>
  <c r="X260" i="3"/>
  <c r="V260" i="3"/>
  <c r="W260" i="3" s="1"/>
  <c r="X376" i="3"/>
  <c r="V376" i="3"/>
  <c r="W376" i="3" s="1"/>
  <c r="X245" i="3"/>
  <c r="V245" i="3"/>
  <c r="W245" i="3" s="1"/>
  <c r="X575" i="3"/>
  <c r="V575" i="3"/>
  <c r="W575" i="3" s="1"/>
  <c r="V73" i="3"/>
  <c r="X73" i="3"/>
  <c r="V290" i="3"/>
  <c r="W290" i="3" s="1"/>
  <c r="X290" i="3"/>
  <c r="X400" i="3"/>
  <c r="V400" i="3"/>
  <c r="W400" i="3" s="1"/>
  <c r="V243" i="3"/>
  <c r="W243" i="3" s="1"/>
  <c r="X243" i="3"/>
  <c r="V523" i="3"/>
  <c r="W523" i="3" s="1"/>
  <c r="X523" i="3"/>
  <c r="V463" i="3"/>
  <c r="W463" i="3" s="1"/>
  <c r="X463" i="3"/>
  <c r="V157" i="3"/>
  <c r="X157" i="3"/>
  <c r="V402" i="3"/>
  <c r="W402" i="3" s="1"/>
  <c r="X402" i="3"/>
  <c r="X308" i="3"/>
  <c r="V308" i="3"/>
  <c r="W308" i="3" s="1"/>
  <c r="V96" i="3"/>
  <c r="W96" i="3" s="1"/>
  <c r="X96" i="3"/>
  <c r="V98" i="3"/>
  <c r="X98" i="3"/>
  <c r="X196" i="3"/>
  <c r="V196" i="3"/>
  <c r="V197" i="3"/>
  <c r="X197" i="3"/>
  <c r="V198" i="3"/>
  <c r="X198" i="3"/>
  <c r="X519" i="3"/>
  <c r="V519" i="3"/>
  <c r="W519" i="3" s="1"/>
  <c r="X348" i="3"/>
  <c r="V348" i="3"/>
  <c r="W348" i="3" s="1"/>
  <c r="X574" i="3"/>
  <c r="V574" i="3"/>
  <c r="W574" i="3" s="1"/>
  <c r="V578" i="3"/>
  <c r="W578" i="3" s="1"/>
  <c r="X578" i="3"/>
  <c r="V146" i="3"/>
  <c r="X146" i="3"/>
  <c r="X513" i="3"/>
  <c r="V513" i="3"/>
  <c r="W513" i="3" s="1"/>
  <c r="X269" i="3"/>
  <c r="V269" i="3"/>
  <c r="W269" i="3" s="1"/>
  <c r="X236" i="3"/>
  <c r="V236" i="3"/>
  <c r="W236" i="3" s="1"/>
  <c r="V294" i="3"/>
  <c r="W294" i="3" s="1"/>
  <c r="X294" i="3"/>
  <c r="V276" i="3"/>
  <c r="W276" i="3" s="1"/>
  <c r="X276" i="3"/>
  <c r="V468" i="3"/>
  <c r="W468" i="3" s="1"/>
  <c r="X468" i="3"/>
  <c r="V280" i="3"/>
  <c r="W280" i="3" s="1"/>
  <c r="X280" i="3"/>
  <c r="V256" i="3"/>
  <c r="W256" i="3" s="1"/>
  <c r="X256" i="3"/>
  <c r="V502" i="3"/>
  <c r="W502" i="3" s="1"/>
  <c r="X502" i="3"/>
  <c r="X172" i="3"/>
  <c r="V172" i="3"/>
  <c r="V183" i="3"/>
  <c r="X183" i="3"/>
  <c r="X525" i="3"/>
  <c r="V525" i="3"/>
  <c r="W525" i="3" s="1"/>
  <c r="X319" i="3"/>
  <c r="V319" i="3"/>
  <c r="W319" i="3" s="1"/>
  <c r="V217" i="3"/>
  <c r="W217" i="3" s="1"/>
  <c r="X217" i="3"/>
  <c r="V332" i="3"/>
  <c r="W332" i="3" s="1"/>
  <c r="X332" i="3"/>
  <c r="V410" i="3"/>
  <c r="W410" i="3" s="1"/>
  <c r="X410" i="3"/>
  <c r="X248" i="3"/>
  <c r="V248" i="3"/>
  <c r="W248" i="3" s="1"/>
  <c r="X218" i="3"/>
  <c r="V218" i="3"/>
  <c r="X539" i="3"/>
  <c r="V539" i="3"/>
  <c r="W539" i="3" s="1"/>
  <c r="V273" i="3"/>
  <c r="W273" i="3" s="1"/>
  <c r="X273" i="3"/>
  <c r="V405" i="3"/>
  <c r="W405" i="3" s="1"/>
  <c r="X405" i="3"/>
  <c r="V425" i="3"/>
  <c r="W425" i="3" s="1"/>
  <c r="X425" i="3"/>
  <c r="X86" i="3"/>
  <c r="V86" i="3"/>
  <c r="V353" i="3"/>
  <c r="W353" i="3" s="1"/>
  <c r="X353" i="3"/>
  <c r="V267" i="3"/>
  <c r="W267" i="3" s="1"/>
  <c r="X267" i="3"/>
  <c r="V550" i="3"/>
  <c r="W550" i="3" s="1"/>
  <c r="X550" i="3"/>
  <c r="X316" i="3"/>
  <c r="V316" i="3"/>
  <c r="W316" i="3" s="1"/>
  <c r="X264" i="3"/>
  <c r="V264" i="3"/>
  <c r="W264" i="3" s="1"/>
  <c r="X277" i="3"/>
  <c r="V277" i="3"/>
  <c r="W277" i="3" s="1"/>
  <c r="V314" i="3"/>
  <c r="W314" i="3" s="1"/>
  <c r="X314" i="3"/>
  <c r="V401" i="3"/>
  <c r="W401" i="3" s="1"/>
  <c r="X401" i="3"/>
  <c r="X265" i="3"/>
  <c r="V265" i="3"/>
  <c r="W265" i="3" s="1"/>
  <c r="V414" i="3"/>
  <c r="W414" i="3" s="1"/>
  <c r="X414" i="3"/>
  <c r="X313" i="3"/>
  <c r="V313" i="3"/>
  <c r="W313" i="3" s="1"/>
  <c r="X497" i="3"/>
  <c r="V497" i="3"/>
  <c r="W497" i="3" s="1"/>
  <c r="V351" i="3"/>
  <c r="W351" i="3" s="1"/>
  <c r="X351" i="3"/>
  <c r="V304" i="3"/>
  <c r="W304" i="3" s="1"/>
  <c r="X304" i="3"/>
  <c r="X119" i="3"/>
  <c r="V119" i="3"/>
  <c r="W119" i="3" s="1"/>
  <c r="V489" i="3"/>
  <c r="W489" i="3" s="1"/>
  <c r="X489" i="3"/>
  <c r="X241" i="3"/>
  <c r="V241" i="3"/>
  <c r="W241" i="3" s="1"/>
  <c r="V415" i="3"/>
  <c r="W415" i="3" s="1"/>
  <c r="X415" i="3"/>
  <c r="V133" i="3"/>
  <c r="X133" i="3"/>
  <c r="V359" i="3"/>
  <c r="W359" i="3" s="1"/>
  <c r="X359" i="3"/>
  <c r="V281" i="3"/>
  <c r="W281" i="3" s="1"/>
  <c r="X281" i="3"/>
  <c r="X569" i="3"/>
  <c r="V569" i="3"/>
  <c r="W569" i="3" s="1"/>
  <c r="V538" i="3"/>
  <c r="W538" i="3" s="1"/>
  <c r="X538" i="3"/>
  <c r="V509" i="3"/>
  <c r="W509" i="3" s="1"/>
  <c r="X509" i="3"/>
  <c r="V225" i="3"/>
  <c r="X225" i="3"/>
  <c r="V178" i="3"/>
  <c r="W178" i="3" s="1"/>
  <c r="X178" i="3"/>
  <c r="V510" i="3"/>
  <c r="W510" i="3" s="1"/>
  <c r="X510" i="3"/>
  <c r="V504" i="3"/>
  <c r="W504" i="3" s="1"/>
  <c r="X504" i="3"/>
  <c r="V493" i="3"/>
  <c r="W493" i="3" s="1"/>
  <c r="X493" i="3"/>
  <c r="V307" i="3"/>
  <c r="W307" i="3" s="1"/>
  <c r="X307" i="3"/>
  <c r="V409" i="3"/>
  <c r="W409" i="3" s="1"/>
  <c r="X409" i="3"/>
  <c r="V193" i="3"/>
  <c r="X193" i="3"/>
  <c r="V364" i="3"/>
  <c r="W364" i="3" s="1"/>
  <c r="X364" i="3"/>
  <c r="V479" i="3"/>
  <c r="W479" i="3" s="1"/>
  <c r="X479" i="3"/>
  <c r="X246" i="3"/>
  <c r="V246" i="3"/>
  <c r="W246" i="3" s="1"/>
  <c r="X498" i="3"/>
  <c r="V498" i="3"/>
  <c r="W498" i="3" s="1"/>
  <c r="X168" i="3"/>
  <c r="V168" i="3"/>
  <c r="X556" i="3"/>
  <c r="V556" i="3"/>
  <c r="W556" i="3" s="1"/>
  <c r="X362" i="3"/>
  <c r="V362" i="3"/>
  <c r="W362" i="3" s="1"/>
  <c r="X452" i="3"/>
  <c r="V452" i="3"/>
  <c r="W452" i="3" s="1"/>
  <c r="X331" i="3"/>
  <c r="V331" i="3"/>
  <c r="W331" i="3" s="1"/>
  <c r="V439" i="3"/>
  <c r="W439" i="3" s="1"/>
  <c r="X439" i="3"/>
  <c r="X528" i="3"/>
  <c r="V528" i="3"/>
  <c r="W528" i="3" s="1"/>
  <c r="X380" i="3"/>
  <c r="V380" i="3"/>
  <c r="W380" i="3" s="1"/>
  <c r="X534" i="3"/>
  <c r="V534" i="3"/>
  <c r="W534" i="3" s="1"/>
  <c r="V323" i="3"/>
  <c r="W323" i="3" s="1"/>
  <c r="X323" i="3"/>
  <c r="X373" i="3"/>
  <c r="V373" i="3"/>
  <c r="W373" i="3" s="1"/>
  <c r="V232" i="3"/>
  <c r="W232" i="3" s="1"/>
  <c r="X232" i="3"/>
  <c r="V398" i="3"/>
  <c r="W398" i="3" s="1"/>
  <c r="X398" i="3"/>
  <c r="V530" i="3"/>
  <c r="W530" i="3" s="1"/>
  <c r="X530" i="3"/>
  <c r="V145" i="3"/>
  <c r="W145" i="3" s="1"/>
  <c r="X145" i="3"/>
  <c r="X293" i="3"/>
  <c r="V293" i="3"/>
  <c r="W293" i="3" s="1"/>
  <c r="X455" i="3"/>
  <c r="V455" i="3"/>
  <c r="W455" i="3" s="1"/>
  <c r="X464" i="3"/>
  <c r="V464" i="3"/>
  <c r="W464" i="3" s="1"/>
  <c r="X441" i="3"/>
  <c r="V441" i="3"/>
  <c r="W441" i="3" s="1"/>
  <c r="V272" i="3"/>
  <c r="W272" i="3" s="1"/>
  <c r="X272" i="3"/>
  <c r="X422" i="3"/>
  <c r="V422" i="3"/>
  <c r="W422" i="3" s="1"/>
  <c r="V520" i="3"/>
  <c r="W520" i="3" s="1"/>
  <c r="X520" i="3"/>
  <c r="V295" i="3"/>
  <c r="W295" i="3" s="1"/>
  <c r="X295" i="3"/>
  <c r="V547" i="3"/>
  <c r="W547" i="3" s="1"/>
  <c r="X547" i="3"/>
  <c r="X548" i="3"/>
  <c r="V548" i="3"/>
  <c r="W548" i="3" s="1"/>
  <c r="V381" i="3"/>
  <c r="W381" i="3" s="1"/>
  <c r="X381" i="3"/>
  <c r="V309" i="3"/>
  <c r="W309" i="3" s="1"/>
  <c r="X309" i="3"/>
  <c r="X254" i="3"/>
  <c r="V254" i="3"/>
  <c r="W254" i="3" s="1"/>
  <c r="V470" i="3"/>
  <c r="W470" i="3" s="1"/>
  <c r="X470" i="3"/>
  <c r="V303" i="3"/>
  <c r="W303" i="3" s="1"/>
  <c r="X303" i="3"/>
  <c r="V312" i="3"/>
  <c r="W312" i="3" s="1"/>
  <c r="X312" i="3"/>
  <c r="X106" i="3"/>
  <c r="V106" i="3"/>
  <c r="X543" i="3"/>
  <c r="V543" i="3"/>
  <c r="W543" i="3" s="1"/>
  <c r="V456" i="3"/>
  <c r="W456" i="3" s="1"/>
  <c r="X456" i="3"/>
  <c r="V111" i="3"/>
  <c r="W111" i="3" s="1"/>
  <c r="X111" i="3"/>
  <c r="X300" i="3"/>
  <c r="V300" i="3"/>
  <c r="W300" i="3" s="1"/>
  <c r="X84" i="3"/>
  <c r="V84" i="3"/>
  <c r="W84" i="3" s="1"/>
  <c r="X406" i="3"/>
  <c r="V406" i="3"/>
  <c r="W406" i="3" s="1"/>
  <c r="V443" i="3"/>
  <c r="W443" i="3" s="1"/>
  <c r="X443" i="3"/>
  <c r="X361" i="3"/>
  <c r="V361" i="3"/>
  <c r="W361" i="3" s="1"/>
  <c r="V442" i="3"/>
  <c r="W442" i="3" s="1"/>
  <c r="X442" i="3"/>
  <c r="X532" i="3"/>
  <c r="V532" i="3"/>
  <c r="W532" i="3" s="1"/>
  <c r="X535" i="3"/>
  <c r="V535" i="3"/>
  <c r="W535" i="3" s="1"/>
  <c r="V255" i="3"/>
  <c r="W255" i="3" s="1"/>
  <c r="X255" i="3"/>
  <c r="X338" i="3"/>
  <c r="V338" i="3"/>
  <c r="W338" i="3" s="1"/>
  <c r="V130" i="3"/>
  <c r="X130" i="3"/>
  <c r="X134" i="3"/>
  <c r="V134" i="3"/>
  <c r="V113" i="3"/>
  <c r="X113" i="3"/>
  <c r="V114" i="3"/>
  <c r="X114" i="3"/>
  <c r="X101" i="3"/>
  <c r="V101" i="3"/>
  <c r="X80" i="3"/>
  <c r="V80" i="3"/>
  <c r="V81" i="3"/>
  <c r="X81" i="3"/>
  <c r="V6" i="10"/>
  <c r="W6" i="10" s="1"/>
  <c r="X6" i="10"/>
  <c r="Z202" i="4"/>
  <c r="X202" i="4"/>
  <c r="V202" i="4"/>
  <c r="W202" i="4" s="1"/>
  <c r="J202" i="4" s="1"/>
  <c r="V150" i="4"/>
  <c r="W150" i="4" s="1"/>
  <c r="J150" i="4" s="1"/>
  <c r="X150" i="4"/>
  <c r="V135" i="4"/>
  <c r="W135" i="4" s="1"/>
  <c r="J135" i="4" s="1"/>
  <c r="X135" i="4"/>
  <c r="Z185" i="4"/>
  <c r="X185" i="4"/>
  <c r="V185" i="4"/>
  <c r="W185" i="4" s="1"/>
  <c r="J185" i="4" s="1"/>
  <c r="X159" i="4"/>
  <c r="V159" i="4"/>
  <c r="W159" i="4" s="1"/>
  <c r="J159" i="4" s="1"/>
  <c r="V216" i="4"/>
  <c r="W216" i="4" s="1"/>
  <c r="J216" i="4" s="1"/>
  <c r="X216" i="4"/>
  <c r="X16" i="6"/>
  <c r="V16" i="6"/>
  <c r="V147" i="3"/>
  <c r="X147" i="3"/>
  <c r="X180" i="3"/>
  <c r="V180" i="3"/>
  <c r="X87" i="3"/>
  <c r="V87" i="3"/>
  <c r="X169" i="3"/>
  <c r="V169" i="3"/>
  <c r="X122" i="3"/>
  <c r="V122" i="3"/>
  <c r="X115" i="3"/>
  <c r="V115" i="3"/>
  <c r="V201" i="3"/>
  <c r="X201" i="3"/>
  <c r="V82" i="3"/>
  <c r="X82" i="3"/>
  <c r="Z172" i="4"/>
  <c r="X172" i="4"/>
  <c r="V172" i="4"/>
  <c r="W172" i="4" s="1"/>
  <c r="J172" i="4" s="1"/>
  <c r="V106" i="4"/>
  <c r="W106" i="4" s="1"/>
  <c r="J106" i="4" s="1"/>
  <c r="X106" i="4"/>
  <c r="X203" i="4"/>
  <c r="V203" i="4"/>
  <c r="W203" i="4" s="1"/>
  <c r="J203" i="4" s="1"/>
  <c r="Z136" i="4"/>
  <c r="Z160" i="4"/>
  <c r="X181" i="3"/>
  <c r="V181" i="3"/>
  <c r="X88" i="3"/>
  <c r="V88" i="3"/>
  <c r="X176" i="3"/>
  <c r="V176" i="3"/>
  <c r="X170" i="3"/>
  <c r="V170" i="3"/>
  <c r="V108" i="3"/>
  <c r="X108" i="3"/>
  <c r="V210" i="3"/>
  <c r="X210" i="3"/>
  <c r="V136" i="3"/>
  <c r="X136" i="3"/>
  <c r="V116" i="3"/>
  <c r="X116" i="3"/>
  <c r="X103" i="3"/>
  <c r="V103" i="3"/>
  <c r="V83" i="3"/>
  <c r="X83" i="3"/>
  <c r="Z173" i="4"/>
  <c r="X173" i="4"/>
  <c r="V173" i="4"/>
  <c r="W173" i="4" s="1"/>
  <c r="J173" i="4" s="1"/>
  <c r="V107" i="4"/>
  <c r="W107" i="4" s="1"/>
  <c r="J107" i="4" s="1"/>
  <c r="X107" i="4"/>
  <c r="X204" i="4"/>
  <c r="V204" i="4"/>
  <c r="W204" i="4" s="1"/>
  <c r="J204" i="4" s="1"/>
  <c r="Z137" i="4"/>
  <c r="Z161" i="4"/>
  <c r="V161" i="4"/>
  <c r="W161" i="4" s="1"/>
  <c r="J161" i="4" s="1"/>
  <c r="X161" i="4"/>
  <c r="V186" i="3"/>
  <c r="X186" i="3"/>
  <c r="V221" i="3"/>
  <c r="X221" i="3"/>
  <c r="X137" i="3"/>
  <c r="V137" i="3"/>
  <c r="X124" i="3"/>
  <c r="V124" i="3"/>
  <c r="V117" i="3"/>
  <c r="X117" i="3"/>
  <c r="V174" i="4"/>
  <c r="W174" i="4" s="1"/>
  <c r="J174" i="4" s="1"/>
  <c r="X174" i="4"/>
  <c r="Z205" i="4"/>
  <c r="X129" i="4"/>
  <c r="V129" i="4"/>
  <c r="W129" i="4" s="1"/>
  <c r="J129" i="4" s="1"/>
  <c r="V153" i="4"/>
  <c r="W153" i="4" s="1"/>
  <c r="J153" i="4" s="1"/>
  <c r="X153" i="4"/>
  <c r="X138" i="4"/>
  <c r="V138" i="4"/>
  <c r="W138" i="4" s="1"/>
  <c r="J138" i="4" s="1"/>
  <c r="Z188" i="4"/>
  <c r="V162" i="4"/>
  <c r="W162" i="4" s="1"/>
  <c r="J162" i="4" s="1"/>
  <c r="X162" i="4"/>
  <c r="X90" i="3"/>
  <c r="V90" i="3"/>
  <c r="X110" i="3"/>
  <c r="V110" i="3"/>
  <c r="V212" i="3"/>
  <c r="X212" i="3"/>
  <c r="V138" i="3"/>
  <c r="X138" i="3"/>
  <c r="V125" i="3"/>
  <c r="X125" i="3"/>
  <c r="X118" i="3"/>
  <c r="V118" i="3"/>
  <c r="V204" i="3"/>
  <c r="X204" i="3"/>
  <c r="X109" i="4"/>
  <c r="V109" i="4"/>
  <c r="W109" i="4" s="1"/>
  <c r="J109" i="4" s="1"/>
  <c r="Z206" i="4"/>
  <c r="V206" i="4"/>
  <c r="W206" i="4" s="1"/>
  <c r="J206" i="4" s="1"/>
  <c r="X206" i="4"/>
  <c r="Z163" i="4"/>
  <c r="X223" i="3"/>
  <c r="V223" i="3"/>
  <c r="X213" i="3"/>
  <c r="V213" i="3"/>
  <c r="X139" i="3"/>
  <c r="V139" i="3"/>
  <c r="Z207" i="4"/>
  <c r="V207" i="4"/>
  <c r="W207" i="4" s="1"/>
  <c r="J207" i="4" s="1"/>
  <c r="X207" i="4"/>
  <c r="X131" i="4"/>
  <c r="V131" i="4"/>
  <c r="W131" i="4" s="1"/>
  <c r="J131" i="4" s="1"/>
  <c r="X140" i="4"/>
  <c r="V140" i="4"/>
  <c r="W140" i="4" s="1"/>
  <c r="J140" i="4" s="1"/>
  <c r="Z190" i="4"/>
  <c r="X190" i="4"/>
  <c r="V190" i="4"/>
  <c r="W190" i="4" s="1"/>
  <c r="J190" i="4" s="1"/>
  <c r="Z164" i="4"/>
  <c r="V189" i="3"/>
  <c r="X189" i="3"/>
  <c r="V214" i="3"/>
  <c r="X214" i="3"/>
  <c r="V111" i="4"/>
  <c r="W111" i="4" s="1"/>
  <c r="J111" i="4" s="1"/>
  <c r="X111" i="4"/>
  <c r="V208" i="4"/>
  <c r="W208" i="4" s="1"/>
  <c r="J208" i="4" s="1"/>
  <c r="X208" i="4"/>
  <c r="Z141" i="4"/>
  <c r="X141" i="4"/>
  <c r="V141" i="4"/>
  <c r="W141" i="4" s="1"/>
  <c r="J141" i="4" s="1"/>
  <c r="V142" i="4"/>
  <c r="W142" i="4" s="1"/>
  <c r="J142" i="4" s="1"/>
  <c r="X142" i="4"/>
  <c r="Z179" i="4"/>
  <c r="V179" i="4"/>
  <c r="W179" i="4" s="1"/>
  <c r="J179" i="4" s="1"/>
  <c r="X179" i="4"/>
  <c r="V113" i="4"/>
  <c r="W113" i="4" s="1"/>
  <c r="J113" i="4" s="1"/>
  <c r="X113" i="4"/>
  <c r="X155" i="3"/>
  <c r="V155" i="3"/>
  <c r="V95" i="3"/>
  <c r="X95" i="3"/>
  <c r="X144" i="3"/>
  <c r="V144" i="3"/>
  <c r="Y100" i="4"/>
  <c r="Y88" i="4"/>
  <c r="Y41" i="4"/>
  <c r="Y33" i="4"/>
  <c r="Y82" i="4"/>
  <c r="Y28" i="4"/>
  <c r="Y32" i="4"/>
  <c r="Y85" i="4"/>
  <c r="Y80" i="4"/>
  <c r="Y46" i="4"/>
  <c r="Y64" i="4"/>
  <c r="Y30" i="4"/>
  <c r="Y58" i="4"/>
  <c r="Y70" i="4"/>
  <c r="Y8" i="4"/>
  <c r="Y17" i="4"/>
  <c r="Y48" i="4"/>
  <c r="Y22" i="4"/>
  <c r="Y81" i="4"/>
  <c r="Y27" i="4"/>
  <c r="Y39" i="4"/>
  <c r="Y47" i="4"/>
  <c r="Y65" i="4"/>
  <c r="Y31" i="4"/>
  <c r="Y21" i="4"/>
  <c r="Y93" i="4"/>
  <c r="Y4" i="4"/>
  <c r="Y52" i="4"/>
  <c r="Y26" i="4"/>
  <c r="Y74" i="4"/>
  <c r="Y38" i="4"/>
  <c r="Y20" i="4"/>
  <c r="Y37" i="4"/>
  <c r="Y10" i="4"/>
  <c r="V5" i="8"/>
  <c r="X5" i="8"/>
  <c r="X278" i="4"/>
  <c r="V278" i="4"/>
  <c r="W278" i="4" s="1"/>
  <c r="V234" i="4"/>
  <c r="W234" i="4" s="1"/>
  <c r="X234" i="4"/>
  <c r="V343" i="4"/>
  <c r="W343" i="4" s="1"/>
  <c r="X343" i="4"/>
  <c r="V223" i="4"/>
  <c r="W223" i="4" s="1"/>
  <c r="J223" i="4" s="1"/>
  <c r="X223" i="4"/>
  <c r="X251" i="4"/>
  <c r="V251" i="4"/>
  <c r="W251" i="4" s="1"/>
  <c r="X305" i="4"/>
  <c r="V305" i="4"/>
  <c r="W305" i="4" s="1"/>
  <c r="V362" i="4"/>
  <c r="W362" i="4" s="1"/>
  <c r="X362" i="4"/>
  <c r="V259" i="4"/>
  <c r="W259" i="4" s="1"/>
  <c r="X259" i="4"/>
  <c r="V257" i="4"/>
  <c r="W257" i="4" s="1"/>
  <c r="X257" i="4"/>
  <c r="X232" i="4"/>
  <c r="V232" i="4"/>
  <c r="W232" i="4" s="1"/>
  <c r="V350" i="4"/>
  <c r="W350" i="4" s="1"/>
  <c r="X350" i="4"/>
  <c r="V290" i="4"/>
  <c r="W290" i="4" s="1"/>
  <c r="X290" i="4"/>
  <c r="X222" i="4"/>
  <c r="V222" i="4"/>
  <c r="W222" i="4" s="1"/>
  <c r="V374" i="4"/>
  <c r="W374" i="4" s="1"/>
  <c r="X374" i="4"/>
  <c r="X228" i="4"/>
  <c r="V228" i="4"/>
  <c r="W228" i="4" s="1"/>
  <c r="V356" i="4"/>
  <c r="W356" i="4" s="1"/>
  <c r="X356" i="4"/>
  <c r="X165" i="4"/>
  <c r="V165" i="4"/>
  <c r="W165" i="4" s="1"/>
  <c r="V230" i="4"/>
  <c r="W230" i="4" s="1"/>
  <c r="X230" i="4"/>
  <c r="V244" i="4"/>
  <c r="W244" i="4" s="1"/>
  <c r="X244" i="4"/>
  <c r="V115" i="4"/>
  <c r="W115" i="4" s="1"/>
  <c r="J115" i="4" s="1"/>
  <c r="X115" i="4"/>
  <c r="V292" i="4"/>
  <c r="W292" i="4" s="1"/>
  <c r="X292" i="4"/>
  <c r="X339" i="4"/>
  <c r="V339" i="4"/>
  <c r="W339" i="4" s="1"/>
  <c r="V267" i="4"/>
  <c r="W267" i="4" s="1"/>
  <c r="X267" i="4"/>
  <c r="X233" i="4"/>
  <c r="V233" i="4"/>
  <c r="W233" i="4" s="1"/>
  <c r="V289" i="4"/>
  <c r="W289" i="4" s="1"/>
  <c r="X289" i="4"/>
  <c r="V358" i="4"/>
  <c r="W358" i="4" s="1"/>
  <c r="X358" i="4"/>
  <c r="V317" i="4"/>
  <c r="W317" i="4" s="1"/>
  <c r="X317" i="4"/>
  <c r="X155" i="4"/>
  <c r="V155" i="4"/>
  <c r="W155" i="4" s="1"/>
  <c r="J155" i="4" s="1"/>
  <c r="V275" i="4"/>
  <c r="W275" i="4" s="1"/>
  <c r="X275" i="4"/>
  <c r="V338" i="4"/>
  <c r="W338" i="4" s="1"/>
  <c r="X338" i="4"/>
  <c r="V286" i="4"/>
  <c r="W286" i="4" s="1"/>
  <c r="X286" i="4"/>
  <c r="V276" i="4"/>
  <c r="W276" i="4" s="1"/>
  <c r="X276" i="4"/>
  <c r="V288" i="4"/>
  <c r="W288" i="4" s="1"/>
  <c r="X288" i="4"/>
  <c r="X365" i="4"/>
  <c r="V365" i="4"/>
  <c r="W365" i="4" s="1"/>
  <c r="X241" i="4"/>
  <c r="V241" i="4"/>
  <c r="W241" i="4" s="1"/>
  <c r="V210" i="4"/>
  <c r="W210" i="4" s="1"/>
  <c r="J210" i="4" s="1"/>
  <c r="X210" i="4"/>
  <c r="V359" i="4"/>
  <c r="W359" i="4" s="1"/>
  <c r="X359" i="4"/>
  <c r="V224" i="4"/>
  <c r="W224" i="4" s="1"/>
  <c r="J224" i="4" s="1"/>
  <c r="X224" i="4"/>
  <c r="X212" i="4"/>
  <c r="V212" i="4"/>
  <c r="W212" i="4" s="1"/>
  <c r="J212" i="4" s="1"/>
  <c r="V329" i="4"/>
  <c r="W329" i="4" s="1"/>
  <c r="X329" i="4"/>
  <c r="X309" i="4"/>
  <c r="V309" i="4"/>
  <c r="W309" i="4" s="1"/>
  <c r="X242" i="4"/>
  <c r="V242" i="4"/>
  <c r="W242" i="4" s="1"/>
  <c r="X266" i="4"/>
  <c r="V266" i="4"/>
  <c r="W266" i="4" s="1"/>
  <c r="V293" i="4"/>
  <c r="W293" i="4" s="1"/>
  <c r="X293" i="4"/>
  <c r="X337" i="4"/>
  <c r="V337" i="4"/>
  <c r="W337" i="4" s="1"/>
  <c r="V258" i="4"/>
  <c r="W258" i="4" s="1"/>
  <c r="X258" i="4"/>
  <c r="V281" i="4"/>
  <c r="W281" i="4" s="1"/>
  <c r="X281" i="4"/>
  <c r="V166" i="4"/>
  <c r="W166" i="4" s="1"/>
  <c r="J166" i="4" s="1"/>
  <c r="X166" i="4"/>
  <c r="X322" i="4"/>
  <c r="V322" i="4"/>
  <c r="W322" i="4" s="1"/>
  <c r="X239" i="4"/>
  <c r="V239" i="4"/>
  <c r="W239" i="4" s="1"/>
  <c r="V263" i="4"/>
  <c r="W263" i="4" s="1"/>
  <c r="X263" i="4"/>
  <c r="V247" i="4"/>
  <c r="W247" i="4" s="1"/>
  <c r="X247" i="4"/>
  <c r="V361" i="4"/>
  <c r="W361" i="4" s="1"/>
  <c r="X361" i="4"/>
  <c r="X310" i="4"/>
  <c r="V310" i="4"/>
  <c r="W310" i="4" s="1"/>
  <c r="V344" i="4"/>
  <c r="W344" i="4" s="1"/>
  <c r="X344" i="4"/>
  <c r="V170" i="4"/>
  <c r="W170" i="4" s="1"/>
  <c r="J170" i="4" s="1"/>
  <c r="X170" i="4"/>
  <c r="X249" i="4"/>
  <c r="V249" i="4"/>
  <c r="W249" i="4" s="1"/>
  <c r="X169" i="4"/>
  <c r="V169" i="4"/>
  <c r="W169" i="4" s="1"/>
  <c r="V330" i="4"/>
  <c r="W330" i="4" s="1"/>
  <c r="X330" i="4"/>
  <c r="V272" i="4"/>
  <c r="W272" i="4" s="1"/>
  <c r="X272" i="4"/>
  <c r="V284" i="4"/>
  <c r="W284" i="4" s="1"/>
  <c r="X284" i="4"/>
  <c r="X352" i="4"/>
  <c r="V352" i="4"/>
  <c r="W352" i="4" s="1"/>
  <c r="X256" i="4"/>
  <c r="V256" i="4"/>
  <c r="W256" i="4" s="1"/>
  <c r="V349" i="4"/>
  <c r="W349" i="4" s="1"/>
  <c r="X349" i="4"/>
  <c r="X287" i="4"/>
  <c r="V287" i="4"/>
  <c r="W287" i="4" s="1"/>
  <c r="X335" i="4"/>
  <c r="V335" i="4"/>
  <c r="W335" i="4" s="1"/>
  <c r="V209" i="4"/>
  <c r="W209" i="4" s="1"/>
  <c r="X209" i="4"/>
  <c r="X243" i="4"/>
  <c r="V243" i="4"/>
  <c r="W243" i="4" s="1"/>
  <c r="V133" i="4"/>
  <c r="W133" i="4" s="1"/>
  <c r="X133" i="4"/>
  <c r="X248" i="4"/>
  <c r="V248" i="4"/>
  <c r="W248" i="4" s="1"/>
  <c r="V341" i="4"/>
  <c r="W341" i="4" s="1"/>
  <c r="X341" i="4"/>
  <c r="X123" i="4"/>
  <c r="V123" i="4"/>
  <c r="W123" i="4" s="1"/>
  <c r="X307" i="4"/>
  <c r="V307" i="4"/>
  <c r="W307" i="4" s="1"/>
  <c r="X217" i="4"/>
  <c r="V217" i="4"/>
  <c r="W217" i="4" s="1"/>
  <c r="X285" i="4"/>
  <c r="V285" i="4"/>
  <c r="W285" i="4" s="1"/>
  <c r="V148" i="4"/>
  <c r="W148" i="4" s="1"/>
  <c r="X148" i="4"/>
  <c r="X302" i="4"/>
  <c r="V302" i="4"/>
  <c r="W302" i="4" s="1"/>
  <c r="V235" i="4"/>
  <c r="W235" i="4" s="1"/>
  <c r="X235" i="4"/>
  <c r="X315" i="4"/>
  <c r="V315" i="4"/>
  <c r="W315" i="4" s="1"/>
  <c r="X369" i="4"/>
  <c r="V369" i="4"/>
  <c r="W369" i="4" s="1"/>
  <c r="X299" i="4"/>
  <c r="V299" i="4"/>
  <c r="W299" i="4" s="1"/>
  <c r="V192" i="4"/>
  <c r="W192" i="4" s="1"/>
  <c r="J192" i="4" s="1"/>
  <c r="X192" i="4"/>
  <c r="X314" i="4"/>
  <c r="V314" i="4"/>
  <c r="W314" i="4" s="1"/>
  <c r="V316" i="4"/>
  <c r="W316" i="4" s="1"/>
  <c r="X316" i="4"/>
  <c r="X331" i="4"/>
  <c r="V331" i="4"/>
  <c r="W331" i="4" s="1"/>
  <c r="V345" i="4"/>
  <c r="W345" i="4" s="1"/>
  <c r="X345" i="4"/>
  <c r="V197" i="4"/>
  <c r="W197" i="4" s="1"/>
  <c r="J197" i="4" s="1"/>
  <c r="X197" i="4"/>
  <c r="X320" i="4"/>
  <c r="V320" i="4"/>
  <c r="W320" i="4" s="1"/>
  <c r="Z182" i="4"/>
  <c r="V182" i="4"/>
  <c r="W182" i="4" s="1"/>
  <c r="J182" i="4" s="1"/>
  <c r="X182" i="4"/>
  <c r="X156" i="4"/>
  <c r="V156" i="4"/>
  <c r="W156" i="4" s="1"/>
  <c r="J156" i="4" s="1"/>
  <c r="V193" i="4"/>
  <c r="W193" i="4" s="1"/>
  <c r="J193" i="4" s="1"/>
  <c r="X193" i="4"/>
  <c r="V145" i="4"/>
  <c r="W145" i="4" s="1"/>
  <c r="J145" i="4" s="1"/>
  <c r="X145" i="4"/>
  <c r="V220" i="4"/>
  <c r="W220" i="4" s="1"/>
  <c r="J220" i="4" s="1"/>
  <c r="X220" i="4"/>
  <c r="V225" i="4"/>
  <c r="W225" i="4" s="1"/>
  <c r="J225" i="4" s="1"/>
  <c r="X225" i="4"/>
  <c r="Z157" i="4"/>
  <c r="X157" i="4"/>
  <c r="V157" i="4"/>
  <c r="W157" i="4" s="1"/>
  <c r="J157" i="4" s="1"/>
  <c r="Z146" i="4"/>
  <c r="X146" i="4"/>
  <c r="V146" i="4"/>
  <c r="W146" i="4" s="1"/>
  <c r="J146" i="4" s="1"/>
  <c r="X199" i="4"/>
  <c r="V199" i="4"/>
  <c r="W199" i="4" s="1"/>
  <c r="J199" i="4" s="1"/>
  <c r="V119" i="4"/>
  <c r="W119" i="4" s="1"/>
  <c r="J119" i="4" s="1"/>
  <c r="X119" i="4"/>
  <c r="V121" i="4"/>
  <c r="W121" i="4" s="1"/>
  <c r="J121" i="4" s="1"/>
  <c r="X121" i="4"/>
  <c r="Z158" i="4"/>
  <c r="X215" i="4"/>
  <c r="V215" i="4"/>
  <c r="W215" i="4" s="1"/>
  <c r="J215" i="4" s="1"/>
  <c r="V6" i="5"/>
  <c r="X6" i="5"/>
  <c r="X13" i="5"/>
  <c r="V13" i="5"/>
  <c r="W13" i="5" s="1"/>
  <c r="X21" i="5"/>
  <c r="V21" i="5"/>
  <c r="W21" i="5" s="1"/>
  <c r="X16" i="5"/>
  <c r="V16" i="5"/>
  <c r="W16" i="5" s="1"/>
  <c r="V14" i="5"/>
  <c r="W14" i="5" s="1"/>
  <c r="X14" i="5"/>
  <c r="V12" i="5"/>
  <c r="W12" i="5" s="1"/>
  <c r="X12" i="5"/>
  <c r="X11" i="5"/>
  <c r="V11" i="5"/>
  <c r="W11" i="5" s="1"/>
  <c r="X19" i="5"/>
  <c r="V19" i="5"/>
  <c r="W19" i="5" s="1"/>
  <c r="X9" i="5"/>
  <c r="V9" i="5"/>
  <c r="W9" i="5" s="1"/>
  <c r="V26" i="6"/>
  <c r="W26" i="6" s="1"/>
  <c r="X26" i="6"/>
  <c r="X12" i="6"/>
  <c r="V12" i="6"/>
  <c r="X20" i="6"/>
  <c r="V20" i="6"/>
  <c r="W20" i="6" s="1"/>
  <c r="V18" i="6"/>
  <c r="W18" i="6" s="1"/>
  <c r="X18" i="6"/>
  <c r="X31" i="6"/>
  <c r="V31" i="6"/>
  <c r="W31" i="6" s="1"/>
  <c r="X23" i="6"/>
  <c r="V23" i="6"/>
  <c r="W23" i="6" s="1"/>
  <c r="X38" i="6"/>
  <c r="V38" i="6"/>
  <c r="W38" i="6" s="1"/>
  <c r="V25" i="6"/>
  <c r="W25" i="6" s="1"/>
  <c r="X25" i="6"/>
  <c r="X19" i="6"/>
  <c r="V19" i="6"/>
  <c r="W19" i="6" s="1"/>
  <c r="X28" i="6"/>
  <c r="V28" i="6"/>
  <c r="W28" i="6" s="1"/>
  <c r="X21" i="6"/>
  <c r="V21" i="6"/>
  <c r="W21" i="6" s="1"/>
  <c r="V24" i="6"/>
  <c r="W24" i="6" s="1"/>
  <c r="X24" i="6"/>
  <c r="X3" i="7"/>
  <c r="V3" i="7"/>
  <c r="V9" i="7"/>
  <c r="W9" i="7" s="1"/>
  <c r="X9" i="7"/>
  <c r="X6" i="7"/>
  <c r="V6" i="7"/>
  <c r="W6" i="7" s="1"/>
  <c r="X21" i="7"/>
  <c r="V21" i="7"/>
  <c r="W21" i="7" s="1"/>
  <c r="V7" i="7"/>
  <c r="W7" i="7" s="1"/>
  <c r="X7" i="7"/>
  <c r="V14" i="7"/>
  <c r="W14" i="7" s="1"/>
  <c r="X14" i="7"/>
  <c r="X10" i="7"/>
  <c r="V10" i="7"/>
  <c r="W10" i="7" s="1"/>
  <c r="V20" i="7"/>
  <c r="W20" i="7" s="1"/>
  <c r="X20" i="7"/>
  <c r="V11" i="7"/>
  <c r="W11" i="7" s="1"/>
  <c r="X11" i="7"/>
  <c r="V12" i="7"/>
  <c r="W12" i="7" s="1"/>
  <c r="X12" i="7"/>
  <c r="V191" i="3"/>
  <c r="X191" i="3"/>
  <c r="X206" i="3"/>
  <c r="V206" i="3"/>
  <c r="X577" i="3"/>
  <c r="V577" i="3"/>
  <c r="W577" i="3" s="1"/>
  <c r="V324" i="3"/>
  <c r="W324" i="3" s="1"/>
  <c r="X324" i="3"/>
  <c r="X318" i="3"/>
  <c r="V318" i="3"/>
  <c r="W318" i="3" s="1"/>
  <c r="V545" i="3"/>
  <c r="W545" i="3" s="1"/>
  <c r="X545" i="3"/>
  <c r="V568" i="3"/>
  <c r="W568" i="3" s="1"/>
  <c r="X568" i="3"/>
  <c r="X242" i="3"/>
  <c r="V242" i="3"/>
  <c r="W242" i="3" s="1"/>
  <c r="X310" i="3"/>
  <c r="V310" i="3"/>
  <c r="W310" i="3" s="1"/>
  <c r="X339" i="3"/>
  <c r="V339" i="3"/>
  <c r="W339" i="3" s="1"/>
  <c r="X274" i="3"/>
  <c r="V274" i="3"/>
  <c r="W274" i="3" s="1"/>
  <c r="X320" i="3"/>
  <c r="V320" i="3"/>
  <c r="W320" i="3" s="1"/>
  <c r="V253" i="3"/>
  <c r="W253" i="3" s="1"/>
  <c r="X253" i="3"/>
  <c r="V542" i="3"/>
  <c r="W542" i="3" s="1"/>
  <c r="X542" i="3"/>
  <c r="V322" i="3"/>
  <c r="W322" i="3" s="1"/>
  <c r="X322" i="3"/>
  <c r="X167" i="3"/>
  <c r="V167" i="3"/>
  <c r="W167" i="3" s="1"/>
  <c r="V506" i="3"/>
  <c r="W506" i="3" s="1"/>
  <c r="X506" i="3"/>
  <c r="V371" i="3"/>
  <c r="W371" i="3" s="1"/>
  <c r="X371" i="3"/>
  <c r="X244" i="3"/>
  <c r="V244" i="3"/>
  <c r="W244" i="3" s="1"/>
  <c r="V490" i="3"/>
  <c r="W490" i="3" s="1"/>
  <c r="X490" i="3"/>
  <c r="X374" i="3"/>
  <c r="V374" i="3"/>
  <c r="W374" i="3" s="1"/>
  <c r="X327" i="3"/>
  <c r="V327" i="3"/>
  <c r="W327" i="3" s="1"/>
  <c r="X561" i="3"/>
  <c r="V561" i="3"/>
  <c r="W561" i="3" s="1"/>
  <c r="V85" i="3"/>
  <c r="X85" i="3"/>
  <c r="V129" i="3"/>
  <c r="X129" i="3"/>
  <c r="V447" i="3"/>
  <c r="W447" i="3" s="1"/>
  <c r="X447" i="3"/>
  <c r="X431" i="3"/>
  <c r="V431" i="3"/>
  <c r="W431" i="3" s="1"/>
  <c r="V437" i="3"/>
  <c r="W437" i="3" s="1"/>
  <c r="X437" i="3"/>
  <c r="X432" i="3"/>
  <c r="V432" i="3"/>
  <c r="W432" i="3" s="1"/>
  <c r="V435" i="3"/>
  <c r="W435" i="3" s="1"/>
  <c r="X435" i="3"/>
  <c r="V462" i="3"/>
  <c r="W462" i="3" s="1"/>
  <c r="X462" i="3"/>
  <c r="V367" i="3"/>
  <c r="W367" i="3" s="1"/>
  <c r="X367" i="3"/>
  <c r="V566" i="3"/>
  <c r="W566" i="3" s="1"/>
  <c r="X566" i="3"/>
  <c r="V350" i="3"/>
  <c r="W350" i="3" s="1"/>
  <c r="X350" i="3"/>
  <c r="V291" i="3"/>
  <c r="W291" i="3" s="1"/>
  <c r="X291" i="3"/>
  <c r="V334" i="3"/>
  <c r="W334" i="3" s="1"/>
  <c r="X334" i="3"/>
  <c r="V495" i="3"/>
  <c r="W495" i="3" s="1"/>
  <c r="X495" i="3"/>
  <c r="V448" i="3"/>
  <c r="W448" i="3" s="1"/>
  <c r="X448" i="3"/>
  <c r="X476" i="3"/>
  <c r="V476" i="3"/>
  <c r="W476" i="3" s="1"/>
  <c r="V446" i="3"/>
  <c r="W446" i="3" s="1"/>
  <c r="X446" i="3"/>
  <c r="X529" i="3"/>
  <c r="V529" i="3"/>
  <c r="W529" i="3" s="1"/>
  <c r="V321" i="3"/>
  <c r="W321" i="3" s="1"/>
  <c r="X321" i="3"/>
  <c r="X427" i="3"/>
  <c r="V427" i="3"/>
  <c r="W427" i="3" s="1"/>
  <c r="V572" i="3"/>
  <c r="W572" i="3" s="1"/>
  <c r="X572" i="3"/>
  <c r="X252" i="3"/>
  <c r="V252" i="3"/>
  <c r="W252" i="3" s="1"/>
  <c r="X436" i="3"/>
  <c r="V436" i="3"/>
  <c r="W436" i="3" s="1"/>
  <c r="X418" i="3"/>
  <c r="V418" i="3"/>
  <c r="W418" i="3" s="1"/>
  <c r="X461" i="3"/>
  <c r="V461" i="3"/>
  <c r="W461" i="3" s="1"/>
  <c r="X482" i="3"/>
  <c r="V482" i="3"/>
  <c r="W482" i="3" s="1"/>
  <c r="V228" i="3"/>
  <c r="W228" i="3" s="1"/>
  <c r="X228" i="3"/>
  <c r="X467" i="3"/>
  <c r="V467" i="3"/>
  <c r="W467" i="3" s="1"/>
  <c r="V563" i="3"/>
  <c r="W563" i="3" s="1"/>
  <c r="X563" i="3"/>
  <c r="X551" i="3"/>
  <c r="V551" i="3"/>
  <c r="W551" i="3" s="1"/>
  <c r="V239" i="3"/>
  <c r="W239" i="3" s="1"/>
  <c r="X239" i="3"/>
  <c r="V171" i="3"/>
  <c r="W171" i="3" s="1"/>
  <c r="X171" i="3"/>
  <c r="V483" i="3"/>
  <c r="W483" i="3" s="1"/>
  <c r="X483" i="3"/>
  <c r="V234" i="3"/>
  <c r="W234" i="3" s="1"/>
  <c r="X234" i="3"/>
  <c r="X372" i="3"/>
  <c r="V372" i="3"/>
  <c r="W372" i="3" s="1"/>
  <c r="X164" i="3"/>
  <c r="V164" i="3"/>
  <c r="W164" i="3" s="1"/>
  <c r="V444" i="3"/>
  <c r="W444" i="3" s="1"/>
  <c r="X444" i="3"/>
  <c r="V326" i="3"/>
  <c r="W326" i="3" s="1"/>
  <c r="X326" i="3"/>
  <c r="X250" i="3"/>
  <c r="V250" i="3"/>
  <c r="W250" i="3" s="1"/>
  <c r="X262" i="3"/>
  <c r="V262" i="3"/>
  <c r="W262" i="3" s="1"/>
  <c r="X524" i="3"/>
  <c r="V524" i="3"/>
  <c r="W524" i="3" s="1"/>
  <c r="X97" i="3"/>
  <c r="V97" i="3"/>
  <c r="V384" i="3"/>
  <c r="W384" i="3" s="1"/>
  <c r="X384" i="3"/>
  <c r="X487" i="3"/>
  <c r="V487" i="3"/>
  <c r="W487" i="3" s="1"/>
  <c r="X382" i="3"/>
  <c r="V382" i="3"/>
  <c r="W382" i="3" s="1"/>
  <c r="X354" i="3"/>
  <c r="V354" i="3"/>
  <c r="W354" i="3" s="1"/>
  <c r="X299" i="3"/>
  <c r="V299" i="3"/>
  <c r="W299" i="3" s="1"/>
  <c r="V275" i="3"/>
  <c r="W275" i="3" s="1"/>
  <c r="X275" i="3"/>
  <c r="V580" i="3"/>
  <c r="W580" i="3" s="1"/>
  <c r="X580" i="3"/>
  <c r="X387" i="3"/>
  <c r="V387" i="3"/>
  <c r="W387" i="3" s="1"/>
  <c r="X261" i="3"/>
  <c r="V261" i="3"/>
  <c r="W261" i="3" s="1"/>
  <c r="X329" i="3"/>
  <c r="V329" i="3"/>
  <c r="W329" i="3" s="1"/>
  <c r="V537" i="3"/>
  <c r="W537" i="3" s="1"/>
  <c r="X537" i="3"/>
  <c r="V283" i="3"/>
  <c r="W283" i="3" s="1"/>
  <c r="X283" i="3"/>
  <c r="X386" i="3"/>
  <c r="V386" i="3"/>
  <c r="W386" i="3" s="1"/>
  <c r="X226" i="3"/>
  <c r="V226" i="3"/>
  <c r="W226" i="3" s="1"/>
  <c r="X460" i="3"/>
  <c r="V460" i="3"/>
  <c r="W460" i="3" s="1"/>
  <c r="X546" i="3"/>
  <c r="V546" i="3"/>
  <c r="W546" i="3" s="1"/>
  <c r="V156" i="3"/>
  <c r="W156" i="3" s="1"/>
  <c r="X156" i="3"/>
  <c r="V488" i="3"/>
  <c r="W488" i="3" s="1"/>
  <c r="X488" i="3"/>
  <c r="X383" i="3"/>
  <c r="V383" i="3"/>
  <c r="W383" i="3" s="1"/>
  <c r="V195" i="3"/>
  <c r="X195" i="3"/>
  <c r="X347" i="3"/>
  <c r="V347" i="3"/>
  <c r="W347" i="3" s="1"/>
  <c r="X132" i="3"/>
  <c r="V132" i="3"/>
  <c r="W132" i="3" s="1"/>
  <c r="X337" i="3"/>
  <c r="V337" i="3"/>
  <c r="W337" i="3" s="1"/>
  <c r="X579" i="3"/>
  <c r="V579" i="3"/>
  <c r="W579" i="3" s="1"/>
  <c r="X526" i="3"/>
  <c r="V526" i="3"/>
  <c r="W526" i="3" s="1"/>
  <c r="V112" i="3"/>
  <c r="X112" i="3"/>
  <c r="X411" i="3"/>
  <c r="V411" i="3"/>
  <c r="W411" i="3" s="1"/>
  <c r="V190" i="3"/>
  <c r="W190" i="3" s="1"/>
  <c r="X190" i="3"/>
  <c r="V162" i="3"/>
  <c r="X162" i="3"/>
  <c r="X99" i="3"/>
  <c r="V99" i="3"/>
  <c r="V100" i="3"/>
  <c r="X100" i="3"/>
  <c r="X301" i="3"/>
  <c r="V301" i="3"/>
  <c r="W301" i="3" s="1"/>
  <c r="X533" i="3"/>
  <c r="V533" i="3"/>
  <c r="W533" i="3" s="1"/>
  <c r="X562" i="3"/>
  <c r="V562" i="3"/>
  <c r="W562" i="3" s="1"/>
  <c r="X571" i="3"/>
  <c r="V571" i="3"/>
  <c r="W571" i="3" s="1"/>
  <c r="V285" i="3"/>
  <c r="W285" i="3" s="1"/>
  <c r="X285" i="3"/>
  <c r="V399" i="3"/>
  <c r="W399" i="3" s="1"/>
  <c r="X399" i="3"/>
  <c r="V341" i="3"/>
  <c r="W341" i="3" s="1"/>
  <c r="X341" i="3"/>
  <c r="V298" i="3"/>
  <c r="W298" i="3" s="1"/>
  <c r="X298" i="3"/>
  <c r="X360" i="3"/>
  <c r="V360" i="3"/>
  <c r="W360" i="3" s="1"/>
  <c r="V433" i="3"/>
  <c r="W433" i="3" s="1"/>
  <c r="X433" i="3"/>
  <c r="X247" i="3"/>
  <c r="V247" i="3"/>
  <c r="W247" i="3" s="1"/>
  <c r="V297" i="3"/>
  <c r="W297" i="3" s="1"/>
  <c r="X297" i="3"/>
  <c r="V540" i="3"/>
  <c r="W540" i="3" s="1"/>
  <c r="X540" i="3"/>
  <c r="V496" i="3"/>
  <c r="W496" i="3" s="1"/>
  <c r="X496" i="3"/>
  <c r="X491" i="3"/>
  <c r="V491" i="3"/>
  <c r="W491" i="3" s="1"/>
  <c r="X473" i="3"/>
  <c r="V473" i="3"/>
  <c r="W473" i="3" s="1"/>
  <c r="X233" i="3"/>
  <c r="V233" i="3"/>
  <c r="W233" i="3" s="1"/>
  <c r="V179" i="3"/>
  <c r="X179" i="3"/>
  <c r="V424" i="3"/>
  <c r="W424" i="3" s="1"/>
  <c r="X424" i="3"/>
  <c r="X500" i="3"/>
  <c r="V500" i="3"/>
  <c r="W500" i="3" s="1"/>
  <c r="V549" i="3"/>
  <c r="W549" i="3" s="1"/>
  <c r="X549" i="3"/>
  <c r="X317" i="3"/>
  <c r="V317" i="3"/>
  <c r="W317" i="3" s="1"/>
  <c r="V544" i="3"/>
  <c r="W544" i="3" s="1"/>
  <c r="X544" i="3"/>
  <c r="V370" i="3"/>
  <c r="W370" i="3" s="1"/>
  <c r="X370" i="3"/>
  <c r="V174" i="3"/>
  <c r="X174" i="3"/>
  <c r="X389" i="3"/>
  <c r="V389" i="3"/>
  <c r="W389" i="3" s="1"/>
  <c r="X355" i="3"/>
  <c r="V355" i="3"/>
  <c r="W355" i="3" s="1"/>
  <c r="V330" i="3"/>
  <c r="W330" i="3" s="1"/>
  <c r="X330" i="3"/>
  <c r="V507" i="3"/>
  <c r="W507" i="3" s="1"/>
  <c r="X507" i="3"/>
  <c r="V271" i="3"/>
  <c r="W271" i="3" s="1"/>
  <c r="X271" i="3"/>
  <c r="V249" i="3"/>
  <c r="W249" i="3" s="1"/>
  <c r="X249" i="3"/>
  <c r="V494" i="3"/>
  <c r="W494" i="3" s="1"/>
  <c r="X494" i="3"/>
  <c r="X292" i="3"/>
  <c r="V292" i="3"/>
  <c r="W292" i="3" s="1"/>
  <c r="X518" i="3"/>
  <c r="V518" i="3"/>
  <c r="W518" i="3" s="1"/>
  <c r="X368" i="3"/>
  <c r="V368" i="3"/>
  <c r="W368" i="3" s="1"/>
  <c r="V278" i="3"/>
  <c r="W278" i="3" s="1"/>
  <c r="X278" i="3"/>
  <c r="X279" i="3"/>
  <c r="V279" i="3"/>
  <c r="W279" i="3" s="1"/>
  <c r="X194" i="3"/>
  <c r="V194" i="3"/>
  <c r="W194" i="3" s="1"/>
  <c r="X235" i="3"/>
  <c r="V235" i="3"/>
  <c r="W235" i="3" s="1"/>
  <c r="X499" i="3"/>
  <c r="V499" i="3"/>
  <c r="W499" i="3" s="1"/>
  <c r="X554" i="3"/>
  <c r="V554" i="3"/>
  <c r="W554" i="3" s="1"/>
  <c r="X531" i="3"/>
  <c r="V531" i="3"/>
  <c r="W531" i="3" s="1"/>
  <c r="V576" i="3"/>
  <c r="W576" i="3" s="1"/>
  <c r="X576" i="3"/>
  <c r="V413" i="3"/>
  <c r="W413" i="3" s="1"/>
  <c r="X413" i="3"/>
  <c r="X480" i="3"/>
  <c r="V480" i="3"/>
  <c r="W480" i="3" s="1"/>
  <c r="X515" i="3"/>
  <c r="V515" i="3"/>
  <c r="W515" i="3" s="1"/>
  <c r="X420" i="3"/>
  <c r="V420" i="3"/>
  <c r="W420" i="3" s="1"/>
  <c r="X475" i="3"/>
  <c r="V475" i="3"/>
  <c r="W475" i="3" s="1"/>
  <c r="X541" i="3"/>
  <c r="V541" i="3"/>
  <c r="W541" i="3" s="1"/>
  <c r="V567" i="3"/>
  <c r="W567" i="3" s="1"/>
  <c r="X567" i="3"/>
  <c r="V231" i="3"/>
  <c r="W231" i="3" s="1"/>
  <c r="X231" i="3"/>
  <c r="V227" i="3"/>
  <c r="W227" i="3" s="1"/>
  <c r="X227" i="3"/>
  <c r="V559" i="3"/>
  <c r="W559" i="3" s="1"/>
  <c r="X559" i="3"/>
  <c r="V259" i="3"/>
  <c r="W259" i="3" s="1"/>
  <c r="X259" i="3"/>
  <c r="X365" i="3"/>
  <c r="V365" i="3"/>
  <c r="W365" i="3" s="1"/>
  <c r="V240" i="3"/>
  <c r="W240" i="3" s="1"/>
  <c r="X240" i="3"/>
  <c r="X454" i="3"/>
  <c r="V454" i="3"/>
  <c r="W454" i="3" s="1"/>
  <c r="V407" i="3"/>
  <c r="W407" i="3" s="1"/>
  <c r="X407" i="3"/>
  <c r="X516" i="3"/>
  <c r="V516" i="3"/>
  <c r="W516" i="3" s="1"/>
  <c r="V263" i="3"/>
  <c r="W263" i="3" s="1"/>
  <c r="X263" i="3"/>
  <c r="X451" i="3"/>
  <c r="V451" i="3"/>
  <c r="W451" i="3" s="1"/>
  <c r="V379" i="3"/>
  <c r="W379" i="3" s="1"/>
  <c r="X379" i="3"/>
  <c r="X340" i="3"/>
  <c r="V340" i="3"/>
  <c r="W340" i="3" s="1"/>
  <c r="V229" i="3"/>
  <c r="W229" i="3" s="1"/>
  <c r="X229" i="3"/>
  <c r="V457" i="3"/>
  <c r="W457" i="3" s="1"/>
  <c r="X457" i="3"/>
  <c r="X505" i="3"/>
  <c r="V505" i="3"/>
  <c r="W505" i="3" s="1"/>
  <c r="V363" i="3"/>
  <c r="W363" i="3" s="1"/>
  <c r="X363" i="3"/>
  <c r="V287" i="3"/>
  <c r="W287" i="3" s="1"/>
  <c r="X287" i="3"/>
  <c r="V429" i="3"/>
  <c r="W429" i="3" s="1"/>
  <c r="X429" i="3"/>
  <c r="X521" i="3"/>
  <c r="V521" i="3"/>
  <c r="W521" i="3" s="1"/>
  <c r="V344" i="3"/>
  <c r="W344" i="3" s="1"/>
  <c r="X344" i="3"/>
  <c r="X570" i="3"/>
  <c r="V570" i="3"/>
  <c r="W570" i="3" s="1"/>
  <c r="X306" i="3"/>
  <c r="V306" i="3"/>
  <c r="W306" i="3" s="1"/>
  <c r="V173" i="3"/>
  <c r="W173" i="3" s="1"/>
  <c r="X173" i="3"/>
  <c r="X205" i="3"/>
  <c r="V205" i="3"/>
  <c r="W205" i="3" s="1"/>
  <c r="X268" i="3"/>
  <c r="V268" i="3"/>
  <c r="W268" i="3" s="1"/>
  <c r="V302" i="3"/>
  <c r="W302" i="3" s="1"/>
  <c r="X302" i="3"/>
  <c r="X416" i="3"/>
  <c r="V416" i="3"/>
  <c r="W416" i="3" s="1"/>
  <c r="X552" i="3"/>
  <c r="V552" i="3"/>
  <c r="W552" i="3" s="1"/>
  <c r="X474" i="3"/>
  <c r="V474" i="3"/>
  <c r="W474" i="3" s="1"/>
  <c r="X237" i="3"/>
  <c r="V237" i="3"/>
  <c r="W237" i="3" s="1"/>
  <c r="X465" i="3"/>
  <c r="V465" i="3"/>
  <c r="W465" i="3" s="1"/>
  <c r="X105" i="3"/>
  <c r="V105" i="3"/>
  <c r="W105" i="3" s="1"/>
  <c r="V397" i="3"/>
  <c r="W397" i="3" s="1"/>
  <c r="X397" i="3"/>
  <c r="X512" i="3"/>
  <c r="V512" i="3"/>
  <c r="W512" i="3" s="1"/>
  <c r="X486" i="3"/>
  <c r="V486" i="3"/>
  <c r="W486" i="3" s="1"/>
  <c r="V311" i="3"/>
  <c r="W311" i="3" s="1"/>
  <c r="X311" i="3"/>
  <c r="V445" i="3"/>
  <c r="W445" i="3" s="1"/>
  <c r="X445" i="3"/>
  <c r="V266" i="3"/>
  <c r="W266" i="3" s="1"/>
  <c r="X266" i="3"/>
  <c r="X478" i="3"/>
  <c r="V478" i="3"/>
  <c r="W478" i="3" s="1"/>
  <c r="X192" i="3"/>
  <c r="V192" i="3"/>
  <c r="W192" i="3" s="1"/>
  <c r="V208" i="3"/>
  <c r="X208" i="3"/>
  <c r="V121" i="3"/>
  <c r="X121" i="3"/>
  <c r="X166" i="3"/>
  <c r="V166" i="3"/>
  <c r="X74" i="3"/>
  <c r="V74" i="3"/>
  <c r="X158" i="3"/>
  <c r="V158" i="3"/>
  <c r="X163" i="3"/>
  <c r="V163" i="3"/>
  <c r="X75" i="3"/>
  <c r="V75" i="3"/>
  <c r="V159" i="3"/>
  <c r="X159" i="3"/>
  <c r="V76" i="3"/>
  <c r="X76" i="3"/>
  <c r="V77" i="3"/>
  <c r="X77" i="3"/>
  <c r="V78" i="3"/>
  <c r="X78" i="3"/>
  <c r="X199" i="3"/>
  <c r="V199" i="3"/>
  <c r="V200" i="3"/>
  <c r="X200" i="3"/>
  <c r="X79" i="3"/>
  <c r="V79" i="3"/>
  <c r="V5" i="10"/>
  <c r="W5" i="10" s="1"/>
  <c r="X5" i="10"/>
  <c r="V4" i="10"/>
  <c r="W4" i="10" s="1"/>
  <c r="X4" i="10"/>
  <c r="V3" i="10"/>
  <c r="X3" i="10"/>
  <c r="Z171" i="4"/>
  <c r="V171" i="4"/>
  <c r="W171" i="4" s="1"/>
  <c r="J171" i="4" s="1"/>
  <c r="X171" i="4"/>
  <c r="X105" i="4"/>
  <c r="V105" i="4"/>
  <c r="W105" i="4" s="1"/>
  <c r="J105" i="4" s="1"/>
  <c r="X126" i="4"/>
  <c r="V126" i="4"/>
  <c r="W126" i="4" s="1"/>
  <c r="J126" i="4" s="1"/>
  <c r="Z135" i="4"/>
  <c r="V168" i="4"/>
  <c r="W168" i="4" s="1"/>
  <c r="J168" i="4" s="1"/>
  <c r="X168" i="4"/>
  <c r="V227" i="4"/>
  <c r="W227" i="4" s="1"/>
  <c r="J227" i="4" s="1"/>
  <c r="X227" i="4"/>
  <c r="Z159" i="4"/>
  <c r="V4" i="7"/>
  <c r="X4" i="7"/>
  <c r="X184" i="3"/>
  <c r="V184" i="3"/>
  <c r="V219" i="3"/>
  <c r="X219" i="3"/>
  <c r="V175" i="3"/>
  <c r="X175" i="3"/>
  <c r="X107" i="3"/>
  <c r="V107" i="3"/>
  <c r="V209" i="3"/>
  <c r="X209" i="3"/>
  <c r="X131" i="3"/>
  <c r="V131" i="3"/>
  <c r="V135" i="3"/>
  <c r="X135" i="3"/>
  <c r="X102" i="3"/>
  <c r="V102" i="3"/>
  <c r="Z203" i="4"/>
  <c r="V127" i="4"/>
  <c r="W127" i="4" s="1"/>
  <c r="J127" i="4" s="1"/>
  <c r="X127" i="4"/>
  <c r="X151" i="4"/>
  <c r="V151" i="4"/>
  <c r="W151" i="4" s="1"/>
  <c r="J151" i="4" s="1"/>
  <c r="X136" i="4"/>
  <c r="V136" i="4"/>
  <c r="W136" i="4" s="1"/>
  <c r="J136" i="4" s="1"/>
  <c r="Z186" i="4"/>
  <c r="X186" i="4"/>
  <c r="V186" i="4"/>
  <c r="W186" i="4" s="1"/>
  <c r="J186" i="4" s="1"/>
  <c r="V160" i="4"/>
  <c r="W160" i="4" s="1"/>
  <c r="J160" i="4" s="1"/>
  <c r="X160" i="4"/>
  <c r="X17" i="6"/>
  <c r="V17" i="6"/>
  <c r="X5" i="7"/>
  <c r="V5" i="7"/>
  <c r="V148" i="3"/>
  <c r="X148" i="3"/>
  <c r="V185" i="3"/>
  <c r="X185" i="3"/>
  <c r="V220" i="3"/>
  <c r="X220" i="3"/>
  <c r="V123" i="3"/>
  <c r="X123" i="3"/>
  <c r="X202" i="3"/>
  <c r="V202" i="3"/>
  <c r="Z204" i="4"/>
  <c r="V128" i="4"/>
  <c r="W128" i="4" s="1"/>
  <c r="J128" i="4" s="1"/>
  <c r="X128" i="4"/>
  <c r="X152" i="4"/>
  <c r="V152" i="4"/>
  <c r="W152" i="4" s="1"/>
  <c r="J152" i="4" s="1"/>
  <c r="X137" i="4"/>
  <c r="V137" i="4"/>
  <c r="W137" i="4" s="1"/>
  <c r="J137" i="4" s="1"/>
  <c r="Z187" i="4"/>
  <c r="V187" i="4"/>
  <c r="W187" i="4" s="1"/>
  <c r="J187" i="4" s="1"/>
  <c r="X187" i="4"/>
  <c r="V149" i="3"/>
  <c r="X149" i="3"/>
  <c r="X89" i="3"/>
  <c r="V89" i="3"/>
  <c r="X177" i="3"/>
  <c r="V177" i="3"/>
  <c r="V109" i="3"/>
  <c r="X109" i="3"/>
  <c r="X211" i="3"/>
  <c r="V211" i="3"/>
  <c r="X104" i="3"/>
  <c r="V104" i="3"/>
  <c r="V203" i="3"/>
  <c r="X203" i="3"/>
  <c r="Z174" i="4"/>
  <c r="X108" i="4"/>
  <c r="V108" i="4"/>
  <c r="W108" i="4" s="1"/>
  <c r="J108" i="4" s="1"/>
  <c r="V205" i="4"/>
  <c r="W205" i="4" s="1"/>
  <c r="J205" i="4" s="1"/>
  <c r="X205" i="4"/>
  <c r="Z138" i="4"/>
  <c r="X188" i="4"/>
  <c r="V188" i="4"/>
  <c r="W188" i="4" s="1"/>
  <c r="J188" i="4" s="1"/>
  <c r="Z162" i="4"/>
  <c r="X150" i="3"/>
  <c r="V150" i="3"/>
  <c r="X187" i="3"/>
  <c r="V187" i="3"/>
  <c r="X222" i="3"/>
  <c r="V222" i="3"/>
  <c r="V175" i="4"/>
  <c r="W175" i="4" s="1"/>
  <c r="J175" i="4" s="1"/>
  <c r="X175" i="4"/>
  <c r="X130" i="4"/>
  <c r="V130" i="4"/>
  <c r="W130" i="4" s="1"/>
  <c r="J130" i="4" s="1"/>
  <c r="Z139" i="4"/>
  <c r="X139" i="4"/>
  <c r="V139" i="4"/>
  <c r="W139" i="4" s="1"/>
  <c r="J139" i="4" s="1"/>
  <c r="V189" i="4"/>
  <c r="W189" i="4" s="1"/>
  <c r="J189" i="4" s="1"/>
  <c r="X189" i="4"/>
  <c r="V163" i="4"/>
  <c r="W163" i="4" s="1"/>
  <c r="J163" i="4" s="1"/>
  <c r="X163" i="4"/>
  <c r="X151" i="3"/>
  <c r="V151" i="3"/>
  <c r="V188" i="3"/>
  <c r="X188" i="3"/>
  <c r="V91" i="3"/>
  <c r="X91" i="3"/>
  <c r="X126" i="3"/>
  <c r="V126" i="3"/>
  <c r="Z176" i="4"/>
  <c r="X176" i="4"/>
  <c r="V176" i="4"/>
  <c r="W176" i="4" s="1"/>
  <c r="J176" i="4" s="1"/>
  <c r="X110" i="4"/>
  <c r="V110" i="4"/>
  <c r="W110" i="4" s="1"/>
  <c r="J110" i="4" s="1"/>
  <c r="Z140" i="4"/>
  <c r="X164" i="4"/>
  <c r="V164" i="4"/>
  <c r="W164" i="4" s="1"/>
  <c r="J164" i="4" s="1"/>
  <c r="V152" i="3"/>
  <c r="X152" i="3"/>
  <c r="V92" i="3"/>
  <c r="X92" i="3"/>
  <c r="V140" i="3"/>
  <c r="X140" i="3"/>
  <c r="Z177" i="4"/>
  <c r="V177" i="4"/>
  <c r="W177" i="4" s="1"/>
  <c r="J177" i="4" s="1"/>
  <c r="X177" i="4"/>
  <c r="V132" i="4"/>
  <c r="W132" i="4" s="1"/>
  <c r="J132" i="4" s="1"/>
  <c r="X132" i="4"/>
  <c r="X153" i="3"/>
  <c r="V153" i="3"/>
  <c r="X93" i="3"/>
  <c r="V93" i="3"/>
  <c r="X215" i="3"/>
  <c r="V215" i="3"/>
  <c r="V141" i="3"/>
  <c r="X141" i="3"/>
  <c r="Z178" i="4"/>
  <c r="V178" i="4"/>
  <c r="W178" i="4" s="1"/>
  <c r="J178" i="4" s="1"/>
  <c r="X178" i="4"/>
  <c r="V112" i="4"/>
  <c r="W112" i="4" s="1"/>
  <c r="J112" i="4" s="1"/>
  <c r="X112" i="4"/>
  <c r="X154" i="3"/>
  <c r="V154" i="3"/>
  <c r="X94" i="3"/>
  <c r="V94" i="3"/>
  <c r="X216" i="3"/>
  <c r="V216" i="3"/>
  <c r="X142" i="3"/>
  <c r="V142" i="3"/>
  <c r="V143" i="3"/>
  <c r="X143" i="3"/>
  <c r="S3" i="8"/>
  <c r="S71" i="3"/>
  <c r="R64" i="3"/>
  <c r="R35" i="4"/>
  <c r="S9" i="3"/>
  <c r="S42" i="4"/>
  <c r="S60" i="4"/>
  <c r="R40" i="3"/>
  <c r="R100" i="4"/>
  <c r="R10" i="6"/>
  <c r="S38" i="3"/>
  <c r="S57" i="4"/>
  <c r="S8" i="6"/>
  <c r="S97" i="4"/>
  <c r="R61" i="3"/>
  <c r="S7" i="4"/>
  <c r="S41" i="4"/>
  <c r="S67" i="4"/>
  <c r="R33" i="4"/>
  <c r="S69" i="3"/>
  <c r="R82" i="4"/>
  <c r="S32" i="4"/>
  <c r="R44" i="3"/>
  <c r="S18" i="3"/>
  <c r="R34" i="3"/>
  <c r="S85" i="4"/>
  <c r="R4" i="6"/>
  <c r="R3" i="6"/>
  <c r="S80" i="4"/>
  <c r="S46" i="4"/>
  <c r="S64" i="4"/>
  <c r="S30" i="4"/>
  <c r="R26" i="3"/>
  <c r="R49" i="3"/>
  <c r="R39" i="3"/>
  <c r="S58" i="4"/>
  <c r="S70" i="4"/>
  <c r="R63" i="3"/>
  <c r="R10" i="3"/>
  <c r="R47" i="3"/>
  <c r="S37" i="3"/>
  <c r="R8" i="4"/>
  <c r="S46" i="3"/>
  <c r="S36" i="3"/>
  <c r="R35" i="3"/>
  <c r="R54" i="3"/>
  <c r="R6" i="6"/>
  <c r="R17" i="4"/>
  <c r="S48" i="4"/>
  <c r="R22" i="4"/>
  <c r="S59" i="3"/>
  <c r="R81" i="4"/>
  <c r="S27" i="4"/>
  <c r="R39" i="4"/>
  <c r="R47" i="4"/>
  <c r="R65" i="4"/>
  <c r="R31" i="4"/>
  <c r="R21" i="4"/>
  <c r="R23" i="3"/>
  <c r="R93" i="4"/>
  <c r="R4" i="4"/>
  <c r="S52" i="4"/>
  <c r="S26" i="4"/>
  <c r="R74" i="4"/>
  <c r="S38" i="4"/>
  <c r="R20" i="4"/>
  <c r="R37" i="4"/>
  <c r="S10" i="4"/>
  <c r="S42" i="3"/>
  <c r="S4" i="3"/>
  <c r="R56" i="3"/>
  <c r="S66" i="3"/>
  <c r="R51" i="3"/>
  <c r="R195" i="4"/>
  <c r="R216" i="4"/>
  <c r="R142" i="4"/>
  <c r="R155" i="3"/>
  <c r="R62" i="4"/>
  <c r="R61" i="4"/>
  <c r="S101" i="4"/>
  <c r="R11" i="3"/>
  <c r="R9" i="6"/>
  <c r="S98" i="4"/>
  <c r="S69" i="4"/>
  <c r="R78" i="4"/>
  <c r="R68" i="4"/>
  <c r="R70" i="3"/>
  <c r="S87" i="4"/>
  <c r="S55" i="4"/>
  <c r="R49" i="4"/>
  <c r="R19" i="3"/>
  <c r="R7" i="3"/>
  <c r="S29" i="3"/>
  <c r="S54" i="4"/>
  <c r="S76" i="4"/>
  <c r="R66" i="4"/>
  <c r="S6" i="3"/>
  <c r="S68" i="3"/>
  <c r="R53" i="3"/>
  <c r="R28" i="3"/>
  <c r="S5" i="6"/>
  <c r="S5" i="4"/>
  <c r="R11" i="4"/>
  <c r="R4" i="5"/>
  <c r="S17" i="3"/>
  <c r="S15" i="4"/>
  <c r="R25" i="4"/>
  <c r="S73" i="4"/>
  <c r="R45" i="4"/>
  <c r="R57" i="3"/>
  <c r="S22" i="3"/>
  <c r="R21" i="3"/>
  <c r="S59" i="4"/>
  <c r="S99" i="4"/>
  <c r="S48" i="3"/>
  <c r="S62" i="3"/>
  <c r="R56" i="4"/>
  <c r="R50" i="4"/>
  <c r="R34" i="4"/>
  <c r="R8" i="3"/>
  <c r="R7" i="6"/>
  <c r="R96" i="4"/>
  <c r="S77" i="4"/>
  <c r="R45" i="3"/>
  <c r="S60" i="3"/>
  <c r="S95" i="4"/>
  <c r="S6" i="4"/>
  <c r="R86" i="4"/>
  <c r="R40" i="4"/>
  <c r="R12" i="4"/>
  <c r="R24" i="3"/>
  <c r="S94" i="4"/>
  <c r="R16" i="4"/>
  <c r="R53" i="4"/>
  <c r="S75" i="4"/>
  <c r="R91" i="4"/>
  <c r="R43" i="3"/>
  <c r="R33" i="3"/>
  <c r="R58" i="3"/>
  <c r="R5" i="3"/>
  <c r="R67" i="3"/>
  <c r="S52" i="3"/>
  <c r="S27" i="3"/>
  <c r="S84" i="4"/>
  <c r="S90" i="4"/>
  <c r="S3" i="5"/>
  <c r="S16" i="3"/>
  <c r="R14" i="3"/>
  <c r="R32" i="3"/>
  <c r="R12" i="6"/>
  <c r="R166" i="3"/>
  <c r="R3" i="10"/>
  <c r="S64" i="3"/>
  <c r="S35" i="4"/>
  <c r="R9" i="3"/>
  <c r="R42" i="4"/>
  <c r="R60" i="4"/>
  <c r="S40" i="3"/>
  <c r="S100" i="4"/>
  <c r="S10" i="6"/>
  <c r="R38" i="3"/>
  <c r="R57" i="4"/>
  <c r="R8" i="6"/>
  <c r="R97" i="4"/>
  <c r="S61" i="3"/>
  <c r="R30" i="3"/>
  <c r="S30" i="3" s="1"/>
  <c r="R7" i="4"/>
  <c r="R41" i="4"/>
  <c r="R67" i="4"/>
  <c r="S33" i="4"/>
  <c r="R69" i="3"/>
  <c r="S82" i="4"/>
  <c r="R32" i="4"/>
  <c r="S44" i="3"/>
  <c r="R18" i="3"/>
  <c r="S34" i="3"/>
  <c r="R85" i="4"/>
  <c r="S4" i="6"/>
  <c r="S3" i="6"/>
  <c r="R80" i="4"/>
  <c r="R46" i="4"/>
  <c r="R64" i="4"/>
  <c r="R30" i="4"/>
  <c r="S26" i="3"/>
  <c r="R12" i="3"/>
  <c r="S12" i="3" s="1"/>
  <c r="S49" i="3"/>
  <c r="S39" i="3"/>
  <c r="R58" i="4"/>
  <c r="R70" i="4"/>
  <c r="S63" i="3"/>
  <c r="S10" i="3"/>
  <c r="S47" i="3"/>
  <c r="R37" i="3"/>
  <c r="S8" i="4"/>
  <c r="R46" i="3"/>
  <c r="R36" i="3"/>
  <c r="S35" i="3"/>
  <c r="S54" i="3"/>
  <c r="S6" i="6"/>
  <c r="S17" i="4"/>
  <c r="R48" i="4"/>
  <c r="S22" i="4"/>
  <c r="R59" i="3"/>
  <c r="S81" i="4"/>
  <c r="R27" i="4"/>
  <c r="S39" i="4"/>
  <c r="S47" i="4"/>
  <c r="S65" i="4"/>
  <c r="S31" i="4"/>
  <c r="S21" i="4"/>
  <c r="S23" i="3"/>
  <c r="S93" i="4"/>
  <c r="S4" i="4"/>
  <c r="R52" i="4"/>
  <c r="R26" i="4"/>
  <c r="S74" i="4"/>
  <c r="R38" i="4"/>
  <c r="S20" i="4"/>
  <c r="S37" i="4"/>
  <c r="R10" i="4"/>
  <c r="R42" i="3"/>
  <c r="R4" i="3"/>
  <c r="S56" i="3"/>
  <c r="R66" i="3"/>
  <c r="S51" i="3"/>
  <c r="R189" i="3"/>
  <c r="R95" i="3"/>
  <c r="S62" i="4"/>
  <c r="S61" i="4"/>
  <c r="R101" i="4"/>
  <c r="S11" i="3"/>
  <c r="S9" i="6"/>
  <c r="R98" i="4"/>
  <c r="R69" i="4"/>
  <c r="S78" i="4"/>
  <c r="S68" i="4"/>
  <c r="S70" i="3"/>
  <c r="R87" i="4"/>
  <c r="R55" i="4"/>
  <c r="S49" i="4"/>
  <c r="S19" i="3"/>
  <c r="S7" i="3"/>
  <c r="R29" i="3"/>
  <c r="R54" i="4"/>
  <c r="R76" i="4"/>
  <c r="S66" i="4"/>
  <c r="R6" i="3"/>
  <c r="R68" i="3"/>
  <c r="S53" i="3"/>
  <c r="S28" i="3"/>
  <c r="R5" i="6"/>
  <c r="R5" i="4"/>
  <c r="S11" i="4"/>
  <c r="S4" i="5"/>
  <c r="R17" i="3"/>
  <c r="R15" i="4"/>
  <c r="S25" i="4"/>
  <c r="R73" i="4"/>
  <c r="S45" i="4"/>
  <c r="S57" i="3"/>
  <c r="R22" i="3"/>
  <c r="S21" i="3"/>
  <c r="R59" i="4"/>
  <c r="R71" i="4"/>
  <c r="S71" i="4" s="1"/>
  <c r="R99" i="4"/>
  <c r="R48" i="3"/>
  <c r="R43" i="4"/>
  <c r="S43" i="4" s="1"/>
  <c r="R62" i="3"/>
  <c r="S56" i="4"/>
  <c r="S50" i="4"/>
  <c r="S34" i="4"/>
  <c r="S8" i="3"/>
  <c r="S7" i="6"/>
  <c r="S96" i="4"/>
  <c r="R77" i="4"/>
  <c r="S45" i="3"/>
  <c r="R60" i="3"/>
  <c r="R95" i="4"/>
  <c r="R6" i="4"/>
  <c r="S86" i="4"/>
  <c r="S40" i="4"/>
  <c r="S12" i="4"/>
  <c r="S24" i="3"/>
  <c r="R94" i="4"/>
  <c r="S16" i="4"/>
  <c r="S53" i="4"/>
  <c r="R75" i="4"/>
  <c r="S91" i="4"/>
  <c r="S43" i="3"/>
  <c r="S33" i="3"/>
  <c r="S58" i="3"/>
  <c r="S5" i="3"/>
  <c r="S67" i="3"/>
  <c r="R52" i="3"/>
  <c r="R27" i="3"/>
  <c r="R84" i="4"/>
  <c r="R90" i="4"/>
  <c r="R3" i="5"/>
  <c r="R16" i="3"/>
  <c r="S14" i="3"/>
  <c r="S32" i="3"/>
  <c r="R6" i="5"/>
  <c r="R102" i="4"/>
  <c r="R88" i="4"/>
  <c r="R28" i="4"/>
  <c r="R23" i="4"/>
  <c r="R18" i="4"/>
  <c r="R13" i="4"/>
  <c r="W215" i="3" l="1"/>
  <c r="J215" i="3" s="1"/>
  <c r="Y215" i="3"/>
  <c r="W93" i="3"/>
  <c r="J93" i="3" s="1"/>
  <c r="Y93" i="3"/>
  <c r="W153" i="3"/>
  <c r="J153" i="3" s="1"/>
  <c r="Y153" i="3"/>
  <c r="W140" i="3"/>
  <c r="J140" i="3" s="1"/>
  <c r="Y140" i="3"/>
  <c r="W92" i="3"/>
  <c r="J92" i="3" s="1"/>
  <c r="Y92" i="3"/>
  <c r="W152" i="3"/>
  <c r="J152" i="3" s="1"/>
  <c r="Y152" i="3"/>
  <c r="W91" i="3"/>
  <c r="J91" i="3" s="1"/>
  <c r="Y91" i="3"/>
  <c r="W188" i="3"/>
  <c r="J188" i="3" s="1"/>
  <c r="Y188" i="3"/>
  <c r="W222" i="3"/>
  <c r="J222" i="3" s="1"/>
  <c r="Y222" i="3"/>
  <c r="W187" i="3"/>
  <c r="J187" i="3" s="1"/>
  <c r="Y187" i="3"/>
  <c r="W150" i="3"/>
  <c r="J150" i="3" s="1"/>
  <c r="Y150" i="3"/>
  <c r="W203" i="3"/>
  <c r="J203" i="3" s="1"/>
  <c r="Y203" i="3"/>
  <c r="W109" i="3"/>
  <c r="J109" i="3" s="1"/>
  <c r="Y109" i="3"/>
  <c r="W149" i="3"/>
  <c r="J149" i="3" s="1"/>
  <c r="Y149" i="3"/>
  <c r="W123" i="3"/>
  <c r="J123" i="3" s="1"/>
  <c r="Y123" i="3"/>
  <c r="W220" i="3"/>
  <c r="J220" i="3" s="1"/>
  <c r="Y220" i="3"/>
  <c r="W185" i="3"/>
  <c r="J185" i="3" s="1"/>
  <c r="Y185" i="3"/>
  <c r="W148" i="3"/>
  <c r="J148" i="3" s="1"/>
  <c r="Y148" i="3"/>
  <c r="W135" i="3"/>
  <c r="J135" i="3" s="1"/>
  <c r="Y135" i="3"/>
  <c r="W209" i="3"/>
  <c r="J209" i="3" s="1"/>
  <c r="Y209" i="3"/>
  <c r="W175" i="3"/>
  <c r="J175" i="3" s="1"/>
  <c r="Y175" i="3"/>
  <c r="W219" i="3"/>
  <c r="J219" i="3" s="1"/>
  <c r="Y219" i="3"/>
  <c r="W4" i="7"/>
  <c r="J4" i="7" s="1"/>
  <c r="Y4" i="7"/>
  <c r="W79" i="3"/>
  <c r="J79" i="3" s="1"/>
  <c r="Y79" i="3"/>
  <c r="W199" i="3"/>
  <c r="J199" i="3" s="1"/>
  <c r="Y199" i="3"/>
  <c r="W75" i="3"/>
  <c r="J75" i="3" s="1"/>
  <c r="Y75" i="3"/>
  <c r="W163" i="3"/>
  <c r="J163" i="3" s="1"/>
  <c r="Y163" i="3"/>
  <c r="W158" i="3"/>
  <c r="J158" i="3" s="1"/>
  <c r="Y158" i="3"/>
  <c r="W74" i="3"/>
  <c r="J74" i="3" s="1"/>
  <c r="Y74" i="3"/>
  <c r="W166" i="3"/>
  <c r="J166" i="3" s="1"/>
  <c r="Y166" i="3"/>
  <c r="W99" i="3"/>
  <c r="J99" i="3" s="1"/>
  <c r="Y99" i="3"/>
  <c r="W97" i="3"/>
  <c r="J97" i="3" s="1"/>
  <c r="Y97" i="3"/>
  <c r="W206" i="3"/>
  <c r="J206" i="3" s="1"/>
  <c r="Y206" i="3"/>
  <c r="W3" i="7"/>
  <c r="J3" i="7" s="1"/>
  <c r="Y3" i="7"/>
  <c r="W12" i="6"/>
  <c r="J12" i="6" s="1"/>
  <c r="Y12" i="6"/>
  <c r="W144" i="3"/>
  <c r="J144" i="3" s="1"/>
  <c r="Y144" i="3"/>
  <c r="W155" i="3"/>
  <c r="J155" i="3" s="1"/>
  <c r="Y155" i="3"/>
  <c r="W204" i="3"/>
  <c r="J204" i="3" s="1"/>
  <c r="Y204" i="3"/>
  <c r="W125" i="3"/>
  <c r="J125" i="3" s="1"/>
  <c r="Y125" i="3"/>
  <c r="W138" i="3"/>
  <c r="J138" i="3" s="1"/>
  <c r="Y138" i="3"/>
  <c r="W212" i="3"/>
  <c r="J212" i="3" s="1"/>
  <c r="Y212" i="3"/>
  <c r="W117" i="3"/>
  <c r="J117" i="3" s="1"/>
  <c r="Y117" i="3"/>
  <c r="W221" i="3"/>
  <c r="J221" i="3" s="1"/>
  <c r="Y221" i="3"/>
  <c r="W186" i="3"/>
  <c r="J186" i="3" s="1"/>
  <c r="Y186" i="3"/>
  <c r="W103" i="3"/>
  <c r="J103" i="3" s="1"/>
  <c r="Y103" i="3"/>
  <c r="W170" i="3"/>
  <c r="J170" i="3" s="1"/>
  <c r="Y170" i="3"/>
  <c r="W176" i="3"/>
  <c r="J176" i="3" s="1"/>
  <c r="Y176" i="3"/>
  <c r="W88" i="3"/>
  <c r="J88" i="3" s="1"/>
  <c r="Y88" i="3"/>
  <c r="W181" i="3"/>
  <c r="J181" i="3" s="1"/>
  <c r="Y181" i="3"/>
  <c r="W82" i="3"/>
  <c r="J82" i="3" s="1"/>
  <c r="Y82" i="3"/>
  <c r="W201" i="3"/>
  <c r="J201" i="3" s="1"/>
  <c r="Y201" i="3"/>
  <c r="W147" i="3"/>
  <c r="J147" i="3" s="1"/>
  <c r="Y147" i="3"/>
  <c r="W81" i="3"/>
  <c r="J81" i="3" s="1"/>
  <c r="Y81" i="3"/>
  <c r="W114" i="3"/>
  <c r="J114" i="3" s="1"/>
  <c r="Y114" i="3"/>
  <c r="W113" i="3"/>
  <c r="J113" i="3" s="1"/>
  <c r="Y113" i="3"/>
  <c r="W130" i="3"/>
  <c r="J130" i="3" s="1"/>
  <c r="Y130" i="3"/>
  <c r="W193" i="3"/>
  <c r="J193" i="3" s="1"/>
  <c r="Y193" i="3"/>
  <c r="W225" i="3"/>
  <c r="J225" i="3" s="1"/>
  <c r="Y225" i="3"/>
  <c r="W133" i="3"/>
  <c r="J133" i="3" s="1"/>
  <c r="Y133" i="3"/>
  <c r="W183" i="3"/>
  <c r="J183" i="3" s="1"/>
  <c r="Y183" i="3"/>
  <c r="W146" i="3"/>
  <c r="J146" i="3" s="1"/>
  <c r="Y146" i="3"/>
  <c r="W198" i="3"/>
  <c r="J198" i="3" s="1"/>
  <c r="Y198" i="3"/>
  <c r="W197" i="3"/>
  <c r="J197" i="3" s="1"/>
  <c r="Y197" i="3"/>
  <c r="W98" i="3"/>
  <c r="J98" i="3" s="1"/>
  <c r="Y98" i="3"/>
  <c r="W157" i="3"/>
  <c r="J157" i="3" s="1"/>
  <c r="Y157" i="3"/>
  <c r="W73" i="3"/>
  <c r="J73" i="3" s="1"/>
  <c r="Y73" i="3"/>
  <c r="W161" i="3"/>
  <c r="J161" i="3" s="1"/>
  <c r="Y161" i="3"/>
  <c r="W120" i="3"/>
  <c r="J120" i="3" s="1"/>
  <c r="Y120" i="3"/>
  <c r="W128" i="3"/>
  <c r="J128" i="3" s="1"/>
  <c r="Y128" i="3"/>
  <c r="W143" i="3"/>
  <c r="J143" i="3" s="1"/>
  <c r="Y143" i="3"/>
  <c r="W142" i="3"/>
  <c r="J142" i="3" s="1"/>
  <c r="Y142" i="3"/>
  <c r="W216" i="3"/>
  <c r="J216" i="3" s="1"/>
  <c r="Y216" i="3"/>
  <c r="W94" i="3"/>
  <c r="J94" i="3" s="1"/>
  <c r="Y94" i="3"/>
  <c r="W154" i="3"/>
  <c r="J154" i="3" s="1"/>
  <c r="Y154" i="3"/>
  <c r="W141" i="3"/>
  <c r="J141" i="3" s="1"/>
  <c r="Y141" i="3"/>
  <c r="W126" i="3"/>
  <c r="J126" i="3" s="1"/>
  <c r="Y126" i="3"/>
  <c r="W151" i="3"/>
  <c r="J151" i="3" s="1"/>
  <c r="Y151" i="3"/>
  <c r="W104" i="3"/>
  <c r="J104" i="3" s="1"/>
  <c r="Y104" i="3"/>
  <c r="W211" i="3"/>
  <c r="J211" i="3" s="1"/>
  <c r="Y211" i="3"/>
  <c r="W177" i="3"/>
  <c r="J177" i="3" s="1"/>
  <c r="Y177" i="3"/>
  <c r="W89" i="3"/>
  <c r="J89" i="3" s="1"/>
  <c r="Y89" i="3"/>
  <c r="W202" i="3"/>
  <c r="J202" i="3" s="1"/>
  <c r="Y202" i="3"/>
  <c r="W5" i="7"/>
  <c r="J5" i="7" s="1"/>
  <c r="Y5" i="7"/>
  <c r="W17" i="6"/>
  <c r="J17" i="6" s="1"/>
  <c r="Y17" i="6"/>
  <c r="W102" i="3"/>
  <c r="J102" i="3" s="1"/>
  <c r="Y102" i="3"/>
  <c r="W131" i="3"/>
  <c r="J131" i="3" s="1"/>
  <c r="Y131" i="3"/>
  <c r="W107" i="3"/>
  <c r="J107" i="3" s="1"/>
  <c r="Y107" i="3"/>
  <c r="W184" i="3"/>
  <c r="J184" i="3" s="1"/>
  <c r="Y184" i="3"/>
  <c r="W3" i="10"/>
  <c r="J3" i="10" s="1"/>
  <c r="Y3" i="10"/>
  <c r="W200" i="3"/>
  <c r="J200" i="3" s="1"/>
  <c r="Y200" i="3"/>
  <c r="W78" i="3"/>
  <c r="J78" i="3" s="1"/>
  <c r="Y78" i="3"/>
  <c r="W77" i="3"/>
  <c r="J77" i="3" s="1"/>
  <c r="Y77" i="3"/>
  <c r="W76" i="3"/>
  <c r="J76" i="3" s="1"/>
  <c r="Y76" i="3"/>
  <c r="W159" i="3"/>
  <c r="J159" i="3" s="1"/>
  <c r="Y159" i="3"/>
  <c r="W121" i="3"/>
  <c r="J121" i="3" s="1"/>
  <c r="Y121" i="3"/>
  <c r="W208" i="3"/>
  <c r="J208" i="3" s="1"/>
  <c r="Y208" i="3"/>
  <c r="W174" i="3"/>
  <c r="J174" i="3" s="1"/>
  <c r="Y174" i="3"/>
  <c r="W179" i="3"/>
  <c r="J179" i="3" s="1"/>
  <c r="Y179" i="3"/>
  <c r="W100" i="3"/>
  <c r="J100" i="3" s="1"/>
  <c r="Y100" i="3"/>
  <c r="W162" i="3"/>
  <c r="J162" i="3" s="1"/>
  <c r="Y162" i="3"/>
  <c r="W112" i="3"/>
  <c r="J112" i="3" s="1"/>
  <c r="Y112" i="3"/>
  <c r="W195" i="3"/>
  <c r="J195" i="3" s="1"/>
  <c r="Y195" i="3"/>
  <c r="W129" i="3"/>
  <c r="J129" i="3" s="1"/>
  <c r="Y129" i="3"/>
  <c r="W85" i="3"/>
  <c r="J85" i="3" s="1"/>
  <c r="Y85" i="3"/>
  <c r="W191" i="3"/>
  <c r="J191" i="3" s="1"/>
  <c r="Y191" i="3"/>
  <c r="W6" i="5"/>
  <c r="J6" i="5" s="1"/>
  <c r="Y6" i="5"/>
  <c r="W5" i="8"/>
  <c r="J5" i="8" s="1"/>
  <c r="Y5" i="8"/>
  <c r="W95" i="3"/>
  <c r="J95" i="3" s="1"/>
  <c r="Y95" i="3"/>
  <c r="W214" i="3"/>
  <c r="J214" i="3" s="1"/>
  <c r="Y214" i="3"/>
  <c r="W189" i="3"/>
  <c r="J189" i="3" s="1"/>
  <c r="Y189" i="3"/>
  <c r="W139" i="3"/>
  <c r="J139" i="3" s="1"/>
  <c r="Y139" i="3"/>
  <c r="W213" i="3"/>
  <c r="J213" i="3" s="1"/>
  <c r="Y213" i="3"/>
  <c r="W223" i="3"/>
  <c r="J223" i="3" s="1"/>
  <c r="Y223" i="3"/>
  <c r="W118" i="3"/>
  <c r="J118" i="3" s="1"/>
  <c r="Y118" i="3"/>
  <c r="W110" i="3"/>
  <c r="J110" i="3" s="1"/>
  <c r="Y110" i="3"/>
  <c r="W90" i="3"/>
  <c r="J90" i="3" s="1"/>
  <c r="Y90" i="3"/>
  <c r="W124" i="3"/>
  <c r="J124" i="3" s="1"/>
  <c r="Y124" i="3"/>
  <c r="W137" i="3"/>
  <c r="J137" i="3" s="1"/>
  <c r="Y137" i="3"/>
  <c r="W83" i="3"/>
  <c r="J83" i="3" s="1"/>
  <c r="Y83" i="3"/>
  <c r="W116" i="3"/>
  <c r="J116" i="3" s="1"/>
  <c r="Y116" i="3"/>
  <c r="W136" i="3"/>
  <c r="J136" i="3" s="1"/>
  <c r="Y136" i="3"/>
  <c r="W210" i="3"/>
  <c r="J210" i="3" s="1"/>
  <c r="Y210" i="3"/>
  <c r="W108" i="3"/>
  <c r="J108" i="3" s="1"/>
  <c r="Y108" i="3"/>
  <c r="W115" i="3"/>
  <c r="J115" i="3" s="1"/>
  <c r="Y115" i="3"/>
  <c r="W122" i="3"/>
  <c r="J122" i="3" s="1"/>
  <c r="Y122" i="3"/>
  <c r="W169" i="3"/>
  <c r="J169" i="3" s="1"/>
  <c r="Y169" i="3"/>
  <c r="W87" i="3"/>
  <c r="J87" i="3" s="1"/>
  <c r="Y87" i="3"/>
  <c r="W180" i="3"/>
  <c r="J180" i="3" s="1"/>
  <c r="Y180" i="3"/>
  <c r="W16" i="6"/>
  <c r="J16" i="6" s="1"/>
  <c r="Y16" i="6"/>
  <c r="W80" i="3"/>
  <c r="J80" i="3" s="1"/>
  <c r="Y80" i="3"/>
  <c r="W101" i="3"/>
  <c r="J101" i="3" s="1"/>
  <c r="Y101" i="3"/>
  <c r="W134" i="3"/>
  <c r="J134" i="3" s="1"/>
  <c r="Y134" i="3"/>
  <c r="W106" i="3"/>
  <c r="J106" i="3" s="1"/>
  <c r="Y106" i="3"/>
  <c r="W168" i="3"/>
  <c r="J168" i="3" s="1"/>
  <c r="Y168" i="3"/>
  <c r="W86" i="3"/>
  <c r="J86" i="3" s="1"/>
  <c r="Y86" i="3"/>
  <c r="W218" i="3"/>
  <c r="J218" i="3" s="1"/>
  <c r="Y218" i="3"/>
  <c r="W172" i="3"/>
  <c r="J172" i="3" s="1"/>
  <c r="Y172" i="3"/>
  <c r="W196" i="3"/>
  <c r="J196" i="3" s="1"/>
  <c r="Y196" i="3"/>
  <c r="W165" i="3"/>
  <c r="J165" i="3" s="1"/>
  <c r="Y165" i="3"/>
  <c r="W207" i="3"/>
  <c r="J207" i="3" s="1"/>
  <c r="Y207" i="3"/>
  <c r="W15" i="6"/>
  <c r="J15" i="6" s="1"/>
  <c r="Y15" i="6"/>
  <c r="W14" i="6"/>
  <c r="J14" i="6" s="1"/>
  <c r="Y14" i="6"/>
  <c r="Y112" i="4"/>
  <c r="Y110" i="4"/>
  <c r="Y189" i="4"/>
  <c r="Y137" i="4"/>
  <c r="Y160" i="4"/>
  <c r="Y136" i="4"/>
  <c r="Y171" i="4"/>
  <c r="Y215" i="4"/>
  <c r="Y121" i="4"/>
  <c r="Y119" i="4"/>
  <c r="Y157" i="4"/>
  <c r="Y225" i="4"/>
  <c r="Y220" i="4"/>
  <c r="Y145" i="4"/>
  <c r="Y193" i="4"/>
  <c r="Y182" i="4"/>
  <c r="Y212" i="4"/>
  <c r="Y155" i="4"/>
  <c r="Y142" i="4"/>
  <c r="Y140" i="4"/>
  <c r="Y131" i="4"/>
  <c r="Y162" i="4"/>
  <c r="Y138" i="4"/>
  <c r="Y129" i="4"/>
  <c r="Y174" i="4"/>
  <c r="Y161" i="4"/>
  <c r="Y107" i="4"/>
  <c r="Y203" i="4"/>
  <c r="Y172" i="4"/>
  <c r="Y216" i="4"/>
  <c r="Y202" i="4"/>
  <c r="Y195" i="4"/>
  <c r="Y158" i="4"/>
  <c r="Y184" i="4"/>
  <c r="Y226" i="4"/>
  <c r="Y214" i="4"/>
  <c r="Y221" i="4"/>
  <c r="Y194" i="4"/>
  <c r="Y116" i="4"/>
  <c r="Y144" i="4"/>
  <c r="Y125" i="4"/>
  <c r="Y201" i="4"/>
  <c r="Y104" i="4"/>
  <c r="Y211" i="4"/>
  <c r="Y181" i="4"/>
  <c r="Y218" i="4"/>
  <c r="Y178" i="4"/>
  <c r="Y176" i="4"/>
  <c r="Y163" i="4"/>
  <c r="Y130" i="4"/>
  <c r="Y108" i="4"/>
  <c r="Y187" i="4"/>
  <c r="Y152" i="4"/>
  <c r="Y151" i="4"/>
  <c r="Y132" i="4"/>
  <c r="Y177" i="4"/>
  <c r="Y164" i="4"/>
  <c r="Y139" i="4"/>
  <c r="Y175" i="4"/>
  <c r="Y188" i="4"/>
  <c r="Y205" i="4"/>
  <c r="Y128" i="4"/>
  <c r="Y186" i="4"/>
  <c r="Y127" i="4"/>
  <c r="Y227" i="4"/>
  <c r="Y168" i="4"/>
  <c r="Y126" i="4"/>
  <c r="Y105" i="4"/>
  <c r="Y199" i="4"/>
  <c r="Y146" i="4"/>
  <c r="Y156" i="4"/>
  <c r="Y197" i="4"/>
  <c r="Y192" i="4"/>
  <c r="Y170" i="4"/>
  <c r="Y166" i="4"/>
  <c r="Y224" i="4"/>
  <c r="Y210" i="4"/>
  <c r="Y115" i="4"/>
  <c r="Y223" i="4"/>
  <c r="Y113" i="4"/>
  <c r="Y179" i="4"/>
  <c r="Y141" i="4"/>
  <c r="Y208" i="4"/>
  <c r="Y111" i="4"/>
  <c r="Y190" i="4"/>
  <c r="Y207" i="4"/>
  <c r="Y206" i="4"/>
  <c r="Y109" i="4"/>
  <c r="Y153" i="4"/>
  <c r="Y204" i="4"/>
  <c r="Y173" i="4"/>
  <c r="Y106" i="4"/>
  <c r="Y159" i="4"/>
  <c r="Y185" i="4"/>
  <c r="Y135" i="4"/>
  <c r="Y150" i="4"/>
  <c r="Y122" i="4"/>
  <c r="Y147" i="4"/>
  <c r="Y120" i="4"/>
  <c r="Y213" i="4"/>
  <c r="Y118" i="4"/>
  <c r="Y183" i="4"/>
  <c r="Y117" i="4"/>
  <c r="Y198" i="4"/>
  <c r="Y167" i="4"/>
  <c r="Y134" i="4"/>
  <c r="Y149" i="4"/>
  <c r="Y124" i="4"/>
  <c r="Y219" i="4"/>
  <c r="S13" i="4"/>
  <c r="S23" i="4"/>
  <c r="S88" i="4"/>
  <c r="S6" i="5"/>
  <c r="S189" i="3"/>
  <c r="S166" i="3"/>
  <c r="S155" i="3"/>
  <c r="S216" i="4"/>
  <c r="R216" i="3"/>
  <c r="R154" i="3"/>
  <c r="S141" i="3"/>
  <c r="R132" i="4"/>
  <c r="R126" i="3"/>
  <c r="R151" i="3"/>
  <c r="R139" i="4"/>
  <c r="R175" i="4"/>
  <c r="S188" i="4"/>
  <c r="S205" i="4"/>
  <c r="R104" i="3"/>
  <c r="S89" i="3"/>
  <c r="R128" i="4"/>
  <c r="R127" i="4"/>
  <c r="R102" i="3"/>
  <c r="R131" i="3"/>
  <c r="S107" i="3"/>
  <c r="S184" i="3"/>
  <c r="R227" i="4"/>
  <c r="R200" i="3"/>
  <c r="R78" i="3"/>
  <c r="S76" i="3"/>
  <c r="R121" i="3"/>
  <c r="R179" i="3"/>
  <c r="S195" i="3"/>
  <c r="S129" i="3"/>
  <c r="R85" i="3"/>
  <c r="R191" i="3"/>
  <c r="R146" i="4"/>
  <c r="R156" i="4"/>
  <c r="S197" i="4"/>
  <c r="S192" i="4"/>
  <c r="R170" i="4"/>
  <c r="S166" i="4"/>
  <c r="S224" i="4"/>
  <c r="R210" i="4"/>
  <c r="R115" i="4"/>
  <c r="S223" i="4"/>
  <c r="R113" i="4"/>
  <c r="R179" i="4"/>
  <c r="R141" i="4"/>
  <c r="R208" i="4"/>
  <c r="R111" i="4"/>
  <c r="S214" i="3"/>
  <c r="R190" i="4"/>
  <c r="S207" i="4"/>
  <c r="R139" i="3"/>
  <c r="S213" i="3"/>
  <c r="R206" i="4"/>
  <c r="R109" i="4"/>
  <c r="R118" i="3"/>
  <c r="S90" i="3"/>
  <c r="S124" i="3"/>
  <c r="R137" i="3"/>
  <c r="S204" i="4"/>
  <c r="R173" i="4"/>
  <c r="R83" i="3"/>
  <c r="R116" i="3"/>
  <c r="R136" i="3"/>
  <c r="R210" i="3"/>
  <c r="S108" i="3"/>
  <c r="R106" i="4"/>
  <c r="R115" i="3"/>
  <c r="R122" i="3"/>
  <c r="S169" i="3"/>
  <c r="S87" i="3"/>
  <c r="R180" i="3"/>
  <c r="R16" i="6"/>
  <c r="R159" i="4"/>
  <c r="S185" i="4"/>
  <c r="R135" i="4"/>
  <c r="S150" i="4"/>
  <c r="R80" i="3"/>
  <c r="R101" i="3"/>
  <c r="R134" i="3"/>
  <c r="S106" i="3"/>
  <c r="R168" i="3"/>
  <c r="S86" i="3"/>
  <c r="R218" i="3"/>
  <c r="R172" i="3"/>
  <c r="S196" i="3"/>
  <c r="S165" i="3"/>
  <c r="R207" i="3"/>
  <c r="S15" i="6"/>
  <c r="S14" i="6"/>
  <c r="R122" i="4"/>
  <c r="R147" i="4"/>
  <c r="R120" i="4"/>
  <c r="S213" i="4"/>
  <c r="R118" i="4"/>
  <c r="R183" i="4"/>
  <c r="R117" i="4"/>
  <c r="R198" i="4"/>
  <c r="S167" i="4"/>
  <c r="R134" i="4"/>
  <c r="S149" i="4"/>
  <c r="R124" i="4"/>
  <c r="S219" i="4"/>
  <c r="R142" i="3"/>
  <c r="R94" i="3"/>
  <c r="R177" i="4"/>
  <c r="R164" i="4"/>
  <c r="R211" i="3"/>
  <c r="S202" i="3"/>
  <c r="R5" i="7"/>
  <c r="R17" i="6"/>
  <c r="S186" i="4"/>
  <c r="S126" i="4"/>
  <c r="R105" i="4"/>
  <c r="S77" i="3"/>
  <c r="R159" i="3"/>
  <c r="S208" i="3"/>
  <c r="S174" i="3"/>
  <c r="R100" i="3"/>
  <c r="R162" i="3"/>
  <c r="S112" i="3"/>
  <c r="S143" i="3"/>
  <c r="R112" i="4"/>
  <c r="R178" i="4"/>
  <c r="R215" i="3"/>
  <c r="R93" i="3"/>
  <c r="R153" i="3"/>
  <c r="S140" i="3"/>
  <c r="S92" i="3"/>
  <c r="R152" i="3"/>
  <c r="S110" i="4"/>
  <c r="R176" i="4"/>
  <c r="R91" i="3"/>
  <c r="S188" i="3"/>
  <c r="R163" i="4"/>
  <c r="R189" i="4"/>
  <c r="R130" i="4"/>
  <c r="S222" i="3"/>
  <c r="S187" i="3"/>
  <c r="R150" i="3"/>
  <c r="S108" i="4"/>
  <c r="S203" i="3"/>
  <c r="S109" i="3"/>
  <c r="S149" i="3"/>
  <c r="R187" i="4"/>
  <c r="R137" i="4"/>
  <c r="R152" i="4"/>
  <c r="R123" i="3"/>
  <c r="S220" i="3"/>
  <c r="R185" i="3"/>
  <c r="S148" i="3"/>
  <c r="R160" i="4"/>
  <c r="S136" i="4"/>
  <c r="R151" i="4"/>
  <c r="S135" i="3"/>
  <c r="R209" i="3"/>
  <c r="S175" i="3"/>
  <c r="R219" i="3"/>
  <c r="S4" i="7"/>
  <c r="R171" i="4"/>
  <c r="S79" i="3"/>
  <c r="S199" i="3"/>
  <c r="R75" i="3"/>
  <c r="S158" i="3"/>
  <c r="S74" i="3"/>
  <c r="S99" i="3"/>
  <c r="S97" i="3"/>
  <c r="R206" i="3"/>
  <c r="R3" i="7"/>
  <c r="S215" i="4"/>
  <c r="S121" i="4"/>
  <c r="S119" i="4"/>
  <c r="R157" i="4"/>
  <c r="R225" i="4"/>
  <c r="S220" i="4"/>
  <c r="R145" i="4"/>
  <c r="R193" i="4"/>
  <c r="S182" i="4"/>
  <c r="R212" i="4"/>
  <c r="R155" i="4"/>
  <c r="R144" i="3"/>
  <c r="R140" i="4"/>
  <c r="R131" i="4"/>
  <c r="R204" i="3"/>
  <c r="R125" i="3"/>
  <c r="R138" i="3"/>
  <c r="R212" i="3"/>
  <c r="S162" i="4"/>
  <c r="R129" i="4"/>
  <c r="S174" i="4"/>
  <c r="R221" i="3"/>
  <c r="S161" i="4"/>
  <c r="S107" i="4"/>
  <c r="R181" i="3"/>
  <c r="S172" i="4"/>
  <c r="S201" i="3"/>
  <c r="R147" i="3"/>
  <c r="R114" i="3"/>
  <c r="R146" i="3"/>
  <c r="R198" i="3"/>
  <c r="R128" i="3"/>
  <c r="S184" i="4"/>
  <c r="S104" i="4"/>
  <c r="R211" i="4"/>
  <c r="R181" i="4"/>
  <c r="S18" i="4"/>
  <c r="S28" i="4"/>
  <c r="S102" i="4"/>
  <c r="S95" i="3"/>
  <c r="S3" i="10"/>
  <c r="S12" i="6"/>
  <c r="S142" i="4"/>
  <c r="S195" i="4"/>
  <c r="S216" i="3"/>
  <c r="S154" i="3"/>
  <c r="R141" i="3"/>
  <c r="S132" i="4"/>
  <c r="S126" i="3"/>
  <c r="S151" i="3"/>
  <c r="S139" i="4"/>
  <c r="S175" i="4"/>
  <c r="R188" i="4"/>
  <c r="R205" i="4"/>
  <c r="S104" i="3"/>
  <c r="R89" i="3"/>
  <c r="S128" i="4"/>
  <c r="S127" i="4"/>
  <c r="S102" i="3"/>
  <c r="S131" i="3"/>
  <c r="R107" i="3"/>
  <c r="R184" i="3"/>
  <c r="S227" i="4"/>
  <c r="S200" i="3"/>
  <c r="S78" i="3"/>
  <c r="R76" i="3"/>
  <c r="S121" i="3"/>
  <c r="S179" i="3"/>
  <c r="R195" i="3"/>
  <c r="R129" i="3"/>
  <c r="S85" i="3"/>
  <c r="S191" i="3"/>
  <c r="R199" i="4"/>
  <c r="S199" i="4" s="1"/>
  <c r="S146" i="4"/>
  <c r="S156" i="4"/>
  <c r="R197" i="4"/>
  <c r="R192" i="4"/>
  <c r="S170" i="4"/>
  <c r="R166" i="4"/>
  <c r="R224" i="4"/>
  <c r="S210" i="4"/>
  <c r="S115" i="4"/>
  <c r="R223" i="4"/>
  <c r="R5" i="8"/>
  <c r="S5" i="8" s="1"/>
  <c r="S113" i="4"/>
  <c r="S179" i="4"/>
  <c r="S141" i="4"/>
  <c r="S208" i="4"/>
  <c r="S111" i="4"/>
  <c r="R214" i="3"/>
  <c r="S190" i="4"/>
  <c r="R207" i="4"/>
  <c r="S139" i="3"/>
  <c r="R213" i="3"/>
  <c r="R223" i="3"/>
  <c r="S223" i="3" s="1"/>
  <c r="S206" i="4"/>
  <c r="S109" i="4"/>
  <c r="S118" i="3"/>
  <c r="R110" i="3"/>
  <c r="S110" i="3" s="1"/>
  <c r="R90" i="3"/>
  <c r="R153" i="4"/>
  <c r="S153" i="4" s="1"/>
  <c r="R124" i="3"/>
  <c r="S137" i="3"/>
  <c r="R204" i="4"/>
  <c r="S173" i="4"/>
  <c r="S83" i="3"/>
  <c r="S116" i="3"/>
  <c r="S136" i="3"/>
  <c r="S210" i="3"/>
  <c r="R108" i="3"/>
  <c r="S106" i="4"/>
  <c r="S115" i="3"/>
  <c r="S122" i="3"/>
  <c r="R169" i="3"/>
  <c r="R87" i="3"/>
  <c r="S180" i="3"/>
  <c r="S16" i="6"/>
  <c r="S159" i="4"/>
  <c r="R185" i="4"/>
  <c r="S135" i="4"/>
  <c r="R150" i="4"/>
  <c r="S80" i="3"/>
  <c r="S101" i="3"/>
  <c r="S134" i="3"/>
  <c r="R106" i="3"/>
  <c r="S168" i="3"/>
  <c r="R86" i="3"/>
  <c r="S218" i="3"/>
  <c r="S172" i="3"/>
  <c r="R196" i="3"/>
  <c r="R165" i="3"/>
  <c r="S207" i="3"/>
  <c r="R15" i="6"/>
  <c r="R14" i="6"/>
  <c r="S122" i="4"/>
  <c r="S147" i="4"/>
  <c r="S120" i="4"/>
  <c r="R213" i="4"/>
  <c r="S118" i="4"/>
  <c r="S183" i="4"/>
  <c r="S117" i="4"/>
  <c r="S198" i="4"/>
  <c r="R167" i="4"/>
  <c r="S134" i="4"/>
  <c r="R149" i="4"/>
  <c r="S124" i="4"/>
  <c r="R219" i="4"/>
  <c r="S142" i="3"/>
  <c r="S94" i="3"/>
  <c r="S177" i="4"/>
  <c r="S164" i="4"/>
  <c r="S211" i="3"/>
  <c r="R177" i="3"/>
  <c r="S177" i="3" s="1"/>
  <c r="R202" i="3"/>
  <c r="S5" i="7"/>
  <c r="S17" i="6"/>
  <c r="R186" i="4"/>
  <c r="R168" i="4"/>
  <c r="S168" i="4" s="1"/>
  <c r="R126" i="4"/>
  <c r="S105" i="4"/>
  <c r="R77" i="3"/>
  <c r="S159" i="3"/>
  <c r="R208" i="3"/>
  <c r="R174" i="3"/>
  <c r="S100" i="3"/>
  <c r="S162" i="3"/>
  <c r="R112" i="3"/>
  <c r="R143" i="3"/>
  <c r="S112" i="4"/>
  <c r="S178" i="4"/>
  <c r="S215" i="3"/>
  <c r="S93" i="3"/>
  <c r="S153" i="3"/>
  <c r="R140" i="3"/>
  <c r="R92" i="3"/>
  <c r="S152" i="3"/>
  <c r="R110" i="4"/>
  <c r="S176" i="4"/>
  <c r="S91" i="3"/>
  <c r="R188" i="3"/>
  <c r="S163" i="4"/>
  <c r="S189" i="4"/>
  <c r="S130" i="4"/>
  <c r="R222" i="3"/>
  <c r="R187" i="3"/>
  <c r="S150" i="3"/>
  <c r="R108" i="4"/>
  <c r="R203" i="3"/>
  <c r="R109" i="3"/>
  <c r="R149" i="3"/>
  <c r="S187" i="4"/>
  <c r="S137" i="4"/>
  <c r="S152" i="4"/>
  <c r="S123" i="3"/>
  <c r="R220" i="3"/>
  <c r="S185" i="3"/>
  <c r="R148" i="3"/>
  <c r="S160" i="4"/>
  <c r="R136" i="4"/>
  <c r="S151" i="4"/>
  <c r="R135" i="3"/>
  <c r="S209" i="3"/>
  <c r="R175" i="3"/>
  <c r="S219" i="3"/>
  <c r="R4" i="7"/>
  <c r="S171" i="4"/>
  <c r="R79" i="3"/>
  <c r="R199" i="3"/>
  <c r="S75" i="3"/>
  <c r="R163" i="3"/>
  <c r="S163" i="3" s="1"/>
  <c r="R158" i="3"/>
  <c r="R74" i="3"/>
  <c r="R99" i="3"/>
  <c r="R97" i="3"/>
  <c r="S206" i="3"/>
  <c r="S3" i="7"/>
  <c r="R215" i="4"/>
  <c r="R121" i="4"/>
  <c r="R119" i="4"/>
  <c r="S157" i="4"/>
  <c r="S225" i="4"/>
  <c r="R220" i="4"/>
  <c r="S145" i="4"/>
  <c r="S193" i="4"/>
  <c r="R182" i="4"/>
  <c r="S212" i="4"/>
  <c r="S155" i="4"/>
  <c r="S144" i="3"/>
  <c r="S140" i="4"/>
  <c r="S131" i="4"/>
  <c r="S204" i="3"/>
  <c r="S125" i="3"/>
  <c r="S138" i="3"/>
  <c r="S212" i="3"/>
  <c r="R162" i="4"/>
  <c r="R138" i="4"/>
  <c r="S129" i="4"/>
  <c r="R174" i="4"/>
  <c r="S117" i="3"/>
  <c r="S221" i="3"/>
  <c r="R186" i="3"/>
  <c r="R161" i="4"/>
  <c r="R107" i="4"/>
  <c r="S103" i="3"/>
  <c r="R176" i="3"/>
  <c r="S88" i="3"/>
  <c r="S181" i="3"/>
  <c r="S203" i="4"/>
  <c r="R172" i="4"/>
  <c r="S82" i="3"/>
  <c r="R201" i="3"/>
  <c r="S147" i="3"/>
  <c r="R202" i="4"/>
  <c r="R81" i="3"/>
  <c r="S114" i="3"/>
  <c r="R113" i="3"/>
  <c r="S130" i="3"/>
  <c r="R193" i="3"/>
  <c r="R133" i="3"/>
  <c r="R183" i="3"/>
  <c r="S146" i="3"/>
  <c r="S198" i="3"/>
  <c r="S197" i="3"/>
  <c r="R98" i="3"/>
  <c r="R157" i="3"/>
  <c r="S73" i="3"/>
  <c r="S161" i="3"/>
  <c r="S120" i="3"/>
  <c r="S128" i="3"/>
  <c r="R158" i="4"/>
  <c r="R184" i="4"/>
  <c r="R226" i="4"/>
  <c r="S214" i="4"/>
  <c r="R221" i="4"/>
  <c r="S194" i="4"/>
  <c r="R116" i="4"/>
  <c r="S144" i="4"/>
  <c r="R125" i="4"/>
  <c r="S201" i="4"/>
  <c r="R104" i="4"/>
  <c r="S211" i="4"/>
  <c r="S181" i="4"/>
  <c r="R218" i="4"/>
  <c r="S138" i="4"/>
  <c r="R117" i="3"/>
  <c r="S186" i="3"/>
  <c r="R103" i="3"/>
  <c r="R170" i="3"/>
  <c r="S170" i="3" s="1"/>
  <c r="S176" i="3"/>
  <c r="R88" i="3"/>
  <c r="R203" i="4"/>
  <c r="R82" i="3"/>
  <c r="S202" i="4"/>
  <c r="S81" i="3"/>
  <c r="S113" i="3"/>
  <c r="R130" i="3"/>
  <c r="S193" i="3"/>
  <c r="R225" i="3"/>
  <c r="S225" i="3" s="1"/>
  <c r="S133" i="3"/>
  <c r="S183" i="3"/>
  <c r="R197" i="3"/>
  <c r="S98" i="3"/>
  <c r="S157" i="3"/>
  <c r="R73" i="3"/>
  <c r="R161" i="3"/>
  <c r="R120" i="3"/>
  <c r="S158" i="4"/>
  <c r="S226" i="4"/>
  <c r="R214" i="4"/>
  <c r="S221" i="4"/>
  <c r="R194" i="4"/>
  <c r="S116" i="4"/>
  <c r="R144" i="4"/>
  <c r="S125" i="4"/>
  <c r="R201" i="4"/>
  <c r="S218" i="4"/>
</calcChain>
</file>

<file path=xl/sharedStrings.xml><?xml version="1.0" encoding="utf-8"?>
<sst xmlns="http://schemas.openxmlformats.org/spreadsheetml/2006/main" count="387" uniqueCount="137">
  <si>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</si>
  <si>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</si>
  <si>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</si>
  <si>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</si>
  <si>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</si>
  <si>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</si>
  <si>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</si>
  <si>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</si>
  <si>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</si>
  <si>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</si>
  <si>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</si>
  <si>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</si>
  <si>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</si>
  <si>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</si>
  <si>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</si>
  <si>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</si>
  <si>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</si>
  <si>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</si>
  <si>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</si>
  <si>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</si>
  <si>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</si>
  <si>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</si>
  <si>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</si>
  <si>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</si>
  <si>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</si>
  <si>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</si>
  <si>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</si>
  <si>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</si>
  <si>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</si>
  <si>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</si>
  <si>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</si>
  <si>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</si>
  <si>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</si>
  <si>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</si>
  <si>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</si>
  <si>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</si>
  <si>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</si>
  <si>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</si>
  <si>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</si>
  <si>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</si>
  <si>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</si>
  <si>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</si>
  <si>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</si>
  <si>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</si>
  <si>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</si>
  <si>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</si>
  <si>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</si>
  <si>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</si>
  <si>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</si>
  <si>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</si>
  <si>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</si>
  <si>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Total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</si>
  <si>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</si>
  <si>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</si>
  <si>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</si>
  <si>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</si>
  <si>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</si>
  <si>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</si>
  <si>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</si>
  <si>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</si>
  <si>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ATA_0809_684-9</t>
  </si>
  <si>
    <t>ATA_0809_878-1</t>
  </si>
  <si>
    <t>KEN_0109_015-5</t>
  </si>
  <si>
    <t>KEN_0109_046-4</t>
  </si>
  <si>
    <t>KEN_0209_060-4</t>
  </si>
  <si>
    <t>KEN_0209_093-4</t>
  </si>
  <si>
    <t>KEN_0509_175-4</t>
  </si>
  <si>
    <t>KEN_0909_305-6</t>
  </si>
  <si>
    <t>KEN_0809_393-7</t>
  </si>
  <si>
    <t>KEN_0909_527-6</t>
  </si>
  <si>
    <t>KEN_1209_636-11</t>
  </si>
  <si>
    <t>KEN_1209_728-8</t>
  </si>
  <si>
    <t>KEN_1209_754-6</t>
  </si>
  <si>
    <t>ATA_1209_941-4</t>
  </si>
  <si>
    <t>ATA_1209_901-4</t>
  </si>
  <si>
    <t>ATA_1209_954-5</t>
  </si>
  <si>
    <t>ATA_1209_992-9</t>
  </si>
  <si>
    <t>LAY_1209_031-1</t>
  </si>
  <si>
    <t>ATA_1309_106-8</t>
  </si>
  <si>
    <t>ATA_1309_107-4</t>
  </si>
  <si>
    <t>ATA_1309_190-9</t>
  </si>
  <si>
    <t>KEN_1509_830-3</t>
  </si>
  <si>
    <t>KEN_1609_090-2</t>
  </si>
  <si>
    <t>KEN_1609_098-10</t>
  </si>
  <si>
    <t>ATA_1609_389-6</t>
  </si>
  <si>
    <t>KAL_1609_783-8</t>
  </si>
  <si>
    <t>99J_1709_122-2</t>
  </si>
  <si>
    <t>KEN_1709_296-9</t>
  </si>
  <si>
    <t>KEN_1709_198-10</t>
  </si>
  <si>
    <t>KEN_1709_209-8</t>
  </si>
  <si>
    <t>KUN_1909_187-1</t>
  </si>
  <si>
    <t>LIE</t>
  </si>
  <si>
    <t>LIE ARMAND</t>
  </si>
  <si>
    <t>KEN_2109_429-9</t>
  </si>
  <si>
    <t>KEN_2109_432-4</t>
  </si>
  <si>
    <t>KEN_2309_531-5</t>
  </si>
  <si>
    <t>ATA_2109_680-11</t>
  </si>
  <si>
    <t>ATA_2309_681-11</t>
  </si>
  <si>
    <t>ATA_2309_682-8</t>
  </si>
  <si>
    <t>ATA_2309_683-5</t>
  </si>
  <si>
    <t>ATA_2309_742-7</t>
  </si>
  <si>
    <t>ATA_2309_758-7</t>
  </si>
  <si>
    <t>ATA_2309_796-4</t>
  </si>
  <si>
    <t>KEN_2609_688-10</t>
  </si>
  <si>
    <t>KEN_2609_697-3</t>
  </si>
  <si>
    <t>KEN_2609_783-10</t>
  </si>
  <si>
    <t>KEN_2609_795-10</t>
  </si>
  <si>
    <t>KEN_2609_796-4</t>
  </si>
  <si>
    <t>KEN_2709_890-3</t>
  </si>
  <si>
    <t>ATA_2609_841-12</t>
  </si>
  <si>
    <t>ATA_2609_842-10</t>
  </si>
  <si>
    <t>ATA_2609_843-3</t>
  </si>
  <si>
    <t>ATA_2609_879-3</t>
  </si>
  <si>
    <t>ATA_2609_915-2</t>
  </si>
  <si>
    <t>ATA_2609_928-3</t>
  </si>
  <si>
    <t>ATA_2709_039-1</t>
  </si>
  <si>
    <t>ATA_2709_035-4</t>
  </si>
  <si>
    <t>KAL_2609_838-1</t>
  </si>
  <si>
    <t>BONUS CUTTER</t>
  </si>
  <si>
    <t>KEN_1509_926-5</t>
  </si>
  <si>
    <t>99J_2809_022-1</t>
  </si>
  <si>
    <t>99J_2809_122-1</t>
  </si>
  <si>
    <t>SAM_2809_019-3</t>
  </si>
  <si>
    <t>KEN_2909_001-8</t>
  </si>
  <si>
    <t>KEN_2909_190-7</t>
  </si>
  <si>
    <t>KEN_0110_360-4</t>
  </si>
  <si>
    <t>ATA_0110_312-1</t>
  </si>
  <si>
    <t>LAY_0110_047-1</t>
  </si>
  <si>
    <t>ATA_0310_369-10</t>
  </si>
  <si>
    <t>ATA_0310_370-11</t>
  </si>
  <si>
    <t>ATA_0310_371-6</t>
  </si>
  <si>
    <t>KAL_0310_886-4</t>
  </si>
  <si>
    <t>ATA_0410_519-1</t>
  </si>
  <si>
    <t>KEN_3009_145-5</t>
  </si>
  <si>
    <t>ATA_3009_220-7</t>
  </si>
  <si>
    <t>ATA_3009_259-1</t>
  </si>
  <si>
    <t>ATA_3009_219-3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</si>
</sst>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8" fillId="0" borderId="0" xfId="0" applyNumberFormat="1" applyFont="1"/>
    <xf numFmtId="0" fontId="9" fillId="0" borderId="0" xfId="0" applyNumberFormat="1" applyFont="1" applyAlignment="1">
      <alignment vertical="center"/>
    </xf>
    <xf numFmtId="0" fontId="0" fillId="0" borderId="0" xfId="0" applyFont="1" applyFill="1" applyAlignment="1">
      <alignment horizontal="left"/>
    </xf>
    <xf numFmtId="0" fontId="10" fillId="0" borderId="0" xfId="0" applyNumberFormat="1" applyFont="1"/>
    <xf numFmtId="0" fontId="11" fillId="0" borderId="0" xfId="0" applyNumberFormat="1" applyFont="1" applyAlignment="1">
      <alignment vertical="center"/>
    </xf>
    <xf numFmtId="0" fontId="12" fillId="0" borderId="0" xfId="0" applyNumberFormat="1" applyFont="1"/>
    <xf numFmtId="0" fontId="13" fillId="0" borderId="0" xfId="0" applyNumberFormat="1" applyFont="1" applyAlignment="1">
      <alignment vertical="center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0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left" vertical="center" wrapText="1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3" borderId="0" xfId="0" applyNumberFormat="1" applyFill="1"/>
    <xf numFmtId="0" fontId="0" fillId="3" borderId="0" xfId="0" applyNumberFormat="1" applyFill="1" applyAlignment="1">
      <alignment horizontal="center"/>
    </xf>
    <xf numFmtId="14" fontId="0" fillId="3" borderId="0" xfId="0" applyNumberFormat="1" applyFill="1"/>
    <xf numFmtId="4" fontId="0" fillId="3" borderId="0" xfId="0" applyNumberFormat="1" applyFill="1"/>
    <xf numFmtId="10" fontId="0" fillId="3" borderId="0" xfId="0" applyNumberFormat="1" applyFill="1"/>
    <xf numFmtId="0" fontId="1" fillId="3" borderId="0" xfId="0" applyNumberFormat="1" applyFont="1" applyFill="1"/>
    <xf numFmtId="0" fontId="2" fillId="3" borderId="0" xfId="0" applyNumberFormat="1" applyFont="1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248"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4" formatCode="#,##0.0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_-* #,##0_-;\-* #,##0_-;_-* &quot;-&quot;_-;_-@_-"/>
    </dxf>
    <dxf>
      <numFmt numFmtId="164" formatCode="_-* #,##0_-;\-* #,##0_-;_-* &quot;-&quot;_-;_-@_-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9%20SEP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3-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/>
        </row>
        <row r="679">
          <cell r="C679"/>
        </row>
        <row r="680">
          <cell r="C680"/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5">
          <cell r="C715" t="str">
            <v>SINV99-221100000383</v>
          </cell>
        </row>
        <row r="716">
          <cell r="C716" t="str">
            <v>SINV99-221100000384</v>
          </cell>
        </row>
        <row r="717">
          <cell r="C717" t="str">
            <v>SINV99-221100000608</v>
          </cell>
        </row>
        <row r="718">
          <cell r="C718" t="str">
            <v>SINV99-221100000609</v>
          </cell>
        </row>
        <row r="719">
          <cell r="C719" t="str">
            <v>SN22112436</v>
          </cell>
        </row>
        <row r="720">
          <cell r="C720" t="str">
            <v>SN22112437</v>
          </cell>
        </row>
        <row r="721">
          <cell r="C721" t="str">
            <v>SN22112464</v>
          </cell>
        </row>
        <row r="722">
          <cell r="C722" t="str">
            <v>22110005</v>
          </cell>
        </row>
        <row r="723">
          <cell r="C723" t="str">
            <v>22110018</v>
          </cell>
        </row>
        <row r="724">
          <cell r="C724" t="str">
            <v>22110025</v>
          </cell>
        </row>
        <row r="725">
          <cell r="C725" t="str">
            <v>22110067</v>
          </cell>
        </row>
        <row r="726">
          <cell r="C726" t="str">
            <v>22110115</v>
          </cell>
        </row>
        <row r="727">
          <cell r="C727" t="str">
            <v>22110164</v>
          </cell>
        </row>
        <row r="728">
          <cell r="C728" t="str">
            <v>22110194</v>
          </cell>
        </row>
        <row r="729">
          <cell r="C729" t="str">
            <v>22110248</v>
          </cell>
        </row>
        <row r="730">
          <cell r="C730" t="str">
            <v>22110272</v>
          </cell>
        </row>
        <row r="731">
          <cell r="C731" t="str">
            <v>22110354</v>
          </cell>
        </row>
        <row r="732">
          <cell r="C732" t="str">
            <v>22110480</v>
          </cell>
        </row>
        <row r="733">
          <cell r="C733" t="str">
            <v>22110599</v>
          </cell>
        </row>
        <row r="734">
          <cell r="C734" t="str">
            <v>22110632</v>
          </cell>
        </row>
        <row r="735">
          <cell r="C735" t="str">
            <v>22110639</v>
          </cell>
        </row>
        <row r="736">
          <cell r="C736" t="str">
            <v>22110782</v>
          </cell>
        </row>
        <row r="737">
          <cell r="C737" t="str">
            <v>22110855</v>
          </cell>
        </row>
        <row r="738">
          <cell r="C738" t="str">
            <v>22110947</v>
          </cell>
        </row>
        <row r="739">
          <cell r="C739" t="str">
            <v>22111034</v>
          </cell>
        </row>
        <row r="740">
          <cell r="C740" t="str">
            <v>22111130</v>
          </cell>
        </row>
        <row r="741">
          <cell r="C741" t="str">
            <v>22111174</v>
          </cell>
        </row>
        <row r="742">
          <cell r="C742" t="str">
            <v>22111292</v>
          </cell>
        </row>
        <row r="743">
          <cell r="C743" t="str">
            <v>22111400</v>
          </cell>
        </row>
        <row r="744">
          <cell r="C744" t="str">
            <v>22111568</v>
          </cell>
        </row>
        <row r="745">
          <cell r="C745" t="str">
            <v>22111703</v>
          </cell>
        </row>
        <row r="746">
          <cell r="C746" t="str">
            <v>22111854</v>
          </cell>
        </row>
        <row r="747">
          <cell r="C747" t="str">
            <v>22111993</v>
          </cell>
        </row>
        <row r="748">
          <cell r="C748" t="str">
            <v>22111997</v>
          </cell>
        </row>
        <row r="749">
          <cell r="C749" t="str">
            <v>22112071</v>
          </cell>
        </row>
        <row r="750">
          <cell r="C750" t="str">
            <v>22112169</v>
          </cell>
        </row>
        <row r="751">
          <cell r="C751" t="str">
            <v>L211027</v>
          </cell>
        </row>
        <row r="752">
          <cell r="C752" t="str">
            <v>L311018</v>
          </cell>
        </row>
        <row r="753">
          <cell r="C753"/>
        </row>
        <row r="754">
          <cell r="C754"/>
        </row>
        <row r="755">
          <cell r="C755"/>
        </row>
        <row r="756">
          <cell r="C756" t="str">
            <v>005322</v>
          </cell>
        </row>
        <row r="757">
          <cell r="C757" t="str">
            <v>005323</v>
          </cell>
        </row>
        <row r="758">
          <cell r="C758"/>
        </row>
        <row r="759">
          <cell r="C759" t="str">
            <v>SA221219392</v>
          </cell>
        </row>
        <row r="760">
          <cell r="C760" t="str">
            <v>SA221219393</v>
          </cell>
        </row>
        <row r="761">
          <cell r="C761" t="str">
            <v>SA221219463</v>
          </cell>
        </row>
        <row r="762">
          <cell r="C762" t="str">
            <v>SA221219494</v>
          </cell>
        </row>
        <row r="763">
          <cell r="C763" t="str">
            <v>SA221219794</v>
          </cell>
        </row>
        <row r="764">
          <cell r="C764" t="str">
            <v>SA221219795</v>
          </cell>
        </row>
        <row r="765">
          <cell r="C765" t="str">
            <v>SA221219857</v>
          </cell>
        </row>
        <row r="766">
          <cell r="C766" t="str">
            <v>SA221219940</v>
          </cell>
        </row>
        <row r="767">
          <cell r="C767" t="str">
            <v>SA221219941</v>
          </cell>
        </row>
        <row r="768">
          <cell r="C768" t="str">
            <v>SA221219942</v>
          </cell>
        </row>
        <row r="769">
          <cell r="C769" t="str">
            <v>SA221220076</v>
          </cell>
        </row>
        <row r="770">
          <cell r="C770" t="str">
            <v>SA221220104</v>
          </cell>
        </row>
        <row r="771">
          <cell r="C771" t="str">
            <v>SA221220204</v>
          </cell>
        </row>
        <row r="772">
          <cell r="C772" t="str">
            <v>SA221220205</v>
          </cell>
        </row>
        <row r="773">
          <cell r="C773" t="str">
            <v>SA221220206</v>
          </cell>
        </row>
        <row r="774">
          <cell r="C774" t="str">
            <v>SA221220312</v>
          </cell>
        </row>
        <row r="775">
          <cell r="C775" t="str">
            <v>SA221220313</v>
          </cell>
        </row>
        <row r="776">
          <cell r="C776" t="str">
            <v>SA221220435</v>
          </cell>
        </row>
        <row r="777">
          <cell r="C777" t="str">
            <v>SA221220504</v>
          </cell>
        </row>
        <row r="778">
          <cell r="C778" t="str">
            <v>SA221220583</v>
          </cell>
        </row>
        <row r="779">
          <cell r="C779" t="str">
            <v>SA221220712</v>
          </cell>
        </row>
        <row r="780">
          <cell r="C780" t="str">
            <v>SA221220732</v>
          </cell>
        </row>
        <row r="781">
          <cell r="C781"/>
        </row>
        <row r="782">
          <cell r="C782" t="str">
            <v>SN22122659</v>
          </cell>
        </row>
        <row r="783">
          <cell r="C783"/>
        </row>
        <row r="784">
          <cell r="C784" t="str">
            <v>22120001</v>
          </cell>
        </row>
        <row r="785">
          <cell r="C785" t="str">
            <v>22120010</v>
          </cell>
        </row>
        <row r="786">
          <cell r="C786" t="str">
            <v>22120040</v>
          </cell>
        </row>
        <row r="787">
          <cell r="C787" t="str">
            <v>22120060</v>
          </cell>
        </row>
        <row r="788">
          <cell r="C788" t="str">
            <v>22120085</v>
          </cell>
        </row>
        <row r="789">
          <cell r="C789" t="str">
            <v>22120155</v>
          </cell>
        </row>
        <row r="790">
          <cell r="C790" t="str">
            <v>22120193</v>
          </cell>
        </row>
        <row r="791">
          <cell r="C791" t="str">
            <v>22120215</v>
          </cell>
        </row>
        <row r="792">
          <cell r="C792" t="str">
            <v>22120385</v>
          </cell>
        </row>
        <row r="793">
          <cell r="C793" t="str">
            <v>22120399</v>
          </cell>
        </row>
        <row r="794">
          <cell r="C794" t="str">
            <v>22120326</v>
          </cell>
        </row>
        <row r="795">
          <cell r="C795" t="str">
            <v>22120406</v>
          </cell>
        </row>
        <row r="796">
          <cell r="C796" t="str">
            <v>22120541</v>
          </cell>
        </row>
        <row r="797">
          <cell r="C797" t="str">
            <v>22120891</v>
          </cell>
        </row>
        <row r="798">
          <cell r="C798" t="str">
            <v>22120986</v>
          </cell>
        </row>
        <row r="799">
          <cell r="C799" t="str">
            <v>22121077</v>
          </cell>
        </row>
        <row r="800">
          <cell r="C800" t="str">
            <v>22121174</v>
          </cell>
        </row>
        <row r="801">
          <cell r="C801" t="str">
            <v>22121186</v>
          </cell>
        </row>
        <row r="802">
          <cell r="C802" t="str">
            <v>22121256</v>
          </cell>
        </row>
        <row r="803">
          <cell r="C803" t="str">
            <v>22121349</v>
          </cell>
        </row>
        <row r="804">
          <cell r="C804" t="str">
            <v>22121444</v>
          </cell>
        </row>
        <row r="805">
          <cell r="C805" t="str">
            <v>22121558</v>
          </cell>
        </row>
        <row r="806">
          <cell r="C806" t="str">
            <v>22121724</v>
          </cell>
        </row>
        <row r="807">
          <cell r="C807" t="str">
            <v>22121748</v>
          </cell>
        </row>
        <row r="808">
          <cell r="C808"/>
        </row>
        <row r="809">
          <cell r="C809" t="str">
            <v>L112043</v>
          </cell>
        </row>
        <row r="810">
          <cell r="C810"/>
        </row>
        <row r="811">
          <cell r="C811"/>
        </row>
        <row r="812">
          <cell r="C812"/>
        </row>
        <row r="814">
          <cell r="C814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S132" totalsRowShown="0">
  <autoFilter ref="A2:S1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5" name="CEK" dataDxfId="246" totalsRowDxfId="245">
      <calculatedColumnFormula>IF(Table1[[#This Row],[NAMA SUPPLIER]]="","",MATCH(Table1[[#This Row],[N_ID]],INDIRECT(Table1[[#This Row],[1_h]]&amp;"[N_ID]"),0))</calculatedColumnFormula>
    </tableColumn>
    <tableColumn id="1" name="N_ID" dataDxfId="244"/>
    <tableColumn id="2" name="ID" dataDxfId="243" totalsRowDxfId="242">
      <calculatedColumnFormula>_xlfn.IFNA(INDEX([2]!PAJAK[ID],MATCH(Table1[[#This Row],[N_ID]],[2]!PAJAK[ID_P],0)),"")</calculatedColumnFormula>
    </tableColumn>
    <tableColumn id="3" name="QB" dataDxfId="241" totalsRowDxfId="240">
      <calculatedColumnFormula>IF(Table1[[#This Row],[ID]]="","",INDEX([2]!PAJAK[QB],MATCH(Table1[[#This Row],[ID]],[2]!PAJAK[ID],0)))</calculatedColumnFormula>
    </tableColumn>
    <tableColumn id="4" name="TGL BARANG DATANG" dataDxfId="239">
      <calculatedColumnFormula>INDEX([2]!PAJAK[TGL.MASUK],MATCH(Table1[[#This Row],[ID]],[2]!PAJAK[ID],0))</calculatedColumnFormula>
    </tableColumn>
    <tableColumn id="5" name="TANGGAL FAKTUR" dataDxfId="238">
      <calculatedColumnFormula>INDEX([2]!PAJAK[TGL.NOTA],MATCH(Table1[[#This Row],[ID]],[2]!PAJAK[ID],0))</calculatedColumnFormula>
    </tableColumn>
    <tableColumn id="6" name="NO. INVOICE" dataDxfId="237" totalsRowDxfId="236">
      <calculatedColumnFormula>INDEX([2]!PAJAK[NO.NOTA],MATCH(Table1[[#This Row],[ID]],[2]!PAJAK[ID],0))</calculatedColumnFormula>
    </tableColumn>
    <tableColumn id="7" name="NPWP"/>
    <tableColumn id="8" name="NAMA SUPPLIER" dataDxfId="235">
      <calculatedColumnFormula>INDEX([2]!PAJAK[SUPPLIER],MATCH(Table1[[#This Row],[ID]],[2]!PAJAK[ID],0))</calculatedColumnFormula>
    </tableColumn>
    <tableColumn id="18" name="NO FAKTUR" dataDxfId="234"/>
    <tableColumn id="19" name="Column1" dataDxfId="233"/>
    <tableColumn id="9" name="SUB TOTAL" dataDxfId="232" totalsRowDxfId="231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0" name="DISKON" dataDxfId="230" totalsRowDxfId="229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1" name="DPP" dataDxfId="228" totalsRowDxfId="227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2" name="PPN (11%)" dataDxfId="226" totalsRowDxfId="225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3" name="TOTAL" dataDxfId="224" totalsRowDxfId="223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4" name="1_h" dataDxfId="222" totalsRowDxfId="221">
      <calculatedColumnFormula>IF(Table1[[#This Row],[NAMA SUPPLIER]]="","",INDEX(conv1[2],MATCH(Table1[[#This Row],[NAMA SUPPLIER]],conv1[1],0)))</calculatedColumnFormula>
    </tableColumn>
    <tableColumn id="17" name="CEK&lt;" dataDxfId="220">
      <calculatedColumnFormula>IF(Table1[[#This Row],[NO. INVOICE]]="","",_xlfn.IFNA(MATCH(Table1[[#This Row],[NO. INVOICE]],'[3]REKAP PEMBELIAN'!$C:$C,0),MATCH(VALUE(Table1[[#This Row],[NO. INVOICE]]),'[3]REKAP PEMBELIAN'!$C:$C,0)))</calculatedColumnFormula>
    </tableColumn>
    <tableColumn id="16" name="CEK&gt;" dataDxfId="219"/>
  </tableColumns>
  <tableStyleInfo showFirstColumn="0" showLastColumn="1" showRowStripes="1" showColumnStripes="0"/>
</table>
</file>

<file path=xl/tables/table10.xml><?xml version="1.0" encoding="utf-8"?>
<table xmlns="http://schemas.openxmlformats.org/spreadsheetml/2006/main" id="2" name="conv1" displayName="conv1" ref="A2:B10" totalsRowShown="0">
  <autoFilter ref="A2:B10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374" totalsRowShown="0" headerRowDxfId="218">
  <autoFilter ref="A2:Z374"/>
  <tableColumns count="26">
    <tableColumn id="1" name="N_ID" dataDxfId="217"/>
    <tableColumn id="2" name="ID NOTA" dataDxfId="216">
      <calculatedColumnFormula>IF(KENKO[[#This Row],[N_ID]]="","",INDEX(Table1[ID],MATCH(KENKO[[#This Row],[N_ID]],Table1[N_ID],0)))</calculatedColumnFormula>
    </tableColumn>
    <tableColumn id="3" name="&gt;" dataDxfId="215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14">
      <calculatedColumnFormula>IF(KENKO[[#This Row],[ID NOTA]]="","",INDEX(Table1[QB],MATCH(KENKO[[#This Row],[ID NOTA]],Table1[ID],0)))</calculatedColumnFormula>
    </tableColumn>
    <tableColumn id="5" name="//" dataDxfId="213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12"/>
    <tableColumn id="7" name="TANGGAL DATANG" dataDxfId="211">
      <calculatedColumnFormula>IF(KENKO[[#This Row],[ID NOTA]]="","",INDEX([2]!NOTA[TGL_H],MATCH(KENKO[[#This Row],[ID NOTA]],[2]!NOTA[ID],0)))</calculatedColumnFormula>
    </tableColumn>
    <tableColumn id="8" name="TANGGAL INVOICE" dataDxfId="210">
      <calculatedColumnFormula>IF(KENKO[[#This Row],[ID NOTA]]="","",INDEX([2]!NOTA[TGL.NOTA],MATCH(KENKO[[#This Row],[ID NOTA]],[2]!NOTA[ID],0)))</calculatedColumnFormula>
    </tableColumn>
    <tableColumn id="9" name="NO. NOTA" dataDxfId="209">
      <calculatedColumnFormula>IF(KENKO[[#This Row],[ID NOTA]]="","",INDEX([2]!NOTA[NO.NOTA],MATCH(KENKO[[#This Row],[ID NOTA]],[2]!NOTA[ID],0)))</calculatedColumnFormula>
    </tableColumn>
    <tableColumn id="10" name="NAMA BARANG" dataDxfId="208">
      <calculatedColumnFormula>IF(KENKO[[#This Row],[//]]="","",INDEX([4]!db[NB PAJAK],KENKO[[#This Row],[stt]]-1))</calculatedColumnFormula>
    </tableColumn>
    <tableColumn id="11" name="C" dataDxfId="207">
      <calculatedColumnFormula>""</calculatedColumnFormula>
    </tableColumn>
    <tableColumn id="12" name="JMLH BRG" dataDxfId="206">
      <calculatedColumnFormula>IF(KENKO[[#This Row],[//]]="","",IF(INDEX([2]!NOTA[QTY],KENKO[//]-2)="",INDEX([2]!NOTA[C],KENKO[//]-2),INDEX([2]!NOTA[QTY],KENKO[//]-2)))</calculatedColumnFormula>
    </tableColumn>
    <tableColumn id="13" name="SAT" dataDxfId="205">
      <calculatedColumnFormula>IF(KENKO[[#This Row],[//]]="","",IF(INDEX([2]!NOTA[STN],KENKO[//]-2)="","CTN",INDEX([2]!NOTA[STN],KENKO[//]-2)))</calculatedColumnFormula>
    </tableColumn>
    <tableColumn id="14" name=" HARGA SATUAN " dataDxfId="204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03">
      <calculatedColumnFormula>IF(KENKO[[#This Row],[//]]="","",IF(INDEX([2]!NOTA[DISC 2],KENKO[[#This Row],[//]]-2)=0,"",INDEX([2]!NOTA[DISC 2],KENKO[[#This Row],[//]]-2)))</calculatedColumnFormula>
    </tableColumn>
    <tableColumn id="16" name="DISC 2 (%)" dataDxfId="202"/>
    <tableColumn id="17" name=" JUMLAH " dataDxfId="201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00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199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198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197">
      <calculatedColumnFormula>IF(KENKO[[#This Row],[//]]="","",INDEX([2]!NOTA[NAMA BARANG],KENKO[[#This Row],[//]]-2))</calculatedColumnFormula>
    </tableColumn>
    <tableColumn id="22" name="concat" dataDxfId="196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195">
      <calculatedColumnFormula>IF(KENKO[[#This Row],[concat]]="","",MATCH(KENKO[[#This Row],[concat]],[4]!db[NB NOTA_C],0)+1)</calculatedColumnFormula>
    </tableColumn>
    <tableColumn id="24" name="H_DISC" dataDxfId="194">
      <calculatedColumnFormula>IF(KENKO[[#This Row],[N.B.nota]]="","",ADDRESS(ROW(KENKO[QB]),COLUMN(KENKO[QB]))&amp;":"&amp;ADDRESS(ROW(),COLUMN(KENKO[QB])))</calculatedColumnFormula>
    </tableColumn>
    <tableColumn id="25" name="&gt;DB" dataDxfId="193">
      <calculatedColumnFormula>IF(KENKO[[#This Row],[//]]="","",HYPERLINK("[..\\DB.xlsx]DB!e"&amp;KENKO[[#This Row],[stt]],"&gt;"))</calculatedColumnFormula>
    </tableColumn>
    <tableColumn id="26" name="id_h" dataDxfId="192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580" totalsRowShown="0" headerRowDxfId="190">
  <autoFilter ref="A2:Y580"/>
  <tableColumns count="25">
    <tableColumn id="1" name="N_ID" dataDxfId="189"/>
    <tableColumn id="2" name="ID NOTA" dataDxfId="188">
      <calculatedColumnFormula>IF(ATALI[[#This Row],[N_ID]]="","",INDEX(Table1[ID],MATCH(ATALI[[#This Row],[N_ID]],Table1[N_ID],0)))</calculatedColumnFormula>
    </tableColumn>
    <tableColumn id="3" name="&gt;" dataDxfId="187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186">
      <calculatedColumnFormula>IF(ATALI[[#This Row],[ID NOTA]]="","",INDEX(Table1[QB],MATCH(ATALI[[#This Row],[ID NOTA]],Table1[ID],0)))</calculatedColumnFormula>
    </tableColumn>
    <tableColumn id="5" name="//" dataDxfId="185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184"/>
    <tableColumn id="7" name="TANGGAL DATANG" dataDxfId="183">
      <calculatedColumnFormula>IF(ATALI[[#This Row],[ID NOTA]]="","",INDEX([2]!NOTA[TGL_H],MATCH(ATALI[[#This Row],[ID NOTA]],[2]!NOTA[ID],0)))</calculatedColumnFormula>
    </tableColumn>
    <tableColumn id="8" name="TANGGAL INVOICE" dataDxfId="182">
      <calculatedColumnFormula>IF(ATALI[[#This Row],[ID NOTA]]="","",INDEX([2]!NOTA[TGL.NOTA],MATCH(ATALI[[#This Row],[ID NOTA]],[2]!NOTA[ID],0)))</calculatedColumnFormula>
    </tableColumn>
    <tableColumn id="9" name="NO. NOTA" dataDxfId="181">
      <calculatedColumnFormula>IF(ATALI[[#This Row],[ID NOTA]]="","",INDEX([2]!NOTA[NO.NOTA],MATCH(ATALI[[#This Row],[ID NOTA]],[2]!NOTA[ID],0)))</calculatedColumnFormula>
    </tableColumn>
    <tableColumn id="10" name="NAMA BARANG" dataDxfId="180">
      <calculatedColumnFormula>IF(ATALI[[#This Row],[//]]="","",INDEX([4]!db[NB PAJAK],ATALI[[#This Row],[stt]]-1))</calculatedColumnFormula>
    </tableColumn>
    <tableColumn id="11" name="C" dataDxfId="179">
      <calculatedColumnFormula>IF(ATALI[[#This Row],[//]]="","",IF(INDEX([2]!NOTA[C],ATALI[[#This Row],[//]]-2)="","",INDEX([2]!NOTA[C],ATALI[[#This Row],[//]]-2)))</calculatedColumnFormula>
    </tableColumn>
    <tableColumn id="12" name="JMLH BRG" dataDxfId="178">
      <calculatedColumnFormula>IF(ATALI[[#This Row],[//]]="","",INDEX([2]!NOTA[QTY],ATALI[[#This Row],[//]]-2))</calculatedColumnFormula>
    </tableColumn>
    <tableColumn id="13" name="SAT" dataDxfId="177">
      <calculatedColumnFormula>IF(ATALI[[#This Row],[//]]="","",INDEX([2]!NOTA[STN],ATALI[[#This Row],[//]]-2))</calculatedColumnFormula>
    </tableColumn>
    <tableColumn id="14" name=" HARGA SATUAN " dataDxfId="176">
      <calculatedColumnFormula>IF(ATALI[[#This Row],[//]]="","",INDEX([2]!NOTA[HARGA SATUAN],ATALI[[#This Row],[//]]-2))</calculatedColumnFormula>
    </tableColumn>
    <tableColumn id="15" name="DISC 1 (%)" dataDxfId="175">
      <calculatedColumnFormula>IF(ATALI[[#This Row],[//]]="","",INDEX([2]!NOTA[DISC 1],ATALI[[#This Row],[//]]-2))</calculatedColumnFormula>
    </tableColumn>
    <tableColumn id="16" name="DISC 2 (%)" dataDxfId="174">
      <calculatedColumnFormula>IF(ATALI[[#This Row],[//]]="","",INDEX([2]!NOTA[DISC 2],ATALI[[#This Row],[//]]-2))</calculatedColumnFormula>
    </tableColumn>
    <tableColumn id="17" name=" JUMLAH " dataDxfId="173">
      <calculatedColumnFormula>IF(ATALI[[#This Row],[//]]="","",INDEX([2]!NOTA[TOTAL],ATALI[[#This Row],[//]]-2))</calculatedColumnFormula>
    </tableColumn>
    <tableColumn id="18" name="DISC TOTAL" dataDxfId="172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171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170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69">
      <calculatedColumnFormula>IF(ATALI[[#This Row],[//]]="","",INDEX([2]!NOTA[NAMA BARANG],ATALI[[#This Row],[//]]-2))</calculatedColumnFormula>
    </tableColumn>
    <tableColumn id="22" name="concat" dataDxfId="168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67">
      <calculatedColumnFormula>IF(ATALI[[#This Row],[concat]]="","",MATCH(ATALI[[#This Row],[concat]],[4]!db[NB NOTA_C],0)+1)</calculatedColumnFormula>
    </tableColumn>
    <tableColumn id="24" name="H_DISC" dataDxfId="166">
      <calculatedColumnFormula>IF(ATALI[[#This Row],[N.B.nota]]="","",ADDRESS(ROW(ATALI[QB]),COLUMN(ATALI[QB]))&amp;":"&amp;ADDRESS(ROW(),COLUMN(ATALI[QB])))</calculatedColumnFormula>
    </tableColumn>
    <tableColumn id="25" name="&gt;DB" dataDxfId="165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40" totalsRowShown="0" headerRowDxfId="164">
  <autoFilter ref="A2:Y40"/>
  <tableColumns count="25">
    <tableColumn id="1" name="N_ID" dataDxfId="163"/>
    <tableColumn id="2" name="ID NOTA" dataDxfId="162">
      <calculatedColumnFormula>IF(KALINDO[[#This Row],[N_ID]]="","",INDEX(Table1[ID],MATCH(KALINDO[[#This Row],[N_ID]],Table1[N_ID],0)))</calculatedColumnFormula>
    </tableColumn>
    <tableColumn id="3" name="&gt;" dataDxfId="161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60">
      <calculatedColumnFormula>IF(KALINDO[[#This Row],[ID NOTA]]="","",INDEX(Table1[QB],MATCH(KALINDO[[#This Row],[ID NOTA]],Table1[ID],0)))</calculatedColumnFormula>
    </tableColumn>
    <tableColumn id="5" name="//" dataDxfId="159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58"/>
    <tableColumn id="7" name="TANGGAL DATANG" dataDxfId="157">
      <calculatedColumnFormula>IF(KALINDO[[#This Row],[ID NOTA]]="","",INDEX([2]!NOTA[TGL_H],MATCH(KALINDO[[#This Row],[ID NOTA]],[2]!NOTA[ID],0)))</calculatedColumnFormula>
    </tableColumn>
    <tableColumn id="8" name="TANGGAL INVOICE" dataDxfId="156">
      <calculatedColumnFormula>IF(KALINDO[[#This Row],[ID NOTA]]="","",INDEX([2]!NOTA[TGL.NOTA],MATCH(KALINDO[[#This Row],[ID NOTA]],[2]!NOTA[ID],0)))</calculatedColumnFormula>
    </tableColumn>
    <tableColumn id="9" name="NO. NOTA" dataDxfId="155">
      <calculatedColumnFormula>IF(KALINDO[[#This Row],[ID NOTA]]="","",INDEX([2]!NOTA[NO.NOTA],MATCH(KALINDO[[#This Row],[ID NOTA]],[2]!NOTA[ID],0)))</calculatedColumnFormula>
    </tableColumn>
    <tableColumn id="10" name="NAMA BARANG" dataDxfId="154">
      <calculatedColumnFormula>IF(KALINDO[[#This Row],[//]]="","",INDEX([4]!db[NB PAJAK],KALINDO[[#This Row],[stt]]-1))</calculatedColumnFormula>
    </tableColumn>
    <tableColumn id="11" name="C" dataDxfId="153">
      <calculatedColumnFormula>IF(KALINDO[[#This Row],[//]]="","",IF(INDEX([2]!NOTA[C],KALINDO[[#This Row],[//]]-2)="","",INDEX([2]!NOTA[C],KALINDO[[#This Row],[//]]-2)))</calculatedColumnFormula>
    </tableColumn>
    <tableColumn id="12" name="JMLH BRG" dataDxfId="152">
      <calculatedColumnFormula>IF(KALINDO[[#This Row],[//]]="","",INDEX([2]!NOTA[QTY],KALINDO[[#This Row],[//]]-2))</calculatedColumnFormula>
    </tableColumn>
    <tableColumn id="13" name="SAT" dataDxfId="151">
      <calculatedColumnFormula>IF(KALINDO[[#This Row],[//]]="","",INDEX([2]!NOTA[STN],KALINDO[[#This Row],[//]]-2))</calculatedColumnFormula>
    </tableColumn>
    <tableColumn id="14" name=" HARGA SATUAN " dataDxfId="150">
      <calculatedColumnFormula>IF(KALINDO[[#This Row],[//]]="","",INDEX([2]!NOTA[HARGA SATUAN],KALINDO[[#This Row],[//]]-2))</calculatedColumnFormula>
    </tableColumn>
    <tableColumn id="15" name="DISC 1 (%)" dataDxfId="149">
      <calculatedColumnFormula>IF(KALINDO[[#This Row],[//]]="","",INDEX([2]!NOTA[DISC 1],KALINDO[[#This Row],[//]]-2))</calculatedColumnFormula>
    </tableColumn>
    <tableColumn id="16" name="DISC 2 (%)" dataDxfId="148">
      <calculatedColumnFormula>IF(KALINDO[[#This Row],[//]]="","",INDEX([2]!NOTA[DISC 2],KALINDO[[#This Row],[//]]-2))</calculatedColumnFormula>
    </tableColumn>
    <tableColumn id="17" name=" JUMLAH " dataDxfId="147">
      <calculatedColumnFormula>IF(KALINDO[[#This Row],[//]]="","",INDEX([2]!NOTA[TOTAL],KALINDO[[#This Row],[//]]-2))</calculatedColumnFormula>
    </tableColumn>
    <tableColumn id="18" name="DISC TOTAL" dataDxfId="146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45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44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43">
      <calculatedColumnFormula>IF(KALINDO[[#This Row],[//]]="","",INDEX([2]!NOTA[NAMA BARANG],KALINDO[[#This Row],[//]]-2))</calculatedColumnFormula>
    </tableColumn>
    <tableColumn id="22" name="concat" dataDxfId="142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41">
      <calculatedColumnFormula>IF(KALINDO[[#This Row],[concat]]="","",MATCH(KALINDO[[#This Row],[concat]],[4]!db[NB NOTA_C],0)+1)</calculatedColumnFormula>
    </tableColumn>
    <tableColumn id="24" name="H_DISC" dataDxfId="140">
      <calculatedColumnFormula>IF(KALINDO[[#This Row],[N.B.nota]]="","",ADDRESS(ROW(KALINDO[QB]),COLUMN(KALINDO[QB]))&amp;":"&amp;ADDRESS(ROW(),COLUMN(KALINDO[QB])))</calculatedColumnFormula>
    </tableColumn>
    <tableColumn id="25" name="&gt;DB" dataDxfId="139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2" totalsRowShown="0" headerRowDxfId="138" dataDxfId="137">
  <autoFilter ref="A2:Y22"/>
  <tableColumns count="25">
    <tableColumn id="1" name="N_ID" dataDxfId="136"/>
    <tableColumn id="2" name="ID NOTA" dataDxfId="135">
      <calculatedColumnFormula>IF(J_UTAMA[[#This Row],[N_ID]]="","",INDEX(Table1[ID],MATCH(J_UTAMA[[#This Row],[N_ID]],Table1[N_ID],0)))</calculatedColumnFormula>
    </tableColumn>
    <tableColumn id="3" name="&gt;" dataDxfId="134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33">
      <calculatedColumnFormula>IF(J_UTAMA[[#This Row],[ID NOTA]]="","",INDEX(Table1[QB],MATCH(J_UTAMA[[#This Row],[ID NOTA]],Table1[ID],0)))</calculatedColumnFormula>
    </tableColumn>
    <tableColumn id="5" name="//" dataDxfId="132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31"/>
    <tableColumn id="7" name="TANGGAL DATANG" dataDxfId="130">
      <calculatedColumnFormula>IF(J_UTAMA[[#This Row],[ID NOTA]]="","",INDEX([2]!NOTA[TGL_H],MATCH(J_UTAMA[[#This Row],[ID NOTA]],[2]!NOTA[ID],0)))</calculatedColumnFormula>
    </tableColumn>
    <tableColumn id="8" name="TANGGAL INVOICE" dataDxfId="129">
      <calculatedColumnFormula>IF(J_UTAMA[[#This Row],[ID NOTA]]="","",INDEX([2]!NOTA[TGL.NOTA],MATCH(J_UTAMA[[#This Row],[ID NOTA]],[2]!NOTA[ID],0)))</calculatedColumnFormula>
    </tableColumn>
    <tableColumn id="9" name="NO. NOTA" dataDxfId="128">
      <calculatedColumnFormula>IF(J_UTAMA[[#This Row],[ID NOTA]]="","",INDEX([2]!NOTA[NO.NOTA],MATCH(J_UTAMA[[#This Row],[ID NOTA]],[2]!NOTA[ID],0)))</calculatedColumnFormula>
    </tableColumn>
    <tableColumn id="10" name="NAMA BARANG" dataDxfId="127">
      <calculatedColumnFormula>IF(J_UTAMA[[#This Row],[//]]="","",INDEX([4]!db[NB PAJAK],J_UTAMA[[#This Row],[stt]]-1))</calculatedColumnFormula>
    </tableColumn>
    <tableColumn id="11" name="C" dataDxfId="126">
      <calculatedColumnFormula>IF(J_UTAMA[[#This Row],[//]]="","",INDEX([2]!NOTA[C],J_UTAMA[[#This Row],[//]]-2))</calculatedColumnFormula>
    </tableColumn>
    <tableColumn id="12" name="JMLH BRG" dataDxfId="125">
      <calculatedColumnFormula>IF(J_UTAMA[[#This Row],[//]]="","",INDEX([2]!NOTA[QTY],J_UTAMA[[#This Row],[//]]-2))</calculatedColumnFormula>
    </tableColumn>
    <tableColumn id="13" name="SAT" dataDxfId="124">
      <calculatedColumnFormula>IF(J_UTAMA[[#This Row],[//]]="","",INDEX([2]!NOTA[STN],J_UTAMA[[#This Row],[//]]-2))</calculatedColumnFormula>
    </tableColumn>
    <tableColumn id="14" name=" HARGA SATUAN " dataDxfId="123">
      <calculatedColumnFormula>IF(J_UTAMA[[#This Row],[//]]="","",INDEX([2]!NOTA[HARGA SATUAN],J_UTAMA[[#This Row],[//]]-2))</calculatedColumnFormula>
    </tableColumn>
    <tableColumn id="15" name="DISC 1 (%)" dataDxfId="122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21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20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19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18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17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16">
      <calculatedColumnFormula>IF(J_UTAMA[[#This Row],[//]]="","",INDEX([2]!NOTA[NAMA BARANG],J_UTAMA[[#This Row],[//]]-2))</calculatedColumnFormula>
    </tableColumn>
    <tableColumn id="22" name="concat" dataDxfId="115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14">
      <calculatedColumnFormula>IF(J_UTAMA[[#This Row],[concat]]="","",MATCH(J_UTAMA[[#This Row],[concat]],[4]!db[NB NOTA_C],0)+1)</calculatedColumnFormula>
    </tableColumn>
    <tableColumn id="24" name="H_DISC" dataDxfId="113">
      <calculatedColumnFormula>IF(J_UTAMA[[#This Row],[N.B.nota]]="","",ADDRESS(ROW(J_UTAMA[QB]),COLUMN(J_UTAMA[QB]))&amp;":"&amp;ADDRESS(ROW(),COLUMN(J_UTAMA[QB])))</calculatedColumnFormula>
    </tableColumn>
    <tableColumn id="25" name="&gt;DB" dataDxfId="112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7" name="SAJ" displayName="SAJ" ref="A2:X21" totalsRowShown="0" headerRowDxfId="109" dataDxfId="108">
  <autoFilter ref="A2:X21"/>
  <tableColumns count="24">
    <tableColumn id="1" name="N_ID" dataDxfId="107"/>
    <tableColumn id="2" name="ID NOTA" dataDxfId="106">
      <calculatedColumnFormula>IF(SAJ[[#This Row],[N_ID]]="","",INDEX(Table1[ID],MATCH(SAJ[[#This Row],[N_ID]],Table1[N_ID],0)))</calculatedColumnFormula>
    </tableColumn>
    <tableColumn id="3" name="&gt;" dataDxfId="105">
      <calculatedColumnFormula>IF(SAJ[[#This Row],[ID NOTA]]="","",HYPERLINK("[NOTA_.xlsx]NOTA!e"&amp;INDEX([2]!PAJAK[//],MATCH(SAJ[[#This Row],[ID NOTA]],[2]!PAJAK[ID],0)),"&gt;") )</calculatedColumnFormula>
    </tableColumn>
    <tableColumn id="4" name="QB" dataDxfId="104">
      <calculatedColumnFormula>IF(SAJ[[#This Row],[ID NOTA]]="","",INDEX(Table1[QB],MATCH(SAJ[[#This Row],[ID NOTA]],Table1[ID],0)))</calculatedColumnFormula>
    </tableColumn>
    <tableColumn id="5" name="//" dataDxfId="103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102"/>
    <tableColumn id="7" name="TANGGAL DATANG" dataDxfId="101">
      <calculatedColumnFormula>IF(SAJ[[#This Row],[ID NOTA]]="","",INDEX([2]!NOTA[TGL_H],MATCH(SAJ[[#This Row],[ID NOTA]],[2]!NOTA[ID],0)))</calculatedColumnFormula>
    </tableColumn>
    <tableColumn id="8" name="TANGGAL INVOICE" dataDxfId="100">
      <calculatedColumnFormula>IF(SAJ[[#This Row],[ID NOTA]]="","",INDEX([2]!NOTA[TGL.NOTA],MATCH(SAJ[[#This Row],[ID NOTA]],[2]!NOTA[ID],0)))</calculatedColumnFormula>
    </tableColumn>
    <tableColumn id="9" name="NO. NOTA" dataDxfId="99">
      <calculatedColumnFormula>IF(SAJ[[#This Row],[ID NOTA]]="","",INDEX([2]!NOTA[NO.NOTA],MATCH(SAJ[[#This Row],[ID NOTA]],[2]!NOTA[ID],0)))</calculatedColumnFormula>
    </tableColumn>
    <tableColumn id="10" name="NAMA BARANG" dataDxfId="98">
      <calculatedColumnFormula>IF(SAJ[[#This Row],[//]]="","",INDEX([4]!db[NB PAJAK],SAJ[[#This Row],[stt]]-1))</calculatedColumnFormula>
    </tableColumn>
    <tableColumn id="11" name="C" dataDxfId="97">
      <calculatedColumnFormula>IF(SAJ[[#This Row],[//]]="","",INDEX([2]!NOTA[C],SAJ[[#This Row],[//]]-2))</calculatedColumnFormula>
    </tableColumn>
    <tableColumn id="12" name="JMLH BRG" dataDxfId="96">
      <calculatedColumnFormula>IF(SAJ[//]="","",INDEX([2]!NOTA[QTY],SAJ[//]-2))</calculatedColumnFormula>
    </tableColumn>
    <tableColumn id="13" name="SAT" dataDxfId="95">
      <calculatedColumnFormula>IF(SAJ[//]="","",INDEX([2]!NOTA[STN],SAJ[//]-2))</calculatedColumnFormula>
    </tableColumn>
    <tableColumn id="14" name=" HARGA SATUAN " dataDxfId="94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93">
      <calculatedColumnFormula>IF(SAJ[[#This Row],[//]]="","",IF(INDEX([2]!NOTA[DISC 1],SAJ[[#This Row],[//]]-2)="","",INDEX([2]!NOTA[DISC 1],SAJ[[#This Row],[//]]-2)))</calculatedColumnFormula>
    </tableColumn>
    <tableColumn id="16" name="DISC 2 (%)" dataDxfId="92">
      <calculatedColumnFormula>IF(SAJ[[#This Row],[//]]="","",IF(INDEX([2]!NOTA[DISC 2],SAJ[[#This Row],[//]]-2)="","",INDEX([2]!NOTA[DISC 2],SAJ[[#This Row],[//]]-2)))</calculatedColumnFormula>
    </tableColumn>
    <tableColumn id="17" name=" JUMLAH " dataDxfId="91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90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89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88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87">
      <calculatedColumnFormula>IF(SAJ[[#This Row],[//]]="","",INDEX([2]!NOTA[NAMA BARANG],SAJ[[#This Row],[//]]-2))</calculatedColumnFormula>
    </tableColumn>
    <tableColumn id="22" name="concat" dataDxfId="86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85">
      <calculatedColumnFormula>IF(SAJ[[#This Row],[concat]]="","",MATCH(SAJ[[#This Row],[concat]],[4]!db[NB NOTA_C],0)+1)</calculatedColumnFormula>
    </tableColumn>
    <tableColumn id="24" name="H_DISC" dataDxfId="84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SDI" displayName="SDI" ref="A2:Y9" totalsRowShown="0" headerRowDxfId="81" dataDxfId="80">
  <autoFilter ref="A2:Y9"/>
  <tableColumns count="25">
    <tableColumn id="1" name="N_ID" dataDxfId="79"/>
    <tableColumn id="2" name="ID NOTA" dataDxfId="78">
      <calculatedColumnFormula>IF(SDI[[#This Row],[N_ID]]="","",INDEX(Table1[ID],MATCH(SDI[[#This Row],[N_ID]],Table1[N_ID],0)))</calculatedColumnFormula>
    </tableColumn>
    <tableColumn id="3" name="&gt;" dataDxfId="77">
      <calculatedColumnFormula>IF(SDI[[#This Row],[ID NOTA]]="","",HYPERLINK("[NOTA_.xlsx]NOTA!e"&amp;INDEX([2]!PAJAK[//],MATCH(SDI[[#This Row],[ID NOTA]],[2]!PAJAK[ID],0)),"&gt;") )</calculatedColumnFormula>
    </tableColumn>
    <tableColumn id="4" name="QB" dataDxfId="76">
      <calculatedColumnFormula>IF(SDI[[#This Row],[ID NOTA]]="","",INDEX(Table1[QB],MATCH(SDI[[#This Row],[ID NOTA]],Table1[ID],0)))</calculatedColumnFormula>
    </tableColumn>
    <tableColumn id="5" name="//" dataDxfId="75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74"/>
    <tableColumn id="7" name="TANGGAL DATANG" dataDxfId="73">
      <calculatedColumnFormula>IF(SDI[[#This Row],[ID NOTA]]="","",INDEX([2]!NOTA[TGL_H],MATCH(SDI[[#This Row],[ID NOTA]],[2]!NOTA[ID],0)))</calculatedColumnFormula>
    </tableColumn>
    <tableColumn id="8" name="TANGGAL INVOICE" dataDxfId="72">
      <calculatedColumnFormula>IF(SDI[[#This Row],[ID NOTA]]="","",INDEX([2]!NOTA[TGL.NOTA],MATCH(SDI[[#This Row],[ID NOTA]],[2]!NOTA[ID],0)))</calculatedColumnFormula>
    </tableColumn>
    <tableColumn id="9" name="NO. NOTA" dataDxfId="71">
      <calculatedColumnFormula>IF(SDI[[#This Row],[ID NOTA]]="","",INDEX([2]!NOTA[NO.NOTA],MATCH(SDI[[#This Row],[ID NOTA]],[2]!NOTA[ID],0)))</calculatedColumnFormula>
    </tableColumn>
    <tableColumn id="10" name="NAMA BARANG" dataDxfId="70">
      <calculatedColumnFormula>IF(SDI[[#This Row],[//]]="","",INDEX([4]!db[NB PAJAK],SDI[[#This Row],[stt]]-1))</calculatedColumnFormula>
    </tableColumn>
    <tableColumn id="11" name="C" dataDxfId="69">
      <calculatedColumnFormula>IF(SDI[[#This Row],[//]]="","",INDEX([2]!NOTA[C],SDI[[#This Row],[//]]-2))</calculatedColumnFormula>
    </tableColumn>
    <tableColumn id="12" name="JMLH BRG" dataDxfId="68">
      <calculatedColumnFormula>IF(SDI[//]="","",INDEX([2]!NOTA[QTY],SDI[//]-2))</calculatedColumnFormula>
    </tableColumn>
    <tableColumn id="13" name="SAT" dataDxfId="67">
      <calculatedColumnFormula>IF(SDI[//]="","",INDEX([2]!NOTA[STN],SDI[//]-2))</calculatedColumnFormula>
    </tableColumn>
    <tableColumn id="14" name=" HARGA SATUAN " dataDxfId="66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65">
      <calculatedColumnFormula>IF(SDI[[#This Row],[//]]="","",IF(INDEX([2]!NOTA[DISC 1],SDI[[#This Row],[//]]-2)="","",INDEX([2]!NOTA[DISC 1],SDI[[#This Row],[//]]-2)))</calculatedColumnFormula>
    </tableColumn>
    <tableColumn id="16" name="DISC 2 (%)" dataDxfId="64">
      <calculatedColumnFormula>IF(SDI[[#This Row],[//]]="","",IF(INDEX([2]!NOTA[DISC 2],SDI[[#This Row],[//]]-2)="","",INDEX([2]!NOTA[DISC 2],SDI[[#This Row],[//]]-2)))</calculatedColumnFormula>
    </tableColumn>
    <tableColumn id="17" name=" JUMLAH " dataDxfId="63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62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TOTAL]),""))</calculatedColumnFormula>
    </tableColumn>
    <tableColumn id="19" name=" TOTAL INVOICE " dataDxfId="61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calculatedColumnFormula>
    </tableColumn>
    <tableColumn id="20" name="KETERANGAN" dataDxfId="60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59">
      <calculatedColumnFormula>IF(SDI[[#This Row],[//]]="","",INDEX([2]!NOTA[NAMA BARANG],SDI[[#This Row],[//]]-2))</calculatedColumnFormula>
    </tableColumn>
    <tableColumn id="22" name="concat" dataDxfId="58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57">
      <calculatedColumnFormula>IF(SDI[[#This Row],[concat]]="","",MATCH(SDI[[#This Row],[concat]],[4]!db[NB NOTA_C],0)+1)</calculatedColumnFormula>
    </tableColumn>
    <tableColumn id="24" name="H_DISC" dataDxfId="56">
      <calculatedColumnFormula>IF(SDI[[#This Row],[N.B.nota]]="","",ADDRESS(ROW(SDI[QB]),COLUMN(SDI[QB]))&amp;":"&amp;ADDRESS(ROW(),COLUMN(SDI[QB])))</calculatedColumnFormula>
    </tableColumn>
    <tableColumn id="25" name="&gt;DB" dataDxfId="55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MGN" displayName="MGN" ref="A2:Y5" totalsRowShown="0" headerRowDxfId="53" dataDxfId="52">
  <autoFilter ref="A2:Y5"/>
  <tableColumns count="25">
    <tableColumn id="1" name="N_ID" dataDxfId="51"/>
    <tableColumn id="2" name="ID NOTA" dataDxfId="50">
      <calculatedColumnFormula>IF(MGN[[#This Row],[N_ID]]="","",INDEX(Table1[ID],MATCH(MGN[[#This Row],[N_ID]],Table1[N_ID],0)))</calculatedColumnFormula>
    </tableColumn>
    <tableColumn id="3" name="&gt;" dataDxfId="49">
      <calculatedColumnFormula>IF(MGN[[#This Row],[ID NOTA]]="","",HYPERLINK("[NOTA_.xlsx]NOTA!e"&amp;INDEX([2]!PAJAK[//],MATCH(MGN[[#This Row],[ID NOTA]],[2]!PAJAK[ID],0)),"&gt;") )</calculatedColumnFormula>
    </tableColumn>
    <tableColumn id="4" name="QB" dataDxfId="48">
      <calculatedColumnFormula>IF(MGN[[#This Row],[ID NOTA]]="","",INDEX(Table1[QB],MATCH(MGN[[#This Row],[ID NOTA]],Table1[ID],0)))</calculatedColumnFormula>
    </tableColumn>
    <tableColumn id="5" name="//" dataDxfId="47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46"/>
    <tableColumn id="7" name="TANGGAL DATANG" dataDxfId="45">
      <calculatedColumnFormula>IF(MGN[[#This Row],[ID NOTA]]="","",INDEX([2]!NOTA[TGL_H],MATCH(MGN[[#This Row],[ID NOTA]],[2]!NOTA[ID],0)))</calculatedColumnFormula>
    </tableColumn>
    <tableColumn id="8" name="TANGGAL INVOICE" dataDxfId="44">
      <calculatedColumnFormula>IF(MGN[[#This Row],[ID NOTA]]="","",INDEX([2]!NOTA[TGL.NOTA],MATCH(MGN[[#This Row],[ID NOTA]],[2]!NOTA[ID],0)))</calculatedColumnFormula>
    </tableColumn>
    <tableColumn id="9" name="NO. NOTA" dataDxfId="43">
      <calculatedColumnFormula>IF(MGN[[#This Row],[ID NOTA]]="","",INDEX([2]!NOTA[NO.NOTA],MATCH(MGN[[#This Row],[ID NOTA]],[2]!NOTA[ID],0)))</calculatedColumnFormula>
    </tableColumn>
    <tableColumn id="10" name="NAMA BARANG" dataDxfId="42">
      <calculatedColumnFormula>IF(MGN[[#This Row],[//]]="","",INDEX([4]!db[NB PAJAK],MGN[[#This Row],[stt]]-1))</calculatedColumnFormula>
    </tableColumn>
    <tableColumn id="11" name="C" dataDxfId="41">
      <calculatedColumnFormula>IF(MGN[[#This Row],[//]]="","",INDEX([2]!NOTA[C],MGN[[#This Row],[//]]-2))</calculatedColumnFormula>
    </tableColumn>
    <tableColumn id="12" name="JMLH BRG" dataDxfId="40">
      <calculatedColumnFormula>IF(MGN[//]="","",INDEX([2]!NOTA[QTY],MGN[//]-2))</calculatedColumnFormula>
    </tableColumn>
    <tableColumn id="13" name="SAT" dataDxfId="39">
      <calculatedColumnFormula>IF(MGN[//]="","",INDEX([2]!NOTA[STN],MGN[//]-2))</calculatedColumnFormula>
    </tableColumn>
    <tableColumn id="14" name=" HARGA SATUAN " dataDxfId="38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37">
      <calculatedColumnFormula>IF(MGN[[#This Row],[//]]="","",IF(INDEX([2]!NOTA[DISC 1],MGN[[#This Row],[//]]-2)="","",INDEX([2]!NOTA[DISC 1],MGN[[#This Row],[//]]-2)))</calculatedColumnFormula>
    </tableColumn>
    <tableColumn id="16" name="DISC 2 (%)" dataDxfId="36">
      <calculatedColumnFormula>IF(MGN[[#This Row],[//]]="","",IF(INDEX([2]!NOTA[DISC 2],MGN[[#This Row],[//]]-2)="","",INDEX([2]!NOTA[DISC 2],MGN[[#This Row],[//]]-2)))</calculatedColumnFormula>
    </tableColumn>
    <tableColumn id="17" name=" JUMLAH " dataDxfId="35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34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33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32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31">
      <calculatedColumnFormula>IF(MGN[[#This Row],[//]]="","",INDEX([2]!NOTA[NAMA BARANG],MGN[[#This Row],[//]]-2))</calculatedColumnFormula>
    </tableColumn>
    <tableColumn id="22" name="concat" dataDxfId="30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29">
      <calculatedColumnFormula>IF(MGN[[#This Row],[concat]]="","",MATCH(MGN[[#This Row],[concat]],[4]!db[NB NOTA_C],0)+1)</calculatedColumnFormula>
    </tableColumn>
    <tableColumn id="24" name="H_DISC" dataDxfId="28">
      <calculatedColumnFormula>IF(MGN[[#This Row],[N.B.nota]]="","",ADDRESS(ROW(MGN[QB]),COLUMN(MGN[QB]))&amp;":"&amp;ADDRESS(ROW(),COLUMN(MGN[QB])))</calculatedColumnFormula>
    </tableColumn>
    <tableColumn id="25" name="&gt;DB" dataDxfId="27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0" name="LIE" displayName="LIE" ref="A2:Y6" totalsRowShown="0" headerRowDxfId="26" dataDxfId="25">
  <autoFilter ref="A2:Y6"/>
  <tableColumns count="25">
    <tableColumn id="1" name="N_ID" dataDxfId="24"/>
    <tableColumn id="2" name="ID NOTA" dataDxfId="23">
      <calculatedColumnFormula>IF(LIE[[#This Row],[N_ID]]="","",INDEX(Table1[ID],MATCH(LIE[[#This Row],[N_ID]],Table1[N_ID],0)))</calculatedColumnFormula>
    </tableColumn>
    <tableColumn id="3" name="&gt;" dataDxfId="22">
      <calculatedColumnFormula>IF(LIE[[#This Row],[ID NOTA]]="","",HYPERLINK("[NOTA_.xlsx]NOTA!e"&amp;INDEX([2]!PAJAK[//],MATCH(LIE[[#This Row],[ID NOTA]],[2]!PAJAK[ID],0)),"&gt;") )</calculatedColumnFormula>
    </tableColumn>
    <tableColumn id="4" name="QB" dataDxfId="21">
      <calculatedColumnFormula>IF(LIE[[#This Row],[ID NOTA]]="","",INDEX(Table1[QB],MATCH(LIE[[#This Row],[ID NOTA]],Table1[ID],0)))</calculatedColumnFormula>
    </tableColumn>
    <tableColumn id="5" name="//" dataDxfId="20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19"/>
    <tableColumn id="7" name="TANGGAL DATANG" dataDxfId="18">
      <calculatedColumnFormula>IF(LIE[[#This Row],[ID NOTA]]="","",INDEX([2]!NOTA[TGL_H],MATCH(LIE[[#This Row],[ID NOTA]],[2]!NOTA[ID],0)))</calculatedColumnFormula>
    </tableColumn>
    <tableColumn id="8" name="TANGGAL INVOICE" dataDxfId="17">
      <calculatedColumnFormula>IF(LIE[[#This Row],[ID NOTA]]="","",INDEX([2]!NOTA[TGL.NOTA],MATCH(LIE[[#This Row],[ID NOTA]],[2]!NOTA[ID],0)))</calculatedColumnFormula>
    </tableColumn>
    <tableColumn id="9" name="NO. NOTA" dataDxfId="16">
      <calculatedColumnFormula>IF(LIE[[#This Row],[ID NOTA]]="","",INDEX([2]!NOTA[NO.NOTA],MATCH(LIE[[#This Row],[ID NOTA]],[2]!NOTA[ID],0)))</calculatedColumnFormula>
    </tableColumn>
    <tableColumn id="10" name="NAMA BARANG" dataDxfId="15">
      <calculatedColumnFormula>IF(LIE[[#This Row],[//]]="","",INDEX([4]!db[NB PAJAK],LIE[[#This Row],[stt]]-1))</calculatedColumnFormula>
    </tableColumn>
    <tableColumn id="11" name="C" dataDxfId="14">
      <calculatedColumnFormula>IF(LIE[[#This Row],[//]]="","",INDEX([2]!NOTA[C],LIE[[#This Row],[//]]-2))</calculatedColumnFormula>
    </tableColumn>
    <tableColumn id="12" name="JMLH BRG" dataDxfId="13">
      <calculatedColumnFormula>IF(LIE[[#This Row],[//]]="","",INDEX([2]!NOTA[QTY],LIE[[#This Row],[//]]-2))</calculatedColumnFormula>
    </tableColumn>
    <tableColumn id="13" name="SAT" dataDxfId="12">
      <calculatedColumnFormula>IF(LIE[[#This Row],[//]]="","",INDEX([2]!NOTA[STN],LIE[[#This Row],[//]]-2))</calculatedColumnFormula>
    </tableColumn>
    <tableColumn id="14" name=" HARGA SATUAN " dataDxfId="11">
      <calculatedColumnFormula>IF(LIE[[#This Row],[//]]="","",INDEX([2]!NOTA[HARGA SATUAN],LIE[[#This Row],[//]]-2))</calculatedColumnFormula>
    </tableColumn>
    <tableColumn id="15" name="DISC 1 (%)" dataDxfId="10">
      <calculatedColumnFormula>IF(LIE[[#This Row],[//]]="","",IF(INDEX([2]!NOTA[DISC 1],LIE[[#This Row],[//]]-2)="","",INDEX([2]!NOTA[DISC 1],LIE[[#This Row],[//]]-2)))</calculatedColumnFormula>
    </tableColumn>
    <tableColumn id="16" name="DISC 2 (%)" dataDxfId="9">
      <calculatedColumnFormula>IF(LIE[[#This Row],[//]]="","",IF(INDEX([2]!NOTA[DISC 2],LIE[[#This Row],[//]]-2)="","",INDEX([2]!NOTA[DISC 2],LIE[[#This Row],[//]]-2)))</calculatedColumnFormula>
    </tableColumn>
    <tableColumn id="17" name=" JUMLAH " dataDxfId="8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7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6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5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4">
      <calculatedColumnFormula>IF(LIE[[#This Row],[//]]="","",INDEX([2]!NOTA[NAMA BARANG],LIE[[#This Row],[//]]-2))</calculatedColumnFormula>
    </tableColumn>
    <tableColumn id="22" name="concat" dataDxfId="3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2">
      <calculatedColumnFormula>IF(LIE[[#This Row],[concat]]="","",MATCH(LIE[[#This Row],[concat]],[4]!db[NB NOTA_C],0)+1)</calculatedColumnFormula>
    </tableColumn>
    <tableColumn id="24" name="H_DISC" dataDxfId="1">
      <calculatedColumnFormula>IF(LIE[[#This Row],[N.B.nota]]="","",ADDRESS(ROW(LIE[QB]),COLUMN(LIE[QB]))&amp;":"&amp;ADDRESS(ROW(),COLUMN(LIE[QB])))</calculatedColumnFormula>
    </tableColumn>
    <tableColumn id="25" name="&gt;DB" dataDxfId="0">
      <calculatedColumnFormula>IF(LIE[[#This Row],[//]]="","",HYPERLINK("[..\\DB.xlsx]DB!e"&amp;MATCH(LIE[[#This Row],[concat]],[4]!db[NB NOTA_C],0)+1,"&gt;"))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3"/>
  <sheetViews>
    <sheetView tabSelected="1" topLeftCell="H1" zoomScale="85" zoomScaleNormal="85" workbookViewId="0">
      <selection activeCell="G37" sqref="G37"/>
    </sheetView>
  </sheetViews>
  <sheetFormatPr defaultRowHeight="15" outlineLevelCol="1" x14ac:dyDescent="0.25"/>
  <cols>
    <col min="1" max="1" width="5.85546875" style="1" customWidth="1"/>
    <col min="2" max="2" width="16.42578125" style="32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3.85546875" customWidth="1"/>
    <col min="9" max="9" width="26.140625" customWidth="1"/>
    <col min="10" max="11" width="3.85546875" customWidth="1"/>
    <col min="12" max="12" width="15.28515625" style="5" customWidth="1"/>
    <col min="13" max="13" width="15.42578125" style="5" customWidth="1"/>
    <col min="14" max="14" width="15.5703125" style="5" customWidth="1"/>
    <col min="15" max="15" width="15.28515625" style="5" customWidth="1"/>
    <col min="16" max="16" width="16.5703125" style="5" customWidth="1"/>
    <col min="17" max="17" width="9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32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54</v>
      </c>
      <c r="K2" t="s">
        <v>58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52</v>
      </c>
      <c r="S2" t="s">
        <v>53</v>
      </c>
    </row>
    <row r="3" spans="1:19" x14ac:dyDescent="0.25">
      <c r="A3" s="6" t="str">
        <f ca="1">IF(Table1[[#This Row],[NAMA SUPPLIER]]="","",MATCH(Table1[[#This Row],[N_ID]],INDIRECT(Table1[[#This Row],[1_h]]&amp;"[N_ID]"),0))</f>
        <v/>
      </c>
      <c r="B3" s="54"/>
      <c r="C3" s="6" t="str">
        <f ca="1">_xlfn.IFNA(INDEX([2]!PAJAK[ID],MATCH(Table1[[#This Row],[N_ID]],[2]!PAJAK[ID_P],0)),"")</f>
        <v/>
      </c>
      <c r="D3" s="6" t="str">
        <f ca="1">IF(Table1[[#This Row],[ID]]="","",INDEX([2]!PAJAK[QB],MATCH(Table1[[#This Row],[ID]],[2]!PAJAK[ID],0)))</f>
        <v/>
      </c>
      <c r="E3" s="3" t="str">
        <f ca="1">INDEX([2]!PAJAK[TGL.MASUK],MATCH(Table1[[#This Row],[ID]],[2]!PAJAK[ID],0))</f>
        <v/>
      </c>
      <c r="F3" s="3" t="str">
        <f ca="1">INDEX([2]!PAJAK[TGL.NOTA],MATCH(Table1[[#This Row],[ID]],[2]!PAJAK[ID],0))</f>
        <v/>
      </c>
      <c r="G3" s="6" t="str">
        <f ca="1">INDEX([2]!PAJAK[NO.NOTA],MATCH(Table1[[#This Row],[ID]],[2]!PAJAK[ID],0))</f>
        <v/>
      </c>
      <c r="I3" s="4" t="str">
        <f ca="1">INDEX([2]!PAJAK[SUPPLIER],MATCH(Table1[[#This Row],[ID]],[2]!PAJAK[ID],0))</f>
        <v/>
      </c>
      <c r="J3" s="4"/>
      <c r="K3" s="4"/>
      <c r="L3" s="59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9" t="str">
        <f ca="1">IF(Table1[[#This Row],[NAMA SUPPLIER]]="","",INDEX(conv1[2],MATCH(Table1[[#This Row],[NAMA SUPPLIER]],conv1[1],0)))</f>
        <v/>
      </c>
      <c r="R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" s="5"/>
    </row>
    <row r="4" spans="1:19" x14ac:dyDescent="0.25">
      <c r="A4" s="6">
        <f ca="1">IF(Table1[[#This Row],[NAMA SUPPLIER]]="","",MATCH(Table1[[#This Row],[N_ID]],INDIRECT(Table1[[#This Row],[1_h]]&amp;"[N_ID]"),0))</f>
        <v>2</v>
      </c>
      <c r="B4" s="54" t="s">
        <v>60</v>
      </c>
      <c r="C4" s="6">
        <f ca="1">_xlfn.IFNA(INDEX([2]!PAJAK[ID],MATCH(Table1[[#This Row],[N_ID]],[2]!PAJAK[ID_P],0)),"")</f>
        <v>28</v>
      </c>
      <c r="D4" s="6">
        <f ca="1">IF(Table1[[#This Row],[ID]]="","",INDEX([2]!PAJAK[QB],MATCH(Table1[[#This Row],[ID]],[2]!PAJAK[ID],0)))</f>
        <v>9</v>
      </c>
      <c r="E4" s="3">
        <f ca="1">INDEX([2]!PAJAK[TGL.MASUK],MATCH(Table1[[#This Row],[ID]],[2]!PAJAK[ID],0))</f>
        <v>44812</v>
      </c>
      <c r="F4" s="3">
        <f ca="1">INDEX([2]!PAJAK[TGL.NOTA],MATCH(Table1[[#This Row],[ID]],[2]!PAJAK[ID],0))</f>
        <v>44806</v>
      </c>
      <c r="G4" s="6" t="str">
        <f ca="1">INDEX([2]!PAJAK[NO.NOTA],MATCH(Table1[[#This Row],[ID]],[2]!PAJAK[ID],0))</f>
        <v>SA220913684</v>
      </c>
      <c r="I4" s="4" t="str">
        <f ca="1">INDEX([2]!PAJAK[SUPPLIER],MATCH(Table1[[#This Row],[ID]],[2]!PAJAK[ID],0))</f>
        <v>PT ATALI MAKMUR</v>
      </c>
      <c r="J4" s="4"/>
      <c r="K4" s="4"/>
      <c r="L4" s="59">
        <f ca="1">IFERROR(INDEX(INDIRECT("NOTA_.xlsx!"&amp;Table1[[#This Row],[1_h]]&amp;"[sub total]"),MATCH(Table1[[#This Row],[ID]],INDIRECT("NOTA_.xlsx!"&amp;Table1[[#This Row],[1_h]]&amp;"[ID]"),0)),"")</f>
        <v>32269125</v>
      </c>
      <c r="M4" s="5">
        <f ca="1">IFERROR(INDEX(INDIRECT("NOTA_.xlsx!"&amp;Table1[[#This Row],[1_h]]&amp;"[diskon]"),MATCH(Table1[[#This Row],[ID]],INDIRECT("NOTA_.xlsx!"&amp;Table1[[#This Row],[1_h]]&amp;"[ID]"),0)),"")</f>
        <v>0</v>
      </c>
      <c r="N4" s="5">
        <f ca="1">IFERROR(INDEX(INDIRECT("NOTA_.xlsx!"&amp;Table1[[#This Row],[1_h]]&amp;"[Dpp]"),MATCH(Table1[[#This Row],[ID]],INDIRECT("NOTA_.xlsx!"&amp;Table1[[#This Row],[1_h]]&amp;"[ID]"),0)),"")</f>
        <v>29071283.783783782</v>
      </c>
      <c r="O4" s="5">
        <f ca="1">IFERROR(INDEX(INDIRECT("NOTA_.xlsx!"&amp;Table1[[#This Row],[1_h]]&amp;"[ppn (11%)]"),MATCH(Table1[[#This Row],[ID]],INDIRECT("NOTA_.xlsx!"&amp;Table1[[#This Row],[1_h]]&amp;"[ID]"),0)),"")</f>
        <v>3197841.2162162159</v>
      </c>
      <c r="P4" s="5">
        <f ca="1">IFERROR(INDEX(INDIRECT("NOTA_.xlsx!"&amp;Table1[[#This Row],[1_h]]&amp;"[total]"),MATCH(Table1[[#This Row],[ID]],INDIRECT("NOTA_.xlsx!"&amp;Table1[[#This Row],[1_h]]&amp;"[ID]"),0)),"")</f>
        <v>32269125</v>
      </c>
      <c r="Q4" s="49" t="str">
        <f ca="1">IF(Table1[[#This Row],[NAMA SUPPLIER]]="","",INDEX(conv1[2],MATCH(Table1[[#This Row],[NAMA SUPPLIER]],conv1[1],0)))</f>
        <v>ATALI</v>
      </c>
      <c r="R4" s="4">
        <f ca="1">IF(Table1[[#This Row],[NO. INVOICE]]="","",_xlfn.IFNA(MATCH(Table1[[#This Row],[NO. INVOICE]],'[3]REKAP PEMBELIAN'!$C:$C,0),MATCH(VALUE(Table1[[#This Row],[NO. INVOICE]]),'[3]REKAP PEMBELIAN'!$C:$C,0)))</f>
        <v>538</v>
      </c>
      <c r="S4" s="5"/>
    </row>
    <row r="5" spans="1:19" x14ac:dyDescent="0.25">
      <c r="A5" s="6">
        <f ca="1">IF(Table1[[#This Row],[NAMA SUPPLIER]]="","",MATCH(Table1[[#This Row],[N_ID]],INDIRECT(Table1[[#This Row],[1_h]]&amp;"[N_ID]"),0))</f>
        <v>12</v>
      </c>
      <c r="B5" s="54" t="s">
        <v>61</v>
      </c>
      <c r="C5" s="6">
        <f ca="1">_xlfn.IFNA(INDEX([2]!PAJAK[ID],MATCH(Table1[[#This Row],[N_ID]],[2]!PAJAK[ID_P],0)),"")</f>
        <v>29</v>
      </c>
      <c r="D5" s="6">
        <f ca="1">IF(Table1[[#This Row],[ID]]="","",INDEX([2]!PAJAK[QB],MATCH(Table1[[#This Row],[ID]],[2]!PAJAK[ID],0)))</f>
        <v>1</v>
      </c>
      <c r="E5" s="3">
        <f ca="1">INDEX([2]!PAJAK[TGL.MASUK],MATCH(Table1[[#This Row],[ID]],[2]!PAJAK[ID],0))</f>
        <v>44812</v>
      </c>
      <c r="F5" s="3">
        <f ca="1">INDEX([2]!PAJAK[TGL.NOTA],MATCH(Table1[[#This Row],[ID]],[2]!PAJAK[ID],0))</f>
        <v>44809</v>
      </c>
      <c r="G5" s="6" t="str">
        <f ca="1">INDEX([2]!PAJAK[NO.NOTA],MATCH(Table1[[#This Row],[ID]],[2]!PAJAK[ID],0))</f>
        <v>SA220913878</v>
      </c>
      <c r="I5" s="4" t="str">
        <f ca="1">INDEX([2]!PAJAK[SUPPLIER],MATCH(Table1[[#This Row],[ID]],[2]!PAJAK[ID],0))</f>
        <v>PT ATALI MAKMUR</v>
      </c>
      <c r="J5" s="4"/>
      <c r="K5" s="4"/>
      <c r="L5" s="59">
        <f ca="1">IFERROR(INDEX(INDIRECT("NOTA_.xlsx!"&amp;Table1[[#This Row],[1_h]]&amp;"[sub total]"),MATCH(Table1[[#This Row],[ID]],INDIRECT("NOTA_.xlsx!"&amp;Table1[[#This Row],[1_h]]&amp;"[ID]"),0)),"")</f>
        <v>2633400</v>
      </c>
      <c r="M5" s="5">
        <f ca="1">IFERROR(INDEX(INDIRECT("NOTA_.xlsx!"&amp;Table1[[#This Row],[1_h]]&amp;"[diskon]"),MATCH(Table1[[#This Row],[ID]],INDIRECT("NOTA_.xlsx!"&amp;Table1[[#This Row],[1_h]]&amp;"[ID]"),0)),"")</f>
        <v>0</v>
      </c>
      <c r="N5" s="5">
        <f ca="1">IFERROR(INDEX(INDIRECT("NOTA_.xlsx!"&amp;Table1[[#This Row],[1_h]]&amp;"[Dpp]"),MATCH(Table1[[#This Row],[ID]],INDIRECT("NOTA_.xlsx!"&amp;Table1[[#This Row],[1_h]]&amp;"[ID]"),0)),"")</f>
        <v>2372432.4324324322</v>
      </c>
      <c r="O5" s="5">
        <f ca="1">IFERROR(INDEX(INDIRECT("NOTA_.xlsx!"&amp;Table1[[#This Row],[1_h]]&amp;"[ppn (11%)]"),MATCH(Table1[[#This Row],[ID]],INDIRECT("NOTA_.xlsx!"&amp;Table1[[#This Row],[1_h]]&amp;"[ID]"),0)),"")</f>
        <v>260967.56756756754</v>
      </c>
      <c r="P5" s="5">
        <f ca="1">IFERROR(INDEX(INDIRECT("NOTA_.xlsx!"&amp;Table1[[#This Row],[1_h]]&amp;"[total]"),MATCH(Table1[[#This Row],[ID]],INDIRECT("NOTA_.xlsx!"&amp;Table1[[#This Row],[1_h]]&amp;"[ID]"),0)),"")</f>
        <v>2633399.9999999995</v>
      </c>
      <c r="Q5" s="49" t="str">
        <f ca="1">IF(Table1[[#This Row],[NAMA SUPPLIER]]="","",INDEX(conv1[2],MATCH(Table1[[#This Row],[NAMA SUPPLIER]],conv1[1],0)))</f>
        <v>ATALI</v>
      </c>
      <c r="R5" s="4">
        <f ca="1">IF(Table1[[#This Row],[NO. INVOICE]]="","",_xlfn.IFNA(MATCH(Table1[[#This Row],[NO. INVOICE]],'[3]REKAP PEMBELIAN'!$C:$C,0),MATCH(VALUE(Table1[[#This Row],[NO. INVOICE]]),'[3]REKAP PEMBELIAN'!$C:$C,0)))</f>
        <v>539</v>
      </c>
      <c r="S5" s="5"/>
    </row>
    <row r="6" spans="1:19" x14ac:dyDescent="0.25">
      <c r="A6" s="6">
        <f ca="1">IF(Table1[[#This Row],[NAMA SUPPLIER]]="","",MATCH(Table1[[#This Row],[N_ID]],INDIRECT(Table1[[#This Row],[1_h]]&amp;"[N_ID]"),0))</f>
        <v>14</v>
      </c>
      <c r="B6" s="54" t="s">
        <v>74</v>
      </c>
      <c r="C6" s="6">
        <f ca="1">_xlfn.IFNA(INDEX([2]!PAJAK[ID],MATCH(Table1[[#This Row],[N_ID]],[2]!PAJAK[ID_P],0)),"")</f>
        <v>39</v>
      </c>
      <c r="D6" s="6">
        <f ca="1">IF(Table1[[#This Row],[ID]]="","",INDEX([2]!PAJAK[QB],MATCH(Table1[[#This Row],[ID]],[2]!PAJAK[ID],0)))</f>
        <v>4</v>
      </c>
      <c r="E6" s="3">
        <f ca="1">INDEX([2]!PAJAK[TGL.MASUK],MATCH(Table1[[#This Row],[ID]],[2]!PAJAK[ID],0))</f>
        <v>44816</v>
      </c>
      <c r="F6" s="3">
        <f ca="1">INDEX([2]!PAJAK[TGL.NOTA],MATCH(Table1[[#This Row],[ID]],[2]!PAJAK[ID],0))</f>
        <v>44810</v>
      </c>
      <c r="G6" s="6" t="str">
        <f ca="1">INDEX([2]!PAJAK[NO.NOTA],MATCH(Table1[[#This Row],[ID]],[2]!PAJAK[ID],0))</f>
        <v>SA220913901</v>
      </c>
      <c r="I6" s="4" t="str">
        <f ca="1">INDEX([2]!PAJAK[SUPPLIER],MATCH(Table1[[#This Row],[ID]],[2]!PAJAK[ID],0))</f>
        <v>PT ATALI MAKMUR</v>
      </c>
      <c r="J6" s="4"/>
      <c r="K6" s="4"/>
      <c r="L6" s="59">
        <f ca="1">IFERROR(INDEX(INDIRECT("NOTA_.xlsx!"&amp;Table1[[#This Row],[1_h]]&amp;"[sub total]"),MATCH(Table1[[#This Row],[ID]],INDIRECT("NOTA_.xlsx!"&amp;Table1[[#This Row],[1_h]]&amp;"[ID]"),0)),"")</f>
        <v>2808960</v>
      </c>
      <c r="M6" s="5">
        <f ca="1">IFERROR(INDEX(INDIRECT("NOTA_.xlsx!"&amp;Table1[[#This Row],[1_h]]&amp;"[diskon]"),MATCH(Table1[[#This Row],[ID]],INDIRECT("NOTA_.xlsx!"&amp;Table1[[#This Row],[1_h]]&amp;"[ID]"),0)),"")</f>
        <v>0</v>
      </c>
      <c r="N6" s="5">
        <f ca="1">IFERROR(INDEX(INDIRECT("NOTA_.xlsx!"&amp;Table1[[#This Row],[1_h]]&amp;"[Dpp]"),MATCH(Table1[[#This Row],[ID]],INDIRECT("NOTA_.xlsx!"&amp;Table1[[#This Row],[1_h]]&amp;"[ID]"),0)),"")</f>
        <v>2530594.5945945946</v>
      </c>
      <c r="O6" s="5">
        <f ca="1">IFERROR(INDEX(INDIRECT("NOTA_.xlsx!"&amp;Table1[[#This Row],[1_h]]&amp;"[ppn (11%)]"),MATCH(Table1[[#This Row],[ID]],INDIRECT("NOTA_.xlsx!"&amp;Table1[[#This Row],[1_h]]&amp;"[ID]"),0)),"")</f>
        <v>278365.40540540538</v>
      </c>
      <c r="P6" s="5">
        <f ca="1">IFERROR(INDEX(INDIRECT("NOTA_.xlsx!"&amp;Table1[[#This Row],[1_h]]&amp;"[total]"),MATCH(Table1[[#This Row],[ID]],INDIRECT("NOTA_.xlsx!"&amp;Table1[[#This Row],[1_h]]&amp;"[ID]"),0)),"")</f>
        <v>2808960</v>
      </c>
      <c r="Q6" s="49" t="str">
        <f ca="1">IF(Table1[[#This Row],[NAMA SUPPLIER]]="","",INDEX(conv1[2],MATCH(Table1[[#This Row],[NAMA SUPPLIER]],conv1[1],0)))</f>
        <v>ATALI</v>
      </c>
      <c r="R6" s="4">
        <f ca="1">IF(Table1[[#This Row],[NO. INVOICE]]="","",_xlfn.IFNA(MATCH(Table1[[#This Row],[NO. INVOICE]],'[3]REKAP PEMBELIAN'!$C:$C,0),MATCH(VALUE(Table1[[#This Row],[NO. INVOICE]]),'[3]REKAP PEMBELIAN'!$C:$C,0)))</f>
        <v>540</v>
      </c>
      <c r="S6" s="5"/>
    </row>
    <row r="7" spans="1:19" x14ac:dyDescent="0.25">
      <c r="A7" s="6">
        <f ca="1">IF(Table1[[#This Row],[NAMA SUPPLIER]]="","",MATCH(Table1[[#This Row],[N_ID]],INDIRECT(Table1[[#This Row],[1_h]]&amp;"[N_ID]"),0))</f>
        <v>19</v>
      </c>
      <c r="B7" s="54" t="s">
        <v>73</v>
      </c>
      <c r="C7" s="6">
        <f ca="1">_xlfn.IFNA(INDEX([2]!PAJAK[ID],MATCH(Table1[[#This Row],[N_ID]],[2]!PAJAK[ID_P],0)),"")</f>
        <v>38</v>
      </c>
      <c r="D7" s="6">
        <f ca="1">IF(Table1[[#This Row],[ID]]="","",INDEX([2]!PAJAK[QB],MATCH(Table1[[#This Row],[ID]],[2]!PAJAK[ID],0)))</f>
        <v>4</v>
      </c>
      <c r="E7" s="3">
        <f ca="1">INDEX([2]!PAJAK[TGL.MASUK],MATCH(Table1[[#This Row],[ID]],[2]!PAJAK[ID],0))</f>
        <v>44816</v>
      </c>
      <c r="F7" s="3">
        <f ca="1">INDEX([2]!PAJAK[TGL.NOTA],MATCH(Table1[[#This Row],[ID]],[2]!PAJAK[ID],0))</f>
        <v>44810</v>
      </c>
      <c r="G7" s="6" t="str">
        <f ca="1">INDEX([2]!PAJAK[NO.NOTA],MATCH(Table1[[#This Row],[ID]],[2]!PAJAK[ID],0))</f>
        <v>SA220913941</v>
      </c>
      <c r="I7" s="4" t="str">
        <f ca="1">INDEX([2]!PAJAK[SUPPLIER],MATCH(Table1[[#This Row],[ID]],[2]!PAJAK[ID],0))</f>
        <v>PT ATALI MAKMUR</v>
      </c>
      <c r="J7" s="4"/>
      <c r="K7" s="4"/>
      <c r="L7" s="59">
        <f ca="1">IFERROR(INDEX(INDIRECT("NOTA_.xlsx!"&amp;Table1[[#This Row],[1_h]]&amp;"[sub total]"),MATCH(Table1[[#This Row],[ID]],INDIRECT("NOTA_.xlsx!"&amp;Table1[[#This Row],[1_h]]&amp;"[ID]"),0)),"")</f>
        <v>10660781.25</v>
      </c>
      <c r="M7" s="5">
        <f ca="1">IFERROR(INDEX(INDIRECT("NOTA_.xlsx!"&amp;Table1[[#This Row],[1_h]]&amp;"[diskon]"),MATCH(Table1[[#This Row],[ID]],INDIRECT("NOTA_.xlsx!"&amp;Table1[[#This Row],[1_h]]&amp;"[ID]"),0)),"")</f>
        <v>0</v>
      </c>
      <c r="N7" s="5">
        <f ca="1">IFERROR(INDEX(INDIRECT("NOTA_.xlsx!"&amp;Table1[[#This Row],[1_h]]&amp;"[Dpp]"),MATCH(Table1[[#This Row],[ID]],INDIRECT("NOTA_.xlsx!"&amp;Table1[[#This Row],[1_h]]&amp;"[ID]"),0)),"")</f>
        <v>9604307.4324324317</v>
      </c>
      <c r="O7" s="5">
        <f ca="1">IFERROR(INDEX(INDIRECT("NOTA_.xlsx!"&amp;Table1[[#This Row],[1_h]]&amp;"[ppn (11%)]"),MATCH(Table1[[#This Row],[ID]],INDIRECT("NOTA_.xlsx!"&amp;Table1[[#This Row],[1_h]]&amp;"[ID]"),0)),"")</f>
        <v>1056473.8175675676</v>
      </c>
      <c r="P7" s="5">
        <f ca="1">IFERROR(INDEX(INDIRECT("NOTA_.xlsx!"&amp;Table1[[#This Row],[1_h]]&amp;"[total]"),MATCH(Table1[[#This Row],[ID]],INDIRECT("NOTA_.xlsx!"&amp;Table1[[#This Row],[1_h]]&amp;"[ID]"),0)),"")</f>
        <v>10660781.25</v>
      </c>
      <c r="Q7" s="49" t="str">
        <f ca="1">IF(Table1[[#This Row],[NAMA SUPPLIER]]="","",INDEX(conv1[2],MATCH(Table1[[#This Row],[NAMA SUPPLIER]],conv1[1],0)))</f>
        <v>ATALI</v>
      </c>
      <c r="R7" s="4">
        <f ca="1">IF(Table1[[#This Row],[NO. INVOICE]]="","",_xlfn.IFNA(MATCH(Table1[[#This Row],[NO. INVOICE]],'[3]REKAP PEMBELIAN'!$C:$C,0),MATCH(VALUE(Table1[[#This Row],[NO. INVOICE]]),'[3]REKAP PEMBELIAN'!$C:$C,0)))</f>
        <v>541</v>
      </c>
      <c r="S7" s="5"/>
    </row>
    <row r="8" spans="1:19" x14ac:dyDescent="0.25">
      <c r="A8" s="6">
        <f ca="1">IF(Table1[[#This Row],[NAMA SUPPLIER]]="","",MATCH(Table1[[#This Row],[N_ID]],INDIRECT(Table1[[#This Row],[1_h]]&amp;"[N_ID]"),0))</f>
        <v>24</v>
      </c>
      <c r="B8" s="54" t="s">
        <v>75</v>
      </c>
      <c r="C8" s="6">
        <f ca="1">_xlfn.IFNA(INDEX([2]!PAJAK[ID],MATCH(Table1[[#This Row],[N_ID]],[2]!PAJAK[ID_P],0)),"")</f>
        <v>40</v>
      </c>
      <c r="D8" s="6">
        <f ca="1">IF(Table1[[#This Row],[ID]]="","",INDEX([2]!PAJAK[QB],MATCH(Table1[[#This Row],[ID]],[2]!PAJAK[ID],0)))</f>
        <v>5</v>
      </c>
      <c r="E8" s="3">
        <f ca="1">INDEX([2]!PAJAK[TGL.MASUK],MATCH(Table1[[#This Row],[ID]],[2]!PAJAK[ID],0))</f>
        <v>44816</v>
      </c>
      <c r="F8" s="3">
        <f ca="1">INDEX([2]!PAJAK[TGL.NOTA],MATCH(Table1[[#This Row],[ID]],[2]!PAJAK[ID],0))</f>
        <v>44810</v>
      </c>
      <c r="G8" s="6" t="str">
        <f ca="1">INDEX([2]!PAJAK[NO.NOTA],MATCH(Table1[[#This Row],[ID]],[2]!PAJAK[ID],0))</f>
        <v>SA220913954</v>
      </c>
      <c r="I8" s="4" t="str">
        <f ca="1">INDEX([2]!PAJAK[SUPPLIER],MATCH(Table1[[#This Row],[ID]],[2]!PAJAK[ID],0))</f>
        <v>PT ATALI MAKMUR</v>
      </c>
      <c r="J8" s="4"/>
      <c r="K8" s="4"/>
      <c r="L8" s="59">
        <f ca="1">IFERROR(INDEX(INDIRECT("NOTA_.xlsx!"&amp;Table1[[#This Row],[1_h]]&amp;"[sub total]"),MATCH(Table1[[#This Row],[ID]],INDIRECT("NOTA_.xlsx!"&amp;Table1[[#This Row],[1_h]]&amp;"[ID]"),0)),"")</f>
        <v>19666710</v>
      </c>
      <c r="M8" s="5">
        <f ca="1">IFERROR(INDEX(INDIRECT("NOTA_.xlsx!"&amp;Table1[[#This Row],[1_h]]&amp;"[diskon]"),MATCH(Table1[[#This Row],[ID]],INDIRECT("NOTA_.xlsx!"&amp;Table1[[#This Row],[1_h]]&amp;"[ID]"),0)),"")</f>
        <v>0</v>
      </c>
      <c r="N8" s="5">
        <f ca="1">IFERROR(INDEX(INDIRECT("NOTA_.xlsx!"&amp;Table1[[#This Row],[1_h]]&amp;"[Dpp]"),MATCH(Table1[[#This Row],[ID]],INDIRECT("NOTA_.xlsx!"&amp;Table1[[#This Row],[1_h]]&amp;"[ID]"),0)),"")</f>
        <v>17717756.756756756</v>
      </c>
      <c r="O8" s="5">
        <f ca="1">IFERROR(INDEX(INDIRECT("NOTA_.xlsx!"&amp;Table1[[#This Row],[1_h]]&amp;"[ppn (11%)]"),MATCH(Table1[[#This Row],[ID]],INDIRECT("NOTA_.xlsx!"&amp;Table1[[#This Row],[1_h]]&amp;"[ID]"),0)),"")</f>
        <v>1948953.2432432433</v>
      </c>
      <c r="P8" s="5">
        <f ca="1">IFERROR(INDEX(INDIRECT("NOTA_.xlsx!"&amp;Table1[[#This Row],[1_h]]&amp;"[total]"),MATCH(Table1[[#This Row],[ID]],INDIRECT("NOTA_.xlsx!"&amp;Table1[[#This Row],[1_h]]&amp;"[ID]"),0)),"")</f>
        <v>19666710</v>
      </c>
      <c r="Q8" s="49" t="str">
        <f ca="1">IF(Table1[[#This Row],[NAMA SUPPLIER]]="","",INDEX(conv1[2],MATCH(Table1[[#This Row],[NAMA SUPPLIER]],conv1[1],0)))</f>
        <v>ATALI</v>
      </c>
      <c r="R8" s="4">
        <f ca="1">IF(Table1[[#This Row],[NO. INVOICE]]="","",_xlfn.IFNA(MATCH(Table1[[#This Row],[NO. INVOICE]],'[3]REKAP PEMBELIAN'!$C:$C,0),MATCH(VALUE(Table1[[#This Row],[NO. INVOICE]]),'[3]REKAP PEMBELIAN'!$C:$C,0)))</f>
        <v>542</v>
      </c>
      <c r="S8" s="5"/>
    </row>
    <row r="9" spans="1:19" x14ac:dyDescent="0.25">
      <c r="A9" s="6">
        <f ca="1">IF(Table1[[#This Row],[NAMA SUPPLIER]]="","",MATCH(Table1[[#This Row],[N_ID]],INDIRECT(Table1[[#This Row],[1_h]]&amp;"[N_ID]"),0))</f>
        <v>30</v>
      </c>
      <c r="B9" s="54" t="s">
        <v>76</v>
      </c>
      <c r="C9" s="6">
        <f ca="1">_xlfn.IFNA(INDEX([2]!PAJAK[ID],MATCH(Table1[[#This Row],[N_ID]],[2]!PAJAK[ID_P],0)),"")</f>
        <v>41</v>
      </c>
      <c r="D9" s="6">
        <f ca="1">IF(Table1[[#This Row],[ID]]="","",INDEX([2]!PAJAK[QB],MATCH(Table1[[#This Row],[ID]],[2]!PAJAK[ID],0)))</f>
        <v>9</v>
      </c>
      <c r="E9" s="3">
        <f ca="1">INDEX([2]!PAJAK[TGL.MASUK],MATCH(Table1[[#This Row],[ID]],[2]!PAJAK[ID],0))</f>
        <v>44816</v>
      </c>
      <c r="F9" s="3">
        <f ca="1">INDEX([2]!PAJAK[TGL.NOTA],MATCH(Table1[[#This Row],[ID]],[2]!PAJAK[ID],0))</f>
        <v>44811</v>
      </c>
      <c r="G9" s="6" t="str">
        <f ca="1">INDEX([2]!PAJAK[NO.NOTA],MATCH(Table1[[#This Row],[ID]],[2]!PAJAK[ID],0))</f>
        <v>SA220913992</v>
      </c>
      <c r="I9" s="4" t="str">
        <f ca="1">INDEX([2]!PAJAK[SUPPLIER],MATCH(Table1[[#This Row],[ID]],[2]!PAJAK[ID],0))</f>
        <v>PT ATALI MAKMUR</v>
      </c>
      <c r="J9" s="4"/>
      <c r="K9" s="4"/>
      <c r="L9" s="59">
        <f ca="1">IFERROR(INDEX(INDIRECT("NOTA_.xlsx!"&amp;Table1[[#This Row],[1_h]]&amp;"[sub total]"),MATCH(Table1[[#This Row],[ID]],INDIRECT("NOTA_.xlsx!"&amp;Table1[[#This Row],[1_h]]&amp;"[ID]"),0)),"")</f>
        <v>16970633.75</v>
      </c>
      <c r="M9" s="5">
        <f ca="1">IFERROR(INDEX(INDIRECT("NOTA_.xlsx!"&amp;Table1[[#This Row],[1_h]]&amp;"[diskon]"),MATCH(Table1[[#This Row],[ID]],INDIRECT("NOTA_.xlsx!"&amp;Table1[[#This Row],[1_h]]&amp;"[ID]"),0)),"")</f>
        <v>0</v>
      </c>
      <c r="N9" s="5">
        <f ca="1">IFERROR(INDEX(INDIRECT("NOTA_.xlsx!"&amp;Table1[[#This Row],[1_h]]&amp;"[Dpp]"),MATCH(Table1[[#This Row],[ID]],INDIRECT("NOTA_.xlsx!"&amp;Table1[[#This Row],[1_h]]&amp;"[ID]"),0)),"")</f>
        <v>15288859.234234232</v>
      </c>
      <c r="O9" s="5">
        <f ca="1">IFERROR(INDEX(INDIRECT("NOTA_.xlsx!"&amp;Table1[[#This Row],[1_h]]&amp;"[ppn (11%)]"),MATCH(Table1[[#This Row],[ID]],INDIRECT("NOTA_.xlsx!"&amp;Table1[[#This Row],[1_h]]&amp;"[ID]"),0)),"")</f>
        <v>1681774.5157657657</v>
      </c>
      <c r="P9" s="5">
        <f ca="1">IFERROR(INDEX(INDIRECT("NOTA_.xlsx!"&amp;Table1[[#This Row],[1_h]]&amp;"[total]"),MATCH(Table1[[#This Row],[ID]],INDIRECT("NOTA_.xlsx!"&amp;Table1[[#This Row],[1_h]]&amp;"[ID]"),0)),"")</f>
        <v>16970633.75</v>
      </c>
      <c r="Q9" s="49" t="str">
        <f ca="1">IF(Table1[[#This Row],[NAMA SUPPLIER]]="","",INDEX(conv1[2],MATCH(Table1[[#This Row],[NAMA SUPPLIER]],conv1[1],0)))</f>
        <v>ATALI</v>
      </c>
      <c r="R9" s="4">
        <f ca="1">IF(Table1[[#This Row],[NO. INVOICE]]="","",_xlfn.IFNA(MATCH(Table1[[#This Row],[NO. INVOICE]],'[3]REKAP PEMBELIAN'!$C:$C,0),MATCH(VALUE(Table1[[#This Row],[NO. INVOICE]]),'[3]REKAP PEMBELIAN'!$C:$C,0)))</f>
        <v>543</v>
      </c>
      <c r="S9" s="5"/>
    </row>
    <row r="10" spans="1:19" x14ac:dyDescent="0.25">
      <c r="A10" s="6">
        <f ca="1">IF(Table1[[#This Row],[NAMA SUPPLIER]]="","",MATCH(Table1[[#This Row],[N_ID]],INDIRECT(Table1[[#This Row],[1_h]]&amp;"[N_ID]"),0))</f>
        <v>40</v>
      </c>
      <c r="B10" s="54" t="s">
        <v>78</v>
      </c>
      <c r="C10" s="6">
        <f ca="1">_xlfn.IFNA(INDEX([2]!PAJAK[ID],MATCH(Table1[[#This Row],[N_ID]],[2]!PAJAK[ID_P],0)),"")</f>
        <v>46</v>
      </c>
      <c r="D10" s="6">
        <f ca="1">IF(Table1[[#This Row],[ID]]="","",INDEX([2]!PAJAK[QB],MATCH(Table1[[#This Row],[ID]],[2]!PAJAK[ID],0)))</f>
        <v>8</v>
      </c>
      <c r="E10" s="3">
        <f ca="1">INDEX([2]!PAJAK[TGL.MASUK],MATCH(Table1[[#This Row],[ID]],[2]!PAJAK[ID],0))</f>
        <v>44817</v>
      </c>
      <c r="F10" s="3">
        <f ca="1">INDEX([2]!PAJAK[TGL.NOTA],MATCH(Table1[[#This Row],[ID]],[2]!PAJAK[ID],0))</f>
        <v>44812</v>
      </c>
      <c r="G10" s="6" t="str">
        <f ca="1">INDEX([2]!PAJAK[NO.NOTA],MATCH(Table1[[#This Row],[ID]],[2]!PAJAK[ID],0))</f>
        <v>SA220914106</v>
      </c>
      <c r="I10" s="4" t="str">
        <f ca="1">INDEX([2]!PAJAK[SUPPLIER],MATCH(Table1[[#This Row],[ID]],[2]!PAJAK[ID],0))</f>
        <v>PT ATALI MAKMUR</v>
      </c>
      <c r="J10" s="4"/>
      <c r="K10" s="4"/>
      <c r="L10" s="59">
        <f ca="1">IFERROR(INDEX(INDIRECT("NOTA_.xlsx!"&amp;Table1[[#This Row],[1_h]]&amp;"[sub total]"),MATCH(Table1[[#This Row],[ID]],INDIRECT("NOTA_.xlsx!"&amp;Table1[[#This Row],[1_h]]&amp;"[ID]"),0)),"")</f>
        <v>14519443.75</v>
      </c>
      <c r="M10" s="5">
        <f ca="1">IFERROR(INDEX(INDIRECT("NOTA_.xlsx!"&amp;Table1[[#This Row],[1_h]]&amp;"[diskon]"),MATCH(Table1[[#This Row],[ID]],INDIRECT("NOTA_.xlsx!"&amp;Table1[[#This Row],[1_h]]&amp;"[ID]"),0)),"")</f>
        <v>0</v>
      </c>
      <c r="N10" s="5">
        <f ca="1">IFERROR(INDEX(INDIRECT("NOTA_.xlsx!"&amp;Table1[[#This Row],[1_h]]&amp;"[Dpp]"),MATCH(Table1[[#This Row],[ID]],INDIRECT("NOTA_.xlsx!"&amp;Table1[[#This Row],[1_h]]&amp;"[ID]"),0)),"")</f>
        <v>13080579.954954954</v>
      </c>
      <c r="O10" s="5">
        <f ca="1">IFERROR(INDEX(INDIRECT("NOTA_.xlsx!"&amp;Table1[[#This Row],[1_h]]&amp;"[ppn (11%)]"),MATCH(Table1[[#This Row],[ID]],INDIRECT("NOTA_.xlsx!"&amp;Table1[[#This Row],[1_h]]&amp;"[ID]"),0)),"")</f>
        <v>1438863.795045045</v>
      </c>
      <c r="P10" s="5">
        <f ca="1">IFERROR(INDEX(INDIRECT("NOTA_.xlsx!"&amp;Table1[[#This Row],[1_h]]&amp;"[total]"),MATCH(Table1[[#This Row],[ID]],INDIRECT("NOTA_.xlsx!"&amp;Table1[[#This Row],[1_h]]&amp;"[ID]"),0)),"")</f>
        <v>14519443.749999998</v>
      </c>
      <c r="Q10" s="49" t="str">
        <f ca="1">IF(Table1[[#This Row],[NAMA SUPPLIER]]="","",INDEX(conv1[2],MATCH(Table1[[#This Row],[NAMA SUPPLIER]],conv1[1],0)))</f>
        <v>ATALI</v>
      </c>
      <c r="R10" s="4">
        <f ca="1">IF(Table1[[#This Row],[NO. INVOICE]]="","",_xlfn.IFNA(MATCH(Table1[[#This Row],[NO. INVOICE]],'[3]REKAP PEMBELIAN'!$C:$C,0),MATCH(VALUE(Table1[[#This Row],[NO. INVOICE]]),'[3]REKAP PEMBELIAN'!$C:$C,0)))</f>
        <v>544</v>
      </c>
      <c r="S10" s="5"/>
    </row>
    <row r="11" spans="1:19" x14ac:dyDescent="0.25">
      <c r="A11" s="6">
        <f ca="1">IF(Table1[[#This Row],[NAMA SUPPLIER]]="","",MATCH(Table1[[#This Row],[N_ID]],INDIRECT(Table1[[#This Row],[1_h]]&amp;"[N_ID]"),0))</f>
        <v>49</v>
      </c>
      <c r="B11" s="54" t="s">
        <v>79</v>
      </c>
      <c r="C11" s="6">
        <f ca="1">_xlfn.IFNA(INDEX([2]!PAJAK[ID],MATCH(Table1[[#This Row],[N_ID]],[2]!PAJAK[ID_P],0)),"")</f>
        <v>45</v>
      </c>
      <c r="D11" s="6">
        <f ca="1">IF(Table1[[#This Row],[ID]]="","",INDEX([2]!PAJAK[QB],MATCH(Table1[[#This Row],[ID]],[2]!PAJAK[ID],0)))</f>
        <v>4</v>
      </c>
      <c r="E11" s="3">
        <f ca="1">INDEX([2]!PAJAK[TGL.MASUK],MATCH(Table1[[#This Row],[ID]],[2]!PAJAK[ID],0))</f>
        <v>44817</v>
      </c>
      <c r="F11" s="3">
        <f ca="1">INDEX([2]!PAJAK[TGL.NOTA],MATCH(Table1[[#This Row],[ID]],[2]!PAJAK[ID],0))</f>
        <v>44812</v>
      </c>
      <c r="G11" s="6" t="str">
        <f ca="1">INDEX([2]!PAJAK[NO.NOTA],MATCH(Table1[[#This Row],[ID]],[2]!PAJAK[ID],0))</f>
        <v>SA220914107</v>
      </c>
      <c r="I11" s="4" t="str">
        <f ca="1">INDEX([2]!PAJAK[SUPPLIER],MATCH(Table1[[#This Row],[ID]],[2]!PAJAK[ID],0))</f>
        <v>PT ATALI MAKMUR</v>
      </c>
      <c r="J11" s="4"/>
      <c r="K11" s="4"/>
      <c r="L11" s="59">
        <f ca="1">IFERROR(INDEX(INDIRECT("NOTA_.xlsx!"&amp;Table1[[#This Row],[1_h]]&amp;"[sub total]"),MATCH(Table1[[#This Row],[ID]],INDIRECT("NOTA_.xlsx!"&amp;Table1[[#This Row],[1_h]]&amp;"[ID]"),0)),"")</f>
        <v>6103332</v>
      </c>
      <c r="M11" s="5">
        <f ca="1">IFERROR(INDEX(INDIRECT("NOTA_.xlsx!"&amp;Table1[[#This Row],[1_h]]&amp;"[diskon]"),MATCH(Table1[[#This Row],[ID]],INDIRECT("NOTA_.xlsx!"&amp;Table1[[#This Row],[1_h]]&amp;"[ID]"),0)),"")</f>
        <v>94392</v>
      </c>
      <c r="N11" s="5">
        <f ca="1">IFERROR(INDEX(INDIRECT("NOTA_.xlsx!"&amp;Table1[[#This Row],[1_h]]&amp;"[Dpp]"),MATCH(Table1[[#This Row],[ID]],INDIRECT("NOTA_.xlsx!"&amp;Table1[[#This Row],[1_h]]&amp;"[ID]"),0)),"")</f>
        <v>5413459.4594594594</v>
      </c>
      <c r="O11" s="5">
        <f ca="1">IFERROR(INDEX(INDIRECT("NOTA_.xlsx!"&amp;Table1[[#This Row],[1_h]]&amp;"[ppn (11%)]"),MATCH(Table1[[#This Row],[ID]],INDIRECT("NOTA_.xlsx!"&amp;Table1[[#This Row],[1_h]]&amp;"[ID]"),0)),"")</f>
        <v>595480.54054054059</v>
      </c>
      <c r="P11" s="5">
        <f ca="1">IFERROR(INDEX(INDIRECT("NOTA_.xlsx!"&amp;Table1[[#This Row],[1_h]]&amp;"[total]"),MATCH(Table1[[#This Row],[ID]],INDIRECT("NOTA_.xlsx!"&amp;Table1[[#This Row],[1_h]]&amp;"[ID]"),0)),"")</f>
        <v>6008940</v>
      </c>
      <c r="Q11" s="49" t="str">
        <f ca="1">IF(Table1[[#This Row],[NAMA SUPPLIER]]="","",INDEX(conv1[2],MATCH(Table1[[#This Row],[NAMA SUPPLIER]],conv1[1],0)))</f>
        <v>ATALI</v>
      </c>
      <c r="R11" s="4">
        <f ca="1">IF(Table1[[#This Row],[NO. INVOICE]]="","",_xlfn.IFNA(MATCH(Table1[[#This Row],[NO. INVOICE]],'[3]REKAP PEMBELIAN'!$C:$C,0),MATCH(VALUE(Table1[[#This Row],[NO. INVOICE]]),'[3]REKAP PEMBELIAN'!$C:$C,0)))</f>
        <v>545</v>
      </c>
      <c r="S11" s="5"/>
    </row>
    <row r="12" spans="1:19" x14ac:dyDescent="0.25">
      <c r="A12" s="6">
        <f ca="1">IF(Table1[[#This Row],[NAMA SUPPLIER]]="","",MATCH(Table1[[#This Row],[N_ID]],INDIRECT(Table1[[#This Row],[1_h]]&amp;"[N_ID]"),0))</f>
        <v>54</v>
      </c>
      <c r="B12" s="54" t="s">
        <v>80</v>
      </c>
      <c r="C12" s="6">
        <f ca="1">_xlfn.IFNA(INDEX([2]!PAJAK[ID],MATCH(Table1[[#This Row],[N_ID]],[2]!PAJAK[ID_P],0)),"")</f>
        <v>47</v>
      </c>
      <c r="D12" s="6">
        <f ca="1">IF(Table1[[#This Row],[ID]]="","",INDEX([2]!PAJAK[QB],MATCH(Table1[[#This Row],[ID]],[2]!PAJAK[ID],0)))</f>
        <v>9</v>
      </c>
      <c r="E12" s="3">
        <f ca="1">INDEX([2]!PAJAK[TGL.MASUK],MATCH(Table1[[#This Row],[ID]],[2]!PAJAK[ID],0))</f>
        <v>44817</v>
      </c>
      <c r="F12" s="3">
        <f ca="1">INDEX([2]!PAJAK[TGL.NOTA],MATCH(Table1[[#This Row],[ID]],[2]!PAJAK[ID],0))</f>
        <v>44813</v>
      </c>
      <c r="G12" s="6" t="str">
        <f ca="1">INDEX([2]!PAJAK[NO.NOTA],MATCH(Table1[[#This Row],[ID]],[2]!PAJAK[ID],0))</f>
        <v>SA220914190</v>
      </c>
      <c r="I12" s="4" t="str">
        <f ca="1">INDEX([2]!PAJAK[SUPPLIER],MATCH(Table1[[#This Row],[ID]],[2]!PAJAK[ID],0))</f>
        <v>PT ATALI MAKMUR</v>
      </c>
      <c r="J12" s="4"/>
      <c r="K12" s="4"/>
      <c r="L12" s="59">
        <f ca="1">IFERROR(INDEX(INDIRECT("NOTA_.xlsx!"&amp;Table1[[#This Row],[1_h]]&amp;"[sub total]"),MATCH(Table1[[#This Row],[ID]],INDIRECT("NOTA_.xlsx!"&amp;Table1[[#This Row],[1_h]]&amp;"[ID]"),0)),"")</f>
        <v>12890174.75</v>
      </c>
      <c r="M12" s="5">
        <f ca="1">IFERROR(INDEX(INDIRECT("NOTA_.xlsx!"&amp;Table1[[#This Row],[1_h]]&amp;"[diskon]"),MATCH(Table1[[#This Row],[ID]],INDIRECT("NOTA_.xlsx!"&amp;Table1[[#This Row],[1_h]]&amp;"[ID]"),0)),"")</f>
        <v>47196</v>
      </c>
      <c r="N12" s="5">
        <f ca="1">IFERROR(INDEX(INDIRECT("NOTA_.xlsx!"&amp;Table1[[#This Row],[1_h]]&amp;"[Dpp]"),MATCH(Table1[[#This Row],[ID]],INDIRECT("NOTA_.xlsx!"&amp;Table1[[#This Row],[1_h]]&amp;"[ID]"),0)),"")</f>
        <v>11570251.126126125</v>
      </c>
      <c r="O12" s="5">
        <f ca="1">IFERROR(INDEX(INDIRECT("NOTA_.xlsx!"&amp;Table1[[#This Row],[1_h]]&amp;"[ppn (11%)]"),MATCH(Table1[[#This Row],[ID]],INDIRECT("NOTA_.xlsx!"&amp;Table1[[#This Row],[1_h]]&amp;"[ID]"),0)),"")</f>
        <v>1272727.6238738738</v>
      </c>
      <c r="P12" s="5">
        <f ca="1">IFERROR(INDEX(INDIRECT("NOTA_.xlsx!"&amp;Table1[[#This Row],[1_h]]&amp;"[total]"),MATCH(Table1[[#This Row],[ID]],INDIRECT("NOTA_.xlsx!"&amp;Table1[[#This Row],[1_h]]&amp;"[ID]"),0)),"")</f>
        <v>12842978.75</v>
      </c>
      <c r="Q12" s="49" t="str">
        <f ca="1">IF(Table1[[#This Row],[NAMA SUPPLIER]]="","",INDEX(conv1[2],MATCH(Table1[[#This Row],[NAMA SUPPLIER]],conv1[1],0)))</f>
        <v>ATALI</v>
      </c>
      <c r="R12" s="4">
        <f ca="1">IF(Table1[[#This Row],[NO. INVOICE]]="","",_xlfn.IFNA(MATCH(Table1[[#This Row],[NO. INVOICE]],'[3]REKAP PEMBELIAN'!$C:$C,0),MATCH(VALUE(Table1[[#This Row],[NO. INVOICE]]),'[3]REKAP PEMBELIAN'!$C:$C,0)))</f>
        <v>546</v>
      </c>
      <c r="S12" s="5"/>
    </row>
    <row r="13" spans="1:19" x14ac:dyDescent="0.25">
      <c r="A13" s="6">
        <f ca="1">IF(Table1[[#This Row],[NAMA SUPPLIER]]="","",MATCH(Table1[[#This Row],[N_ID]],INDIRECT(Table1[[#This Row],[1_h]]&amp;"[N_ID]"),0))</f>
        <v>64</v>
      </c>
      <c r="B13" s="54" t="s">
        <v>84</v>
      </c>
      <c r="C13" s="6">
        <f ca="1">_xlfn.IFNA(INDEX([2]!PAJAK[ID],MATCH(Table1[[#This Row],[N_ID]],[2]!PAJAK[ID_P],0)),"")</f>
        <v>66</v>
      </c>
      <c r="D13" s="6">
        <f ca="1">IF(Table1[[#This Row],[ID]]="","",INDEX([2]!PAJAK[QB],MATCH(Table1[[#This Row],[ID]],[2]!PAJAK[ID],0)))</f>
        <v>6</v>
      </c>
      <c r="E13" s="3">
        <f ca="1">INDEX([2]!PAJAK[TGL.MASUK],MATCH(Table1[[#This Row],[ID]],[2]!PAJAK[ID],0))</f>
        <v>44820</v>
      </c>
      <c r="F13" s="3">
        <f ca="1">INDEX([2]!PAJAK[TGL.NOTA],MATCH(Table1[[#This Row],[ID]],[2]!PAJAK[ID],0))</f>
        <v>44817</v>
      </c>
      <c r="G13" s="6" t="str">
        <f ca="1">INDEX([2]!PAJAK[NO.NOTA],MATCH(Table1[[#This Row],[ID]],[2]!PAJAK[ID],0))</f>
        <v>SA220914389</v>
      </c>
      <c r="I13" s="4" t="str">
        <f ca="1">INDEX([2]!PAJAK[SUPPLIER],MATCH(Table1[[#This Row],[ID]],[2]!PAJAK[ID],0))</f>
        <v>PT ATALI MAKMUR</v>
      </c>
      <c r="J13" s="4"/>
      <c r="K13" s="4"/>
      <c r="L13" s="59">
        <f ca="1">IFERROR(INDEX(INDIRECT("NOTA_.xlsx!"&amp;Table1[[#This Row],[1_h]]&amp;"[sub total]"),MATCH(Table1[[#This Row],[ID]],INDIRECT("NOTA_.xlsx!"&amp;Table1[[#This Row],[1_h]]&amp;"[ID]"),0)),"")</f>
        <v>41362335</v>
      </c>
      <c r="M13" s="5">
        <f ca="1">IFERROR(INDEX(INDIRECT("NOTA_.xlsx!"&amp;Table1[[#This Row],[1_h]]&amp;"[diskon]"),MATCH(Table1[[#This Row],[ID]],INDIRECT("NOTA_.xlsx!"&amp;Table1[[#This Row],[1_h]]&amp;"[ID]"),0)),"")</f>
        <v>0</v>
      </c>
      <c r="N13" s="5">
        <f ca="1">IFERROR(INDEX(INDIRECT("NOTA_.xlsx!"&amp;Table1[[#This Row],[1_h]]&amp;"[Dpp]"),MATCH(Table1[[#This Row],[ID]],INDIRECT("NOTA_.xlsx!"&amp;Table1[[#This Row],[1_h]]&amp;"[ID]"),0)),"")</f>
        <v>37263364.864864863</v>
      </c>
      <c r="O13" s="5">
        <f ca="1">IFERROR(INDEX(INDIRECT("NOTA_.xlsx!"&amp;Table1[[#This Row],[1_h]]&amp;"[ppn (11%)]"),MATCH(Table1[[#This Row],[ID]],INDIRECT("NOTA_.xlsx!"&amp;Table1[[#This Row],[1_h]]&amp;"[ID]"),0)),"")</f>
        <v>4098970.1351351351</v>
      </c>
      <c r="P13" s="5">
        <f ca="1">IFERROR(INDEX(INDIRECT("NOTA_.xlsx!"&amp;Table1[[#This Row],[1_h]]&amp;"[total]"),MATCH(Table1[[#This Row],[ID]],INDIRECT("NOTA_.xlsx!"&amp;Table1[[#This Row],[1_h]]&amp;"[ID]"),0)),"")</f>
        <v>41362335</v>
      </c>
      <c r="Q13" s="49" t="str">
        <f ca="1">IF(Table1[[#This Row],[NAMA SUPPLIER]]="","",INDEX(conv1[2],MATCH(Table1[[#This Row],[NAMA SUPPLIER]],conv1[1],0)))</f>
        <v>ATALI</v>
      </c>
      <c r="R13" s="4">
        <f ca="1">IF(Table1[[#This Row],[NO. INVOICE]]="","",_xlfn.IFNA(MATCH(Table1[[#This Row],[NO. INVOICE]],'[3]REKAP PEMBELIAN'!$C:$C,0),MATCH(VALUE(Table1[[#This Row],[NO. INVOICE]]),'[3]REKAP PEMBELIAN'!$C:$C,0)))</f>
        <v>547</v>
      </c>
      <c r="S13" s="5"/>
    </row>
    <row r="14" spans="1:19" x14ac:dyDescent="0.25">
      <c r="A14" s="6">
        <f ca="1">IF(Table1[[#This Row],[NAMA SUPPLIER]]="","",MATCH(Table1[[#This Row],[N_ID]],INDIRECT(Table1[[#This Row],[1_h]]&amp;"[N_ID]"),0))</f>
        <v>71</v>
      </c>
      <c r="B14" s="54" t="s">
        <v>96</v>
      </c>
      <c r="C14" s="6">
        <f ca="1">_xlfn.IFNA(INDEX([2]!PAJAK[ID],MATCH(Table1[[#This Row],[N_ID]],[2]!PAJAK[ID_P],0)),"")</f>
        <v>85</v>
      </c>
      <c r="D14" s="6">
        <f ca="1">IF(Table1[[#This Row],[ID]]="","",INDEX([2]!PAJAK[QB],MATCH(Table1[[#This Row],[ID]],[2]!PAJAK[ID],0)))</f>
        <v>11</v>
      </c>
      <c r="E14" s="3">
        <f ca="1">INDEX([2]!PAJAK[TGL.MASUK],MATCH(Table1[[#This Row],[ID]],[2]!PAJAK[ID],0))</f>
        <v>44825</v>
      </c>
      <c r="F14" s="3">
        <f ca="1">INDEX([2]!PAJAK[TGL.NOTA],MATCH(Table1[[#This Row],[ID]],[2]!PAJAK[ID],0))</f>
        <v>44821</v>
      </c>
      <c r="G14" s="6" t="str">
        <f ca="1">INDEX([2]!PAJAK[NO.NOTA],MATCH(Table1[[#This Row],[ID]],[2]!PAJAK[ID],0))</f>
        <v>SA220914680</v>
      </c>
      <c r="I14" s="4" t="str">
        <f ca="1">INDEX([2]!PAJAK[SUPPLIER],MATCH(Table1[[#This Row],[ID]],[2]!PAJAK[ID],0))</f>
        <v>PT ATALI MAKMUR</v>
      </c>
      <c r="J14" s="4"/>
      <c r="K14" s="4"/>
      <c r="L14" s="59">
        <f ca="1">IFERROR(INDEX(INDIRECT("NOTA_.xlsx!"&amp;Table1[[#This Row],[1_h]]&amp;"[sub total]"),MATCH(Table1[[#This Row],[ID]],INDIRECT("NOTA_.xlsx!"&amp;Table1[[#This Row],[1_h]]&amp;"[ID]"),0)),"")</f>
        <v>52435748.75</v>
      </c>
      <c r="M14" s="5">
        <f ca="1">IFERROR(INDEX(INDIRECT("NOTA_.xlsx!"&amp;Table1[[#This Row],[1_h]]&amp;"[diskon]"),MATCH(Table1[[#This Row],[ID]],INDIRECT("NOTA_.xlsx!"&amp;Table1[[#This Row],[1_h]]&amp;"[ID]"),0)),"")</f>
        <v>0</v>
      </c>
      <c r="N14" s="5">
        <f ca="1">IFERROR(INDEX(INDIRECT("NOTA_.xlsx!"&amp;Table1[[#This Row],[1_h]]&amp;"[Dpp]"),MATCH(Table1[[#This Row],[ID]],INDIRECT("NOTA_.xlsx!"&amp;Table1[[#This Row],[1_h]]&amp;"[ID]"),0)),"")</f>
        <v>47239413.288288288</v>
      </c>
      <c r="O14" s="5">
        <f ca="1">IFERROR(INDEX(INDIRECT("NOTA_.xlsx!"&amp;Table1[[#This Row],[1_h]]&amp;"[ppn (11%)]"),MATCH(Table1[[#This Row],[ID]],INDIRECT("NOTA_.xlsx!"&amp;Table1[[#This Row],[1_h]]&amp;"[ID]"),0)),"")</f>
        <v>5196335.4617117113</v>
      </c>
      <c r="P14" s="5">
        <f ca="1">IFERROR(INDEX(INDIRECT("NOTA_.xlsx!"&amp;Table1[[#This Row],[1_h]]&amp;"[total]"),MATCH(Table1[[#This Row],[ID]],INDIRECT("NOTA_.xlsx!"&amp;Table1[[#This Row],[1_h]]&amp;"[ID]"),0)),"")</f>
        <v>52435748.75</v>
      </c>
      <c r="Q14" s="49" t="str">
        <f ca="1">IF(Table1[[#This Row],[NAMA SUPPLIER]]="","",INDEX(conv1[2],MATCH(Table1[[#This Row],[NAMA SUPPLIER]],conv1[1],0)))</f>
        <v>ATALI</v>
      </c>
      <c r="R14" s="4">
        <f ca="1">IF(Table1[[#This Row],[NO. INVOICE]]="","",_xlfn.IFNA(MATCH(Table1[[#This Row],[NO. INVOICE]],'[3]REKAP PEMBELIAN'!$C:$C,0),MATCH(VALUE(Table1[[#This Row],[NO. INVOICE]]),'[3]REKAP PEMBELIAN'!$C:$C,0)))</f>
        <v>548</v>
      </c>
      <c r="S14" s="5"/>
    </row>
    <row r="15" spans="1:19" x14ac:dyDescent="0.25">
      <c r="A15" s="6">
        <f ca="1">IF(Table1[[#This Row],[NAMA SUPPLIER]]="","",MATCH(Table1[[#This Row],[N_ID]],INDIRECT(Table1[[#This Row],[1_h]]&amp;"[N_ID]"),0))</f>
        <v>83</v>
      </c>
      <c r="B15" s="54" t="s">
        <v>97</v>
      </c>
      <c r="C15" s="6">
        <f ca="1">_xlfn.IFNA(INDEX([2]!PAJAK[ID],MATCH(Table1[[#This Row],[N_ID]],[2]!PAJAK[ID_P],0)),"")</f>
        <v>105</v>
      </c>
      <c r="D15" s="6">
        <f ca="1">IF(Table1[[#This Row],[ID]]="","",INDEX([2]!PAJAK[QB],MATCH(Table1[[#This Row],[ID]],[2]!PAJAK[ID],0)))</f>
        <v>11</v>
      </c>
      <c r="E15" s="3">
        <f ca="1">INDEX([2]!PAJAK[TGL.MASUK],MATCH(Table1[[#This Row],[ID]],[2]!PAJAK[ID],0))</f>
        <v>44827</v>
      </c>
      <c r="F15" s="3">
        <f ca="1">INDEX([2]!PAJAK[TGL.NOTA],MATCH(Table1[[#This Row],[ID]],[2]!PAJAK[ID],0))</f>
        <v>44821</v>
      </c>
      <c r="G15" s="6" t="str">
        <f ca="1">INDEX([2]!PAJAK[NO.NOTA],MATCH(Table1[[#This Row],[ID]],[2]!PAJAK[ID],0))</f>
        <v>SA220914681</v>
      </c>
      <c r="I15" s="4" t="str">
        <f ca="1">INDEX([2]!PAJAK[SUPPLIER],MATCH(Table1[[#This Row],[ID]],[2]!PAJAK[ID],0))</f>
        <v>PT ATALI MAKMUR</v>
      </c>
      <c r="J15" s="4"/>
      <c r="K15" s="4"/>
      <c r="L15" s="59">
        <f ca="1">IFERROR(INDEX(INDIRECT("NOTA_.xlsx!"&amp;Table1[[#This Row],[1_h]]&amp;"[sub total]"),MATCH(Table1[[#This Row],[ID]],INDIRECT("NOTA_.xlsx!"&amp;Table1[[#This Row],[1_h]]&amp;"[ID]"),0)),"")</f>
        <v>24663919</v>
      </c>
      <c r="M15" s="5">
        <f ca="1">IFERROR(INDEX(INDIRECT("NOTA_.xlsx!"&amp;Table1[[#This Row],[1_h]]&amp;"[diskon]"),MATCH(Table1[[#This Row],[ID]],INDIRECT("NOTA_.xlsx!"&amp;Table1[[#This Row],[1_h]]&amp;"[ID]"),0)),"")</f>
        <v>0</v>
      </c>
      <c r="N15" s="5">
        <f ca="1">IFERROR(INDEX(INDIRECT("NOTA_.xlsx!"&amp;Table1[[#This Row],[1_h]]&amp;"[Dpp]"),MATCH(Table1[[#This Row],[ID]],INDIRECT("NOTA_.xlsx!"&amp;Table1[[#This Row],[1_h]]&amp;"[ID]"),0)),"")</f>
        <v>22219746.846846845</v>
      </c>
      <c r="O15" s="5">
        <f ca="1">IFERROR(INDEX(INDIRECT("NOTA_.xlsx!"&amp;Table1[[#This Row],[1_h]]&amp;"[ppn (11%)]"),MATCH(Table1[[#This Row],[ID]],INDIRECT("NOTA_.xlsx!"&amp;Table1[[#This Row],[1_h]]&amp;"[ID]"),0)),"")</f>
        <v>2444172.1531531531</v>
      </c>
      <c r="P15" s="5">
        <f ca="1">IFERROR(INDEX(INDIRECT("NOTA_.xlsx!"&amp;Table1[[#This Row],[1_h]]&amp;"[total]"),MATCH(Table1[[#This Row],[ID]],INDIRECT("NOTA_.xlsx!"&amp;Table1[[#This Row],[1_h]]&amp;"[ID]"),0)),"")</f>
        <v>24663919</v>
      </c>
      <c r="Q15" s="49" t="str">
        <f ca="1">IF(Table1[[#This Row],[NAMA SUPPLIER]]="","",INDEX(conv1[2],MATCH(Table1[[#This Row],[NAMA SUPPLIER]],conv1[1],0)))</f>
        <v>ATALI</v>
      </c>
      <c r="R15" s="4">
        <f ca="1">IF(Table1[[#This Row],[NO. INVOICE]]="","",_xlfn.IFNA(MATCH(Table1[[#This Row],[NO. INVOICE]],'[3]REKAP PEMBELIAN'!$C:$C,0),MATCH(VALUE(Table1[[#This Row],[NO. INVOICE]]),'[3]REKAP PEMBELIAN'!$C:$C,0)))</f>
        <v>549</v>
      </c>
      <c r="S15" s="5"/>
    </row>
    <row r="16" spans="1:19" x14ac:dyDescent="0.25">
      <c r="A16" s="6">
        <f ca="1">IF(Table1[[#This Row],[NAMA SUPPLIER]]="","",MATCH(Table1[[#This Row],[N_ID]],INDIRECT(Table1[[#This Row],[1_h]]&amp;"[N_ID]"),0))</f>
        <v>95</v>
      </c>
      <c r="B16" s="54" t="s">
        <v>98</v>
      </c>
      <c r="C16" s="6">
        <f ca="1">_xlfn.IFNA(INDEX([2]!PAJAK[ID],MATCH(Table1[[#This Row],[N_ID]],[2]!PAJAK[ID_P],0)),"")</f>
        <v>106</v>
      </c>
      <c r="D16" s="6">
        <f ca="1">IF(Table1[[#This Row],[ID]]="","",INDEX([2]!PAJAK[QB],MATCH(Table1[[#This Row],[ID]],[2]!PAJAK[ID],0)))</f>
        <v>8</v>
      </c>
      <c r="E16" s="3">
        <f ca="1">INDEX([2]!PAJAK[TGL.MASUK],MATCH(Table1[[#This Row],[ID]],[2]!PAJAK[ID],0))</f>
        <v>44827</v>
      </c>
      <c r="F16" s="3">
        <f ca="1">INDEX([2]!PAJAK[TGL.NOTA],MATCH(Table1[[#This Row],[ID]],[2]!PAJAK[ID],0))</f>
        <v>44821</v>
      </c>
      <c r="G16" s="6" t="str">
        <f ca="1">INDEX([2]!PAJAK[NO.NOTA],MATCH(Table1[[#This Row],[ID]],[2]!PAJAK[ID],0))</f>
        <v>SA220914682</v>
      </c>
      <c r="I16" s="4" t="str">
        <f ca="1">INDEX([2]!PAJAK[SUPPLIER],MATCH(Table1[[#This Row],[ID]],[2]!PAJAK[ID],0))</f>
        <v>PT ATALI MAKMUR</v>
      </c>
      <c r="J16" s="4"/>
      <c r="K16" s="4"/>
      <c r="L16" s="59">
        <f ca="1">IFERROR(INDEX(INDIRECT("NOTA_.xlsx!"&amp;Table1[[#This Row],[1_h]]&amp;"[sub total]"),MATCH(Table1[[#This Row],[ID]],INDIRECT("NOTA_.xlsx!"&amp;Table1[[#This Row],[1_h]]&amp;"[ID]"),0)),"")</f>
        <v>29062561.5</v>
      </c>
      <c r="M16" s="5">
        <f ca="1">IFERROR(INDEX(INDIRECT("NOTA_.xlsx!"&amp;Table1[[#This Row],[1_h]]&amp;"[diskon]"),MATCH(Table1[[#This Row],[ID]],INDIRECT("NOTA_.xlsx!"&amp;Table1[[#This Row],[1_h]]&amp;"[ID]"),0)),"")</f>
        <v>660744</v>
      </c>
      <c r="N16" s="5">
        <f ca="1">IFERROR(INDEX(INDIRECT("NOTA_.xlsx!"&amp;Table1[[#This Row],[1_h]]&amp;"[Dpp]"),MATCH(Table1[[#This Row],[ID]],INDIRECT("NOTA_.xlsx!"&amp;Table1[[#This Row],[1_h]]&amp;"[ID]"),0)),"")</f>
        <v>25587222.97297297</v>
      </c>
      <c r="O16" s="5">
        <f ca="1">IFERROR(INDEX(INDIRECT("NOTA_.xlsx!"&amp;Table1[[#This Row],[1_h]]&amp;"[ppn (11%)]"),MATCH(Table1[[#This Row],[ID]],INDIRECT("NOTA_.xlsx!"&amp;Table1[[#This Row],[1_h]]&amp;"[ID]"),0)),"")</f>
        <v>2814594.5270270268</v>
      </c>
      <c r="P16" s="5">
        <f ca="1">IFERROR(INDEX(INDIRECT("NOTA_.xlsx!"&amp;Table1[[#This Row],[1_h]]&amp;"[total]"),MATCH(Table1[[#This Row],[ID]],INDIRECT("NOTA_.xlsx!"&amp;Table1[[#This Row],[1_h]]&amp;"[ID]"),0)),"")</f>
        <v>28401817.499999996</v>
      </c>
      <c r="Q16" s="49" t="str">
        <f ca="1">IF(Table1[[#This Row],[NAMA SUPPLIER]]="","",INDEX(conv1[2],MATCH(Table1[[#This Row],[NAMA SUPPLIER]],conv1[1],0)))</f>
        <v>ATALI</v>
      </c>
      <c r="R16" s="4">
        <f ca="1">IF(Table1[[#This Row],[NO. INVOICE]]="","",_xlfn.IFNA(MATCH(Table1[[#This Row],[NO. INVOICE]],'[3]REKAP PEMBELIAN'!$C:$C,0),MATCH(VALUE(Table1[[#This Row],[NO. INVOICE]]),'[3]REKAP PEMBELIAN'!$C:$C,0)))</f>
        <v>550</v>
      </c>
      <c r="S16" s="5"/>
    </row>
    <row r="17" spans="1:19" x14ac:dyDescent="0.25">
      <c r="A17" s="6">
        <f ca="1">IF(Table1[[#This Row],[NAMA SUPPLIER]]="","",MATCH(Table1[[#This Row],[N_ID]],INDIRECT(Table1[[#This Row],[1_h]]&amp;"[N_ID]"),0))</f>
        <v>104</v>
      </c>
      <c r="B17" s="54" t="s">
        <v>99</v>
      </c>
      <c r="C17" s="6">
        <f ca="1">_xlfn.IFNA(INDEX([2]!PAJAK[ID],MATCH(Table1[[#This Row],[N_ID]],[2]!PAJAK[ID_P],0)),"")</f>
        <v>108</v>
      </c>
      <c r="D17" s="6">
        <f ca="1">IF(Table1[[#This Row],[ID]]="","",INDEX([2]!PAJAK[QB],MATCH(Table1[[#This Row],[ID]],[2]!PAJAK[ID],0)))</f>
        <v>5</v>
      </c>
      <c r="E17" s="3">
        <f ca="1">INDEX([2]!PAJAK[TGL.MASUK],MATCH(Table1[[#This Row],[ID]],[2]!PAJAK[ID],0))</f>
        <v>44827</v>
      </c>
      <c r="F17" s="3">
        <f ca="1">INDEX([2]!PAJAK[TGL.NOTA],MATCH(Table1[[#This Row],[ID]],[2]!PAJAK[ID],0))</f>
        <v>44821</v>
      </c>
      <c r="G17" s="6" t="str">
        <f ca="1">INDEX([2]!PAJAK[NO.NOTA],MATCH(Table1[[#This Row],[ID]],[2]!PAJAK[ID],0))</f>
        <v>SA220914683</v>
      </c>
      <c r="I17" s="4" t="str">
        <f ca="1">INDEX([2]!PAJAK[SUPPLIER],MATCH(Table1[[#This Row],[ID]],[2]!PAJAK[ID],0))</f>
        <v>PT ATALI MAKMUR</v>
      </c>
      <c r="J17" s="4"/>
      <c r="K17" s="4"/>
      <c r="L17" s="59">
        <f ca="1">IFERROR(INDEX(INDIRECT("NOTA_.xlsx!"&amp;Table1[[#This Row],[1_h]]&amp;"[sub total]"),MATCH(Table1[[#This Row],[ID]],INDIRECT("NOTA_.xlsx!"&amp;Table1[[#This Row],[1_h]]&amp;"[ID]"),0)),"")</f>
        <v>7110180</v>
      </c>
      <c r="M17" s="5">
        <f ca="1">IFERROR(INDEX(INDIRECT("NOTA_.xlsx!"&amp;Table1[[#This Row],[1_h]]&amp;"[diskon]"),MATCH(Table1[[#This Row],[ID]],INDIRECT("NOTA_.xlsx!"&amp;Table1[[#This Row],[1_h]]&amp;"[ID]"),0)),"")</f>
        <v>0</v>
      </c>
      <c r="N17" s="5">
        <f ca="1">IFERROR(INDEX(INDIRECT("NOTA_.xlsx!"&amp;Table1[[#This Row],[1_h]]&amp;"[Dpp]"),MATCH(Table1[[#This Row],[ID]],INDIRECT("NOTA_.xlsx!"&amp;Table1[[#This Row],[1_h]]&amp;"[ID]"),0)),"")</f>
        <v>6405567.5675675673</v>
      </c>
      <c r="O17" s="5">
        <f ca="1">IFERROR(INDEX(INDIRECT("NOTA_.xlsx!"&amp;Table1[[#This Row],[1_h]]&amp;"[ppn (11%)]"),MATCH(Table1[[#This Row],[ID]],INDIRECT("NOTA_.xlsx!"&amp;Table1[[#This Row],[1_h]]&amp;"[ID]"),0)),"")</f>
        <v>704612.43243243243</v>
      </c>
      <c r="P17" s="5">
        <f ca="1">IFERROR(INDEX(INDIRECT("NOTA_.xlsx!"&amp;Table1[[#This Row],[1_h]]&amp;"[total]"),MATCH(Table1[[#This Row],[ID]],INDIRECT("NOTA_.xlsx!"&amp;Table1[[#This Row],[1_h]]&amp;"[ID]"),0)),"")</f>
        <v>7110180</v>
      </c>
      <c r="Q17" s="49" t="str">
        <f ca="1">IF(Table1[[#This Row],[NAMA SUPPLIER]]="","",INDEX(conv1[2],MATCH(Table1[[#This Row],[NAMA SUPPLIER]],conv1[1],0)))</f>
        <v>ATALI</v>
      </c>
      <c r="R17" s="4">
        <f ca="1">IF(Table1[[#This Row],[NO. INVOICE]]="","",_xlfn.IFNA(MATCH(Table1[[#This Row],[NO. INVOICE]],'[3]REKAP PEMBELIAN'!$C:$C,0),MATCH(VALUE(Table1[[#This Row],[NO. INVOICE]]),'[3]REKAP PEMBELIAN'!$C:$C,0)))</f>
        <v>551</v>
      </c>
      <c r="S17" s="5"/>
    </row>
    <row r="18" spans="1:19" x14ac:dyDescent="0.25">
      <c r="A18" s="6">
        <f ca="1">IF(Table1[[#This Row],[NAMA SUPPLIER]]="","",MATCH(Table1[[#This Row],[N_ID]],INDIRECT(Table1[[#This Row],[1_h]]&amp;"[N_ID]"),0))</f>
        <v>110</v>
      </c>
      <c r="B18" s="54" t="s">
        <v>100</v>
      </c>
      <c r="C18" s="6">
        <f ca="1">_xlfn.IFNA(INDEX([2]!PAJAK[ID],MATCH(Table1[[#This Row],[N_ID]],[2]!PAJAK[ID_P],0)),"")</f>
        <v>107</v>
      </c>
      <c r="D18" s="6">
        <f ca="1">IF(Table1[[#This Row],[ID]]="","",INDEX([2]!PAJAK[QB],MATCH(Table1[[#This Row],[ID]],[2]!PAJAK[ID],0)))</f>
        <v>7</v>
      </c>
      <c r="E18" s="3">
        <f ca="1">INDEX([2]!PAJAK[TGL.MASUK],MATCH(Table1[[#This Row],[ID]],[2]!PAJAK[ID],0))</f>
        <v>44827</v>
      </c>
      <c r="F18" s="3">
        <f ca="1">INDEX([2]!PAJAK[TGL.NOTA],MATCH(Table1[[#This Row],[ID]],[2]!PAJAK[ID],0))</f>
        <v>44821</v>
      </c>
      <c r="G18" s="6" t="str">
        <f ca="1">INDEX([2]!PAJAK[NO.NOTA],MATCH(Table1[[#This Row],[ID]],[2]!PAJAK[ID],0))</f>
        <v>SA220914742</v>
      </c>
      <c r="I18" s="4" t="str">
        <f ca="1">INDEX([2]!PAJAK[SUPPLIER],MATCH(Table1[[#This Row],[ID]],[2]!PAJAK[ID],0))</f>
        <v>PT ATALI MAKMUR</v>
      </c>
      <c r="J18" s="4"/>
      <c r="K18" s="4"/>
      <c r="L18" s="59">
        <f ca="1">IFERROR(INDEX(INDIRECT("NOTA_.xlsx!"&amp;Table1[[#This Row],[1_h]]&amp;"[sub total]"),MATCH(Table1[[#This Row],[ID]],INDIRECT("NOTA_.xlsx!"&amp;Table1[[#This Row],[1_h]]&amp;"[ID]"),0)),"")</f>
        <v>57255502.5</v>
      </c>
      <c r="M18" s="5">
        <f ca="1">IFERROR(INDEX(INDIRECT("NOTA_.xlsx!"&amp;Table1[[#This Row],[1_h]]&amp;"[diskon]"),MATCH(Table1[[#This Row],[ID]],INDIRECT("NOTA_.xlsx!"&amp;Table1[[#This Row],[1_h]]&amp;"[ID]"),0)),"")</f>
        <v>1927170</v>
      </c>
      <c r="N18" s="5">
        <f ca="1">IFERROR(INDEX(INDIRECT("NOTA_.xlsx!"&amp;Table1[[#This Row],[1_h]]&amp;"[Dpp]"),MATCH(Table1[[#This Row],[ID]],INDIRECT("NOTA_.xlsx!"&amp;Table1[[#This Row],[1_h]]&amp;"[ID]"),0)),"")</f>
        <v>49845344.59459459</v>
      </c>
      <c r="O18" s="5">
        <f ca="1">IFERROR(INDEX(INDIRECT("NOTA_.xlsx!"&amp;Table1[[#This Row],[1_h]]&amp;"[ppn (11%)]"),MATCH(Table1[[#This Row],[ID]],INDIRECT("NOTA_.xlsx!"&amp;Table1[[#This Row],[1_h]]&amp;"[ID]"),0)),"")</f>
        <v>5482987.905405405</v>
      </c>
      <c r="P18" s="5">
        <f ca="1">IFERROR(INDEX(INDIRECT("NOTA_.xlsx!"&amp;Table1[[#This Row],[1_h]]&amp;"[total]"),MATCH(Table1[[#This Row],[ID]],INDIRECT("NOTA_.xlsx!"&amp;Table1[[#This Row],[1_h]]&amp;"[ID]"),0)),"")</f>
        <v>55328332.499999993</v>
      </c>
      <c r="Q18" s="49" t="str">
        <f ca="1">IF(Table1[[#This Row],[NAMA SUPPLIER]]="","",INDEX(conv1[2],MATCH(Table1[[#This Row],[NAMA SUPPLIER]],conv1[1],0)))</f>
        <v>ATALI</v>
      </c>
      <c r="R18" s="4">
        <f ca="1">IF(Table1[[#This Row],[NO. INVOICE]]="","",_xlfn.IFNA(MATCH(Table1[[#This Row],[NO. INVOICE]],'[3]REKAP PEMBELIAN'!$C:$C,0),MATCH(VALUE(Table1[[#This Row],[NO. INVOICE]]),'[3]REKAP PEMBELIAN'!$C:$C,0)))</f>
        <v>552</v>
      </c>
      <c r="S18" s="5"/>
    </row>
    <row r="19" spans="1:19" x14ac:dyDescent="0.25">
      <c r="A19" s="6">
        <f ca="1">IF(Table1[[#This Row],[NAMA SUPPLIER]]="","",MATCH(Table1[[#This Row],[N_ID]],INDIRECT(Table1[[#This Row],[1_h]]&amp;"[N_ID]"),0))</f>
        <v>118</v>
      </c>
      <c r="B19" s="54" t="s">
        <v>101</v>
      </c>
      <c r="C19" s="6">
        <f ca="1">_xlfn.IFNA(INDEX([2]!PAJAK[ID],MATCH(Table1[[#This Row],[N_ID]],[2]!PAJAK[ID_P],0)),"")</f>
        <v>110</v>
      </c>
      <c r="D19" s="6">
        <f ca="1">IF(Table1[[#This Row],[ID]]="","",INDEX([2]!PAJAK[QB],MATCH(Table1[[#This Row],[ID]],[2]!PAJAK[ID],0)))</f>
        <v>7</v>
      </c>
      <c r="E19" s="3">
        <f ca="1">INDEX([2]!PAJAK[TGL.MASUK],MATCH(Table1[[#This Row],[ID]],[2]!PAJAK[ID],0))</f>
        <v>44827</v>
      </c>
      <c r="F19" s="3">
        <f ca="1">INDEX([2]!PAJAK[TGL.NOTA],MATCH(Table1[[#This Row],[ID]],[2]!PAJAK[ID],0))</f>
        <v>44823</v>
      </c>
      <c r="G19" s="6" t="str">
        <f ca="1">INDEX([2]!PAJAK[NO.NOTA],MATCH(Table1[[#This Row],[ID]],[2]!PAJAK[ID],0))</f>
        <v>SA220914758</v>
      </c>
      <c r="I19" s="4" t="str">
        <f ca="1">INDEX([2]!PAJAK[SUPPLIER],MATCH(Table1[[#This Row],[ID]],[2]!PAJAK[ID],0))</f>
        <v>PT ATALI MAKMUR</v>
      </c>
      <c r="J19" s="4"/>
      <c r="K19" s="4"/>
      <c r="L19" s="59">
        <f ca="1">IFERROR(INDEX(INDIRECT("NOTA_.xlsx!"&amp;Table1[[#This Row],[1_h]]&amp;"[sub total]"),MATCH(Table1[[#This Row],[ID]],INDIRECT("NOTA_.xlsx!"&amp;Table1[[#This Row],[1_h]]&amp;"[ID]"),0)),"")</f>
        <v>61211587.5</v>
      </c>
      <c r="M19" s="5">
        <f ca="1">IFERROR(INDEX(INDIRECT("NOTA_.xlsx!"&amp;Table1[[#This Row],[1_h]]&amp;"[diskon]"),MATCH(Table1[[#This Row],[ID]],INDIRECT("NOTA_.xlsx!"&amp;Table1[[#This Row],[1_h]]&amp;"[ID]"),0)),"")</f>
        <v>2064825</v>
      </c>
      <c r="N19" s="5">
        <f ca="1">IFERROR(INDEX(INDIRECT("NOTA_.xlsx!"&amp;Table1[[#This Row],[1_h]]&amp;"[Dpp]"),MATCH(Table1[[#This Row],[ID]],INDIRECT("NOTA_.xlsx!"&amp;Table1[[#This Row],[1_h]]&amp;"[ID]"),0)),"")</f>
        <v>53285371.621621616</v>
      </c>
      <c r="O19" s="5">
        <f ca="1">IFERROR(INDEX(INDIRECT("NOTA_.xlsx!"&amp;Table1[[#This Row],[1_h]]&amp;"[ppn (11%)]"),MATCH(Table1[[#This Row],[ID]],INDIRECT("NOTA_.xlsx!"&amp;Table1[[#This Row],[1_h]]&amp;"[ID]"),0)),"")</f>
        <v>5861390.8783783782</v>
      </c>
      <c r="P19" s="5">
        <f ca="1">IFERROR(INDEX(INDIRECT("NOTA_.xlsx!"&amp;Table1[[#This Row],[1_h]]&amp;"[total]"),MATCH(Table1[[#This Row],[ID]],INDIRECT("NOTA_.xlsx!"&amp;Table1[[#This Row],[1_h]]&amp;"[ID]"),0)),"")</f>
        <v>59146762.499999993</v>
      </c>
      <c r="Q19" s="49" t="str">
        <f ca="1">IF(Table1[[#This Row],[NAMA SUPPLIER]]="","",INDEX(conv1[2],MATCH(Table1[[#This Row],[NAMA SUPPLIER]],conv1[1],0)))</f>
        <v>ATALI</v>
      </c>
      <c r="R19" s="4">
        <f ca="1">IF(Table1[[#This Row],[NO. INVOICE]]="","",_xlfn.IFNA(MATCH(Table1[[#This Row],[NO. INVOICE]],'[3]REKAP PEMBELIAN'!$C:$C,0),MATCH(VALUE(Table1[[#This Row],[NO. INVOICE]]),'[3]REKAP PEMBELIAN'!$C:$C,0)))</f>
        <v>553</v>
      </c>
      <c r="S19" s="5"/>
    </row>
    <row r="20" spans="1:19" x14ac:dyDescent="0.25">
      <c r="A20" s="6">
        <f ca="1">IF(Table1[[#This Row],[NAMA SUPPLIER]]="","",MATCH(Table1[[#This Row],[N_ID]],INDIRECT(Table1[[#This Row],[1_h]]&amp;"[N_ID]"),0))</f>
        <v>126</v>
      </c>
      <c r="B20" s="54" t="s">
        <v>102</v>
      </c>
      <c r="C20" s="6">
        <f ca="1">_xlfn.IFNA(INDEX([2]!PAJAK[ID],MATCH(Table1[[#This Row],[N_ID]],[2]!PAJAK[ID_P],0)),"")</f>
        <v>111</v>
      </c>
      <c r="D20" s="6">
        <f ca="1">IF(Table1[[#This Row],[ID]]="","",INDEX([2]!PAJAK[QB],MATCH(Table1[[#This Row],[ID]],[2]!PAJAK[ID],0)))</f>
        <v>4</v>
      </c>
      <c r="E20" s="3">
        <f ca="1">INDEX([2]!PAJAK[TGL.MASUK],MATCH(Table1[[#This Row],[ID]],[2]!PAJAK[ID],0))</f>
        <v>44827</v>
      </c>
      <c r="F20" s="3">
        <f ca="1">INDEX([2]!PAJAK[TGL.NOTA],MATCH(Table1[[#This Row],[ID]],[2]!PAJAK[ID],0))</f>
        <v>44823</v>
      </c>
      <c r="G20" s="6" t="str">
        <f ca="1">INDEX([2]!PAJAK[NO.NOTA],MATCH(Table1[[#This Row],[ID]],[2]!PAJAK[ID],0))</f>
        <v>SA220914796</v>
      </c>
      <c r="I20" s="4" t="str">
        <f ca="1">INDEX([2]!PAJAK[SUPPLIER],MATCH(Table1[[#This Row],[ID]],[2]!PAJAK[ID],0))</f>
        <v>PT ATALI MAKMUR</v>
      </c>
      <c r="J20" s="4"/>
      <c r="K20" s="4"/>
      <c r="L20" s="59">
        <f ca="1">IFERROR(INDEX(INDIRECT("NOTA_.xlsx!"&amp;Table1[[#This Row],[1_h]]&amp;"[sub total]"),MATCH(Table1[[#This Row],[ID]],INDIRECT("NOTA_.xlsx!"&amp;Table1[[#This Row],[1_h]]&amp;"[ID]"),0)),"")</f>
        <v>6894720</v>
      </c>
      <c r="M20" s="5">
        <f ca="1">IFERROR(INDEX(INDIRECT("NOTA_.xlsx!"&amp;Table1[[#This Row],[1_h]]&amp;"[diskon]"),MATCH(Table1[[#This Row],[ID]],INDIRECT("NOTA_.xlsx!"&amp;Table1[[#This Row],[1_h]]&amp;"[ID]"),0)),"")</f>
        <v>0</v>
      </c>
      <c r="N20" s="5">
        <f ca="1">IFERROR(INDEX(INDIRECT("NOTA_.xlsx!"&amp;Table1[[#This Row],[1_h]]&amp;"[Dpp]"),MATCH(Table1[[#This Row],[ID]],INDIRECT("NOTA_.xlsx!"&amp;Table1[[#This Row],[1_h]]&amp;"[ID]"),0)),"")</f>
        <v>6211459.4594594585</v>
      </c>
      <c r="O20" s="5">
        <f ca="1">IFERROR(INDEX(INDIRECT("NOTA_.xlsx!"&amp;Table1[[#This Row],[1_h]]&amp;"[ppn (11%)]"),MATCH(Table1[[#This Row],[ID]],INDIRECT("NOTA_.xlsx!"&amp;Table1[[#This Row],[1_h]]&amp;"[ID]"),0)),"")</f>
        <v>683260.54054054047</v>
      </c>
      <c r="P20" s="5">
        <f ca="1">IFERROR(INDEX(INDIRECT("NOTA_.xlsx!"&amp;Table1[[#This Row],[1_h]]&amp;"[total]"),MATCH(Table1[[#This Row],[ID]],INDIRECT("NOTA_.xlsx!"&amp;Table1[[#This Row],[1_h]]&amp;"[ID]"),0)),"")</f>
        <v>6894719.9999999991</v>
      </c>
      <c r="Q20" s="49" t="str">
        <f ca="1">IF(Table1[[#This Row],[NAMA SUPPLIER]]="","",INDEX(conv1[2],MATCH(Table1[[#This Row],[NAMA SUPPLIER]],conv1[1],0)))</f>
        <v>ATALI</v>
      </c>
      <c r="R20" s="4">
        <f ca="1">IF(Table1[[#This Row],[NO. INVOICE]]="","",_xlfn.IFNA(MATCH(Table1[[#This Row],[NO. INVOICE]],'[3]REKAP PEMBELIAN'!$C:$C,0),MATCH(VALUE(Table1[[#This Row],[NO. INVOICE]]),'[3]REKAP PEMBELIAN'!$C:$C,0)))</f>
        <v>554</v>
      </c>
      <c r="S20" s="5"/>
    </row>
    <row r="21" spans="1:19" x14ac:dyDescent="0.25">
      <c r="A21" s="6">
        <f ca="1">IF(Table1[[#This Row],[NAMA SUPPLIER]]="","",MATCH(Table1[[#This Row],[N_ID]],INDIRECT(Table1[[#This Row],[1_h]]&amp;"[N_ID]"),0))</f>
        <v>131</v>
      </c>
      <c r="B21" s="54" t="s">
        <v>109</v>
      </c>
      <c r="C21" s="6">
        <f ca="1">_xlfn.IFNA(INDEX([2]!PAJAK[ID],MATCH(Table1[[#This Row],[N_ID]],[2]!PAJAK[ID_P],0)),"")</f>
        <v>121</v>
      </c>
      <c r="D21" s="6">
        <f ca="1">IF(Table1[[#This Row],[ID]]="","",INDEX([2]!PAJAK[QB],MATCH(Table1[[#This Row],[ID]],[2]!PAJAK[ID],0)))</f>
        <v>12</v>
      </c>
      <c r="E21" s="3">
        <f ca="1">INDEX([2]!PAJAK[TGL.MASUK],MATCH(Table1[[#This Row],[ID]],[2]!PAJAK[ID],0))</f>
        <v>44830</v>
      </c>
      <c r="F21" s="3">
        <f ca="1">INDEX([2]!PAJAK[TGL.NOTA],MATCH(Table1[[#This Row],[ID]],[2]!PAJAK[ID],0))</f>
        <v>44824</v>
      </c>
      <c r="G21" s="6" t="str">
        <f ca="1">INDEX([2]!PAJAK[NO.NOTA],MATCH(Table1[[#This Row],[ID]],[2]!PAJAK[ID],0))</f>
        <v>SA220914841</v>
      </c>
      <c r="I21" s="4" t="str">
        <f ca="1">INDEX([2]!PAJAK[SUPPLIER],MATCH(Table1[[#This Row],[ID]],[2]!PAJAK[ID],0))</f>
        <v>PT ATALI MAKMUR</v>
      </c>
      <c r="J21" s="4"/>
      <c r="K21" s="4"/>
      <c r="L21" s="59">
        <f ca="1">IFERROR(INDEX(INDIRECT("NOTA_.xlsx!"&amp;Table1[[#This Row],[1_h]]&amp;"[sub total]"),MATCH(Table1[[#This Row],[ID]],INDIRECT("NOTA_.xlsx!"&amp;Table1[[#This Row],[1_h]]&amp;"[ID]"),0)),"")</f>
        <v>9911160</v>
      </c>
      <c r="M21" s="5">
        <f ca="1">IFERROR(INDEX(INDIRECT("NOTA_.xlsx!"&amp;Table1[[#This Row],[1_h]]&amp;"[diskon]"),MATCH(Table1[[#This Row],[ID]],INDIRECT("NOTA_.xlsx!"&amp;Table1[[#This Row],[1_h]]&amp;"[ID]"),0)),"")</f>
        <v>0</v>
      </c>
      <c r="N21" s="5">
        <f ca="1">IFERROR(INDEX(INDIRECT("NOTA_.xlsx!"&amp;Table1[[#This Row],[1_h]]&amp;"[Dpp]"),MATCH(Table1[[#This Row],[ID]],INDIRECT("NOTA_.xlsx!"&amp;Table1[[#This Row],[1_h]]&amp;"[ID]"),0)),"")</f>
        <v>8928972.9729729723</v>
      </c>
      <c r="O21" s="5">
        <f ca="1">IFERROR(INDEX(INDIRECT("NOTA_.xlsx!"&amp;Table1[[#This Row],[1_h]]&amp;"[ppn (11%)]"),MATCH(Table1[[#This Row],[ID]],INDIRECT("NOTA_.xlsx!"&amp;Table1[[#This Row],[1_h]]&amp;"[ID]"),0)),"")</f>
        <v>982187.02702702698</v>
      </c>
      <c r="P21" s="5">
        <f ca="1">IFERROR(INDEX(INDIRECT("NOTA_.xlsx!"&amp;Table1[[#This Row],[1_h]]&amp;"[total]"),MATCH(Table1[[#This Row],[ID]],INDIRECT("NOTA_.xlsx!"&amp;Table1[[#This Row],[1_h]]&amp;"[ID]"),0)),"")</f>
        <v>9911160</v>
      </c>
      <c r="Q21" s="49" t="str">
        <f ca="1">IF(Table1[[#This Row],[NAMA SUPPLIER]]="","",INDEX(conv1[2],MATCH(Table1[[#This Row],[NAMA SUPPLIER]],conv1[1],0)))</f>
        <v>ATALI</v>
      </c>
      <c r="R21" s="4">
        <f ca="1">IF(Table1[[#This Row],[NO. INVOICE]]="","",_xlfn.IFNA(MATCH(Table1[[#This Row],[NO. INVOICE]],'[3]REKAP PEMBELIAN'!$C:$C,0),MATCH(VALUE(Table1[[#This Row],[NO. INVOICE]]),'[3]REKAP PEMBELIAN'!$C:$C,0)))</f>
        <v>555</v>
      </c>
      <c r="S21" s="5"/>
    </row>
    <row r="22" spans="1:19" x14ac:dyDescent="0.25">
      <c r="A22" s="6">
        <f ca="1">IF(Table1[[#This Row],[NAMA SUPPLIER]]="","",MATCH(Table1[[#This Row],[N_ID]],INDIRECT(Table1[[#This Row],[1_h]]&amp;"[N_ID]"),0))</f>
        <v>144</v>
      </c>
      <c r="B22" s="54" t="s">
        <v>110</v>
      </c>
      <c r="C22" s="6">
        <f ca="1">_xlfn.IFNA(INDEX([2]!PAJAK[ID],MATCH(Table1[[#This Row],[N_ID]],[2]!PAJAK[ID_P],0)),"")</f>
        <v>118</v>
      </c>
      <c r="D22" s="6">
        <f ca="1">IF(Table1[[#This Row],[ID]]="","",INDEX([2]!PAJAK[QB],MATCH(Table1[[#This Row],[ID]],[2]!PAJAK[ID],0)))</f>
        <v>10</v>
      </c>
      <c r="E22" s="3">
        <f ca="1">INDEX([2]!PAJAK[TGL.MASUK],MATCH(Table1[[#This Row],[ID]],[2]!PAJAK[ID],0))</f>
        <v>44830</v>
      </c>
      <c r="F22" s="3">
        <f ca="1">INDEX([2]!PAJAK[TGL.NOTA],MATCH(Table1[[#This Row],[ID]],[2]!PAJAK[ID],0))</f>
        <v>44824</v>
      </c>
      <c r="G22" s="6" t="str">
        <f ca="1">INDEX([2]!PAJAK[NO.NOTA],MATCH(Table1[[#This Row],[ID]],[2]!PAJAK[ID],0))</f>
        <v>SA220914842</v>
      </c>
      <c r="I22" s="4" t="str">
        <f ca="1">INDEX([2]!PAJAK[SUPPLIER],MATCH(Table1[[#This Row],[ID]],[2]!PAJAK[ID],0))</f>
        <v>PT ATALI MAKMUR</v>
      </c>
      <c r="J22" s="4"/>
      <c r="K22" s="4"/>
      <c r="L22" s="59">
        <f ca="1">IFERROR(INDEX(INDIRECT("NOTA_.xlsx!"&amp;Table1[[#This Row],[1_h]]&amp;"[sub total]"),MATCH(Table1[[#This Row],[ID]],INDIRECT("NOTA_.xlsx!"&amp;Table1[[#This Row],[1_h]]&amp;"[ID]"),0)),"")</f>
        <v>40160513.75</v>
      </c>
      <c r="M22" s="5">
        <f ca="1">IFERROR(INDEX(INDIRECT("NOTA_.xlsx!"&amp;Table1[[#This Row],[1_h]]&amp;"[diskon]"),MATCH(Table1[[#This Row],[ID]],INDIRECT("NOTA_.xlsx!"&amp;Table1[[#This Row],[1_h]]&amp;"[ID]"),0)),"")</f>
        <v>0</v>
      </c>
      <c r="N22" s="5">
        <f ca="1">IFERROR(INDEX(INDIRECT("NOTA_.xlsx!"&amp;Table1[[#This Row],[1_h]]&amp;"[Dpp]"),MATCH(Table1[[#This Row],[ID]],INDIRECT("NOTA_.xlsx!"&amp;Table1[[#This Row],[1_h]]&amp;"[ID]"),0)),"")</f>
        <v>36180643.018018015</v>
      </c>
      <c r="O22" s="5">
        <f ca="1">IFERROR(INDEX(INDIRECT("NOTA_.xlsx!"&amp;Table1[[#This Row],[1_h]]&amp;"[ppn (11%)]"),MATCH(Table1[[#This Row],[ID]],INDIRECT("NOTA_.xlsx!"&amp;Table1[[#This Row],[1_h]]&amp;"[ID]"),0)),"")</f>
        <v>3979870.7319819815</v>
      </c>
      <c r="P22" s="5">
        <f ca="1">IFERROR(INDEX(INDIRECT("NOTA_.xlsx!"&amp;Table1[[#This Row],[1_h]]&amp;"[total]"),MATCH(Table1[[#This Row],[ID]],INDIRECT("NOTA_.xlsx!"&amp;Table1[[#This Row],[1_h]]&amp;"[ID]"),0)),"")</f>
        <v>40160513.75</v>
      </c>
      <c r="Q22" s="49" t="str">
        <f ca="1">IF(Table1[[#This Row],[NAMA SUPPLIER]]="","",INDEX(conv1[2],MATCH(Table1[[#This Row],[NAMA SUPPLIER]],conv1[1],0)))</f>
        <v>ATALI</v>
      </c>
      <c r="R22" s="4">
        <f ca="1">IF(Table1[[#This Row],[NO. INVOICE]]="","",_xlfn.IFNA(MATCH(Table1[[#This Row],[NO. INVOICE]],'[3]REKAP PEMBELIAN'!$C:$C,0),MATCH(VALUE(Table1[[#This Row],[NO. INVOICE]]),'[3]REKAP PEMBELIAN'!$C:$C,0)))</f>
        <v>556</v>
      </c>
      <c r="S22" s="5"/>
    </row>
    <row r="23" spans="1:19" x14ac:dyDescent="0.25">
      <c r="A23" s="6">
        <f ca="1">IF(Table1[[#This Row],[NAMA SUPPLIER]]="","",MATCH(Table1[[#This Row],[N_ID]],INDIRECT(Table1[[#This Row],[1_h]]&amp;"[N_ID]"),0))</f>
        <v>155</v>
      </c>
      <c r="B23" s="54" t="s">
        <v>111</v>
      </c>
      <c r="C23" s="6">
        <f ca="1">_xlfn.IFNA(INDEX([2]!PAJAK[ID],MATCH(Table1[[#This Row],[N_ID]],[2]!PAJAK[ID_P],0)),"")</f>
        <v>122</v>
      </c>
      <c r="D23" s="6">
        <f ca="1">IF(Table1[[#This Row],[ID]]="","",INDEX([2]!PAJAK[QB],MATCH(Table1[[#This Row],[ID]],[2]!PAJAK[ID],0)))</f>
        <v>3</v>
      </c>
      <c r="E23" s="3">
        <f ca="1">INDEX([2]!PAJAK[TGL.MASUK],MATCH(Table1[[#This Row],[ID]],[2]!PAJAK[ID],0))</f>
        <v>44830</v>
      </c>
      <c r="F23" s="3">
        <f ca="1">INDEX([2]!PAJAK[TGL.NOTA],MATCH(Table1[[#This Row],[ID]],[2]!PAJAK[ID],0))</f>
        <v>44824</v>
      </c>
      <c r="G23" s="6" t="str">
        <f ca="1">INDEX([2]!PAJAK[NO.NOTA],MATCH(Table1[[#This Row],[ID]],[2]!PAJAK[ID],0))</f>
        <v>SA220914843</v>
      </c>
      <c r="I23" s="4" t="str">
        <f ca="1">INDEX([2]!PAJAK[SUPPLIER],MATCH(Table1[[#This Row],[ID]],[2]!PAJAK[ID],0))</f>
        <v>PT ATALI MAKMUR</v>
      </c>
      <c r="J23" s="4"/>
      <c r="K23" s="4"/>
      <c r="L23" s="59">
        <f ca="1">IFERROR(INDEX(INDIRECT("NOTA_.xlsx!"&amp;Table1[[#This Row],[1_h]]&amp;"[sub total]"),MATCH(Table1[[#This Row],[ID]],INDIRECT("NOTA_.xlsx!"&amp;Table1[[#This Row],[1_h]]&amp;"[ID]"),0)),"")</f>
        <v>12137580</v>
      </c>
      <c r="M23" s="5">
        <f ca="1">IFERROR(INDEX(INDIRECT("NOTA_.xlsx!"&amp;Table1[[#This Row],[1_h]]&amp;"[diskon]"),MATCH(Table1[[#This Row],[ID]],INDIRECT("NOTA_.xlsx!"&amp;Table1[[#This Row],[1_h]]&amp;"[ID]"),0)),"")</f>
        <v>0</v>
      </c>
      <c r="N23" s="5">
        <f ca="1">IFERROR(INDEX(INDIRECT("NOTA_.xlsx!"&amp;Table1[[#This Row],[1_h]]&amp;"[Dpp]"),MATCH(Table1[[#This Row],[ID]],INDIRECT("NOTA_.xlsx!"&amp;Table1[[#This Row],[1_h]]&amp;"[ID]"),0)),"")</f>
        <v>10934756.756756756</v>
      </c>
      <c r="O23" s="5">
        <f ca="1">IFERROR(INDEX(INDIRECT("NOTA_.xlsx!"&amp;Table1[[#This Row],[1_h]]&amp;"[ppn (11%)]"),MATCH(Table1[[#This Row],[ID]],INDIRECT("NOTA_.xlsx!"&amp;Table1[[#This Row],[1_h]]&amp;"[ID]"),0)),"")</f>
        <v>1202823.2432432433</v>
      </c>
      <c r="P23" s="5">
        <f ca="1">IFERROR(INDEX(INDIRECT("NOTA_.xlsx!"&amp;Table1[[#This Row],[1_h]]&amp;"[total]"),MATCH(Table1[[#This Row],[ID]],INDIRECT("NOTA_.xlsx!"&amp;Table1[[#This Row],[1_h]]&amp;"[ID]"),0)),"")</f>
        <v>12137580</v>
      </c>
      <c r="Q23" s="49" t="str">
        <f ca="1">IF(Table1[[#This Row],[NAMA SUPPLIER]]="","",INDEX(conv1[2],MATCH(Table1[[#This Row],[NAMA SUPPLIER]],conv1[1],0)))</f>
        <v>ATALI</v>
      </c>
      <c r="R23" s="4">
        <f ca="1">IF(Table1[[#This Row],[NO. INVOICE]]="","",_xlfn.IFNA(MATCH(Table1[[#This Row],[NO. INVOICE]],'[3]REKAP PEMBELIAN'!$C:$C,0),MATCH(VALUE(Table1[[#This Row],[NO. INVOICE]]),'[3]REKAP PEMBELIAN'!$C:$C,0)))</f>
        <v>557</v>
      </c>
      <c r="S23" s="5"/>
    </row>
    <row r="24" spans="1:19" x14ac:dyDescent="0.25">
      <c r="A24" s="6">
        <f ca="1">IF(Table1[[#This Row],[NAMA SUPPLIER]]="","",MATCH(Table1[[#This Row],[N_ID]],INDIRECT(Table1[[#This Row],[1_h]]&amp;"[N_ID]"),0))</f>
        <v>159</v>
      </c>
      <c r="B24" s="54" t="s">
        <v>112</v>
      </c>
      <c r="C24" s="6">
        <f ca="1">_xlfn.IFNA(INDEX([2]!PAJAK[ID],MATCH(Table1[[#This Row],[N_ID]],[2]!PAJAK[ID_P],0)),"")</f>
        <v>123</v>
      </c>
      <c r="D24" s="6">
        <f ca="1">IF(Table1[[#This Row],[ID]]="","",INDEX([2]!PAJAK[QB],MATCH(Table1[[#This Row],[ID]],[2]!PAJAK[ID],0)))</f>
        <v>3</v>
      </c>
      <c r="E24" s="3">
        <f ca="1">INDEX([2]!PAJAK[TGL.MASUK],MATCH(Table1[[#This Row],[ID]],[2]!PAJAK[ID],0))</f>
        <v>44830</v>
      </c>
      <c r="F24" s="3">
        <f ca="1">INDEX([2]!PAJAK[TGL.NOTA],MATCH(Table1[[#This Row],[ID]],[2]!PAJAK[ID],0))</f>
        <v>44824</v>
      </c>
      <c r="G24" s="6" t="str">
        <f ca="1">INDEX([2]!PAJAK[NO.NOTA],MATCH(Table1[[#This Row],[ID]],[2]!PAJAK[ID],0))</f>
        <v>SA220914879</v>
      </c>
      <c r="I24" s="4" t="str">
        <f ca="1">INDEX([2]!PAJAK[SUPPLIER],MATCH(Table1[[#This Row],[ID]],[2]!PAJAK[ID],0))</f>
        <v>PT ATALI MAKMUR</v>
      </c>
      <c r="J24" s="4"/>
      <c r="K24" s="4"/>
      <c r="L24" s="59">
        <f ca="1">IFERROR(INDEX(INDIRECT("NOTA_.xlsx!"&amp;Table1[[#This Row],[1_h]]&amp;"[sub total]"),MATCH(Table1[[#This Row],[ID]],INDIRECT("NOTA_.xlsx!"&amp;Table1[[#This Row],[1_h]]&amp;"[ID]"),0)),"")</f>
        <v>26852700</v>
      </c>
      <c r="M24" s="5">
        <f ca="1">IFERROR(INDEX(INDIRECT("NOTA_.xlsx!"&amp;Table1[[#This Row],[1_h]]&amp;"[diskon]"),MATCH(Table1[[#This Row],[ID]],INDIRECT("NOTA_.xlsx!"&amp;Table1[[#This Row],[1_h]]&amp;"[ID]"),0)),"")</f>
        <v>0</v>
      </c>
      <c r="N24" s="5">
        <f ca="1">IFERROR(INDEX(INDIRECT("NOTA_.xlsx!"&amp;Table1[[#This Row],[1_h]]&amp;"[Dpp]"),MATCH(Table1[[#This Row],[ID]],INDIRECT("NOTA_.xlsx!"&amp;Table1[[#This Row],[1_h]]&amp;"[ID]"),0)),"")</f>
        <v>24191621.62162162</v>
      </c>
      <c r="O24" s="5">
        <f ca="1">IFERROR(INDEX(INDIRECT("NOTA_.xlsx!"&amp;Table1[[#This Row],[1_h]]&amp;"[ppn (11%)]"),MATCH(Table1[[#This Row],[ID]],INDIRECT("NOTA_.xlsx!"&amp;Table1[[#This Row],[1_h]]&amp;"[ID]"),0)),"")</f>
        <v>2661078.3783783782</v>
      </c>
      <c r="P24" s="5">
        <f ca="1">IFERROR(INDEX(INDIRECT("NOTA_.xlsx!"&amp;Table1[[#This Row],[1_h]]&amp;"[total]"),MATCH(Table1[[#This Row],[ID]],INDIRECT("NOTA_.xlsx!"&amp;Table1[[#This Row],[1_h]]&amp;"[ID]"),0)),"")</f>
        <v>26852700</v>
      </c>
      <c r="Q24" s="49" t="str">
        <f ca="1">IF(Table1[[#This Row],[NAMA SUPPLIER]]="","",INDEX(conv1[2],MATCH(Table1[[#This Row],[NAMA SUPPLIER]],conv1[1],0)))</f>
        <v>ATALI</v>
      </c>
      <c r="R24" s="4">
        <f ca="1">IF(Table1[[#This Row],[NO. INVOICE]]="","",_xlfn.IFNA(MATCH(Table1[[#This Row],[NO. INVOICE]],'[3]REKAP PEMBELIAN'!$C:$C,0),MATCH(VALUE(Table1[[#This Row],[NO. INVOICE]]),'[3]REKAP PEMBELIAN'!$C:$C,0)))</f>
        <v>558</v>
      </c>
      <c r="S24" s="5"/>
    </row>
    <row r="25" spans="1:19" x14ac:dyDescent="0.25">
      <c r="A25" s="6">
        <f ca="1">IF(Table1[[#This Row],[NAMA SUPPLIER]]="","",MATCH(Table1[[#This Row],[N_ID]],INDIRECT(Table1[[#This Row],[1_h]]&amp;"[N_ID]"),0))</f>
        <v>163</v>
      </c>
      <c r="B25" s="54" t="s">
        <v>113</v>
      </c>
      <c r="C25" s="6">
        <f ca="1">_xlfn.IFNA(INDEX([2]!PAJAK[ID],MATCH(Table1[[#This Row],[N_ID]],[2]!PAJAK[ID_P],0)),"")</f>
        <v>124</v>
      </c>
      <c r="D25" s="6">
        <f ca="1">IF(Table1[[#This Row],[ID]]="","",INDEX([2]!PAJAK[QB],MATCH(Table1[[#This Row],[ID]],[2]!PAJAK[ID],0)))</f>
        <v>2</v>
      </c>
      <c r="E25" s="3">
        <f ca="1">INDEX([2]!PAJAK[TGL.MASUK],MATCH(Table1[[#This Row],[ID]],[2]!PAJAK[ID],0))</f>
        <v>44830</v>
      </c>
      <c r="F25" s="3">
        <f ca="1">INDEX([2]!PAJAK[TGL.NOTA],MATCH(Table1[[#This Row],[ID]],[2]!PAJAK[ID],0))</f>
        <v>44825</v>
      </c>
      <c r="G25" s="6" t="str">
        <f ca="1">INDEX([2]!PAJAK[NO.NOTA],MATCH(Table1[[#This Row],[ID]],[2]!PAJAK[ID],0))</f>
        <v>SA220914915</v>
      </c>
      <c r="I25" s="4" t="str">
        <f ca="1">INDEX([2]!PAJAK[SUPPLIER],MATCH(Table1[[#This Row],[ID]],[2]!PAJAK[ID],0))</f>
        <v>PT ATALI MAKMUR</v>
      </c>
      <c r="J25" s="4"/>
      <c r="K25" s="4"/>
      <c r="L25" s="59">
        <f ca="1">IFERROR(INDEX(INDIRECT("NOTA_.xlsx!"&amp;Table1[[#This Row],[1_h]]&amp;"[sub total]"),MATCH(Table1[[#This Row],[ID]],INDIRECT("NOTA_.xlsx!"&amp;Table1[[#This Row],[1_h]]&amp;"[ID]"),0)),"")</f>
        <v>2320185</v>
      </c>
      <c r="M25" s="5">
        <f ca="1">IFERROR(INDEX(INDIRECT("NOTA_.xlsx!"&amp;Table1[[#This Row],[1_h]]&amp;"[diskon]"),MATCH(Table1[[#This Row],[ID]],INDIRECT("NOTA_.xlsx!"&amp;Table1[[#This Row],[1_h]]&amp;"[ID]"),0)),"")</f>
        <v>0</v>
      </c>
      <c r="N25" s="5">
        <f ca="1">IFERROR(INDEX(INDIRECT("NOTA_.xlsx!"&amp;Table1[[#This Row],[1_h]]&amp;"[Dpp]"),MATCH(Table1[[#This Row],[ID]],INDIRECT("NOTA_.xlsx!"&amp;Table1[[#This Row],[1_h]]&amp;"[ID]"),0)),"")</f>
        <v>2090256.7567567567</v>
      </c>
      <c r="O25" s="5">
        <f ca="1">IFERROR(INDEX(INDIRECT("NOTA_.xlsx!"&amp;Table1[[#This Row],[1_h]]&amp;"[ppn (11%)]"),MATCH(Table1[[#This Row],[ID]],INDIRECT("NOTA_.xlsx!"&amp;Table1[[#This Row],[1_h]]&amp;"[ID]"),0)),"")</f>
        <v>229928.24324324323</v>
      </c>
      <c r="P25" s="5">
        <f ca="1">IFERROR(INDEX(INDIRECT("NOTA_.xlsx!"&amp;Table1[[#This Row],[1_h]]&amp;"[total]"),MATCH(Table1[[#This Row],[ID]],INDIRECT("NOTA_.xlsx!"&amp;Table1[[#This Row],[1_h]]&amp;"[ID]"),0)),"")</f>
        <v>2320185</v>
      </c>
      <c r="Q25" s="49" t="str">
        <f ca="1">IF(Table1[[#This Row],[NAMA SUPPLIER]]="","",INDEX(conv1[2],MATCH(Table1[[#This Row],[NAMA SUPPLIER]],conv1[1],0)))</f>
        <v>ATALI</v>
      </c>
      <c r="R25" s="4">
        <f ca="1">IF(Table1[[#This Row],[NO. INVOICE]]="","",_xlfn.IFNA(MATCH(Table1[[#This Row],[NO. INVOICE]],'[3]REKAP PEMBELIAN'!$C:$C,0),MATCH(VALUE(Table1[[#This Row],[NO. INVOICE]]),'[3]REKAP PEMBELIAN'!$C:$C,0)))</f>
        <v>559</v>
      </c>
      <c r="S25" s="5"/>
    </row>
    <row r="26" spans="1:19" x14ac:dyDescent="0.25">
      <c r="A26" s="6">
        <f ca="1">IF(Table1[[#This Row],[NAMA SUPPLIER]]="","",MATCH(Table1[[#This Row],[N_ID]],INDIRECT(Table1[[#This Row],[1_h]]&amp;"[N_ID]"),0))</f>
        <v>166</v>
      </c>
      <c r="B26" s="54" t="s">
        <v>114</v>
      </c>
      <c r="C26" s="6">
        <f ca="1">_xlfn.IFNA(INDEX([2]!PAJAK[ID],MATCH(Table1[[#This Row],[N_ID]],[2]!PAJAK[ID_P],0)),"")</f>
        <v>119</v>
      </c>
      <c r="D26" s="6">
        <f ca="1">IF(Table1[[#This Row],[ID]]="","",INDEX([2]!PAJAK[QB],MATCH(Table1[[#This Row],[ID]],[2]!PAJAK[ID],0)))</f>
        <v>3</v>
      </c>
      <c r="E26" s="3">
        <f ca="1">INDEX([2]!PAJAK[TGL.MASUK],MATCH(Table1[[#This Row],[ID]],[2]!PAJAK[ID],0))</f>
        <v>44830</v>
      </c>
      <c r="F26" s="3">
        <f ca="1">INDEX([2]!PAJAK[TGL.NOTA],MATCH(Table1[[#This Row],[ID]],[2]!PAJAK[ID],0))</f>
        <v>44825</v>
      </c>
      <c r="G26" s="6" t="str">
        <f ca="1">INDEX([2]!PAJAK[NO.NOTA],MATCH(Table1[[#This Row],[ID]],[2]!PAJAK[ID],0))</f>
        <v>SA220914928</v>
      </c>
      <c r="I26" s="4" t="str">
        <f ca="1">INDEX([2]!PAJAK[SUPPLIER],MATCH(Table1[[#This Row],[ID]],[2]!PAJAK[ID],0))</f>
        <v>PT ATALI MAKMUR</v>
      </c>
      <c r="J26" s="4"/>
      <c r="K26" s="4"/>
      <c r="L26" s="59">
        <f ca="1">IFERROR(INDEX(INDIRECT("NOTA_.xlsx!"&amp;Table1[[#This Row],[1_h]]&amp;"[sub total]"),MATCH(Table1[[#This Row],[ID]],INDIRECT("NOTA_.xlsx!"&amp;Table1[[#This Row],[1_h]]&amp;"[ID]"),0)),"")</f>
        <v>799995</v>
      </c>
      <c r="M26" s="5">
        <f ca="1">IFERROR(INDEX(INDIRECT("NOTA_.xlsx!"&amp;Table1[[#This Row],[1_h]]&amp;"[diskon]"),MATCH(Table1[[#This Row],[ID]],INDIRECT("NOTA_.xlsx!"&amp;Table1[[#This Row],[1_h]]&amp;"[ID]"),0)),"")</f>
        <v>0</v>
      </c>
      <c r="N26" s="5">
        <f ca="1">IFERROR(INDEX(INDIRECT("NOTA_.xlsx!"&amp;Table1[[#This Row],[1_h]]&amp;"[Dpp]"),MATCH(Table1[[#This Row],[ID]],INDIRECT("NOTA_.xlsx!"&amp;Table1[[#This Row],[1_h]]&amp;"[ID]"),0)),"")</f>
        <v>720716.2162162161</v>
      </c>
      <c r="O26" s="5">
        <f ca="1">IFERROR(INDEX(INDIRECT("NOTA_.xlsx!"&amp;Table1[[#This Row],[1_h]]&amp;"[ppn (11%)]"),MATCH(Table1[[#This Row],[ID]],INDIRECT("NOTA_.xlsx!"&amp;Table1[[#This Row],[1_h]]&amp;"[ID]"),0)),"")</f>
        <v>79278.783783783772</v>
      </c>
      <c r="P26" s="5">
        <f ca="1">IFERROR(INDEX(INDIRECT("NOTA_.xlsx!"&amp;Table1[[#This Row],[1_h]]&amp;"[total]"),MATCH(Table1[[#This Row],[ID]],INDIRECT("NOTA_.xlsx!"&amp;Table1[[#This Row],[1_h]]&amp;"[ID]"),0)),"")</f>
        <v>799994.99999999988</v>
      </c>
      <c r="Q26" s="49" t="str">
        <f ca="1">IF(Table1[[#This Row],[NAMA SUPPLIER]]="","",INDEX(conv1[2],MATCH(Table1[[#This Row],[NAMA SUPPLIER]],conv1[1],0)))</f>
        <v>ATALI</v>
      </c>
      <c r="R26" s="4">
        <f ca="1">IF(Table1[[#This Row],[NO. INVOICE]]="","",_xlfn.IFNA(MATCH(Table1[[#This Row],[NO. INVOICE]],'[3]REKAP PEMBELIAN'!$C:$C,0),MATCH(VALUE(Table1[[#This Row],[NO. INVOICE]]),'[3]REKAP PEMBELIAN'!$C:$C,0)))</f>
        <v>560</v>
      </c>
      <c r="S26" s="5"/>
    </row>
    <row r="27" spans="1:19" x14ac:dyDescent="0.25">
      <c r="A27" s="6">
        <f ca="1">IF(Table1[[#This Row],[NAMA SUPPLIER]]="","",MATCH(Table1[[#This Row],[N_ID]],INDIRECT(Table1[[#This Row],[1_h]]&amp;"[N_ID]"),0))</f>
        <v>170</v>
      </c>
      <c r="B27" s="54" t="s">
        <v>115</v>
      </c>
      <c r="C27" s="6">
        <f ca="1">_xlfn.IFNA(INDEX([2]!PAJAK[ID],MATCH(Table1[[#This Row],[N_ID]],[2]!PAJAK[ID_P],0)),"")</f>
        <v>126</v>
      </c>
      <c r="D27" s="6">
        <f ca="1">IF(Table1[[#This Row],[ID]]="","",INDEX([2]!PAJAK[QB],MATCH(Table1[[#This Row],[ID]],[2]!PAJAK[ID],0)))</f>
        <v>1</v>
      </c>
      <c r="E27" s="3">
        <f ca="1">INDEX([2]!PAJAK[TGL.MASUK],MATCH(Table1[[#This Row],[ID]],[2]!PAJAK[ID],0))</f>
        <v>44831</v>
      </c>
      <c r="F27" s="3">
        <f ca="1">INDEX([2]!PAJAK[TGL.NOTA],MATCH(Table1[[#This Row],[ID]],[2]!PAJAK[ID],0))</f>
        <v>44826</v>
      </c>
      <c r="G27" s="6" t="str">
        <f ca="1">INDEX([2]!PAJAK[NO.NOTA],MATCH(Table1[[#This Row],[ID]],[2]!PAJAK[ID],0))</f>
        <v>SA220915039</v>
      </c>
      <c r="I27" s="4" t="str">
        <f ca="1">INDEX([2]!PAJAK[SUPPLIER],MATCH(Table1[[#This Row],[ID]],[2]!PAJAK[ID],0))</f>
        <v>PT ATALI MAKMUR</v>
      </c>
      <c r="J27" s="4"/>
      <c r="K27" s="4"/>
      <c r="L27" s="59">
        <f ca="1">IFERROR(INDEX(INDIRECT("NOTA_.xlsx!"&amp;Table1[[#This Row],[1_h]]&amp;"[sub total]"),MATCH(Table1[[#This Row],[ID]],INDIRECT("NOTA_.xlsx!"&amp;Table1[[#This Row],[1_h]]&amp;"[ID]"),0)),"")</f>
        <v>3511200</v>
      </c>
      <c r="M27" s="5">
        <f ca="1">IFERROR(INDEX(INDIRECT("NOTA_.xlsx!"&amp;Table1[[#This Row],[1_h]]&amp;"[diskon]"),MATCH(Table1[[#This Row],[ID]],INDIRECT("NOTA_.xlsx!"&amp;Table1[[#This Row],[1_h]]&amp;"[ID]"),0)),"")</f>
        <v>0</v>
      </c>
      <c r="N27" s="5">
        <f ca="1">IFERROR(INDEX(INDIRECT("NOTA_.xlsx!"&amp;Table1[[#This Row],[1_h]]&amp;"[Dpp]"),MATCH(Table1[[#This Row],[ID]],INDIRECT("NOTA_.xlsx!"&amp;Table1[[#This Row],[1_h]]&amp;"[ID]"),0)),"")</f>
        <v>3163243.2432432431</v>
      </c>
      <c r="O27" s="5">
        <f ca="1">IFERROR(INDEX(INDIRECT("NOTA_.xlsx!"&amp;Table1[[#This Row],[1_h]]&amp;"[ppn (11%)]"),MATCH(Table1[[#This Row],[ID]],INDIRECT("NOTA_.xlsx!"&amp;Table1[[#This Row],[1_h]]&amp;"[ID]"),0)),"")</f>
        <v>347956.75675675675</v>
      </c>
      <c r="P27" s="5">
        <f ca="1">IFERROR(INDEX(INDIRECT("NOTA_.xlsx!"&amp;Table1[[#This Row],[1_h]]&amp;"[total]"),MATCH(Table1[[#This Row],[ID]],INDIRECT("NOTA_.xlsx!"&amp;Table1[[#This Row],[1_h]]&amp;"[ID]"),0)),"")</f>
        <v>3511200</v>
      </c>
      <c r="Q27" s="49" t="str">
        <f ca="1">IF(Table1[[#This Row],[NAMA SUPPLIER]]="","",INDEX(conv1[2],MATCH(Table1[[#This Row],[NAMA SUPPLIER]],conv1[1],0)))</f>
        <v>ATALI</v>
      </c>
      <c r="R27" s="4">
        <f ca="1">IF(Table1[[#This Row],[NO. INVOICE]]="","",_xlfn.IFNA(MATCH(Table1[[#This Row],[NO. INVOICE]],'[3]REKAP PEMBELIAN'!$C:$C,0),MATCH(VALUE(Table1[[#This Row],[NO. INVOICE]]),'[3]REKAP PEMBELIAN'!$C:$C,0)))</f>
        <v>562</v>
      </c>
      <c r="S27" s="5"/>
    </row>
    <row r="28" spans="1:19" x14ac:dyDescent="0.25">
      <c r="A28" s="6">
        <f ca="1">IF(Table1[[#This Row],[NAMA SUPPLIER]]="","",MATCH(Table1[[#This Row],[N_ID]],INDIRECT(Table1[[#This Row],[1_h]]&amp;"[N_ID]"),0))</f>
        <v>172</v>
      </c>
      <c r="B28" s="54" t="s">
        <v>116</v>
      </c>
      <c r="C28" s="6">
        <f ca="1">_xlfn.IFNA(INDEX([2]!PAJAK[ID],MATCH(Table1[[#This Row],[N_ID]],[2]!PAJAK[ID_P],0)),"")</f>
        <v>127</v>
      </c>
      <c r="D28" s="6">
        <f ca="1">IF(Table1[[#This Row],[ID]]="","",INDEX([2]!PAJAK[QB],MATCH(Table1[[#This Row],[ID]],[2]!PAJAK[ID],0)))</f>
        <v>4</v>
      </c>
      <c r="E28" s="3">
        <f ca="1">INDEX([2]!PAJAK[TGL.MASUK],MATCH(Table1[[#This Row],[ID]],[2]!PAJAK[ID],0))</f>
        <v>44831</v>
      </c>
      <c r="F28" s="3">
        <f ca="1">INDEX([2]!PAJAK[TGL.NOTA],MATCH(Table1[[#This Row],[ID]],[2]!PAJAK[ID],0))</f>
        <v>44826</v>
      </c>
      <c r="G28" s="6" t="str">
        <f ca="1">INDEX([2]!PAJAK[NO.NOTA],MATCH(Table1[[#This Row],[ID]],[2]!PAJAK[ID],0))</f>
        <v>SA220915035</v>
      </c>
      <c r="I28" s="4" t="str">
        <f ca="1">INDEX([2]!PAJAK[SUPPLIER],MATCH(Table1[[#This Row],[ID]],[2]!PAJAK[ID],0))</f>
        <v>PT ATALI MAKMUR</v>
      </c>
      <c r="J28" s="4"/>
      <c r="K28" s="4"/>
      <c r="L28" s="59">
        <f ca="1">IFERROR(INDEX(INDIRECT("NOTA_.xlsx!"&amp;Table1[[#This Row],[1_h]]&amp;"[sub total]"),MATCH(Table1[[#This Row],[ID]],INDIRECT("NOTA_.xlsx!"&amp;Table1[[#This Row],[1_h]]&amp;"[ID]"),0)),"")</f>
        <v>9519142.5</v>
      </c>
      <c r="M28" s="5">
        <f ca="1">IFERROR(INDEX(INDIRECT("NOTA_.xlsx!"&amp;Table1[[#This Row],[1_h]]&amp;"[diskon]"),MATCH(Table1[[#This Row],[ID]],INDIRECT("NOTA_.xlsx!"&amp;Table1[[#This Row],[1_h]]&amp;"[ID]"),0)),"")</f>
        <v>0</v>
      </c>
      <c r="N28" s="5">
        <f ca="1">IFERROR(INDEX(INDIRECT("NOTA_.xlsx!"&amp;Table1[[#This Row],[1_h]]&amp;"[Dpp]"),MATCH(Table1[[#This Row],[ID]],INDIRECT("NOTA_.xlsx!"&amp;Table1[[#This Row],[1_h]]&amp;"[ID]"),0)),"")</f>
        <v>8575804.0540540535</v>
      </c>
      <c r="O28" s="5">
        <f ca="1">IFERROR(INDEX(INDIRECT("NOTA_.xlsx!"&amp;Table1[[#This Row],[1_h]]&amp;"[ppn (11%)]"),MATCH(Table1[[#This Row],[ID]],INDIRECT("NOTA_.xlsx!"&amp;Table1[[#This Row],[1_h]]&amp;"[ID]"),0)),"")</f>
        <v>943338.44594594592</v>
      </c>
      <c r="P28" s="5">
        <f ca="1">IFERROR(INDEX(INDIRECT("NOTA_.xlsx!"&amp;Table1[[#This Row],[1_h]]&amp;"[total]"),MATCH(Table1[[#This Row],[ID]],INDIRECT("NOTA_.xlsx!"&amp;Table1[[#This Row],[1_h]]&amp;"[ID]"),0)),"")</f>
        <v>9519142.5</v>
      </c>
      <c r="Q28" s="49" t="str">
        <f ca="1">IF(Table1[[#This Row],[NAMA SUPPLIER]]="","",INDEX(conv1[2],MATCH(Table1[[#This Row],[NAMA SUPPLIER]],conv1[1],0)))</f>
        <v>ATALI</v>
      </c>
      <c r="R28" s="4">
        <f ca="1">IF(Table1[[#This Row],[NO. INVOICE]]="","",_xlfn.IFNA(MATCH(Table1[[#This Row],[NO. INVOICE]],'[3]REKAP PEMBELIAN'!$C:$C,0),MATCH(VALUE(Table1[[#This Row],[NO. INVOICE]]),'[3]REKAP PEMBELIAN'!$C:$C,0)))</f>
        <v>561</v>
      </c>
      <c r="S28" s="5"/>
    </row>
    <row r="29" spans="1:19" x14ac:dyDescent="0.25">
      <c r="A29" s="6">
        <f ca="1">IF(Table1[[#This Row],[NAMA SUPPLIER]]="","",MATCH(Table1[[#This Row],[N_ID]],INDIRECT(Table1[[#This Row],[1_h]]&amp;"[N_ID]"),0))</f>
        <v>177</v>
      </c>
      <c r="B29" s="54" t="s">
        <v>136</v>
      </c>
      <c r="C29" s="6">
        <f ca="1">_xlfn.IFNA(INDEX([2]!PAJAK[ID],MATCH(Table1[[#This Row],[N_ID]],[2]!PAJAK[ID_P],0)),"")</f>
        <v>146</v>
      </c>
      <c r="D29" s="6">
        <f ca="1">IF(Table1[[#This Row],[ID]]="","",INDEX([2]!PAJAK[QB],MATCH(Table1[[#This Row],[ID]],[2]!PAJAK[ID],0)))</f>
        <v>3</v>
      </c>
      <c r="E29" s="3">
        <f ca="1">INDEX([2]!PAJAK[TGL.MASUK],MATCH(Table1[[#This Row],[ID]],[2]!PAJAK[ID],0))</f>
        <v>44834</v>
      </c>
      <c r="F29" s="3">
        <f ca="1">INDEX([2]!PAJAK[TGL.NOTA],MATCH(Table1[[#This Row],[ID]],[2]!PAJAK[ID],0))</f>
        <v>44830</v>
      </c>
      <c r="G29" s="6" t="str">
        <f ca="1">INDEX([2]!PAJAK[NO.NOTA],MATCH(Table1[[#This Row],[ID]],[2]!PAJAK[ID],0))</f>
        <v>SA220915219</v>
      </c>
      <c r="I29" s="4" t="str">
        <f ca="1">INDEX([2]!PAJAK[SUPPLIER],MATCH(Table1[[#This Row],[ID]],[2]!PAJAK[ID],0))</f>
        <v>PT ATALI MAKMUR</v>
      </c>
      <c r="J29" s="4"/>
      <c r="K29" s="4"/>
      <c r="L29" s="59">
        <f ca="1">IFERROR(INDEX(INDIRECT("NOTA_.xlsx!"&amp;Table1[[#This Row],[1_h]]&amp;"[sub total]"),MATCH(Table1[[#This Row],[ID]],INDIRECT("NOTA_.xlsx!"&amp;Table1[[#This Row],[1_h]]&amp;"[ID]"),0)),"")</f>
        <v>23477160</v>
      </c>
      <c r="M29" s="5">
        <f ca="1">IFERROR(INDEX(INDIRECT("NOTA_.xlsx!"&amp;Table1[[#This Row],[1_h]]&amp;"[diskon]"),MATCH(Table1[[#This Row],[ID]],INDIRECT("NOTA_.xlsx!"&amp;Table1[[#This Row],[1_h]]&amp;"[ID]"),0)),"")</f>
        <v>0</v>
      </c>
      <c r="N29" s="5">
        <f ca="1">IFERROR(INDEX(INDIRECT("NOTA_.xlsx!"&amp;Table1[[#This Row],[1_h]]&amp;"[Dpp]"),MATCH(Table1[[#This Row],[ID]],INDIRECT("NOTA_.xlsx!"&amp;Table1[[#This Row],[1_h]]&amp;"[ID]"),0)),"")</f>
        <v>21150594.594594594</v>
      </c>
      <c r="O29" s="5">
        <f ca="1">IFERROR(INDEX(INDIRECT("NOTA_.xlsx!"&amp;Table1[[#This Row],[1_h]]&amp;"[ppn (11%)]"),MATCH(Table1[[#This Row],[ID]],INDIRECT("NOTA_.xlsx!"&amp;Table1[[#This Row],[1_h]]&amp;"[ID]"),0)),"")</f>
        <v>2326565.4054054054</v>
      </c>
      <c r="P29" s="5">
        <f ca="1">IFERROR(INDEX(INDIRECT("NOTA_.xlsx!"&amp;Table1[[#This Row],[1_h]]&amp;"[total]"),MATCH(Table1[[#This Row],[ID]],INDIRECT("NOTA_.xlsx!"&amp;Table1[[#This Row],[1_h]]&amp;"[ID]"),0)),"")</f>
        <v>23477160</v>
      </c>
      <c r="Q29" s="49" t="str">
        <f ca="1">IF(Table1[[#This Row],[NAMA SUPPLIER]]="","",INDEX(conv1[2],MATCH(Table1[[#This Row],[NAMA SUPPLIER]],conv1[1],0)))</f>
        <v>ATALI</v>
      </c>
      <c r="R29" s="4">
        <f ca="1">IF(Table1[[#This Row],[NO. INVOICE]]="","",_xlfn.IFNA(MATCH(Table1[[#This Row],[NO. INVOICE]],'[3]REKAP PEMBELIAN'!$C:$C,0),MATCH(VALUE(Table1[[#This Row],[NO. INVOICE]]),'[3]REKAP PEMBELIAN'!$C:$C,0)))</f>
        <v>563</v>
      </c>
      <c r="S29" s="5"/>
    </row>
    <row r="30" spans="1:19" x14ac:dyDescent="0.25">
      <c r="A30" s="6">
        <f ca="1">IF(Table1[[#This Row],[NAMA SUPPLIER]]="","",MATCH(Table1[[#This Row],[N_ID]],INDIRECT(Table1[[#This Row],[1_h]]&amp;"[N_ID]"),0))</f>
        <v>181</v>
      </c>
      <c r="B30" s="54" t="s">
        <v>134</v>
      </c>
      <c r="C30" s="6">
        <f ca="1">_xlfn.IFNA(INDEX([2]!PAJAK[ID],MATCH(Table1[[#This Row],[N_ID]],[2]!PAJAK[ID_P],0)),"")</f>
        <v>144</v>
      </c>
      <c r="D30" s="6">
        <f ca="1">IF(Table1[[#This Row],[ID]]="","",INDEX([2]!PAJAK[QB],MATCH(Table1[[#This Row],[ID]],[2]!PAJAK[ID],0)))</f>
        <v>7</v>
      </c>
      <c r="E30" s="3">
        <f ca="1">INDEX([2]!PAJAK[TGL.MASUK],MATCH(Table1[[#This Row],[ID]],[2]!PAJAK[ID],0))</f>
        <v>44834</v>
      </c>
      <c r="F30" s="3">
        <f ca="1">INDEX([2]!PAJAK[TGL.NOTA],MATCH(Table1[[#This Row],[ID]],[2]!PAJAK[ID],0))</f>
        <v>44830</v>
      </c>
      <c r="G30" s="6" t="str">
        <f ca="1">INDEX([2]!PAJAK[NO.NOTA],MATCH(Table1[[#This Row],[ID]],[2]!PAJAK[ID],0))</f>
        <v>SA220915220</v>
      </c>
      <c r="I30" s="4" t="str">
        <f ca="1">INDEX([2]!PAJAK[SUPPLIER],MATCH(Table1[[#This Row],[ID]],[2]!PAJAK[ID],0))</f>
        <v>PT ATALI MAKMUR</v>
      </c>
      <c r="J30" s="4"/>
      <c r="K30" s="4"/>
      <c r="L30" s="59">
        <f ca="1">IFERROR(INDEX(INDIRECT("NOTA_.xlsx!"&amp;Table1[[#This Row],[1_h]]&amp;"[sub total]"),MATCH(Table1[[#This Row],[ID]],INDIRECT("NOTA_.xlsx!"&amp;Table1[[#This Row],[1_h]]&amp;"[ID]"),0)),"")</f>
        <v>12351045</v>
      </c>
      <c r="M30" s="5">
        <f ca="1">IFERROR(INDEX(INDIRECT("NOTA_.xlsx!"&amp;Table1[[#This Row],[1_h]]&amp;"[diskon]"),MATCH(Table1[[#This Row],[ID]],INDIRECT("NOTA_.xlsx!"&amp;Table1[[#This Row],[1_h]]&amp;"[ID]"),0)),"")</f>
        <v>0</v>
      </c>
      <c r="N30" s="5">
        <f ca="1">IFERROR(INDEX(INDIRECT("NOTA_.xlsx!"&amp;Table1[[#This Row],[1_h]]&amp;"[Dpp]"),MATCH(Table1[[#This Row],[ID]],INDIRECT("NOTA_.xlsx!"&amp;Table1[[#This Row],[1_h]]&amp;"[ID]"),0)),"")</f>
        <v>11127067.567567566</v>
      </c>
      <c r="O30" s="5">
        <f ca="1">IFERROR(INDEX(INDIRECT("NOTA_.xlsx!"&amp;Table1[[#This Row],[1_h]]&amp;"[ppn (11%)]"),MATCH(Table1[[#This Row],[ID]],INDIRECT("NOTA_.xlsx!"&amp;Table1[[#This Row],[1_h]]&amp;"[ID]"),0)),"")</f>
        <v>1223977.4324324324</v>
      </c>
      <c r="P30" s="5">
        <f ca="1">IFERROR(INDEX(INDIRECT("NOTA_.xlsx!"&amp;Table1[[#This Row],[1_h]]&amp;"[total]"),MATCH(Table1[[#This Row],[ID]],INDIRECT("NOTA_.xlsx!"&amp;Table1[[#This Row],[1_h]]&amp;"[ID]"),0)),"")</f>
        <v>12351044.999999998</v>
      </c>
      <c r="Q30" s="49" t="str">
        <f ca="1">IF(Table1[[#This Row],[NAMA SUPPLIER]]="","",INDEX(conv1[2],MATCH(Table1[[#This Row],[NAMA SUPPLIER]],conv1[1],0)))</f>
        <v>ATALI</v>
      </c>
      <c r="R30" s="4">
        <f ca="1">IF(Table1[[#This Row],[NO. INVOICE]]="","",_xlfn.IFNA(MATCH(Table1[[#This Row],[NO. INVOICE]],'[3]REKAP PEMBELIAN'!$C:$C,0),MATCH(VALUE(Table1[[#This Row],[NO. INVOICE]]),'[3]REKAP PEMBELIAN'!$C:$C,0)))</f>
        <v>564</v>
      </c>
      <c r="S30" s="5"/>
    </row>
    <row r="31" spans="1:19" x14ac:dyDescent="0.25">
      <c r="A31" s="6">
        <f ca="1">IF(Table1[[#This Row],[NAMA SUPPLIER]]="","",MATCH(Table1[[#This Row],[N_ID]],INDIRECT(Table1[[#This Row],[1_h]]&amp;"[N_ID]"),0))</f>
        <v>189</v>
      </c>
      <c r="B31" s="54" t="s">
        <v>135</v>
      </c>
      <c r="C31" s="6">
        <f ca="1">_xlfn.IFNA(INDEX([2]!PAJAK[ID],MATCH(Table1[[#This Row],[N_ID]],[2]!PAJAK[ID_P],0)),"")</f>
        <v>145</v>
      </c>
      <c r="D31" s="6">
        <f ca="1">IF(Table1[[#This Row],[ID]]="","",INDEX([2]!PAJAK[QB],MATCH(Table1[[#This Row],[ID]],[2]!PAJAK[ID],0)))</f>
        <v>1</v>
      </c>
      <c r="E31" s="3">
        <f ca="1">INDEX([2]!PAJAK[TGL.MASUK],MATCH(Table1[[#This Row],[ID]],[2]!PAJAK[ID],0))</f>
        <v>44834</v>
      </c>
      <c r="F31" s="3">
        <f ca="1">INDEX([2]!PAJAK[TGL.NOTA],MATCH(Table1[[#This Row],[ID]],[2]!PAJAK[ID],0))</f>
        <v>44830</v>
      </c>
      <c r="G31" s="6" t="str">
        <f ca="1">INDEX([2]!PAJAK[NO.NOTA],MATCH(Table1[[#This Row],[ID]],[2]!PAJAK[ID],0))</f>
        <v>SA220915259</v>
      </c>
      <c r="I31" s="4" t="str">
        <f ca="1">INDEX([2]!PAJAK[SUPPLIER],MATCH(Table1[[#This Row],[ID]],[2]!PAJAK[ID],0))</f>
        <v>PT ATALI MAKMUR</v>
      </c>
      <c r="J31" s="4"/>
      <c r="K31" s="4"/>
      <c r="L31" s="59">
        <f ca="1">IFERROR(INDEX(INDIRECT("NOTA_.xlsx!"&amp;Table1[[#This Row],[1_h]]&amp;"[sub total]"),MATCH(Table1[[#This Row],[ID]],INDIRECT("NOTA_.xlsx!"&amp;Table1[[#This Row],[1_h]]&amp;"[ID]"),0)),"")</f>
        <v>28728000</v>
      </c>
      <c r="M31" s="5">
        <f ca="1">IFERROR(INDEX(INDIRECT("NOTA_.xlsx!"&amp;Table1[[#This Row],[1_h]]&amp;"[diskon]"),MATCH(Table1[[#This Row],[ID]],INDIRECT("NOTA_.xlsx!"&amp;Table1[[#This Row],[1_h]]&amp;"[ID]"),0)),"")</f>
        <v>0</v>
      </c>
      <c r="N31" s="5">
        <f ca="1">IFERROR(INDEX(INDIRECT("NOTA_.xlsx!"&amp;Table1[[#This Row],[1_h]]&amp;"[Dpp]"),MATCH(Table1[[#This Row],[ID]],INDIRECT("NOTA_.xlsx!"&amp;Table1[[#This Row],[1_h]]&amp;"[ID]"),0)),"")</f>
        <v>25881081.081081077</v>
      </c>
      <c r="O31" s="5">
        <f ca="1">IFERROR(INDEX(INDIRECT("NOTA_.xlsx!"&amp;Table1[[#This Row],[1_h]]&amp;"[ppn (11%)]"),MATCH(Table1[[#This Row],[ID]],INDIRECT("NOTA_.xlsx!"&amp;Table1[[#This Row],[1_h]]&amp;"[ID]"),0)),"")</f>
        <v>2846918.9189189184</v>
      </c>
      <c r="P31" s="5">
        <f ca="1">IFERROR(INDEX(INDIRECT("NOTA_.xlsx!"&amp;Table1[[#This Row],[1_h]]&amp;"[total]"),MATCH(Table1[[#This Row],[ID]],INDIRECT("NOTA_.xlsx!"&amp;Table1[[#This Row],[1_h]]&amp;"[ID]"),0)),"")</f>
        <v>28727999.999999996</v>
      </c>
      <c r="Q31" s="49" t="str">
        <f ca="1">IF(Table1[[#This Row],[NAMA SUPPLIER]]="","",INDEX(conv1[2],MATCH(Table1[[#This Row],[NAMA SUPPLIER]],conv1[1],0)))</f>
        <v>ATALI</v>
      </c>
      <c r="R31" s="4">
        <f ca="1">IF(Table1[[#This Row],[NO. INVOICE]]="","",_xlfn.IFNA(MATCH(Table1[[#This Row],[NO. INVOICE]],'[3]REKAP PEMBELIAN'!$C:$C,0),MATCH(VALUE(Table1[[#This Row],[NO. INVOICE]]),'[3]REKAP PEMBELIAN'!$C:$C,0)))</f>
        <v>565</v>
      </c>
      <c r="S31" s="5"/>
    </row>
    <row r="32" spans="1:19" x14ac:dyDescent="0.25">
      <c r="A32" s="6">
        <f ca="1">IF(Table1[[#This Row],[NAMA SUPPLIER]]="","",MATCH(Table1[[#This Row],[N_ID]],INDIRECT(Table1[[#This Row],[1_h]]&amp;"[N_ID]"),0))</f>
        <v>191</v>
      </c>
      <c r="B32" s="54" t="s">
        <v>126</v>
      </c>
      <c r="C32" s="6">
        <f ca="1">_xlfn.IFNA(INDEX([2]!PAJAK[ID],MATCH(Table1[[#This Row],[N_ID]],[2]!PAJAK[ID_P],0)),"")</f>
        <v>148</v>
      </c>
      <c r="D32" s="6">
        <f ca="1">IF(Table1[[#This Row],[ID]]="","",INDEX([2]!PAJAK[QB],MATCH(Table1[[#This Row],[ID]],[2]!PAJAK[ID],0)))</f>
        <v>1</v>
      </c>
      <c r="E32" s="3">
        <f ca="1">INDEX([2]!PAJAK[TGL.MASUK],MATCH(Table1[[#This Row],[ID]],[2]!PAJAK[ID],0))</f>
        <v>44835</v>
      </c>
      <c r="F32" s="3">
        <f ca="1">INDEX([2]!PAJAK[TGL.NOTA],MATCH(Table1[[#This Row],[ID]],[2]!PAJAK[ID],0))</f>
        <v>44831</v>
      </c>
      <c r="G32" s="6" t="str">
        <f ca="1">INDEX([2]!PAJAK[NO.NOTA],MATCH(Table1[[#This Row],[ID]],[2]!PAJAK[ID],0))</f>
        <v>SA220915312</v>
      </c>
      <c r="I32" s="4" t="str">
        <f ca="1">INDEX([2]!PAJAK[SUPPLIER],MATCH(Table1[[#This Row],[ID]],[2]!PAJAK[ID],0))</f>
        <v>PT ATALI MAKMUR</v>
      </c>
      <c r="J32" s="4"/>
      <c r="K32" s="4"/>
      <c r="L32" s="59">
        <f ca="1">IFERROR(INDEX(INDIRECT("NOTA_.xlsx!"&amp;Table1[[#This Row],[1_h]]&amp;"[sub total]"),MATCH(Table1[[#This Row],[ID]],INDIRECT("NOTA_.xlsx!"&amp;Table1[[#This Row],[1_h]]&amp;"[ID]"),0)),"")</f>
        <v>7421400</v>
      </c>
      <c r="M32" s="5">
        <f ca="1">IFERROR(INDEX(INDIRECT("NOTA_.xlsx!"&amp;Table1[[#This Row],[1_h]]&amp;"[diskon]"),MATCH(Table1[[#This Row],[ID]],INDIRECT("NOTA_.xlsx!"&amp;Table1[[#This Row],[1_h]]&amp;"[ID]"),0)),"")</f>
        <v>0</v>
      </c>
      <c r="N32" s="5">
        <f ca="1">IFERROR(INDEX(INDIRECT("NOTA_.xlsx!"&amp;Table1[[#This Row],[1_h]]&amp;"[Dpp]"),MATCH(Table1[[#This Row],[ID]],INDIRECT("NOTA_.xlsx!"&amp;Table1[[#This Row],[1_h]]&amp;"[ID]"),0)),"")</f>
        <v>6685945.9459459456</v>
      </c>
      <c r="O32" s="5">
        <f ca="1">IFERROR(INDEX(INDIRECT("NOTA_.xlsx!"&amp;Table1[[#This Row],[1_h]]&amp;"[ppn (11%)]"),MATCH(Table1[[#This Row],[ID]],INDIRECT("NOTA_.xlsx!"&amp;Table1[[#This Row],[1_h]]&amp;"[ID]"),0)),"")</f>
        <v>735454.05405405397</v>
      </c>
      <c r="P32" s="5">
        <f ca="1">IFERROR(INDEX(INDIRECT("NOTA_.xlsx!"&amp;Table1[[#This Row],[1_h]]&amp;"[total]"),MATCH(Table1[[#This Row],[ID]],INDIRECT("NOTA_.xlsx!"&amp;Table1[[#This Row],[1_h]]&amp;"[ID]"),0)),"")</f>
        <v>7421400</v>
      </c>
      <c r="Q32" s="49" t="str">
        <f ca="1">IF(Table1[[#This Row],[NAMA SUPPLIER]]="","",INDEX(conv1[2],MATCH(Table1[[#This Row],[NAMA SUPPLIER]],conv1[1],0)))</f>
        <v>ATALI</v>
      </c>
      <c r="R32" s="4">
        <f ca="1">IF(Table1[[#This Row],[NO. INVOICE]]="","",_xlfn.IFNA(MATCH(Table1[[#This Row],[NO. INVOICE]],'[3]REKAP PEMBELIAN'!$C:$C,0),MATCH(VALUE(Table1[[#This Row],[NO. INVOICE]]),'[3]REKAP PEMBELIAN'!$C:$C,0)))</f>
        <v>566</v>
      </c>
      <c r="S32" s="5"/>
    </row>
    <row r="33" spans="1:19" x14ac:dyDescent="0.25">
      <c r="A33" s="6">
        <f ca="1">IF(Table1[[#This Row],[NAMA SUPPLIER]]="","",MATCH(Table1[[#This Row],[N_ID]],INDIRECT(Table1[[#This Row],[1_h]]&amp;"[N_ID]"),0))</f>
        <v>193</v>
      </c>
      <c r="B33" s="54" t="s">
        <v>128</v>
      </c>
      <c r="C33" s="6">
        <f ca="1">_xlfn.IFNA(INDEX([2]!PAJAK[ID],MATCH(Table1[[#This Row],[N_ID]],[2]!PAJAK[ID_P],0)),"")</f>
        <v>154</v>
      </c>
      <c r="D33" s="6">
        <f ca="1">IF(Table1[[#This Row],[ID]]="","",INDEX([2]!PAJAK[QB],MATCH(Table1[[#This Row],[ID]],[2]!PAJAK[ID],0)))</f>
        <v>10</v>
      </c>
      <c r="E33" s="3">
        <f ca="1">INDEX([2]!PAJAK[TGL.MASUK],MATCH(Table1[[#This Row],[ID]],[2]!PAJAK[ID],0))</f>
        <v>44837</v>
      </c>
      <c r="F33" s="3">
        <f ca="1">INDEX([2]!PAJAK[TGL.NOTA],MATCH(Table1[[#This Row],[ID]],[2]!PAJAK[ID],0))</f>
        <v>44832</v>
      </c>
      <c r="G33" s="6" t="str">
        <f ca="1">INDEX([2]!PAJAK[NO.NOTA],MATCH(Table1[[#This Row],[ID]],[2]!PAJAK[ID],0))</f>
        <v>SA220915369</v>
      </c>
      <c r="I33" s="4" t="str">
        <f ca="1">INDEX([2]!PAJAK[SUPPLIER],MATCH(Table1[[#This Row],[ID]],[2]!PAJAK[ID],0))</f>
        <v>PT ATALI MAKMUR</v>
      </c>
      <c r="J33" s="4"/>
      <c r="K33" s="4"/>
      <c r="L33" s="59">
        <f ca="1">IFERROR(INDEX(INDIRECT("NOTA_.xlsx!"&amp;Table1[[#This Row],[1_h]]&amp;"[sub total]"),MATCH(Table1[[#This Row],[ID]],INDIRECT("NOTA_.xlsx!"&amp;Table1[[#This Row],[1_h]]&amp;"[ID]"),0)),"")</f>
        <v>23690292.5</v>
      </c>
      <c r="M33" s="5">
        <f ca="1">IFERROR(INDEX(INDIRECT("NOTA_.xlsx!"&amp;Table1[[#This Row],[1_h]]&amp;"[diskon]"),MATCH(Table1[[#This Row],[ID]],INDIRECT("NOTA_.xlsx!"&amp;Table1[[#This Row],[1_h]]&amp;"[ID]"),0)),"")</f>
        <v>0</v>
      </c>
      <c r="N33" s="5">
        <f ca="1">IFERROR(INDEX(INDIRECT("NOTA_.xlsx!"&amp;Table1[[#This Row],[1_h]]&amp;"[Dpp]"),MATCH(Table1[[#This Row],[ID]],INDIRECT("NOTA_.xlsx!"&amp;Table1[[#This Row],[1_h]]&amp;"[ID]"),0)),"")</f>
        <v>21342605.855855852</v>
      </c>
      <c r="O33" s="5">
        <f ca="1">IFERROR(INDEX(INDIRECT("NOTA_.xlsx!"&amp;Table1[[#This Row],[1_h]]&amp;"[ppn (11%)]"),MATCH(Table1[[#This Row],[ID]],INDIRECT("NOTA_.xlsx!"&amp;Table1[[#This Row],[1_h]]&amp;"[ID]"),0)),"")</f>
        <v>2347686.6441441439</v>
      </c>
      <c r="P33" s="5">
        <f ca="1">IFERROR(INDEX(INDIRECT("NOTA_.xlsx!"&amp;Table1[[#This Row],[1_h]]&amp;"[total]"),MATCH(Table1[[#This Row],[ID]],INDIRECT("NOTA_.xlsx!"&amp;Table1[[#This Row],[1_h]]&amp;"[ID]"),0)),"")</f>
        <v>23690292.499999996</v>
      </c>
      <c r="Q33" s="49" t="str">
        <f ca="1">IF(Table1[[#This Row],[NAMA SUPPLIER]]="","",INDEX(conv1[2],MATCH(Table1[[#This Row],[NAMA SUPPLIER]],conv1[1],0)))</f>
        <v>ATALI</v>
      </c>
      <c r="R33" s="4">
        <f ca="1">IF(Table1[[#This Row],[NO. INVOICE]]="","",_xlfn.IFNA(MATCH(Table1[[#This Row],[NO. INVOICE]],'[3]REKAP PEMBELIAN'!$C:$C,0),MATCH(VALUE(Table1[[#This Row],[NO. INVOICE]]),'[3]REKAP PEMBELIAN'!$C:$C,0)))</f>
        <v>567</v>
      </c>
      <c r="S33" s="5"/>
    </row>
    <row r="34" spans="1:19" x14ac:dyDescent="0.25">
      <c r="A34" s="6">
        <f ca="1">IF(Table1[[#This Row],[NAMA SUPPLIER]]="","",MATCH(Table1[[#This Row],[N_ID]],INDIRECT(Table1[[#This Row],[1_h]]&amp;"[N_ID]"),0))</f>
        <v>204</v>
      </c>
      <c r="B34" s="54" t="s">
        <v>129</v>
      </c>
      <c r="C34" s="6">
        <f ca="1">_xlfn.IFNA(INDEX([2]!PAJAK[ID],MATCH(Table1[[#This Row],[N_ID]],[2]!PAJAK[ID_P],0)),"")</f>
        <v>155</v>
      </c>
      <c r="D34" s="6">
        <f ca="1">IF(Table1[[#This Row],[ID]]="","",INDEX([2]!PAJAK[QB],MATCH(Table1[[#This Row],[ID]],[2]!PAJAK[ID],0)))</f>
        <v>11</v>
      </c>
      <c r="E34" s="3">
        <f ca="1">INDEX([2]!PAJAK[TGL.MASUK],MATCH(Table1[[#This Row],[ID]],[2]!PAJAK[ID],0))</f>
        <v>44837</v>
      </c>
      <c r="F34" s="3">
        <f ca="1">INDEX([2]!PAJAK[TGL.NOTA],MATCH(Table1[[#This Row],[ID]],[2]!PAJAK[ID],0))</f>
        <v>44832</v>
      </c>
      <c r="G34" s="6" t="str">
        <f ca="1">INDEX([2]!PAJAK[NO.NOTA],MATCH(Table1[[#This Row],[ID]],[2]!PAJAK[ID],0))</f>
        <v>SA220915370</v>
      </c>
      <c r="I34" s="4" t="str">
        <f ca="1">INDEX([2]!PAJAK[SUPPLIER],MATCH(Table1[[#This Row],[ID]],[2]!PAJAK[ID],0))</f>
        <v>PT ATALI MAKMUR</v>
      </c>
      <c r="J34" s="4"/>
      <c r="K34" s="4"/>
      <c r="L34" s="59">
        <f ca="1">IFERROR(INDEX(INDIRECT("NOTA_.xlsx!"&amp;Table1[[#This Row],[1_h]]&amp;"[sub total]"),MATCH(Table1[[#This Row],[ID]],INDIRECT("NOTA_.xlsx!"&amp;Table1[[#This Row],[1_h]]&amp;"[ID]"),0)),"")</f>
        <v>10042830</v>
      </c>
      <c r="M34" s="5">
        <f ca="1">IFERROR(INDEX(INDIRECT("NOTA_.xlsx!"&amp;Table1[[#This Row],[1_h]]&amp;"[diskon]"),MATCH(Table1[[#This Row],[ID]],INDIRECT("NOTA_.xlsx!"&amp;Table1[[#This Row],[1_h]]&amp;"[ID]"),0)),"")</f>
        <v>0</v>
      </c>
      <c r="N34" s="5">
        <f ca="1">IFERROR(INDEX(INDIRECT("NOTA_.xlsx!"&amp;Table1[[#This Row],[1_h]]&amp;"[Dpp]"),MATCH(Table1[[#This Row],[ID]],INDIRECT("NOTA_.xlsx!"&amp;Table1[[#This Row],[1_h]]&amp;"[ID]"),0)),"")</f>
        <v>9047594.5945945941</v>
      </c>
      <c r="O34" s="5">
        <f ca="1">IFERROR(INDEX(INDIRECT("NOTA_.xlsx!"&amp;Table1[[#This Row],[1_h]]&amp;"[ppn (11%)]"),MATCH(Table1[[#This Row],[ID]],INDIRECT("NOTA_.xlsx!"&amp;Table1[[#This Row],[1_h]]&amp;"[ID]"),0)),"")</f>
        <v>995235.40540540533</v>
      </c>
      <c r="P34" s="5">
        <f ca="1">IFERROR(INDEX(INDIRECT("NOTA_.xlsx!"&amp;Table1[[#This Row],[1_h]]&amp;"[total]"),MATCH(Table1[[#This Row],[ID]],INDIRECT("NOTA_.xlsx!"&amp;Table1[[#This Row],[1_h]]&amp;"[ID]"),0)),"")</f>
        <v>10042830</v>
      </c>
      <c r="Q34" s="49" t="str">
        <f ca="1">IF(Table1[[#This Row],[NAMA SUPPLIER]]="","",INDEX(conv1[2],MATCH(Table1[[#This Row],[NAMA SUPPLIER]],conv1[1],0)))</f>
        <v>ATALI</v>
      </c>
      <c r="R34" s="4">
        <f ca="1">IF(Table1[[#This Row],[NO. INVOICE]]="","",_xlfn.IFNA(MATCH(Table1[[#This Row],[NO. INVOICE]],'[3]REKAP PEMBELIAN'!$C:$C,0),MATCH(VALUE(Table1[[#This Row],[NO. INVOICE]]),'[3]REKAP PEMBELIAN'!$C:$C,0)))</f>
        <v>568</v>
      </c>
      <c r="S34" s="5"/>
    </row>
    <row r="35" spans="1:19" x14ac:dyDescent="0.25">
      <c r="A35" s="6">
        <f ca="1">IF(Table1[[#This Row],[NAMA SUPPLIER]]="","",MATCH(Table1[[#This Row],[N_ID]],INDIRECT(Table1[[#This Row],[1_h]]&amp;"[N_ID]"),0))</f>
        <v>216</v>
      </c>
      <c r="B35" s="54" t="s">
        <v>130</v>
      </c>
      <c r="C35" s="6">
        <f ca="1">_xlfn.IFNA(INDEX([2]!PAJAK[ID],MATCH(Table1[[#This Row],[N_ID]],[2]!PAJAK[ID_P],0)),"")</f>
        <v>153</v>
      </c>
      <c r="D35" s="6">
        <f ca="1">IF(Table1[[#This Row],[ID]]="","",INDEX([2]!PAJAK[QB],MATCH(Table1[[#This Row],[ID]],[2]!PAJAK[ID],0)))</f>
        <v>6</v>
      </c>
      <c r="E35" s="3">
        <f ca="1">INDEX([2]!PAJAK[TGL.MASUK],MATCH(Table1[[#This Row],[ID]],[2]!PAJAK[ID],0))</f>
        <v>44837</v>
      </c>
      <c r="F35" s="3">
        <f ca="1">INDEX([2]!PAJAK[TGL.NOTA],MATCH(Table1[[#This Row],[ID]],[2]!PAJAK[ID],0))</f>
        <v>44832</v>
      </c>
      <c r="G35" s="6" t="str">
        <f ca="1">INDEX([2]!PAJAK[NO.NOTA],MATCH(Table1[[#This Row],[ID]],[2]!PAJAK[ID],0))</f>
        <v>SA220915371</v>
      </c>
      <c r="I35" s="4" t="str">
        <f ca="1">INDEX([2]!PAJAK[SUPPLIER],MATCH(Table1[[#This Row],[ID]],[2]!PAJAK[ID],0))</f>
        <v>PT ATALI MAKMUR</v>
      </c>
      <c r="J35" s="4"/>
      <c r="K35" s="4"/>
      <c r="L35" s="59">
        <f ca="1">IFERROR(INDEX(INDIRECT("NOTA_.xlsx!"&amp;Table1[[#This Row],[1_h]]&amp;"[sub total]"),MATCH(Table1[[#This Row],[ID]],INDIRECT("NOTA_.xlsx!"&amp;Table1[[#This Row],[1_h]]&amp;"[ID]"),0)),"")</f>
        <v>20043765</v>
      </c>
      <c r="M35" s="5">
        <f ca="1">IFERROR(INDEX(INDIRECT("NOTA_.xlsx!"&amp;Table1[[#This Row],[1_h]]&amp;"[diskon]"),MATCH(Table1[[#This Row],[ID]],INDIRECT("NOTA_.xlsx!"&amp;Table1[[#This Row],[1_h]]&amp;"[ID]"),0)),"")</f>
        <v>0</v>
      </c>
      <c r="N35" s="5">
        <f ca="1">IFERROR(INDEX(INDIRECT("NOTA_.xlsx!"&amp;Table1[[#This Row],[1_h]]&amp;"[Dpp]"),MATCH(Table1[[#This Row],[ID]],INDIRECT("NOTA_.xlsx!"&amp;Table1[[#This Row],[1_h]]&amp;"[ID]"),0)),"")</f>
        <v>18057445.945945945</v>
      </c>
      <c r="O35" s="5">
        <f ca="1">IFERROR(INDEX(INDIRECT("NOTA_.xlsx!"&amp;Table1[[#This Row],[1_h]]&amp;"[ppn (11%)]"),MATCH(Table1[[#This Row],[ID]],INDIRECT("NOTA_.xlsx!"&amp;Table1[[#This Row],[1_h]]&amp;"[ID]"),0)),"")</f>
        <v>1986319.054054054</v>
      </c>
      <c r="P35" s="5">
        <f ca="1">IFERROR(INDEX(INDIRECT("NOTA_.xlsx!"&amp;Table1[[#This Row],[1_h]]&amp;"[total]"),MATCH(Table1[[#This Row],[ID]],INDIRECT("NOTA_.xlsx!"&amp;Table1[[#This Row],[1_h]]&amp;"[ID]"),0)),"")</f>
        <v>20043765</v>
      </c>
      <c r="Q35" s="49" t="str">
        <f ca="1">IF(Table1[[#This Row],[NAMA SUPPLIER]]="","",INDEX(conv1[2],MATCH(Table1[[#This Row],[NAMA SUPPLIER]],conv1[1],0)))</f>
        <v>ATALI</v>
      </c>
      <c r="R35" s="4">
        <f ca="1">IF(Table1[[#This Row],[NO. INVOICE]]="","",_xlfn.IFNA(MATCH(Table1[[#This Row],[NO. INVOICE]],'[3]REKAP PEMBELIAN'!$C:$C,0),MATCH(VALUE(Table1[[#This Row],[NO. INVOICE]]),'[3]REKAP PEMBELIAN'!$C:$C,0)))</f>
        <v>569</v>
      </c>
      <c r="S35" s="5"/>
    </row>
    <row r="36" spans="1:19" x14ac:dyDescent="0.25">
      <c r="A36" s="6">
        <f ca="1">IF(Table1[[#This Row],[NAMA SUPPLIER]]="","",MATCH(Table1[[#This Row],[N_ID]],INDIRECT(Table1[[#This Row],[1_h]]&amp;"[N_ID]"),0))</f>
        <v>223</v>
      </c>
      <c r="B36" s="54" t="s">
        <v>132</v>
      </c>
      <c r="C36" s="6">
        <f ca="1">_xlfn.IFNA(INDEX([2]!PAJAK[ID],MATCH(Table1[[#This Row],[N_ID]],[2]!PAJAK[ID_P],0)),"")</f>
        <v>159</v>
      </c>
      <c r="D36" s="6">
        <f ca="1">IF(Table1[[#This Row],[ID]]="","",INDEX([2]!PAJAK[QB],MATCH(Table1[[#This Row],[ID]],[2]!PAJAK[ID],0)))</f>
        <v>1</v>
      </c>
      <c r="E36" s="3">
        <f ca="1">INDEX([2]!PAJAK[TGL.MASUK],MATCH(Table1[[#This Row],[ID]],[2]!PAJAK[ID],0))</f>
        <v>44838</v>
      </c>
      <c r="F36" s="3">
        <f ca="1">INDEX([2]!PAJAK[TGL.NOTA],MATCH(Table1[[#This Row],[ID]],[2]!PAJAK[ID],0))</f>
        <v>44834</v>
      </c>
      <c r="G36" s="6" t="str">
        <f ca="1">INDEX([2]!PAJAK[NO.NOTA],MATCH(Table1[[#This Row],[ID]],[2]!PAJAK[ID],0))</f>
        <v>SA220915519</v>
      </c>
      <c r="I36" s="4" t="str">
        <f ca="1">INDEX([2]!PAJAK[SUPPLIER],MATCH(Table1[[#This Row],[ID]],[2]!PAJAK[ID],0))</f>
        <v>PT ATALI MAKMUR</v>
      </c>
      <c r="J36" s="4"/>
      <c r="K36" s="4"/>
      <c r="L36" s="59">
        <f ca="1">IFERROR(INDEX(INDIRECT("NOTA_.xlsx!"&amp;Table1[[#This Row],[1_h]]&amp;"[sub total]"),MATCH(Table1[[#This Row],[ID]],INDIRECT("NOTA_.xlsx!"&amp;Table1[[#This Row],[1_h]]&amp;"[ID]"),0)),"")</f>
        <v>7541100</v>
      </c>
      <c r="M36" s="5">
        <f ca="1">IFERROR(INDEX(INDIRECT("NOTA_.xlsx!"&amp;Table1[[#This Row],[1_h]]&amp;"[diskon]"),MATCH(Table1[[#This Row],[ID]],INDIRECT("NOTA_.xlsx!"&amp;Table1[[#This Row],[1_h]]&amp;"[ID]"),0)),"")</f>
        <v>0</v>
      </c>
      <c r="N36" s="5">
        <f ca="1">IFERROR(INDEX(INDIRECT("NOTA_.xlsx!"&amp;Table1[[#This Row],[1_h]]&amp;"[Dpp]"),MATCH(Table1[[#This Row],[ID]],INDIRECT("NOTA_.xlsx!"&amp;Table1[[#This Row],[1_h]]&amp;"[ID]"),0)),"")</f>
        <v>6793783.7837837832</v>
      </c>
      <c r="O36" s="5">
        <f ca="1">IFERROR(INDEX(INDIRECT("NOTA_.xlsx!"&amp;Table1[[#This Row],[1_h]]&amp;"[ppn (11%)]"),MATCH(Table1[[#This Row],[ID]],INDIRECT("NOTA_.xlsx!"&amp;Table1[[#This Row],[1_h]]&amp;"[ID]"),0)),"")</f>
        <v>747316.21621621621</v>
      </c>
      <c r="P36" s="5">
        <f ca="1">IFERROR(INDEX(INDIRECT("NOTA_.xlsx!"&amp;Table1[[#This Row],[1_h]]&amp;"[total]"),MATCH(Table1[[#This Row],[ID]],INDIRECT("NOTA_.xlsx!"&amp;Table1[[#This Row],[1_h]]&amp;"[ID]"),0)),"")</f>
        <v>7541099.9999999991</v>
      </c>
      <c r="Q36" s="49" t="str">
        <f ca="1">IF(Table1[[#This Row],[NAMA SUPPLIER]]="","",INDEX(conv1[2],MATCH(Table1[[#This Row],[NAMA SUPPLIER]],conv1[1],0)))</f>
        <v>ATALI</v>
      </c>
      <c r="R36" s="4">
        <f ca="1">IF(Table1[[#This Row],[NO. INVOICE]]="","",_xlfn.IFNA(MATCH(Table1[[#This Row],[NO. INVOICE]],'[3]REKAP PEMBELIAN'!$C:$C,0),MATCH(VALUE(Table1[[#This Row],[NO. INVOICE]]),'[3]REKAP PEMBELIAN'!$C:$C,0)))</f>
        <v>570</v>
      </c>
      <c r="S36" s="5"/>
    </row>
    <row r="37" spans="1:19" x14ac:dyDescent="0.25">
      <c r="A37" s="6" t="str">
        <f ca="1">IF(Table1[[#This Row],[NAMA SUPPLIER]]="","",MATCH(Table1[[#This Row],[N_ID]],INDIRECT(Table1[[#This Row],[1_h]]&amp;"[N_ID]"),0))</f>
        <v/>
      </c>
      <c r="B37" s="54"/>
      <c r="C37" s="6" t="str">
        <f ca="1">_xlfn.IFNA(INDEX([2]!PAJAK[ID],MATCH(Table1[[#This Row],[N_ID]],[2]!PAJAK[ID_P],0)),"")</f>
        <v/>
      </c>
      <c r="D37" s="6" t="str">
        <f ca="1">IF(Table1[[#This Row],[ID]]="","",INDEX([2]!PAJAK[QB],MATCH(Table1[[#This Row],[ID]],[2]!PAJAK[ID],0)))</f>
        <v/>
      </c>
      <c r="E37" s="3" t="str">
        <f ca="1">INDEX([2]!PAJAK[TGL.MASUK],MATCH(Table1[[#This Row],[ID]],[2]!PAJAK[ID],0))</f>
        <v/>
      </c>
      <c r="F37" s="3" t="str">
        <f ca="1">INDEX([2]!PAJAK[TGL.NOTA],MATCH(Table1[[#This Row],[ID]],[2]!PAJAK[ID],0))</f>
        <v/>
      </c>
      <c r="G37" s="6" t="str">
        <f ca="1">INDEX([2]!PAJAK[NO.NOTA],MATCH(Table1[[#This Row],[ID]],[2]!PAJAK[ID],0))</f>
        <v/>
      </c>
      <c r="I37" s="4" t="str">
        <f ca="1">INDEX([2]!PAJAK[SUPPLIER],MATCH(Table1[[#This Row],[ID]],[2]!PAJAK[ID],0))</f>
        <v/>
      </c>
      <c r="J37" s="4"/>
      <c r="K37" s="4"/>
      <c r="L37" s="59" t="str">
        <f ca="1">IFERROR(INDEX(INDIRECT("NOTA_.xlsx!"&amp;Table1[[#This Row],[1_h]]&amp;"[sub total]"),MATCH(Table1[[#This Row],[ID]],INDIRECT("NOTA_.xlsx!"&amp;Table1[[#This Row],[1_h]]&amp;"[ID]"),0)),"")</f>
        <v/>
      </c>
      <c r="M37" s="5" t="str">
        <f ca="1">IFERROR(INDEX(INDIRECT("NOTA_.xlsx!"&amp;Table1[[#This Row],[1_h]]&amp;"[diskon]"),MATCH(Table1[[#This Row],[ID]],INDIRECT("NOTA_.xlsx!"&amp;Table1[[#This Row],[1_h]]&amp;"[ID]"),0)),"")</f>
        <v/>
      </c>
      <c r="N37" s="5" t="str">
        <f ca="1">IFERROR(INDEX(INDIRECT("NOTA_.xlsx!"&amp;Table1[[#This Row],[1_h]]&amp;"[Dpp]"),MATCH(Table1[[#This Row],[ID]],INDIRECT("NOTA_.xlsx!"&amp;Table1[[#This Row],[1_h]]&amp;"[ID]"),0)),"")</f>
        <v/>
      </c>
      <c r="O37" s="5" t="str">
        <f ca="1">IFERROR(INDEX(INDIRECT("NOTA_.xlsx!"&amp;Table1[[#This Row],[1_h]]&amp;"[ppn (11%)]"),MATCH(Table1[[#This Row],[ID]],INDIRECT("NOTA_.xlsx!"&amp;Table1[[#This Row],[1_h]]&amp;"[ID]"),0)),"")</f>
        <v/>
      </c>
      <c r="P37" s="5" t="str">
        <f ca="1">IFERROR(INDEX(INDIRECT("NOTA_.xlsx!"&amp;Table1[[#This Row],[1_h]]&amp;"[total]"),MATCH(Table1[[#This Row],[ID]],INDIRECT("NOTA_.xlsx!"&amp;Table1[[#This Row],[1_h]]&amp;"[ID]"),0)),"")</f>
        <v/>
      </c>
      <c r="Q37" s="49" t="str">
        <f ca="1">IF(Table1[[#This Row],[NAMA SUPPLIER]]="","",INDEX(conv1[2],MATCH(Table1[[#This Row],[NAMA SUPPLIER]],conv1[1],0)))</f>
        <v/>
      </c>
      <c r="R3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7" s="5"/>
    </row>
    <row r="38" spans="1:19" x14ac:dyDescent="0.25">
      <c r="A38" s="6">
        <f ca="1">IF(Table1[[#This Row],[NAMA SUPPLIER]]="","",MATCH(Table1[[#This Row],[N_ID]],INDIRECT(Table1[[#This Row],[1_h]]&amp;"[N_ID]"),0))</f>
        <v>1</v>
      </c>
      <c r="B38" s="54" t="s">
        <v>85</v>
      </c>
      <c r="C38" s="6">
        <f ca="1">_xlfn.IFNA(INDEX([2]!PAJAK[ID],MATCH(Table1[[#This Row],[N_ID]],[2]!PAJAK[ID_P],0)),"")</f>
        <v>67</v>
      </c>
      <c r="D38" s="6">
        <f ca="1">IF(Table1[[#This Row],[ID]]="","",INDEX([2]!PAJAK[QB],MATCH(Table1[[#This Row],[ID]],[2]!PAJAK[ID],0)))</f>
        <v>8</v>
      </c>
      <c r="E38" s="3">
        <f ca="1">INDEX([2]!PAJAK[TGL.MASUK],MATCH(Table1[[#This Row],[ID]],[2]!PAJAK[ID],0))</f>
        <v>44820</v>
      </c>
      <c r="F38" s="3">
        <f ca="1">INDEX([2]!PAJAK[TGL.NOTA],MATCH(Table1[[#This Row],[ID]],[2]!PAJAK[ID],0))</f>
        <v>44816</v>
      </c>
      <c r="G38" s="6" t="str">
        <f ca="1">INDEX([2]!PAJAK[NO.NOTA],MATCH(Table1[[#This Row],[ID]],[2]!PAJAK[ID],0))</f>
        <v>SN22091783</v>
      </c>
      <c r="I38" s="4" t="str">
        <f ca="1">INDEX([2]!PAJAK[SUPPLIER],MATCH(Table1[[#This Row],[ID]],[2]!PAJAK[ID],0))</f>
        <v>PT KALINDO SUKSES</v>
      </c>
      <c r="J38" s="4"/>
      <c r="K38" s="4"/>
      <c r="L38" s="59">
        <f ca="1">IFERROR(INDEX(INDIRECT("NOTA_.xlsx!"&amp;Table1[[#This Row],[1_h]]&amp;"[sub total]"),MATCH(Table1[[#This Row],[ID]],INDIRECT("NOTA_.xlsx!"&amp;Table1[[#This Row],[1_h]]&amp;"[ID]"),0)),"")</f>
        <v>15088500</v>
      </c>
      <c r="M38" s="5">
        <f ca="1">IFERROR(INDEX(INDIRECT("NOTA_.xlsx!"&amp;Table1[[#This Row],[1_h]]&amp;"[diskon]"),MATCH(Table1[[#This Row],[ID]],INDIRECT("NOTA_.xlsx!"&amp;Table1[[#This Row],[1_h]]&amp;"[ID]"),0)),"")</f>
        <v>0</v>
      </c>
      <c r="N38" s="5">
        <f ca="1">IFERROR(INDEX(INDIRECT("NOTA_.xlsx!"&amp;Table1[[#This Row],[1_h]]&amp;"[Dpp]"),MATCH(Table1[[#This Row],[ID]],INDIRECT("NOTA_.xlsx!"&amp;Table1[[#This Row],[1_h]]&amp;"[ID]"),0)),"")</f>
        <v>13593243.243243242</v>
      </c>
      <c r="O38" s="5">
        <f ca="1">IFERROR(INDEX(INDIRECT("NOTA_.xlsx!"&amp;Table1[[#This Row],[1_h]]&amp;"[ppn (11%)]"),MATCH(Table1[[#This Row],[ID]],INDIRECT("NOTA_.xlsx!"&amp;Table1[[#This Row],[1_h]]&amp;"[ID]"),0)),"")</f>
        <v>1495256.7567567567</v>
      </c>
      <c r="P38" s="5">
        <f ca="1">IFERROR(INDEX(INDIRECT("NOTA_.xlsx!"&amp;Table1[[#This Row],[1_h]]&amp;"[total]"),MATCH(Table1[[#This Row],[ID]],INDIRECT("NOTA_.xlsx!"&amp;Table1[[#This Row],[1_h]]&amp;"[ID]"),0)),"")</f>
        <v>15088499.999999998</v>
      </c>
      <c r="Q38" s="49" t="str">
        <f ca="1">IF(Table1[[#This Row],[NAMA SUPPLIER]]="","",INDEX(conv1[2],MATCH(Table1[[#This Row],[NAMA SUPPLIER]],conv1[1],0)))</f>
        <v>KALINDO</v>
      </c>
      <c r="R38" s="4">
        <f ca="1">IF(Table1[[#This Row],[NO. INVOICE]]="","",_xlfn.IFNA(MATCH(Table1[[#This Row],[NO. INVOICE]],'[3]REKAP PEMBELIAN'!$C:$C,0),MATCH(VALUE(Table1[[#This Row],[NO. INVOICE]]),'[3]REKAP PEMBELIAN'!$C:$C,0)))</f>
        <v>571</v>
      </c>
      <c r="S38" s="5"/>
    </row>
    <row r="39" spans="1:19" x14ac:dyDescent="0.25">
      <c r="A39" s="6">
        <f ca="1">IF(Table1[[#This Row],[NAMA SUPPLIER]]="","",MATCH(Table1[[#This Row],[N_ID]],INDIRECT(Table1[[#This Row],[1_h]]&amp;"[N_ID]"),0))</f>
        <v>10</v>
      </c>
      <c r="B39" s="54" t="s">
        <v>117</v>
      </c>
      <c r="C39" s="6">
        <f ca="1">_xlfn.IFNA(INDEX([2]!PAJAK[ID],MATCH(Table1[[#This Row],[N_ID]],[2]!PAJAK[ID_P],0)),"")</f>
        <v>120</v>
      </c>
      <c r="D39" s="6">
        <f ca="1">IF(Table1[[#This Row],[ID]]="","",INDEX([2]!PAJAK[QB],MATCH(Table1[[#This Row],[ID]],[2]!PAJAK[ID],0)))</f>
        <v>1</v>
      </c>
      <c r="E39" s="3">
        <f ca="1">INDEX([2]!PAJAK[TGL.MASUK],MATCH(Table1[[#This Row],[ID]],[2]!PAJAK[ID],0))</f>
        <v>44830</v>
      </c>
      <c r="F39" s="3">
        <f ca="1">INDEX([2]!PAJAK[TGL.NOTA],MATCH(Table1[[#This Row],[ID]],[2]!PAJAK[ID],0))</f>
        <v>44825</v>
      </c>
      <c r="G39" s="6" t="str">
        <f ca="1">INDEX([2]!PAJAK[NO.NOTA],MATCH(Table1[[#This Row],[ID]],[2]!PAJAK[ID],0))</f>
        <v>SN22091838</v>
      </c>
      <c r="I39" s="4" t="str">
        <f ca="1">INDEX([2]!PAJAK[SUPPLIER],MATCH(Table1[[#This Row],[ID]],[2]!PAJAK[ID],0))</f>
        <v>PT KALINDO SUKSES</v>
      </c>
      <c r="J39" s="4"/>
      <c r="K39" s="4"/>
      <c r="L39" s="59">
        <f ca="1">IFERROR(INDEX(INDIRECT("NOTA_.xlsx!"&amp;Table1[[#This Row],[1_h]]&amp;"[sub total]"),MATCH(Table1[[#This Row],[ID]],INDIRECT("NOTA_.xlsx!"&amp;Table1[[#This Row],[1_h]]&amp;"[ID]"),0)),"")</f>
        <v>4688250</v>
      </c>
      <c r="M39" s="5">
        <f ca="1">IFERROR(INDEX(INDIRECT("NOTA_.xlsx!"&amp;Table1[[#This Row],[1_h]]&amp;"[diskon]"),MATCH(Table1[[#This Row],[ID]],INDIRECT("NOTA_.xlsx!"&amp;Table1[[#This Row],[1_h]]&amp;"[ID]"),0)),"")</f>
        <v>0</v>
      </c>
      <c r="N39" s="5">
        <f ca="1">IFERROR(INDEX(INDIRECT("NOTA_.xlsx!"&amp;Table1[[#This Row],[1_h]]&amp;"[Dpp]"),MATCH(Table1[[#This Row],[ID]],INDIRECT("NOTA_.xlsx!"&amp;Table1[[#This Row],[1_h]]&amp;"[ID]"),0)),"")</f>
        <v>4223648.6486486485</v>
      </c>
      <c r="O39" s="5">
        <f ca="1">IFERROR(INDEX(INDIRECT("NOTA_.xlsx!"&amp;Table1[[#This Row],[1_h]]&amp;"[ppn (11%)]"),MATCH(Table1[[#This Row],[ID]],INDIRECT("NOTA_.xlsx!"&amp;Table1[[#This Row],[1_h]]&amp;"[ID]"),0)),"")</f>
        <v>464601.35135135136</v>
      </c>
      <c r="P39" s="5">
        <f ca="1">IFERROR(INDEX(INDIRECT("NOTA_.xlsx!"&amp;Table1[[#This Row],[1_h]]&amp;"[total]"),MATCH(Table1[[#This Row],[ID]],INDIRECT("NOTA_.xlsx!"&amp;Table1[[#This Row],[1_h]]&amp;"[ID]"),0)),"")</f>
        <v>4688250</v>
      </c>
      <c r="Q39" s="49" t="str">
        <f ca="1">IF(Table1[[#This Row],[NAMA SUPPLIER]]="","",INDEX(conv1[2],MATCH(Table1[[#This Row],[NAMA SUPPLIER]],conv1[1],0)))</f>
        <v>KALINDO</v>
      </c>
      <c r="R39" s="4">
        <f ca="1">IF(Table1[[#This Row],[NO. INVOICE]]="","",_xlfn.IFNA(MATCH(Table1[[#This Row],[NO. INVOICE]],'[3]REKAP PEMBELIAN'!$C:$C,0),MATCH(VALUE(Table1[[#This Row],[NO. INVOICE]]),'[3]REKAP PEMBELIAN'!$C:$C,0)))</f>
        <v>572</v>
      </c>
      <c r="S39" s="5"/>
    </row>
    <row r="40" spans="1:19" x14ac:dyDescent="0.25">
      <c r="A40" s="6">
        <f ca="1">IF(Table1[[#This Row],[NAMA SUPPLIER]]="","",MATCH(Table1[[#This Row],[N_ID]],INDIRECT(Table1[[#This Row],[1_h]]&amp;"[N_ID]"),0))</f>
        <v>12</v>
      </c>
      <c r="B40" s="54" t="s">
        <v>131</v>
      </c>
      <c r="C40" s="6">
        <f ca="1">_xlfn.IFNA(INDEX([2]!PAJAK[ID],MATCH(Table1[[#This Row],[N_ID]],[2]!PAJAK[ID_P],0)),"")</f>
        <v>156</v>
      </c>
      <c r="D40" s="6">
        <f ca="1">IF(Table1[[#This Row],[ID]]="","",INDEX([2]!PAJAK[QB],MATCH(Table1[[#This Row],[ID]],[2]!PAJAK[ID],0)))</f>
        <v>4</v>
      </c>
      <c r="E40" s="3">
        <f ca="1">INDEX([2]!PAJAK[TGL.MASUK],MATCH(Table1[[#This Row],[ID]],[2]!PAJAK[ID],0))</f>
        <v>44837</v>
      </c>
      <c r="F40" s="3">
        <f ca="1">INDEX([2]!PAJAK[TGL.NOTA],MATCH(Table1[[#This Row],[ID]],[2]!PAJAK[ID],0))</f>
        <v>44832</v>
      </c>
      <c r="G40" s="6" t="str">
        <f ca="1">INDEX([2]!PAJAK[NO.NOTA],MATCH(Table1[[#This Row],[ID]],[2]!PAJAK[ID],0))</f>
        <v>SN22091886</v>
      </c>
      <c r="I40" s="4" t="str">
        <f ca="1">INDEX([2]!PAJAK[SUPPLIER],MATCH(Table1[[#This Row],[ID]],[2]!PAJAK[ID],0))</f>
        <v>PT KALINDO SUKSES</v>
      </c>
      <c r="J40" s="4"/>
      <c r="K40" s="4"/>
      <c r="L40" s="59">
        <f ca="1">IFERROR(INDEX(INDIRECT("NOTA_.xlsx!"&amp;Table1[[#This Row],[1_h]]&amp;"[sub total]"),MATCH(Table1[[#This Row],[ID]],INDIRECT("NOTA_.xlsx!"&amp;Table1[[#This Row],[1_h]]&amp;"[ID]"),0)),"")</f>
        <v>12668250</v>
      </c>
      <c r="M40" s="5">
        <f ca="1">IFERROR(INDEX(INDIRECT("NOTA_.xlsx!"&amp;Table1[[#This Row],[1_h]]&amp;"[diskon]"),MATCH(Table1[[#This Row],[ID]],INDIRECT("NOTA_.xlsx!"&amp;Table1[[#This Row],[1_h]]&amp;"[ID]"),0)),"")</f>
        <v>206567</v>
      </c>
      <c r="N40" s="5">
        <f ca="1">IFERROR(INDEX(INDIRECT("NOTA_.xlsx!"&amp;Table1[[#This Row],[1_h]]&amp;"[Dpp]"),MATCH(Table1[[#This Row],[ID]],INDIRECT("NOTA_.xlsx!"&amp;Table1[[#This Row],[1_h]]&amp;"[ID]"),0)),"")</f>
        <v>11226741.441441441</v>
      </c>
      <c r="O40" s="5">
        <f ca="1">IFERROR(INDEX(INDIRECT("NOTA_.xlsx!"&amp;Table1[[#This Row],[1_h]]&amp;"[ppn (11%)]"),MATCH(Table1[[#This Row],[ID]],INDIRECT("NOTA_.xlsx!"&amp;Table1[[#This Row],[1_h]]&amp;"[ID]"),0)),"")</f>
        <v>1234941.5585585586</v>
      </c>
      <c r="P40" s="5">
        <f ca="1">IFERROR(INDEX(INDIRECT("NOTA_.xlsx!"&amp;Table1[[#This Row],[1_h]]&amp;"[total]"),MATCH(Table1[[#This Row],[ID]],INDIRECT("NOTA_.xlsx!"&amp;Table1[[#This Row],[1_h]]&amp;"[ID]"),0)),"")</f>
        <v>12461683</v>
      </c>
      <c r="Q40" s="49" t="str">
        <f ca="1">IF(Table1[[#This Row],[NAMA SUPPLIER]]="","",INDEX(conv1[2],MATCH(Table1[[#This Row],[NAMA SUPPLIER]],conv1[1],0)))</f>
        <v>KALINDO</v>
      </c>
      <c r="R40" s="4">
        <f ca="1">IF(Table1[[#This Row],[NO. INVOICE]]="","",_xlfn.IFNA(MATCH(Table1[[#This Row],[NO. INVOICE]],'[3]REKAP PEMBELIAN'!$C:$C,0),MATCH(VALUE(Table1[[#This Row],[NO. INVOICE]]),'[3]REKAP PEMBELIAN'!$C:$C,0)))</f>
        <v>573</v>
      </c>
      <c r="S40" s="5"/>
    </row>
    <row r="41" spans="1:19" x14ac:dyDescent="0.25">
      <c r="A41" s="6" t="str">
        <f ca="1">IF(Table1[[#This Row],[NAMA SUPPLIER]]="","",MATCH(Table1[[#This Row],[N_ID]],INDIRECT(Table1[[#This Row],[1_h]]&amp;"[N_ID]"),0))</f>
        <v/>
      </c>
      <c r="B41" s="54"/>
      <c r="C41" s="6" t="str">
        <f ca="1">_xlfn.IFNA(INDEX([2]!PAJAK[ID],MATCH(Table1[[#This Row],[N_ID]],[2]!PAJAK[ID_P],0)),"")</f>
        <v/>
      </c>
      <c r="D41" s="6" t="str">
        <f ca="1">IF(Table1[[#This Row],[ID]]="","",INDEX([2]!PAJAK[QB],MATCH(Table1[[#This Row],[ID]],[2]!PAJAK[ID],0)))</f>
        <v/>
      </c>
      <c r="E41" s="3" t="str">
        <f ca="1">INDEX([2]!PAJAK[TGL.MASUK],MATCH(Table1[[#This Row],[ID]],[2]!PAJAK[ID],0))</f>
        <v/>
      </c>
      <c r="F41" s="3" t="str">
        <f ca="1">INDEX([2]!PAJAK[TGL.NOTA],MATCH(Table1[[#This Row],[ID]],[2]!PAJAK[ID],0))</f>
        <v/>
      </c>
      <c r="G41" s="6" t="str">
        <f ca="1">INDEX([2]!PAJAK[NO.NOTA],MATCH(Table1[[#This Row],[ID]],[2]!PAJAK[ID],0))</f>
        <v/>
      </c>
      <c r="I41" s="4" t="str">
        <f ca="1">INDEX([2]!PAJAK[SUPPLIER],MATCH(Table1[[#This Row],[ID]],[2]!PAJAK[ID],0))</f>
        <v/>
      </c>
      <c r="J41" s="4"/>
      <c r="K41" s="4"/>
      <c r="L41" s="59" t="str">
        <f ca="1">IFERROR(INDEX(INDIRECT("NOTA_.xlsx!"&amp;Table1[[#This Row],[1_h]]&amp;"[sub total]"),MATCH(Table1[[#This Row],[ID]],INDIRECT("NOTA_.xlsx!"&amp;Table1[[#This Row],[1_h]]&amp;"[ID]"),0)),"")</f>
        <v/>
      </c>
      <c r="M41" s="5" t="str">
        <f ca="1">IFERROR(INDEX(INDIRECT("NOTA_.xlsx!"&amp;Table1[[#This Row],[1_h]]&amp;"[diskon]"),MATCH(Table1[[#This Row],[ID]],INDIRECT("NOTA_.xlsx!"&amp;Table1[[#This Row],[1_h]]&amp;"[ID]"),0)),"")</f>
        <v/>
      </c>
      <c r="N41" s="5" t="str">
        <f ca="1">IFERROR(INDEX(INDIRECT("NOTA_.xlsx!"&amp;Table1[[#This Row],[1_h]]&amp;"[Dpp]"),MATCH(Table1[[#This Row],[ID]],INDIRECT("NOTA_.xlsx!"&amp;Table1[[#This Row],[1_h]]&amp;"[ID]"),0)),"")</f>
        <v/>
      </c>
      <c r="O41" s="5" t="str">
        <f ca="1">IFERROR(INDEX(INDIRECT("NOTA_.xlsx!"&amp;Table1[[#This Row],[1_h]]&amp;"[ppn (11%)]"),MATCH(Table1[[#This Row],[ID]],INDIRECT("NOTA_.xlsx!"&amp;Table1[[#This Row],[1_h]]&amp;"[ID]"),0)),"")</f>
        <v/>
      </c>
      <c r="P41" s="5" t="str">
        <f ca="1">IFERROR(INDEX(INDIRECT("NOTA_.xlsx!"&amp;Table1[[#This Row],[1_h]]&amp;"[total]"),MATCH(Table1[[#This Row],[ID]],INDIRECT("NOTA_.xlsx!"&amp;Table1[[#This Row],[1_h]]&amp;"[ID]"),0)),"")</f>
        <v/>
      </c>
      <c r="Q41" s="49" t="str">
        <f ca="1">IF(Table1[[#This Row],[NAMA SUPPLIER]]="","",INDEX(conv1[2],MATCH(Table1[[#This Row],[NAMA SUPPLIER]],conv1[1],0)))</f>
        <v/>
      </c>
      <c r="R4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41" s="5"/>
    </row>
    <row r="42" spans="1:19" x14ac:dyDescent="0.25">
      <c r="A42" s="6">
        <f ca="1">IF(Table1[[#This Row],[NAMA SUPPLIER]]="","",MATCH(Table1[[#This Row],[N_ID]],INDIRECT(Table1[[#This Row],[1_h]]&amp;"[N_ID]"),0))</f>
        <v>2</v>
      </c>
      <c r="B42" s="54" t="s">
        <v>62</v>
      </c>
      <c r="C42" s="6">
        <f ca="1">_xlfn.IFNA(INDEX([2]!PAJAK[ID],MATCH(Table1[[#This Row],[N_ID]],[2]!PAJAK[ID_P],0)),"")</f>
        <v>1</v>
      </c>
      <c r="D42" s="6">
        <f ca="1">IF(Table1[[#This Row],[ID]]="","",INDEX([2]!PAJAK[QB],MATCH(Table1[[#This Row],[ID]],[2]!PAJAK[ID],0)))</f>
        <v>5</v>
      </c>
      <c r="E42" s="3">
        <f ca="1">INDEX([2]!PAJAK[TGL.MASUK],MATCH(Table1[[#This Row],[ID]],[2]!PAJAK[ID],0))</f>
        <v>44805</v>
      </c>
      <c r="F42" s="3">
        <f ca="1">INDEX([2]!PAJAK[TGL.NOTA],MATCH(Table1[[#This Row],[ID]],[2]!PAJAK[ID],0))</f>
        <v>44805</v>
      </c>
      <c r="G42" s="6" t="str">
        <f ca="1">INDEX([2]!PAJAK[NO.NOTA],MATCH(Table1[[#This Row],[ID]],[2]!PAJAK[ID],0))</f>
        <v>22090015</v>
      </c>
      <c r="I42" s="4" t="str">
        <f ca="1">INDEX([2]!PAJAK[SUPPLIER],MATCH(Table1[[#This Row],[ID]],[2]!PAJAK[ID],0))</f>
        <v>PT KENKO SINAR INDONESIA</v>
      </c>
      <c r="J42" s="4"/>
      <c r="K42" s="4"/>
      <c r="L42" s="59">
        <f ca="1">IFERROR(INDEX(INDIRECT("NOTA_.xlsx!"&amp;Table1[[#This Row],[1_h]]&amp;"[sub total]"),MATCH(Table1[[#This Row],[ID]],INDIRECT("NOTA_.xlsx!"&amp;Table1[[#This Row],[1_h]]&amp;"[ID]"),0)),"")</f>
        <v>169992000</v>
      </c>
      <c r="M42" s="5">
        <f ca="1">IFERROR(INDEX(INDIRECT("NOTA_.xlsx!"&amp;Table1[[#This Row],[1_h]]&amp;"[diskon]"),MATCH(Table1[[#This Row],[ID]],INDIRECT("NOTA_.xlsx!"&amp;Table1[[#This Row],[1_h]]&amp;"[ID]"),0)),"")</f>
        <v>28898640</v>
      </c>
      <c r="N42" s="5">
        <f ca="1">IFERROR(INDEX(INDIRECT("NOTA_.xlsx!"&amp;Table1[[#This Row],[1_h]]&amp;"[Dpp]"),MATCH(Table1[[#This Row],[ID]],INDIRECT("NOTA_.xlsx!"&amp;Table1[[#This Row],[1_h]]&amp;"[ID]"),0)),"")</f>
        <v>127111135.13513513</v>
      </c>
      <c r="O42" s="5">
        <f ca="1">IFERROR(INDEX(INDIRECT("NOTA_.xlsx!"&amp;Table1[[#This Row],[1_h]]&amp;"[ppn (11%)]"),MATCH(Table1[[#This Row],[ID]],INDIRECT("NOTA_.xlsx!"&amp;Table1[[#This Row],[1_h]]&amp;"[ID]"),0)),"")</f>
        <v>13982224.864864863</v>
      </c>
      <c r="P42" s="5">
        <f ca="1">IFERROR(INDEX(INDIRECT("NOTA_.xlsx!"&amp;Table1[[#This Row],[1_h]]&amp;"[total]"),MATCH(Table1[[#This Row],[ID]],INDIRECT("NOTA_.xlsx!"&amp;Table1[[#This Row],[1_h]]&amp;"[ID]"),0)),"")</f>
        <v>141093360</v>
      </c>
      <c r="Q42" s="49" t="str">
        <f ca="1">IF(Table1[[#This Row],[NAMA SUPPLIER]]="","",INDEX(conv1[2],MATCH(Table1[[#This Row],[NAMA SUPPLIER]],conv1[1],0)))</f>
        <v>KENKO</v>
      </c>
      <c r="R42" s="4">
        <f ca="1">IF(Table1[[#This Row],[NO. INVOICE]]="","",_xlfn.IFNA(MATCH(Table1[[#This Row],[NO. INVOICE]],'[3]REKAP PEMBELIAN'!$C:$C,0),MATCH(VALUE(Table1[[#This Row],[NO. INVOICE]]),'[3]REKAP PEMBELIAN'!$C:$C,0)))</f>
        <v>574</v>
      </c>
      <c r="S42" s="5"/>
    </row>
    <row r="43" spans="1:19" x14ac:dyDescent="0.25">
      <c r="A43" s="6">
        <f ca="1">IF(Table1[[#This Row],[NAMA SUPPLIER]]="","",MATCH(Table1[[#This Row],[N_ID]],INDIRECT(Table1[[#This Row],[1_h]]&amp;"[N_ID]"),0))</f>
        <v>8</v>
      </c>
      <c r="B43" s="54" t="s">
        <v>63</v>
      </c>
      <c r="C43" s="6">
        <f ca="1">_xlfn.IFNA(INDEX([2]!PAJAK[ID],MATCH(Table1[[#This Row],[N_ID]],[2]!PAJAK[ID_P],0)),"")</f>
        <v>2</v>
      </c>
      <c r="D43" s="6">
        <f ca="1">IF(Table1[[#This Row],[ID]]="","",INDEX([2]!PAJAK[QB],MATCH(Table1[[#This Row],[ID]],[2]!PAJAK[ID],0)))</f>
        <v>4</v>
      </c>
      <c r="E43" s="3">
        <f ca="1">INDEX([2]!PAJAK[TGL.MASUK],MATCH(Table1[[#This Row],[ID]],[2]!PAJAK[ID],0))</f>
        <v>44805</v>
      </c>
      <c r="F43" s="3">
        <f ca="1">INDEX([2]!PAJAK[TGL.NOTA],MATCH(Table1[[#This Row],[ID]],[2]!PAJAK[ID],0))</f>
        <v>44805</v>
      </c>
      <c r="G43" s="6" t="str">
        <f ca="1">INDEX([2]!PAJAK[NO.NOTA],MATCH(Table1[[#This Row],[ID]],[2]!PAJAK[ID],0))</f>
        <v>22090046</v>
      </c>
      <c r="I43" s="4" t="str">
        <f ca="1">INDEX([2]!PAJAK[SUPPLIER],MATCH(Table1[[#This Row],[ID]],[2]!PAJAK[ID],0))</f>
        <v>PT KENKO SINAR INDONESIA</v>
      </c>
      <c r="J43" s="4"/>
      <c r="K43" s="4"/>
      <c r="L43" s="59">
        <f ca="1">IFERROR(INDEX(INDIRECT("NOTA_.xlsx!"&amp;Table1[[#This Row],[1_h]]&amp;"[sub total]"),MATCH(Table1[[#This Row],[ID]],INDIRECT("NOTA_.xlsx!"&amp;Table1[[#This Row],[1_h]]&amp;"[ID]"),0)),"")</f>
        <v>10473600</v>
      </c>
      <c r="M43" s="5">
        <f ca="1">IFERROR(INDEX(INDIRECT("NOTA_.xlsx!"&amp;Table1[[#This Row],[1_h]]&amp;"[diskon]"),MATCH(Table1[[#This Row],[ID]],INDIRECT("NOTA_.xlsx!"&amp;Table1[[#This Row],[1_h]]&amp;"[ID]"),0)),"")</f>
        <v>1780512</v>
      </c>
      <c r="N43" s="5">
        <f ca="1">IFERROR(INDEX(INDIRECT("NOTA_.xlsx!"&amp;Table1[[#This Row],[1_h]]&amp;"[Dpp]"),MATCH(Table1[[#This Row],[ID]],INDIRECT("NOTA_.xlsx!"&amp;Table1[[#This Row],[1_h]]&amp;"[ID]"),0)),"")</f>
        <v>7831610.81081081</v>
      </c>
      <c r="O43" s="5">
        <f ca="1">IFERROR(INDEX(INDIRECT("NOTA_.xlsx!"&amp;Table1[[#This Row],[1_h]]&amp;"[ppn (11%)]"),MATCH(Table1[[#This Row],[ID]],INDIRECT("NOTA_.xlsx!"&amp;Table1[[#This Row],[1_h]]&amp;"[ID]"),0)),"")</f>
        <v>861477.18918918911</v>
      </c>
      <c r="P43" s="5">
        <f ca="1">IFERROR(INDEX(INDIRECT("NOTA_.xlsx!"&amp;Table1[[#This Row],[1_h]]&amp;"[total]"),MATCH(Table1[[#This Row],[ID]],INDIRECT("NOTA_.xlsx!"&amp;Table1[[#This Row],[1_h]]&amp;"[ID]"),0)),"")</f>
        <v>8693088</v>
      </c>
      <c r="Q43" s="49" t="str">
        <f ca="1">IF(Table1[[#This Row],[NAMA SUPPLIER]]="","",INDEX(conv1[2],MATCH(Table1[[#This Row],[NAMA SUPPLIER]],conv1[1],0)))</f>
        <v>KENKO</v>
      </c>
      <c r="R43" s="4">
        <f ca="1">IF(Table1[[#This Row],[NO. INVOICE]]="","",_xlfn.IFNA(MATCH(Table1[[#This Row],[NO. INVOICE]],'[3]REKAP PEMBELIAN'!$C:$C,0),MATCH(VALUE(Table1[[#This Row],[NO. INVOICE]]),'[3]REKAP PEMBELIAN'!$C:$C,0)))</f>
        <v>575</v>
      </c>
      <c r="S43" s="5"/>
    </row>
    <row r="44" spans="1:19" x14ac:dyDescent="0.25">
      <c r="A44" s="6">
        <f ca="1">IF(Table1[[#This Row],[NAMA SUPPLIER]]="","",MATCH(Table1[[#This Row],[N_ID]],INDIRECT(Table1[[#This Row],[1_h]]&amp;"[N_ID]"),0))</f>
        <v>13</v>
      </c>
      <c r="B44" s="54" t="s">
        <v>64</v>
      </c>
      <c r="C44" s="6">
        <f ca="1">_xlfn.IFNA(INDEX([2]!PAJAK[ID],MATCH(Table1[[#This Row],[N_ID]],[2]!PAJAK[ID_P],0)),"")</f>
        <v>9</v>
      </c>
      <c r="D44" s="6">
        <f ca="1">IF(Table1[[#This Row],[ID]]="","",INDEX([2]!PAJAK[QB],MATCH(Table1[[#This Row],[ID]],[2]!PAJAK[ID],0)))</f>
        <v>4</v>
      </c>
      <c r="E44" s="3">
        <f ca="1">INDEX([2]!PAJAK[TGL.MASUK],MATCH(Table1[[#This Row],[ID]],[2]!PAJAK[ID],0))</f>
        <v>44806</v>
      </c>
      <c r="F44" s="3">
        <f ca="1">INDEX([2]!PAJAK[TGL.NOTA],MATCH(Table1[[#This Row],[ID]],[2]!PAJAK[ID],0))</f>
        <v>44805</v>
      </c>
      <c r="G44" s="6" t="str">
        <f ca="1">INDEX([2]!PAJAK[NO.NOTA],MATCH(Table1[[#This Row],[ID]],[2]!PAJAK[ID],0))</f>
        <v>22090060</v>
      </c>
      <c r="I44" s="4" t="str">
        <f ca="1">INDEX([2]!PAJAK[SUPPLIER],MATCH(Table1[[#This Row],[ID]],[2]!PAJAK[ID],0))</f>
        <v>PT KENKO SINAR INDONESIA</v>
      </c>
      <c r="J44" s="4"/>
      <c r="K44" s="4"/>
      <c r="L44" s="59">
        <f ca="1">IFERROR(INDEX(INDIRECT("NOTA_.xlsx!"&amp;Table1[[#This Row],[1_h]]&amp;"[sub total]"),MATCH(Table1[[#This Row],[ID]],INDIRECT("NOTA_.xlsx!"&amp;Table1[[#This Row],[1_h]]&amp;"[ID]"),0)),"")</f>
        <v>32306400</v>
      </c>
      <c r="M44" s="5">
        <f ca="1">IFERROR(INDEX(INDIRECT("NOTA_.xlsx!"&amp;Table1[[#This Row],[1_h]]&amp;"[diskon]"),MATCH(Table1[[#This Row],[ID]],INDIRECT("NOTA_.xlsx!"&amp;Table1[[#This Row],[1_h]]&amp;"[ID]"),0)),"")</f>
        <v>5492088</v>
      </c>
      <c r="N44" s="5">
        <f ca="1">IFERROR(INDEX(INDIRECT("NOTA_.xlsx!"&amp;Table1[[#This Row],[1_h]]&amp;"[Dpp]"),MATCH(Table1[[#This Row],[ID]],INDIRECT("NOTA_.xlsx!"&amp;Table1[[#This Row],[1_h]]&amp;"[ID]"),0)),"")</f>
        <v>24157037.837837834</v>
      </c>
      <c r="O44" s="5">
        <f ca="1">IFERROR(INDEX(INDIRECT("NOTA_.xlsx!"&amp;Table1[[#This Row],[1_h]]&amp;"[ppn (11%)]"),MATCH(Table1[[#This Row],[ID]],INDIRECT("NOTA_.xlsx!"&amp;Table1[[#This Row],[1_h]]&amp;"[ID]"),0)),"")</f>
        <v>2657274.1621621619</v>
      </c>
      <c r="P44" s="5">
        <f ca="1">IFERROR(INDEX(INDIRECT("NOTA_.xlsx!"&amp;Table1[[#This Row],[1_h]]&amp;"[total]"),MATCH(Table1[[#This Row],[ID]],INDIRECT("NOTA_.xlsx!"&amp;Table1[[#This Row],[1_h]]&amp;"[ID]"),0)),"")</f>
        <v>26814311.999999996</v>
      </c>
      <c r="Q44" s="49" t="str">
        <f ca="1">IF(Table1[[#This Row],[NAMA SUPPLIER]]="","",INDEX(conv1[2],MATCH(Table1[[#This Row],[NAMA SUPPLIER]],conv1[1],0)))</f>
        <v>KENKO</v>
      </c>
      <c r="R44" s="4">
        <f ca="1">IF(Table1[[#This Row],[NO. INVOICE]]="","",_xlfn.IFNA(MATCH(Table1[[#This Row],[NO. INVOICE]],'[3]REKAP PEMBELIAN'!$C:$C,0),MATCH(VALUE(Table1[[#This Row],[NO. INVOICE]]),'[3]REKAP PEMBELIAN'!$C:$C,0)))</f>
        <v>576</v>
      </c>
      <c r="S44" s="5"/>
    </row>
    <row r="45" spans="1:19" x14ac:dyDescent="0.25">
      <c r="A45" s="6">
        <f ca="1">IF(Table1[[#This Row],[NAMA SUPPLIER]]="","",MATCH(Table1[[#This Row],[N_ID]],INDIRECT(Table1[[#This Row],[1_h]]&amp;"[N_ID]"),0))</f>
        <v>18</v>
      </c>
      <c r="B45" s="54" t="s">
        <v>65</v>
      </c>
      <c r="C45" s="6">
        <f ca="1">_xlfn.IFNA(INDEX([2]!PAJAK[ID],MATCH(Table1[[#This Row],[N_ID]],[2]!PAJAK[ID_P],0)),"")</f>
        <v>10</v>
      </c>
      <c r="D45" s="6">
        <f ca="1">IF(Table1[[#This Row],[ID]]="","",INDEX([2]!PAJAK[QB],MATCH(Table1[[#This Row],[ID]],[2]!PAJAK[ID],0)))</f>
        <v>4</v>
      </c>
      <c r="E45" s="3">
        <f ca="1">INDEX([2]!PAJAK[TGL.MASUK],MATCH(Table1[[#This Row],[ID]],[2]!PAJAK[ID],0))</f>
        <v>44806</v>
      </c>
      <c r="F45" s="3">
        <f ca="1">INDEX([2]!PAJAK[TGL.NOTA],MATCH(Table1[[#This Row],[ID]],[2]!PAJAK[ID],0))</f>
        <v>44805</v>
      </c>
      <c r="G45" s="6" t="str">
        <f ca="1">INDEX([2]!PAJAK[NO.NOTA],MATCH(Table1[[#This Row],[ID]],[2]!PAJAK[ID],0))</f>
        <v>22090093</v>
      </c>
      <c r="I45" s="4" t="str">
        <f ca="1">INDEX([2]!PAJAK[SUPPLIER],MATCH(Table1[[#This Row],[ID]],[2]!PAJAK[ID],0))</f>
        <v>PT KENKO SINAR INDONESIA</v>
      </c>
      <c r="J45" s="4"/>
      <c r="K45" s="4"/>
      <c r="L45" s="59">
        <f ca="1">IFERROR(INDEX(INDIRECT("NOTA_.xlsx!"&amp;Table1[[#This Row],[1_h]]&amp;"[sub total]"),MATCH(Table1[[#This Row],[ID]],INDIRECT("NOTA_.xlsx!"&amp;Table1[[#This Row],[1_h]]&amp;"[ID]"),0)),"")</f>
        <v>99112200</v>
      </c>
      <c r="M45" s="5">
        <f ca="1">IFERROR(INDEX(INDIRECT("NOTA_.xlsx!"&amp;Table1[[#This Row],[1_h]]&amp;"[diskon]"),MATCH(Table1[[#This Row],[ID]],INDIRECT("NOTA_.xlsx!"&amp;Table1[[#This Row],[1_h]]&amp;"[ID]"),0)),"")</f>
        <v>16849074.000000004</v>
      </c>
      <c r="N45" s="5">
        <f ca="1">IFERROR(INDEX(INDIRECT("NOTA_.xlsx!"&amp;Table1[[#This Row],[1_h]]&amp;"[Dpp]"),MATCH(Table1[[#This Row],[ID]],INDIRECT("NOTA_.xlsx!"&amp;Table1[[#This Row],[1_h]]&amp;"[ID]"),0)),"")</f>
        <v>74110924.324324325</v>
      </c>
      <c r="O45" s="5">
        <f ca="1">IFERROR(INDEX(INDIRECT("NOTA_.xlsx!"&amp;Table1[[#This Row],[1_h]]&amp;"[ppn (11%)]"),MATCH(Table1[[#This Row],[ID]],INDIRECT("NOTA_.xlsx!"&amp;Table1[[#This Row],[1_h]]&amp;"[ID]"),0)),"")</f>
        <v>8152201.6756756762</v>
      </c>
      <c r="P45" s="5">
        <f ca="1">IFERROR(INDEX(INDIRECT("NOTA_.xlsx!"&amp;Table1[[#This Row],[1_h]]&amp;"[total]"),MATCH(Table1[[#This Row],[ID]],INDIRECT("NOTA_.xlsx!"&amp;Table1[[#This Row],[1_h]]&amp;"[ID]"),0)),"")</f>
        <v>82263126</v>
      </c>
      <c r="Q45" s="49" t="str">
        <f ca="1">IF(Table1[[#This Row],[NAMA SUPPLIER]]="","",INDEX(conv1[2],MATCH(Table1[[#This Row],[NAMA SUPPLIER]],conv1[1],0)))</f>
        <v>KENKO</v>
      </c>
      <c r="R45" s="4">
        <f ca="1">IF(Table1[[#This Row],[NO. INVOICE]]="","",_xlfn.IFNA(MATCH(Table1[[#This Row],[NO. INVOICE]],'[3]REKAP PEMBELIAN'!$C:$C,0),MATCH(VALUE(Table1[[#This Row],[NO. INVOICE]]),'[3]REKAP PEMBELIAN'!$C:$C,0)))</f>
        <v>577</v>
      </c>
      <c r="S45" s="5"/>
    </row>
    <row r="46" spans="1:19" x14ac:dyDescent="0.25">
      <c r="A46" s="6">
        <f ca="1">IF(Table1[[#This Row],[NAMA SUPPLIER]]="","",MATCH(Table1[[#This Row],[N_ID]],INDIRECT(Table1[[#This Row],[1_h]]&amp;"[N_ID]"),0))</f>
        <v>23</v>
      </c>
      <c r="B46" s="54" t="s">
        <v>66</v>
      </c>
      <c r="C46" s="6">
        <f ca="1">_xlfn.IFNA(INDEX([2]!PAJAK[ID],MATCH(Table1[[#This Row],[N_ID]],[2]!PAJAK[ID_P],0)),"")</f>
        <v>19</v>
      </c>
      <c r="D46" s="6">
        <f ca="1">IF(Table1[[#This Row],[ID]]="","",INDEX([2]!PAJAK[QB],MATCH(Table1[[#This Row],[ID]],[2]!PAJAK[ID],0)))</f>
        <v>4</v>
      </c>
      <c r="E46" s="3">
        <f ca="1">INDEX([2]!PAJAK[TGL.MASUK],MATCH(Table1[[#This Row],[ID]],[2]!PAJAK[ID],0))</f>
        <v>44809</v>
      </c>
      <c r="F46" s="3">
        <f ca="1">INDEX([2]!PAJAK[TGL.NOTA],MATCH(Table1[[#This Row],[ID]],[2]!PAJAK[ID],0))</f>
        <v>44806</v>
      </c>
      <c r="G46" s="6" t="str">
        <f ca="1">INDEX([2]!PAJAK[NO.NOTA],MATCH(Table1[[#This Row],[ID]],[2]!PAJAK[ID],0))</f>
        <v>22090175</v>
      </c>
      <c r="I46" s="4" t="str">
        <f ca="1">INDEX([2]!PAJAK[SUPPLIER],MATCH(Table1[[#This Row],[ID]],[2]!PAJAK[ID],0))</f>
        <v>PT KENKO SINAR INDONESIA</v>
      </c>
      <c r="J46" s="4"/>
      <c r="K46" s="4"/>
      <c r="L46" s="59">
        <f ca="1">IFERROR(INDEX(INDIRECT("NOTA_.xlsx!"&amp;Table1[[#This Row],[1_h]]&amp;"[sub total]"),MATCH(Table1[[#This Row],[ID]],INDIRECT("NOTA_.xlsx!"&amp;Table1[[#This Row],[1_h]]&amp;"[ID]"),0)),"")</f>
        <v>10512000</v>
      </c>
      <c r="M46" s="5">
        <f ca="1">IFERROR(INDEX(INDIRECT("NOTA_.xlsx!"&amp;Table1[[#This Row],[1_h]]&amp;"[diskon]"),MATCH(Table1[[#This Row],[ID]],INDIRECT("NOTA_.xlsx!"&amp;Table1[[#This Row],[1_h]]&amp;"[ID]"),0)),"")</f>
        <v>1787040.0000000002</v>
      </c>
      <c r="N46" s="5">
        <f ca="1">IFERROR(INDEX(INDIRECT("NOTA_.xlsx!"&amp;Table1[[#This Row],[1_h]]&amp;"[Dpp]"),MATCH(Table1[[#This Row],[ID]],INDIRECT("NOTA_.xlsx!"&amp;Table1[[#This Row],[1_h]]&amp;"[ID]"),0)),"")</f>
        <v>7860324.3243243238</v>
      </c>
      <c r="O46" s="5">
        <f ca="1">IFERROR(INDEX(INDIRECT("NOTA_.xlsx!"&amp;Table1[[#This Row],[1_h]]&amp;"[ppn (11%)]"),MATCH(Table1[[#This Row],[ID]],INDIRECT("NOTA_.xlsx!"&amp;Table1[[#This Row],[1_h]]&amp;"[ID]"),0)),"")</f>
        <v>864635.67567567562</v>
      </c>
      <c r="P46" s="5">
        <f ca="1">IFERROR(INDEX(INDIRECT("NOTA_.xlsx!"&amp;Table1[[#This Row],[1_h]]&amp;"[total]"),MATCH(Table1[[#This Row],[ID]],INDIRECT("NOTA_.xlsx!"&amp;Table1[[#This Row],[1_h]]&amp;"[ID]"),0)),"")</f>
        <v>8724960</v>
      </c>
      <c r="Q46" s="49" t="str">
        <f ca="1">IF(Table1[[#This Row],[NAMA SUPPLIER]]="","",INDEX(conv1[2],MATCH(Table1[[#This Row],[NAMA SUPPLIER]],conv1[1],0)))</f>
        <v>KENKO</v>
      </c>
      <c r="R46" s="4">
        <f ca="1">IF(Table1[[#This Row],[NO. INVOICE]]="","",_xlfn.IFNA(MATCH(Table1[[#This Row],[NO. INVOICE]],'[3]REKAP PEMBELIAN'!$C:$C,0),MATCH(VALUE(Table1[[#This Row],[NO. INVOICE]]),'[3]REKAP PEMBELIAN'!$C:$C,0)))</f>
        <v>578</v>
      </c>
      <c r="S46" s="5"/>
    </row>
    <row r="47" spans="1:19" x14ac:dyDescent="0.25">
      <c r="A47" s="6">
        <f ca="1">IF(Table1[[#This Row],[NAMA SUPPLIER]]="","",MATCH(Table1[[#This Row],[N_ID]],INDIRECT(Table1[[#This Row],[1_h]]&amp;"[N_ID]"),0))</f>
        <v>28</v>
      </c>
      <c r="B47" s="54" t="s">
        <v>67</v>
      </c>
      <c r="C47" s="6">
        <f ca="1">_xlfn.IFNA(INDEX([2]!PAJAK[ID],MATCH(Table1[[#This Row],[N_ID]],[2]!PAJAK[ID_P],0)),"")</f>
        <v>31</v>
      </c>
      <c r="D47" s="6">
        <f ca="1">IF(Table1[[#This Row],[ID]]="","",INDEX([2]!PAJAK[QB],MATCH(Table1[[#This Row],[ID]],[2]!PAJAK[ID],0)))</f>
        <v>6</v>
      </c>
      <c r="E47" s="3">
        <f ca="1">INDEX([2]!PAJAK[TGL.MASUK],MATCH(Table1[[#This Row],[ID]],[2]!PAJAK[ID],0))</f>
        <v>44813</v>
      </c>
      <c r="F47" s="3">
        <f ca="1">INDEX([2]!PAJAK[TGL.NOTA],MATCH(Table1[[#This Row],[ID]],[2]!PAJAK[ID],0))</f>
        <v>44809</v>
      </c>
      <c r="G47" s="6" t="str">
        <f ca="1">INDEX([2]!PAJAK[NO.NOTA],MATCH(Table1[[#This Row],[ID]],[2]!PAJAK[ID],0))</f>
        <v>22090305</v>
      </c>
      <c r="I47" s="4" t="str">
        <f ca="1">INDEX([2]!PAJAK[SUPPLIER],MATCH(Table1[[#This Row],[ID]],[2]!PAJAK[ID],0))</f>
        <v>PT KENKO SINAR INDONESIA</v>
      </c>
      <c r="J47" s="4"/>
      <c r="K47" s="4"/>
      <c r="L47" s="59">
        <f ca="1">IFERROR(INDEX(INDIRECT("NOTA_.xlsx!"&amp;Table1[[#This Row],[1_h]]&amp;"[sub total]"),MATCH(Table1[[#This Row],[ID]],INDIRECT("NOTA_.xlsx!"&amp;Table1[[#This Row],[1_h]]&amp;"[ID]"),0)),"")</f>
        <v>25277200</v>
      </c>
      <c r="M47" s="5">
        <f ca="1">IFERROR(INDEX(INDIRECT("NOTA_.xlsx!"&amp;Table1[[#This Row],[1_h]]&amp;"[diskon]"),MATCH(Table1[[#This Row],[ID]],INDIRECT("NOTA_.xlsx!"&amp;Table1[[#This Row],[1_h]]&amp;"[ID]"),0)),"")</f>
        <v>4297124</v>
      </c>
      <c r="N47" s="5">
        <f ca="1">IFERROR(INDEX(INDIRECT("NOTA_.xlsx!"&amp;Table1[[#This Row],[1_h]]&amp;"[Dpp]"),MATCH(Table1[[#This Row],[ID]],INDIRECT("NOTA_.xlsx!"&amp;Table1[[#This Row],[1_h]]&amp;"[ID]"),0)),"")</f>
        <v>18900969.369369369</v>
      </c>
      <c r="O47" s="5">
        <f ca="1">IFERROR(INDEX(INDIRECT("NOTA_.xlsx!"&amp;Table1[[#This Row],[1_h]]&amp;"[ppn (11%)]"),MATCH(Table1[[#This Row],[ID]],INDIRECT("NOTA_.xlsx!"&amp;Table1[[#This Row],[1_h]]&amp;"[ID]"),0)),"")</f>
        <v>2079106.6306306305</v>
      </c>
      <c r="P47" s="5">
        <f ca="1">IFERROR(INDEX(INDIRECT("NOTA_.xlsx!"&amp;Table1[[#This Row],[1_h]]&amp;"[total]"),MATCH(Table1[[#This Row],[ID]],INDIRECT("NOTA_.xlsx!"&amp;Table1[[#This Row],[1_h]]&amp;"[ID]"),0)),"")</f>
        <v>20980076</v>
      </c>
      <c r="Q47" s="49" t="str">
        <f ca="1">IF(Table1[[#This Row],[NAMA SUPPLIER]]="","",INDEX(conv1[2],MATCH(Table1[[#This Row],[NAMA SUPPLIER]],conv1[1],0)))</f>
        <v>KENKO</v>
      </c>
      <c r="R47" s="4">
        <f ca="1">IF(Table1[[#This Row],[NO. INVOICE]]="","",_xlfn.IFNA(MATCH(Table1[[#This Row],[NO. INVOICE]],'[3]REKAP PEMBELIAN'!$C:$C,0),MATCH(VALUE(Table1[[#This Row],[NO. INVOICE]]),'[3]REKAP PEMBELIAN'!$C:$C,0)))</f>
        <v>579</v>
      </c>
      <c r="S47" s="5"/>
    </row>
    <row r="48" spans="1:19" x14ac:dyDescent="0.25">
      <c r="A48" s="6">
        <f ca="1">IF(Table1[[#This Row],[NAMA SUPPLIER]]="","",MATCH(Table1[[#This Row],[N_ID]],INDIRECT(Table1[[#This Row],[1_h]]&amp;"[N_ID]"),0))</f>
        <v>35</v>
      </c>
      <c r="B48" s="54" t="s">
        <v>68</v>
      </c>
      <c r="C48" s="6">
        <f ca="1">_xlfn.IFNA(INDEX([2]!PAJAK[ID],MATCH(Table1[[#This Row],[N_ID]],[2]!PAJAK[ID_P],0)),"")</f>
        <v>27</v>
      </c>
      <c r="D48" s="6">
        <f ca="1">IF(Table1[[#This Row],[ID]]="","",INDEX([2]!PAJAK[QB],MATCH(Table1[[#This Row],[ID]],[2]!PAJAK[ID],0)))</f>
        <v>7</v>
      </c>
      <c r="E48" s="3">
        <f ca="1">INDEX([2]!PAJAK[TGL.MASUK],MATCH(Table1[[#This Row],[ID]],[2]!PAJAK[ID],0))</f>
        <v>44812</v>
      </c>
      <c r="F48" s="3">
        <f ca="1">INDEX([2]!PAJAK[TGL.NOTA],MATCH(Table1[[#This Row],[ID]],[2]!PAJAK[ID],0))</f>
        <v>44810</v>
      </c>
      <c r="G48" s="6" t="str">
        <f ca="1">INDEX([2]!PAJAK[NO.NOTA],MATCH(Table1[[#This Row],[ID]],[2]!PAJAK[ID],0))</f>
        <v>22090393</v>
      </c>
      <c r="I48" s="4" t="str">
        <f ca="1">INDEX([2]!PAJAK[SUPPLIER],MATCH(Table1[[#This Row],[ID]],[2]!PAJAK[ID],0))</f>
        <v>PT KENKO SINAR INDONESIA</v>
      </c>
      <c r="J48" s="4"/>
      <c r="K48" s="4"/>
      <c r="L48" s="59">
        <f ca="1">IFERROR(INDEX(INDIRECT("NOTA_.xlsx!"&amp;Table1[[#This Row],[1_h]]&amp;"[sub total]"),MATCH(Table1[[#This Row],[ID]],INDIRECT("NOTA_.xlsx!"&amp;Table1[[#This Row],[1_h]]&amp;"[ID]"),0)),"")</f>
        <v>162412800</v>
      </c>
      <c r="M48" s="5">
        <f ca="1">IFERROR(INDEX(INDIRECT("NOTA_.xlsx!"&amp;Table1[[#This Row],[1_h]]&amp;"[diskon]"),MATCH(Table1[[#This Row],[ID]],INDIRECT("NOTA_.xlsx!"&amp;Table1[[#This Row],[1_h]]&amp;"[ID]"),0)),"")</f>
        <v>27610176</v>
      </c>
      <c r="N48" s="5">
        <f ca="1">IFERROR(INDEX(INDIRECT("NOTA_.xlsx!"&amp;Table1[[#This Row],[1_h]]&amp;"[Dpp]"),MATCH(Table1[[#This Row],[ID]],INDIRECT("NOTA_.xlsx!"&amp;Table1[[#This Row],[1_h]]&amp;"[ID]"),0)),"")</f>
        <v>121443805.40540539</v>
      </c>
      <c r="O48" s="5">
        <f ca="1">IFERROR(INDEX(INDIRECT("NOTA_.xlsx!"&amp;Table1[[#This Row],[1_h]]&amp;"[ppn (11%)]"),MATCH(Table1[[#This Row],[ID]],INDIRECT("NOTA_.xlsx!"&amp;Table1[[#This Row],[1_h]]&amp;"[ID]"),0)),"")</f>
        <v>13358818.594594592</v>
      </c>
      <c r="P48" s="5">
        <f ca="1">IFERROR(INDEX(INDIRECT("NOTA_.xlsx!"&amp;Table1[[#This Row],[1_h]]&amp;"[total]"),MATCH(Table1[[#This Row],[ID]],INDIRECT("NOTA_.xlsx!"&amp;Table1[[#This Row],[1_h]]&amp;"[ID]"),0)),"")</f>
        <v>134802623.99999997</v>
      </c>
      <c r="Q48" s="49" t="str">
        <f ca="1">IF(Table1[[#This Row],[NAMA SUPPLIER]]="","",INDEX(conv1[2],MATCH(Table1[[#This Row],[NAMA SUPPLIER]],conv1[1],0)))</f>
        <v>KENKO</v>
      </c>
      <c r="R48" s="4">
        <f ca="1">IF(Table1[[#This Row],[NO. INVOICE]]="","",_xlfn.IFNA(MATCH(Table1[[#This Row],[NO. INVOICE]],'[3]REKAP PEMBELIAN'!$C:$C,0),MATCH(VALUE(Table1[[#This Row],[NO. INVOICE]]),'[3]REKAP PEMBELIAN'!$C:$C,0)))</f>
        <v>580</v>
      </c>
      <c r="S48" s="5"/>
    </row>
    <row r="49" spans="1:19" x14ac:dyDescent="0.25">
      <c r="A49" s="6">
        <f ca="1">IF(Table1[[#This Row],[NAMA SUPPLIER]]="","",MATCH(Table1[[#This Row],[N_ID]],INDIRECT(Table1[[#This Row],[1_h]]&amp;"[N_ID]"),0))</f>
        <v>43</v>
      </c>
      <c r="B49" s="54" t="s">
        <v>69</v>
      </c>
      <c r="C49" s="6">
        <f ca="1">_xlfn.IFNA(INDEX([2]!PAJAK[ID],MATCH(Table1[[#This Row],[N_ID]],[2]!PAJAK[ID_P],0)),"")</f>
        <v>32</v>
      </c>
      <c r="D49" s="6">
        <f ca="1">IF(Table1[[#This Row],[ID]]="","",INDEX([2]!PAJAK[QB],MATCH(Table1[[#This Row],[ID]],[2]!PAJAK[ID],0)))</f>
        <v>6</v>
      </c>
      <c r="E49" s="3">
        <f ca="1">INDEX([2]!PAJAK[TGL.MASUK],MATCH(Table1[[#This Row],[ID]],[2]!PAJAK[ID],0))</f>
        <v>44813</v>
      </c>
      <c r="F49" s="3">
        <f ca="1">INDEX([2]!PAJAK[TGL.NOTA],MATCH(Table1[[#This Row],[ID]],[2]!PAJAK[ID],0))</f>
        <v>44811</v>
      </c>
      <c r="G49" s="6" t="str">
        <f ca="1">INDEX([2]!PAJAK[NO.NOTA],MATCH(Table1[[#This Row],[ID]],[2]!PAJAK[ID],0))</f>
        <v>22090527</v>
      </c>
      <c r="I49" s="4" t="str">
        <f ca="1">INDEX([2]!PAJAK[SUPPLIER],MATCH(Table1[[#This Row],[ID]],[2]!PAJAK[ID],0))</f>
        <v>PT KENKO SINAR INDONESIA</v>
      </c>
      <c r="J49" s="4"/>
      <c r="K49" s="4"/>
      <c r="L49" s="59">
        <f ca="1">IFERROR(INDEX(INDIRECT("NOTA_.xlsx!"&amp;Table1[[#This Row],[1_h]]&amp;"[sub total]"),MATCH(Table1[[#This Row],[ID]],INDIRECT("NOTA_.xlsx!"&amp;Table1[[#This Row],[1_h]]&amp;"[ID]"),0)),"")</f>
        <v>24195600</v>
      </c>
      <c r="M49" s="5">
        <f ca="1">IFERROR(INDEX(INDIRECT("NOTA_.xlsx!"&amp;Table1[[#This Row],[1_h]]&amp;"[diskon]"),MATCH(Table1[[#This Row],[ID]],INDIRECT("NOTA_.xlsx!"&amp;Table1[[#This Row],[1_h]]&amp;"[ID]"),0)),"")</f>
        <v>4113252</v>
      </c>
      <c r="N49" s="5">
        <f ca="1">IFERROR(INDEX(INDIRECT("NOTA_.xlsx!"&amp;Table1[[#This Row],[1_h]]&amp;"[Dpp]"),MATCH(Table1[[#This Row],[ID]],INDIRECT("NOTA_.xlsx!"&amp;Table1[[#This Row],[1_h]]&amp;"[ID]"),0)),"")</f>
        <v>18092205.405405402</v>
      </c>
      <c r="O49" s="5">
        <f ca="1">IFERROR(INDEX(INDIRECT("NOTA_.xlsx!"&amp;Table1[[#This Row],[1_h]]&amp;"[ppn (11%)]"),MATCH(Table1[[#This Row],[ID]],INDIRECT("NOTA_.xlsx!"&amp;Table1[[#This Row],[1_h]]&amp;"[ID]"),0)),"")</f>
        <v>1990142.5945945943</v>
      </c>
      <c r="P49" s="5">
        <f ca="1">IFERROR(INDEX(INDIRECT("NOTA_.xlsx!"&amp;Table1[[#This Row],[1_h]]&amp;"[total]"),MATCH(Table1[[#This Row],[ID]],INDIRECT("NOTA_.xlsx!"&amp;Table1[[#This Row],[1_h]]&amp;"[ID]"),0)),"")</f>
        <v>20082347.999999996</v>
      </c>
      <c r="Q49" s="49" t="str">
        <f ca="1">IF(Table1[[#This Row],[NAMA SUPPLIER]]="","",INDEX(conv1[2],MATCH(Table1[[#This Row],[NAMA SUPPLIER]],conv1[1],0)))</f>
        <v>KENKO</v>
      </c>
      <c r="R49" s="4">
        <f ca="1">IF(Table1[[#This Row],[NO. INVOICE]]="","",_xlfn.IFNA(MATCH(Table1[[#This Row],[NO. INVOICE]],'[3]REKAP PEMBELIAN'!$C:$C,0),MATCH(VALUE(Table1[[#This Row],[NO. INVOICE]]),'[3]REKAP PEMBELIAN'!$C:$C,0)))</f>
        <v>581</v>
      </c>
      <c r="S49" s="5"/>
    </row>
    <row r="50" spans="1:19" x14ac:dyDescent="0.25">
      <c r="A50" s="6">
        <f ca="1">IF(Table1[[#This Row],[NAMA SUPPLIER]]="","",MATCH(Table1[[#This Row],[N_ID]],INDIRECT(Table1[[#This Row],[1_h]]&amp;"[N_ID]"),0))</f>
        <v>50</v>
      </c>
      <c r="B50" s="54" t="s">
        <v>70</v>
      </c>
      <c r="C50" s="6">
        <f ca="1">_xlfn.IFNA(INDEX([2]!PAJAK[ID],MATCH(Table1[[#This Row],[N_ID]],[2]!PAJAK[ID_P],0)),"")</f>
        <v>35</v>
      </c>
      <c r="D50" s="6">
        <f ca="1">IF(Table1[[#This Row],[ID]]="","",INDEX([2]!PAJAK[QB],MATCH(Table1[[#This Row],[ID]],[2]!PAJAK[ID],0)))</f>
        <v>11</v>
      </c>
      <c r="E50" s="3">
        <f ca="1">INDEX([2]!PAJAK[TGL.MASUK],MATCH(Table1[[#This Row],[ID]],[2]!PAJAK[ID],0))</f>
        <v>44816</v>
      </c>
      <c r="F50" s="3">
        <f ca="1">INDEX([2]!PAJAK[TGL.NOTA],MATCH(Table1[[#This Row],[ID]],[2]!PAJAK[ID],0))</f>
        <v>44812</v>
      </c>
      <c r="G50" s="6" t="str">
        <f ca="1">INDEX([2]!PAJAK[NO.NOTA],MATCH(Table1[[#This Row],[ID]],[2]!PAJAK[ID],0))</f>
        <v>22090636</v>
      </c>
      <c r="I50" s="4" t="str">
        <f ca="1">INDEX([2]!PAJAK[SUPPLIER],MATCH(Table1[[#This Row],[ID]],[2]!PAJAK[ID],0))</f>
        <v>PT KENKO SINAR INDONESIA</v>
      </c>
      <c r="J50" s="4"/>
      <c r="K50" s="4"/>
      <c r="L50" s="59">
        <f ca="1">IFERROR(INDEX(INDIRECT("NOTA_.xlsx!"&amp;Table1[[#This Row],[1_h]]&amp;"[sub total]"),MATCH(Table1[[#This Row],[ID]],INDIRECT("NOTA_.xlsx!"&amp;Table1[[#This Row],[1_h]]&amp;"[ID]"),0)),"")</f>
        <v>30797200</v>
      </c>
      <c r="M50" s="5">
        <f ca="1">IFERROR(INDEX(INDIRECT("NOTA_.xlsx!"&amp;Table1[[#This Row],[1_h]]&amp;"[diskon]"),MATCH(Table1[[#This Row],[ID]],INDIRECT("NOTA_.xlsx!"&amp;Table1[[#This Row],[1_h]]&amp;"[ID]"),0)),"")</f>
        <v>5235524</v>
      </c>
      <c r="N50" s="5">
        <f ca="1">IFERROR(INDEX(INDIRECT("NOTA_.xlsx!"&amp;Table1[[#This Row],[1_h]]&amp;"[Dpp]"),MATCH(Table1[[#This Row],[ID]],INDIRECT("NOTA_.xlsx!"&amp;Table1[[#This Row],[1_h]]&amp;"[ID]"),0)),"")</f>
        <v>23028536.936936934</v>
      </c>
      <c r="O50" s="5">
        <f ca="1">IFERROR(INDEX(INDIRECT("NOTA_.xlsx!"&amp;Table1[[#This Row],[1_h]]&amp;"[ppn (11%)]"),MATCH(Table1[[#This Row],[ID]],INDIRECT("NOTA_.xlsx!"&amp;Table1[[#This Row],[1_h]]&amp;"[ID]"),0)),"")</f>
        <v>2533139.0630630627</v>
      </c>
      <c r="P50" s="5">
        <f ca="1">IFERROR(INDEX(INDIRECT("NOTA_.xlsx!"&amp;Table1[[#This Row],[1_h]]&amp;"[total]"),MATCH(Table1[[#This Row],[ID]],INDIRECT("NOTA_.xlsx!"&amp;Table1[[#This Row],[1_h]]&amp;"[ID]"),0)),"")</f>
        <v>25561675.999999996</v>
      </c>
      <c r="Q50" s="49" t="str">
        <f ca="1">IF(Table1[[#This Row],[NAMA SUPPLIER]]="","",INDEX(conv1[2],MATCH(Table1[[#This Row],[NAMA SUPPLIER]],conv1[1],0)))</f>
        <v>KENKO</v>
      </c>
      <c r="R50" s="4">
        <f ca="1">IF(Table1[[#This Row],[NO. INVOICE]]="","",_xlfn.IFNA(MATCH(Table1[[#This Row],[NO. INVOICE]],'[3]REKAP PEMBELIAN'!$C:$C,0),MATCH(VALUE(Table1[[#This Row],[NO. INVOICE]]),'[3]REKAP PEMBELIAN'!$C:$C,0)))</f>
        <v>582</v>
      </c>
      <c r="S50" s="5"/>
    </row>
    <row r="51" spans="1:19" x14ac:dyDescent="0.25">
      <c r="A51" s="6">
        <f ca="1">IF(Table1[[#This Row],[NAMA SUPPLIER]]="","",MATCH(Table1[[#This Row],[N_ID]],INDIRECT(Table1[[#This Row],[1_h]]&amp;"[N_ID]"),0))</f>
        <v>62</v>
      </c>
      <c r="B51" s="54" t="s">
        <v>71</v>
      </c>
      <c r="C51" s="6">
        <f ca="1">_xlfn.IFNA(INDEX([2]!PAJAK[ID],MATCH(Table1[[#This Row],[N_ID]],[2]!PAJAK[ID_P],0)),"")</f>
        <v>36</v>
      </c>
      <c r="D51" s="6">
        <f ca="1">IF(Table1[[#This Row],[ID]]="","",INDEX([2]!PAJAK[QB],MATCH(Table1[[#This Row],[ID]],[2]!PAJAK[ID],0)))</f>
        <v>8</v>
      </c>
      <c r="E51" s="3">
        <f ca="1">INDEX([2]!PAJAK[TGL.MASUK],MATCH(Table1[[#This Row],[ID]],[2]!PAJAK[ID],0))</f>
        <v>44816</v>
      </c>
      <c r="F51" s="3">
        <f ca="1">INDEX([2]!PAJAK[TGL.NOTA],MATCH(Table1[[#This Row],[ID]],[2]!PAJAK[ID],0))</f>
        <v>44813</v>
      </c>
      <c r="G51" s="6" t="str">
        <f ca="1">INDEX([2]!PAJAK[NO.NOTA],MATCH(Table1[[#This Row],[ID]],[2]!PAJAK[ID],0))</f>
        <v>22090728</v>
      </c>
      <c r="I51" s="4" t="str">
        <f ca="1">INDEX([2]!PAJAK[SUPPLIER],MATCH(Table1[[#This Row],[ID]],[2]!PAJAK[ID],0))</f>
        <v>PT KENKO SINAR INDONESIA</v>
      </c>
      <c r="J51" s="4"/>
      <c r="K51" s="4"/>
      <c r="L51" s="59">
        <f ca="1">IFERROR(INDEX(INDIRECT("NOTA_.xlsx!"&amp;Table1[[#This Row],[1_h]]&amp;"[sub total]"),MATCH(Table1[[#This Row],[ID]],INDIRECT("NOTA_.xlsx!"&amp;Table1[[#This Row],[1_h]]&amp;"[ID]"),0)),"")</f>
        <v>62512000</v>
      </c>
      <c r="M51" s="5">
        <f ca="1">IFERROR(INDEX(INDIRECT("NOTA_.xlsx!"&amp;Table1[[#This Row],[1_h]]&amp;"[diskon]"),MATCH(Table1[[#This Row],[ID]],INDIRECT("NOTA_.xlsx!"&amp;Table1[[#This Row],[1_h]]&amp;"[ID]"),0)),"")</f>
        <v>10627040</v>
      </c>
      <c r="N51" s="5">
        <f ca="1">IFERROR(INDEX(INDIRECT("NOTA_.xlsx!"&amp;Table1[[#This Row],[1_h]]&amp;"[Dpp]"),MATCH(Table1[[#This Row],[ID]],INDIRECT("NOTA_.xlsx!"&amp;Table1[[#This Row],[1_h]]&amp;"[ID]"),0)),"")</f>
        <v>46743207.207207203</v>
      </c>
      <c r="O51" s="5">
        <f ca="1">IFERROR(INDEX(INDIRECT("NOTA_.xlsx!"&amp;Table1[[#This Row],[1_h]]&amp;"[ppn (11%)]"),MATCH(Table1[[#This Row],[ID]],INDIRECT("NOTA_.xlsx!"&amp;Table1[[#This Row],[1_h]]&amp;"[ID]"),0)),"")</f>
        <v>5141752.7927927924</v>
      </c>
      <c r="P51" s="5">
        <f ca="1">IFERROR(INDEX(INDIRECT("NOTA_.xlsx!"&amp;Table1[[#This Row],[1_h]]&amp;"[total]"),MATCH(Table1[[#This Row],[ID]],INDIRECT("NOTA_.xlsx!"&amp;Table1[[#This Row],[1_h]]&amp;"[ID]"),0)),"")</f>
        <v>51884959.999999993</v>
      </c>
      <c r="Q51" s="49" t="str">
        <f ca="1">IF(Table1[[#This Row],[NAMA SUPPLIER]]="","",INDEX(conv1[2],MATCH(Table1[[#This Row],[NAMA SUPPLIER]],conv1[1],0)))</f>
        <v>KENKO</v>
      </c>
      <c r="R51" s="4">
        <f ca="1">IF(Table1[[#This Row],[NO. INVOICE]]="","",_xlfn.IFNA(MATCH(Table1[[#This Row],[NO. INVOICE]],'[3]REKAP PEMBELIAN'!$C:$C,0),MATCH(VALUE(Table1[[#This Row],[NO. INVOICE]]),'[3]REKAP PEMBELIAN'!$C:$C,0)))</f>
        <v>583</v>
      </c>
      <c r="S51" s="5"/>
    </row>
    <row r="52" spans="1:19" x14ac:dyDescent="0.25">
      <c r="A52" s="6">
        <f ca="1">IF(Table1[[#This Row],[NAMA SUPPLIER]]="","",MATCH(Table1[[#This Row],[N_ID]],INDIRECT(Table1[[#This Row],[1_h]]&amp;"[N_ID]"),0))</f>
        <v>71</v>
      </c>
      <c r="B52" s="54" t="s">
        <v>72</v>
      </c>
      <c r="C52" s="6">
        <f ca="1">_xlfn.IFNA(INDEX([2]!PAJAK[ID],MATCH(Table1[[#This Row],[N_ID]],[2]!PAJAK[ID_P],0)),"")</f>
        <v>37</v>
      </c>
      <c r="D52" s="6">
        <f ca="1">IF(Table1[[#This Row],[ID]]="","",INDEX([2]!PAJAK[QB],MATCH(Table1[[#This Row],[ID]],[2]!PAJAK[ID],0)))</f>
        <v>6</v>
      </c>
      <c r="E52" s="3">
        <f ca="1">INDEX([2]!PAJAK[TGL.MASUK],MATCH(Table1[[#This Row],[ID]],[2]!PAJAK[ID],0))</f>
        <v>44816</v>
      </c>
      <c r="F52" s="3">
        <f ca="1">INDEX([2]!PAJAK[TGL.NOTA],MATCH(Table1[[#This Row],[ID]],[2]!PAJAK[ID],0))</f>
        <v>44813</v>
      </c>
      <c r="G52" s="6" t="str">
        <f ca="1">INDEX([2]!PAJAK[NO.NOTA],MATCH(Table1[[#This Row],[ID]],[2]!PAJAK[ID],0))</f>
        <v>22090754</v>
      </c>
      <c r="I52" s="4" t="str">
        <f ca="1">INDEX([2]!PAJAK[SUPPLIER],MATCH(Table1[[#This Row],[ID]],[2]!PAJAK[ID],0))</f>
        <v>PT KENKO SINAR INDONESIA</v>
      </c>
      <c r="J52" s="4"/>
      <c r="K52" s="4"/>
      <c r="L52" s="59">
        <f ca="1">IFERROR(INDEX(INDIRECT("NOTA_.xlsx!"&amp;Table1[[#This Row],[1_h]]&amp;"[sub total]"),MATCH(Table1[[#This Row],[ID]],INDIRECT("NOTA_.xlsx!"&amp;Table1[[#This Row],[1_h]]&amp;"[ID]"),0)),"")</f>
        <v>27871600</v>
      </c>
      <c r="M52" s="5">
        <f ca="1">IFERROR(INDEX(INDIRECT("NOTA_.xlsx!"&amp;Table1[[#This Row],[1_h]]&amp;"[diskon]"),MATCH(Table1[[#This Row],[ID]],INDIRECT("NOTA_.xlsx!"&amp;Table1[[#This Row],[1_h]]&amp;"[ID]"),0)),"")</f>
        <v>4738172</v>
      </c>
      <c r="N52" s="5">
        <f ca="1">IFERROR(INDEX(INDIRECT("NOTA_.xlsx!"&amp;Table1[[#This Row],[1_h]]&amp;"[Dpp]"),MATCH(Table1[[#This Row],[ID]],INDIRECT("NOTA_.xlsx!"&amp;Table1[[#This Row],[1_h]]&amp;"[ID]"),0)),"")</f>
        <v>20840926.126126125</v>
      </c>
      <c r="O52" s="5">
        <f ca="1">IFERROR(INDEX(INDIRECT("NOTA_.xlsx!"&amp;Table1[[#This Row],[1_h]]&amp;"[ppn (11%)]"),MATCH(Table1[[#This Row],[ID]],INDIRECT("NOTA_.xlsx!"&amp;Table1[[#This Row],[1_h]]&amp;"[ID]"),0)),"")</f>
        <v>2292501.8738738736</v>
      </c>
      <c r="P52" s="5">
        <f ca="1">IFERROR(INDEX(INDIRECT("NOTA_.xlsx!"&amp;Table1[[#This Row],[1_h]]&amp;"[total]"),MATCH(Table1[[#This Row],[ID]],INDIRECT("NOTA_.xlsx!"&amp;Table1[[#This Row],[1_h]]&amp;"[ID]"),0)),"")</f>
        <v>23133428</v>
      </c>
      <c r="Q52" s="49" t="str">
        <f ca="1">IF(Table1[[#This Row],[NAMA SUPPLIER]]="","",INDEX(conv1[2],MATCH(Table1[[#This Row],[NAMA SUPPLIER]],conv1[1],0)))</f>
        <v>KENKO</v>
      </c>
      <c r="R52" s="4">
        <f ca="1">IF(Table1[[#This Row],[NO. INVOICE]]="","",_xlfn.IFNA(MATCH(Table1[[#This Row],[NO. INVOICE]],'[3]REKAP PEMBELIAN'!$C:$C,0),MATCH(VALUE(Table1[[#This Row],[NO. INVOICE]]),'[3]REKAP PEMBELIAN'!$C:$C,0)))</f>
        <v>584</v>
      </c>
      <c r="S52" s="5"/>
    </row>
    <row r="53" spans="1:19" x14ac:dyDescent="0.25">
      <c r="A53" s="6">
        <f ca="1">IF(Table1[[#This Row],[NAMA SUPPLIER]]="","",MATCH(Table1[[#This Row],[N_ID]],INDIRECT(Table1[[#This Row],[1_h]]&amp;"[N_ID]"),0))</f>
        <v>78</v>
      </c>
      <c r="B53" s="54" t="s">
        <v>81</v>
      </c>
      <c r="C53" s="6">
        <f ca="1">_xlfn.IFNA(INDEX([2]!PAJAK[ID],MATCH(Table1[[#This Row],[N_ID]],[2]!PAJAK[ID_P],0)),"")</f>
        <v>56</v>
      </c>
      <c r="D53" s="6">
        <f ca="1">IF(Table1[[#This Row],[ID]]="","",INDEX([2]!PAJAK[QB],MATCH(Table1[[#This Row],[ID]],[2]!PAJAK[ID],0)))</f>
        <v>3</v>
      </c>
      <c r="E53" s="3">
        <f ca="1">INDEX([2]!PAJAK[TGL.MASUK],MATCH(Table1[[#This Row],[ID]],[2]!PAJAK[ID],0))</f>
        <v>44819</v>
      </c>
      <c r="F53" s="3">
        <f ca="1">INDEX([2]!PAJAK[TGL.NOTA],MATCH(Table1[[#This Row],[ID]],[2]!PAJAK[ID],0))</f>
        <v>44814</v>
      </c>
      <c r="G53" s="6" t="str">
        <f ca="1">INDEX([2]!PAJAK[NO.NOTA],MATCH(Table1[[#This Row],[ID]],[2]!PAJAK[ID],0))</f>
        <v>22090830</v>
      </c>
      <c r="I53" s="4" t="str">
        <f ca="1">INDEX([2]!PAJAK[SUPPLIER],MATCH(Table1[[#This Row],[ID]],[2]!PAJAK[ID],0))</f>
        <v>PT KENKO SINAR INDONESIA</v>
      </c>
      <c r="J53" s="4"/>
      <c r="K53" s="4"/>
      <c r="L53" s="59">
        <f ca="1">IFERROR(INDEX(INDIRECT("NOTA_.xlsx!"&amp;Table1[[#This Row],[1_h]]&amp;"[sub total]"),MATCH(Table1[[#This Row],[ID]],INDIRECT("NOTA_.xlsx!"&amp;Table1[[#This Row],[1_h]]&amp;"[ID]"),0)),"")</f>
        <v>7544000</v>
      </c>
      <c r="M53" s="5">
        <f ca="1">IFERROR(INDEX(INDIRECT("NOTA_.xlsx!"&amp;Table1[[#This Row],[1_h]]&amp;"[diskon]"),MATCH(Table1[[#This Row],[ID]],INDIRECT("NOTA_.xlsx!"&amp;Table1[[#This Row],[1_h]]&amp;"[ID]"),0)),"")</f>
        <v>1282480</v>
      </c>
      <c r="N53" s="5">
        <f ca="1">IFERROR(INDEX(INDIRECT("NOTA_.xlsx!"&amp;Table1[[#This Row],[1_h]]&amp;"[Dpp]"),MATCH(Table1[[#This Row],[ID]],INDIRECT("NOTA_.xlsx!"&amp;Table1[[#This Row],[1_h]]&amp;"[ID]"),0)),"")</f>
        <v>5641009.0090090083</v>
      </c>
      <c r="O53" s="5">
        <f ca="1">IFERROR(INDEX(INDIRECT("NOTA_.xlsx!"&amp;Table1[[#This Row],[1_h]]&amp;"[ppn (11%)]"),MATCH(Table1[[#This Row],[ID]],INDIRECT("NOTA_.xlsx!"&amp;Table1[[#This Row],[1_h]]&amp;"[ID]"),0)),"")</f>
        <v>620510.99099099089</v>
      </c>
      <c r="P53" s="5">
        <f ca="1">IFERROR(INDEX(INDIRECT("NOTA_.xlsx!"&amp;Table1[[#This Row],[1_h]]&amp;"[total]"),MATCH(Table1[[#This Row],[ID]],INDIRECT("NOTA_.xlsx!"&amp;Table1[[#This Row],[1_h]]&amp;"[ID]"),0)),"")</f>
        <v>6261519.9999999991</v>
      </c>
      <c r="Q53" s="49" t="str">
        <f ca="1">IF(Table1[[#This Row],[NAMA SUPPLIER]]="","",INDEX(conv1[2],MATCH(Table1[[#This Row],[NAMA SUPPLIER]],conv1[1],0)))</f>
        <v>KENKO</v>
      </c>
      <c r="R53" s="4">
        <f ca="1">IF(Table1[[#This Row],[NO. INVOICE]]="","",_xlfn.IFNA(MATCH(Table1[[#This Row],[NO. INVOICE]],'[3]REKAP PEMBELIAN'!$C:$C,0),MATCH(VALUE(Table1[[#This Row],[NO. INVOICE]]),'[3]REKAP PEMBELIAN'!$C:$C,0)))</f>
        <v>585</v>
      </c>
      <c r="S53" s="5"/>
    </row>
    <row r="54" spans="1:19" x14ac:dyDescent="0.25">
      <c r="A54" s="6">
        <f ca="1">IF(Table1[[#This Row],[NAMA SUPPLIER]]="","",MATCH(Table1[[#This Row],[N_ID]],INDIRECT(Table1[[#This Row],[1_h]]&amp;"[N_ID]"),0))</f>
        <v>82</v>
      </c>
      <c r="B54" s="54" t="s">
        <v>119</v>
      </c>
      <c r="C54" s="6">
        <f ca="1">_xlfn.IFNA(INDEX([2]!PAJAK[ID],MATCH(Table1[[#This Row],[N_ID]],[2]!PAJAK[ID_P],0)),"")</f>
        <v>57</v>
      </c>
      <c r="D54" s="6">
        <f ca="1">IF(Table1[[#This Row],[ID]]="","",INDEX([2]!PAJAK[QB],MATCH(Table1[[#This Row],[ID]],[2]!PAJAK[ID],0)))</f>
        <v>5</v>
      </c>
      <c r="E54" s="3">
        <f ca="1">INDEX([2]!PAJAK[TGL.MASUK],MATCH(Table1[[#This Row],[ID]],[2]!PAJAK[ID],0))</f>
        <v>44819</v>
      </c>
      <c r="F54" s="3">
        <f ca="1">INDEX([2]!PAJAK[TGL.NOTA],MATCH(Table1[[#This Row],[ID]],[2]!PAJAK[ID],0))</f>
        <v>44816</v>
      </c>
      <c r="G54" s="6" t="str">
        <f ca="1">INDEX([2]!PAJAK[NO.NOTA],MATCH(Table1[[#This Row],[ID]],[2]!PAJAK[ID],0))</f>
        <v>22090926</v>
      </c>
      <c r="I54" s="4" t="str">
        <f ca="1">INDEX([2]!PAJAK[SUPPLIER],MATCH(Table1[[#This Row],[ID]],[2]!PAJAK[ID],0))</f>
        <v>PT KENKO SINAR INDONESIA</v>
      </c>
      <c r="J54" s="4"/>
      <c r="K54" s="4"/>
      <c r="L54" s="59">
        <f ca="1">IFERROR(INDEX(INDIRECT("NOTA_.xlsx!"&amp;Table1[[#This Row],[1_h]]&amp;"[sub total]"),MATCH(Table1[[#This Row],[ID]],INDIRECT("NOTA_.xlsx!"&amp;Table1[[#This Row],[1_h]]&amp;"[ID]"),0)),"")</f>
        <v>24921600</v>
      </c>
      <c r="M54" s="5">
        <f ca="1">IFERROR(INDEX(INDIRECT("NOTA_.xlsx!"&amp;Table1[[#This Row],[1_h]]&amp;"[diskon]"),MATCH(Table1[[#This Row],[ID]],INDIRECT("NOTA_.xlsx!"&amp;Table1[[#This Row],[1_h]]&amp;"[ID]"),0)),"")</f>
        <v>4236672</v>
      </c>
      <c r="N54" s="5">
        <f ca="1">IFERROR(INDEX(INDIRECT("NOTA_.xlsx!"&amp;Table1[[#This Row],[1_h]]&amp;"[Dpp]"),MATCH(Table1[[#This Row],[ID]],INDIRECT("NOTA_.xlsx!"&amp;Table1[[#This Row],[1_h]]&amp;"[ID]"),0)),"")</f>
        <v>18635070.270270269</v>
      </c>
      <c r="O54" s="5">
        <f ca="1">IFERROR(INDEX(INDIRECT("NOTA_.xlsx!"&amp;Table1[[#This Row],[1_h]]&amp;"[ppn (11%)]"),MATCH(Table1[[#This Row],[ID]],INDIRECT("NOTA_.xlsx!"&amp;Table1[[#This Row],[1_h]]&amp;"[ID]"),0)),"")</f>
        <v>2049857.7297297297</v>
      </c>
      <c r="P54" s="5">
        <f ca="1">IFERROR(INDEX(INDIRECT("NOTA_.xlsx!"&amp;Table1[[#This Row],[1_h]]&amp;"[total]"),MATCH(Table1[[#This Row],[ID]],INDIRECT("NOTA_.xlsx!"&amp;Table1[[#This Row],[1_h]]&amp;"[ID]"),0)),"")</f>
        <v>20684928</v>
      </c>
      <c r="Q54" s="49" t="str">
        <f ca="1">IF(Table1[[#This Row],[NAMA SUPPLIER]]="","",INDEX(conv1[2],MATCH(Table1[[#This Row],[NAMA SUPPLIER]],conv1[1],0)))</f>
        <v>KENKO</v>
      </c>
      <c r="R54" s="4">
        <f ca="1">IF(Table1[[#This Row],[NO. INVOICE]]="","",_xlfn.IFNA(MATCH(Table1[[#This Row],[NO. INVOICE]],'[3]REKAP PEMBELIAN'!$C:$C,0),MATCH(VALUE(Table1[[#This Row],[NO. INVOICE]]),'[3]REKAP PEMBELIAN'!$C:$C,0)))</f>
        <v>586</v>
      </c>
      <c r="S54" s="5"/>
    </row>
    <row r="55" spans="1:19" x14ac:dyDescent="0.25">
      <c r="A55" s="6">
        <f ca="1">IF(Table1[[#This Row],[NAMA SUPPLIER]]="","",MATCH(Table1[[#This Row],[N_ID]],INDIRECT(Table1[[#This Row],[1_h]]&amp;"[N_ID]"),0))</f>
        <v>88</v>
      </c>
      <c r="B55" s="54" t="s">
        <v>82</v>
      </c>
      <c r="C55" s="6">
        <f ca="1">_xlfn.IFNA(INDEX([2]!PAJAK[ID],MATCH(Table1[[#This Row],[N_ID]],[2]!PAJAK[ID_P],0)),"")</f>
        <v>65</v>
      </c>
      <c r="D55" s="6">
        <f ca="1">IF(Table1[[#This Row],[ID]]="","",INDEX([2]!PAJAK[QB],MATCH(Table1[[#This Row],[ID]],[2]!PAJAK[ID],0)))</f>
        <v>2</v>
      </c>
      <c r="E55" s="3">
        <f ca="1">INDEX([2]!PAJAK[TGL.MASUK],MATCH(Table1[[#This Row],[ID]],[2]!PAJAK[ID],0))</f>
        <v>44820</v>
      </c>
      <c r="F55" s="3">
        <f ca="1">INDEX([2]!PAJAK[TGL.NOTA],MATCH(Table1[[#This Row],[ID]],[2]!PAJAK[ID],0))</f>
        <v>44818</v>
      </c>
      <c r="G55" s="6" t="str">
        <f ca="1">INDEX([2]!PAJAK[NO.NOTA],MATCH(Table1[[#This Row],[ID]],[2]!PAJAK[ID],0))</f>
        <v>22091090</v>
      </c>
      <c r="I55" s="4" t="str">
        <f ca="1">INDEX([2]!PAJAK[SUPPLIER],MATCH(Table1[[#This Row],[ID]],[2]!PAJAK[ID],0))</f>
        <v>PT KENKO SINAR INDONESIA</v>
      </c>
      <c r="J55" s="4"/>
      <c r="K55" s="4"/>
      <c r="L55" s="59">
        <f ca="1">IFERROR(INDEX(INDIRECT("NOTA_.xlsx!"&amp;Table1[[#This Row],[1_h]]&amp;"[sub total]"),MATCH(Table1[[#This Row],[ID]],INDIRECT("NOTA_.xlsx!"&amp;Table1[[#This Row],[1_h]]&amp;"[ID]"),0)),"")</f>
        <v>13910400</v>
      </c>
      <c r="M55" s="5">
        <f ca="1">IFERROR(INDEX(INDIRECT("NOTA_.xlsx!"&amp;Table1[[#This Row],[1_h]]&amp;"[diskon]"),MATCH(Table1[[#This Row],[ID]],INDIRECT("NOTA_.xlsx!"&amp;Table1[[#This Row],[1_h]]&amp;"[ID]"),0)),"")</f>
        <v>2364768</v>
      </c>
      <c r="N55" s="5">
        <f ca="1">IFERROR(INDEX(INDIRECT("NOTA_.xlsx!"&amp;Table1[[#This Row],[1_h]]&amp;"[Dpp]"),MATCH(Table1[[#This Row],[ID]],INDIRECT("NOTA_.xlsx!"&amp;Table1[[#This Row],[1_h]]&amp;"[ID]"),0)),"")</f>
        <v>10401470.270270269</v>
      </c>
      <c r="O55" s="5">
        <f ca="1">IFERROR(INDEX(INDIRECT("NOTA_.xlsx!"&amp;Table1[[#This Row],[1_h]]&amp;"[ppn (11%)]"),MATCH(Table1[[#This Row],[ID]],INDIRECT("NOTA_.xlsx!"&amp;Table1[[#This Row],[1_h]]&amp;"[ID]"),0)),"")</f>
        <v>1144161.7297297297</v>
      </c>
      <c r="P55" s="5">
        <f ca="1">IFERROR(INDEX(INDIRECT("NOTA_.xlsx!"&amp;Table1[[#This Row],[1_h]]&amp;"[total]"),MATCH(Table1[[#This Row],[ID]],INDIRECT("NOTA_.xlsx!"&amp;Table1[[#This Row],[1_h]]&amp;"[ID]"),0)),"")</f>
        <v>11545632</v>
      </c>
      <c r="Q55" s="49" t="str">
        <f ca="1">IF(Table1[[#This Row],[NAMA SUPPLIER]]="","",INDEX(conv1[2],MATCH(Table1[[#This Row],[NAMA SUPPLIER]],conv1[1],0)))</f>
        <v>KENKO</v>
      </c>
      <c r="R55" s="4">
        <f ca="1">IF(Table1[[#This Row],[NO. INVOICE]]="","",_xlfn.IFNA(MATCH(Table1[[#This Row],[NO. INVOICE]],'[3]REKAP PEMBELIAN'!$C:$C,0),MATCH(VALUE(Table1[[#This Row],[NO. INVOICE]]),'[3]REKAP PEMBELIAN'!$C:$C,0)))</f>
        <v>587</v>
      </c>
      <c r="S55" s="5"/>
    </row>
    <row r="56" spans="1:19" x14ac:dyDescent="0.25">
      <c r="A56" s="6">
        <f ca="1">IF(Table1[[#This Row],[NAMA SUPPLIER]]="","",MATCH(Table1[[#This Row],[N_ID]],INDIRECT(Table1[[#This Row],[1_h]]&amp;"[N_ID]"),0))</f>
        <v>91</v>
      </c>
      <c r="B56" s="54" t="s">
        <v>83</v>
      </c>
      <c r="C56" s="6">
        <f ca="1">_xlfn.IFNA(INDEX([2]!PAJAK[ID],MATCH(Table1[[#This Row],[N_ID]],[2]!PAJAK[ID_P],0)),"")</f>
        <v>64</v>
      </c>
      <c r="D56" s="6">
        <f ca="1">IF(Table1[[#This Row],[ID]]="","",INDEX([2]!PAJAK[QB],MATCH(Table1[[#This Row],[ID]],[2]!PAJAK[ID],0)))</f>
        <v>10</v>
      </c>
      <c r="E56" s="3">
        <f ca="1">INDEX([2]!PAJAK[TGL.MASUK],MATCH(Table1[[#This Row],[ID]],[2]!PAJAK[ID],0))</f>
        <v>44820</v>
      </c>
      <c r="F56" s="3">
        <f ca="1">INDEX([2]!PAJAK[TGL.NOTA],MATCH(Table1[[#This Row],[ID]],[2]!PAJAK[ID],0))</f>
        <v>44818</v>
      </c>
      <c r="G56" s="6" t="str">
        <f ca="1">INDEX([2]!PAJAK[NO.NOTA],MATCH(Table1[[#This Row],[ID]],[2]!PAJAK[ID],0))</f>
        <v>22091098</v>
      </c>
      <c r="I56" s="4" t="str">
        <f ca="1">INDEX([2]!PAJAK[SUPPLIER],MATCH(Table1[[#This Row],[ID]],[2]!PAJAK[ID],0))</f>
        <v>PT KENKO SINAR INDONESIA</v>
      </c>
      <c r="J56" s="4"/>
      <c r="K56" s="4"/>
      <c r="L56" s="59">
        <f ca="1">IFERROR(INDEX(INDIRECT("NOTA_.xlsx!"&amp;Table1[[#This Row],[1_h]]&amp;"[sub total]"),MATCH(Table1[[#This Row],[ID]],INDIRECT("NOTA_.xlsx!"&amp;Table1[[#This Row],[1_h]]&amp;"[ID]"),0)),"")</f>
        <v>24593900</v>
      </c>
      <c r="M56" s="5">
        <f ca="1">IFERROR(INDEX(INDIRECT("NOTA_.xlsx!"&amp;Table1[[#This Row],[1_h]]&amp;"[diskon]"),MATCH(Table1[[#This Row],[ID]],INDIRECT("NOTA_.xlsx!"&amp;Table1[[#This Row],[1_h]]&amp;"[ID]"),0)),"")</f>
        <v>4180963</v>
      </c>
      <c r="N56" s="5">
        <f ca="1">IFERROR(INDEX(INDIRECT("NOTA_.xlsx!"&amp;Table1[[#This Row],[1_h]]&amp;"[Dpp]"),MATCH(Table1[[#This Row],[ID]],INDIRECT("NOTA_.xlsx!"&amp;Table1[[#This Row],[1_h]]&amp;"[ID]"),0)),"")</f>
        <v>18390033.333333332</v>
      </c>
      <c r="O56" s="5">
        <f ca="1">IFERROR(INDEX(INDIRECT("NOTA_.xlsx!"&amp;Table1[[#This Row],[1_h]]&amp;"[ppn (11%)]"),MATCH(Table1[[#This Row],[ID]],INDIRECT("NOTA_.xlsx!"&amp;Table1[[#This Row],[1_h]]&amp;"[ID]"),0)),"")</f>
        <v>2022903.6666666665</v>
      </c>
      <c r="P56" s="5">
        <f ca="1">IFERROR(INDEX(INDIRECT("NOTA_.xlsx!"&amp;Table1[[#This Row],[1_h]]&amp;"[total]"),MATCH(Table1[[#This Row],[ID]],INDIRECT("NOTA_.xlsx!"&amp;Table1[[#This Row],[1_h]]&amp;"[ID]"),0)),"")</f>
        <v>20412937</v>
      </c>
      <c r="Q56" s="49" t="str">
        <f ca="1">IF(Table1[[#This Row],[NAMA SUPPLIER]]="","",INDEX(conv1[2],MATCH(Table1[[#This Row],[NAMA SUPPLIER]],conv1[1],0)))</f>
        <v>KENKO</v>
      </c>
      <c r="R56" s="4">
        <f ca="1">IF(Table1[[#This Row],[NO. INVOICE]]="","",_xlfn.IFNA(MATCH(Table1[[#This Row],[NO. INVOICE]],'[3]REKAP PEMBELIAN'!$C:$C,0),MATCH(VALUE(Table1[[#This Row],[NO. INVOICE]]),'[3]REKAP PEMBELIAN'!$C:$C,0)))</f>
        <v>588</v>
      </c>
      <c r="S56" s="5"/>
    </row>
    <row r="57" spans="1:19" x14ac:dyDescent="0.25">
      <c r="A57" s="6">
        <f ca="1">IF(Table1[[#This Row],[NAMA SUPPLIER]]="","",MATCH(Table1[[#This Row],[N_ID]],INDIRECT(Table1[[#This Row],[1_h]]&amp;"[N_ID]"),0))</f>
        <v>102</v>
      </c>
      <c r="B57" s="54" t="s">
        <v>88</v>
      </c>
      <c r="C57" s="6">
        <f ca="1">_xlfn.IFNA(INDEX([2]!PAJAK[ID],MATCH(Table1[[#This Row],[N_ID]],[2]!PAJAK[ID_P],0)),"")</f>
        <v>74</v>
      </c>
      <c r="D57" s="6">
        <f ca="1">IF(Table1[[#This Row],[ID]]="","",INDEX([2]!PAJAK[QB],MATCH(Table1[[#This Row],[ID]],[2]!PAJAK[ID],0)))</f>
        <v>10</v>
      </c>
      <c r="E57" s="3">
        <f ca="1">INDEX([2]!PAJAK[TGL.MASUK],MATCH(Table1[[#This Row],[ID]],[2]!PAJAK[ID],0))</f>
        <v>44821</v>
      </c>
      <c r="F57" s="3">
        <f ca="1">INDEX([2]!PAJAK[TGL.NOTA],MATCH(Table1[[#This Row],[ID]],[2]!PAJAK[ID],0))</f>
        <v>44819</v>
      </c>
      <c r="G57" s="6" t="str">
        <f ca="1">INDEX([2]!PAJAK[NO.NOTA],MATCH(Table1[[#This Row],[ID]],[2]!PAJAK[ID],0))</f>
        <v>22091198</v>
      </c>
      <c r="I57" s="4" t="str">
        <f ca="1">INDEX([2]!PAJAK[SUPPLIER],MATCH(Table1[[#This Row],[ID]],[2]!PAJAK[ID],0))</f>
        <v>PT KENKO SINAR INDONESIA</v>
      </c>
      <c r="J57" s="4"/>
      <c r="K57" s="4"/>
      <c r="L57" s="59">
        <f ca="1">IFERROR(INDEX(INDIRECT("NOTA_.xlsx!"&amp;Table1[[#This Row],[1_h]]&amp;"[sub total]"),MATCH(Table1[[#This Row],[ID]],INDIRECT("NOTA_.xlsx!"&amp;Table1[[#This Row],[1_h]]&amp;"[ID]"),0)),"")</f>
        <v>32086400</v>
      </c>
      <c r="M57" s="5">
        <f ca="1">IFERROR(INDEX(INDIRECT("NOTA_.xlsx!"&amp;Table1[[#This Row],[1_h]]&amp;"[diskon]"),MATCH(Table1[[#This Row],[ID]],INDIRECT("NOTA_.xlsx!"&amp;Table1[[#This Row],[1_h]]&amp;"[ID]"),0)),"")</f>
        <v>5454688</v>
      </c>
      <c r="N57" s="5">
        <f ca="1">IFERROR(INDEX(INDIRECT("NOTA_.xlsx!"&amp;Table1[[#This Row],[1_h]]&amp;"[Dpp]"),MATCH(Table1[[#This Row],[ID]],INDIRECT("NOTA_.xlsx!"&amp;Table1[[#This Row],[1_h]]&amp;"[ID]"),0)),"")</f>
        <v>23992533.333333332</v>
      </c>
      <c r="O57" s="5">
        <f ca="1">IFERROR(INDEX(INDIRECT("NOTA_.xlsx!"&amp;Table1[[#This Row],[1_h]]&amp;"[ppn (11%)]"),MATCH(Table1[[#This Row],[ID]],INDIRECT("NOTA_.xlsx!"&amp;Table1[[#This Row],[1_h]]&amp;"[ID]"),0)),"")</f>
        <v>2639178.6666666665</v>
      </c>
      <c r="P57" s="5">
        <f ca="1">IFERROR(INDEX(INDIRECT("NOTA_.xlsx!"&amp;Table1[[#This Row],[1_h]]&amp;"[total]"),MATCH(Table1[[#This Row],[ID]],INDIRECT("NOTA_.xlsx!"&amp;Table1[[#This Row],[1_h]]&amp;"[ID]"),0)),"")</f>
        <v>26631712</v>
      </c>
      <c r="Q57" s="49" t="str">
        <f ca="1">IF(Table1[[#This Row],[NAMA SUPPLIER]]="","",INDEX(conv1[2],MATCH(Table1[[#This Row],[NAMA SUPPLIER]],conv1[1],0)))</f>
        <v>KENKO</v>
      </c>
      <c r="R57" s="4">
        <f ca="1">IF(Table1[[#This Row],[NO. INVOICE]]="","",_xlfn.IFNA(MATCH(Table1[[#This Row],[NO. INVOICE]],'[3]REKAP PEMBELIAN'!$C:$C,0),MATCH(VALUE(Table1[[#This Row],[NO. INVOICE]]),'[3]REKAP PEMBELIAN'!$C:$C,0)))</f>
        <v>589</v>
      </c>
      <c r="S57" s="5"/>
    </row>
    <row r="58" spans="1:19" x14ac:dyDescent="0.25">
      <c r="A58" s="6">
        <f ca="1">IF(Table1[[#This Row],[NAMA SUPPLIER]]="","",MATCH(Table1[[#This Row],[N_ID]],INDIRECT(Table1[[#This Row],[1_h]]&amp;"[N_ID]"),0))</f>
        <v>113</v>
      </c>
      <c r="B58" s="54" t="s">
        <v>89</v>
      </c>
      <c r="C58" s="6">
        <f ca="1">_xlfn.IFNA(INDEX([2]!PAJAK[ID],MATCH(Table1[[#This Row],[N_ID]],[2]!PAJAK[ID_P],0)),"")</f>
        <v>75</v>
      </c>
      <c r="D58" s="6">
        <f ca="1">IF(Table1[[#This Row],[ID]]="","",INDEX([2]!PAJAK[QB],MATCH(Table1[[#This Row],[ID]],[2]!PAJAK[ID],0)))</f>
        <v>8</v>
      </c>
      <c r="E58" s="3">
        <f ca="1">INDEX([2]!PAJAK[TGL.MASUK],MATCH(Table1[[#This Row],[ID]],[2]!PAJAK[ID],0))</f>
        <v>44821</v>
      </c>
      <c r="F58" s="3">
        <f ca="1">INDEX([2]!PAJAK[TGL.NOTA],MATCH(Table1[[#This Row],[ID]],[2]!PAJAK[ID],0))</f>
        <v>44819</v>
      </c>
      <c r="G58" s="6" t="str">
        <f ca="1">INDEX([2]!PAJAK[NO.NOTA],MATCH(Table1[[#This Row],[ID]],[2]!PAJAK[ID],0))</f>
        <v>22091209</v>
      </c>
      <c r="I58" s="4" t="str">
        <f ca="1">INDEX([2]!PAJAK[SUPPLIER],MATCH(Table1[[#This Row],[ID]],[2]!PAJAK[ID],0))</f>
        <v>PT KENKO SINAR INDONESIA</v>
      </c>
      <c r="J58" s="4"/>
      <c r="K58" s="4"/>
      <c r="L58" s="59">
        <f ca="1">IFERROR(INDEX(INDIRECT("NOTA_.xlsx!"&amp;Table1[[#This Row],[1_h]]&amp;"[sub total]"),MATCH(Table1[[#This Row],[ID]],INDIRECT("NOTA_.xlsx!"&amp;Table1[[#This Row],[1_h]]&amp;"[ID]"),0)),"")</f>
        <v>26992800</v>
      </c>
      <c r="M58" s="5">
        <f ca="1">IFERROR(INDEX(INDIRECT("NOTA_.xlsx!"&amp;Table1[[#This Row],[1_h]]&amp;"[diskon]"),MATCH(Table1[[#This Row],[ID]],INDIRECT("NOTA_.xlsx!"&amp;Table1[[#This Row],[1_h]]&amp;"[ID]"),0)),"")</f>
        <v>4588776</v>
      </c>
      <c r="N58" s="5">
        <f ca="1">IFERROR(INDEX(INDIRECT("NOTA_.xlsx!"&amp;Table1[[#This Row],[1_h]]&amp;"[Dpp]"),MATCH(Table1[[#This Row],[ID]],INDIRECT("NOTA_.xlsx!"&amp;Table1[[#This Row],[1_h]]&amp;"[ID]"),0)),"")</f>
        <v>20183805.405405402</v>
      </c>
      <c r="O58" s="5">
        <f ca="1">IFERROR(INDEX(INDIRECT("NOTA_.xlsx!"&amp;Table1[[#This Row],[1_h]]&amp;"[ppn (11%)]"),MATCH(Table1[[#This Row],[ID]],INDIRECT("NOTA_.xlsx!"&amp;Table1[[#This Row],[1_h]]&amp;"[ID]"),0)),"")</f>
        <v>2220218.5945945941</v>
      </c>
      <c r="P58" s="5">
        <f ca="1">IFERROR(INDEX(INDIRECT("NOTA_.xlsx!"&amp;Table1[[#This Row],[1_h]]&amp;"[total]"),MATCH(Table1[[#This Row],[ID]],INDIRECT("NOTA_.xlsx!"&amp;Table1[[#This Row],[1_h]]&amp;"[ID]"),0)),"")</f>
        <v>22404023.999999996</v>
      </c>
      <c r="Q58" s="49" t="str">
        <f ca="1">IF(Table1[[#This Row],[NAMA SUPPLIER]]="","",INDEX(conv1[2],MATCH(Table1[[#This Row],[NAMA SUPPLIER]],conv1[1],0)))</f>
        <v>KENKO</v>
      </c>
      <c r="R58" s="4">
        <f ca="1">IF(Table1[[#This Row],[NO. INVOICE]]="","",_xlfn.IFNA(MATCH(Table1[[#This Row],[NO. INVOICE]],'[3]REKAP PEMBELIAN'!$C:$C,0),MATCH(VALUE(Table1[[#This Row],[NO. INVOICE]]),'[3]REKAP PEMBELIAN'!$C:$C,0)))</f>
        <v>590</v>
      </c>
      <c r="S58" s="5"/>
    </row>
    <row r="59" spans="1:19" x14ac:dyDescent="0.25">
      <c r="A59" s="6">
        <f ca="1">IF(Table1[[#This Row],[NAMA SUPPLIER]]="","",MATCH(Table1[[#This Row],[N_ID]],INDIRECT(Table1[[#This Row],[1_h]]&amp;"[N_ID]"),0))</f>
        <v>122</v>
      </c>
      <c r="B59" s="54" t="s">
        <v>87</v>
      </c>
      <c r="C59" s="6">
        <f ca="1">_xlfn.IFNA(INDEX([2]!PAJAK[ID],MATCH(Table1[[#This Row],[N_ID]],[2]!PAJAK[ID_P],0)),"")</f>
        <v>73</v>
      </c>
      <c r="D59" s="6">
        <f ca="1">IF(Table1[[#This Row],[ID]]="","",INDEX([2]!PAJAK[QB],MATCH(Table1[[#This Row],[ID]],[2]!PAJAK[ID],0)))</f>
        <v>9</v>
      </c>
      <c r="E59" s="3">
        <f ca="1">INDEX([2]!PAJAK[TGL.MASUK],MATCH(Table1[[#This Row],[ID]],[2]!PAJAK[ID],0))</f>
        <v>44821</v>
      </c>
      <c r="F59" s="3">
        <f ca="1">INDEX([2]!PAJAK[TGL.NOTA],MATCH(Table1[[#This Row],[ID]],[2]!PAJAK[ID],0))</f>
        <v>44820</v>
      </c>
      <c r="G59" s="6" t="str">
        <f ca="1">INDEX([2]!PAJAK[NO.NOTA],MATCH(Table1[[#This Row],[ID]],[2]!PAJAK[ID],0))</f>
        <v>22091296</v>
      </c>
      <c r="I59" s="4" t="str">
        <f ca="1">INDEX([2]!PAJAK[SUPPLIER],MATCH(Table1[[#This Row],[ID]],[2]!PAJAK[ID],0))</f>
        <v>PT KENKO SINAR INDONESIA</v>
      </c>
      <c r="J59" s="4"/>
      <c r="K59" s="4"/>
      <c r="L59" s="59">
        <f ca="1">IFERROR(INDEX(INDIRECT("NOTA_.xlsx!"&amp;Table1[[#This Row],[1_h]]&amp;"[sub total]"),MATCH(Table1[[#This Row],[ID]],INDIRECT("NOTA_.xlsx!"&amp;Table1[[#This Row],[1_h]]&amp;"[ID]"),0)),"")</f>
        <v>27210000</v>
      </c>
      <c r="M59" s="5">
        <f ca="1">IFERROR(INDEX(INDIRECT("NOTA_.xlsx!"&amp;Table1[[#This Row],[1_h]]&amp;"[diskon]"),MATCH(Table1[[#This Row],[ID]],INDIRECT("NOTA_.xlsx!"&amp;Table1[[#This Row],[1_h]]&amp;"[ID]"),0)),"")</f>
        <v>4941805.5</v>
      </c>
      <c r="N59" s="5">
        <f ca="1">IFERROR(INDEX(INDIRECT("NOTA_.xlsx!"&amp;Table1[[#This Row],[1_h]]&amp;"[Dpp]"),MATCH(Table1[[#This Row],[ID]],INDIRECT("NOTA_.xlsx!"&amp;Table1[[#This Row],[1_h]]&amp;"[ID]"),0)),"")</f>
        <v>20061436.486486483</v>
      </c>
      <c r="O59" s="5">
        <f ca="1">IFERROR(INDEX(INDIRECT("NOTA_.xlsx!"&amp;Table1[[#This Row],[1_h]]&amp;"[ppn (11%)]"),MATCH(Table1[[#This Row],[ID]],INDIRECT("NOTA_.xlsx!"&amp;Table1[[#This Row],[1_h]]&amp;"[ID]"),0)),"")</f>
        <v>2206758.0135135134</v>
      </c>
      <c r="P59" s="5">
        <f ca="1">IFERROR(INDEX(INDIRECT("NOTA_.xlsx!"&amp;Table1[[#This Row],[1_h]]&amp;"[total]"),MATCH(Table1[[#This Row],[ID]],INDIRECT("NOTA_.xlsx!"&amp;Table1[[#This Row],[1_h]]&amp;"[ID]"),0)),"")</f>
        <v>22268194.499999996</v>
      </c>
      <c r="Q59" s="49" t="str">
        <f ca="1">IF(Table1[[#This Row],[NAMA SUPPLIER]]="","",INDEX(conv1[2],MATCH(Table1[[#This Row],[NAMA SUPPLIER]],conv1[1],0)))</f>
        <v>KENKO</v>
      </c>
      <c r="R59" s="4">
        <f ca="1">IF(Table1[[#This Row],[NO. INVOICE]]="","",_xlfn.IFNA(MATCH(Table1[[#This Row],[NO. INVOICE]],'[3]REKAP PEMBELIAN'!$C:$C,0),MATCH(VALUE(Table1[[#This Row],[NO. INVOICE]]),'[3]REKAP PEMBELIAN'!$C:$C,0)))</f>
        <v>591</v>
      </c>
      <c r="S59" s="5"/>
    </row>
    <row r="60" spans="1:19" x14ac:dyDescent="0.25">
      <c r="A60" s="6">
        <f ca="1">IF(Table1[[#This Row],[NAMA SUPPLIER]]="","",MATCH(Table1[[#This Row],[N_ID]],INDIRECT(Table1[[#This Row],[1_h]]&amp;"[N_ID]"),0))</f>
        <v>132</v>
      </c>
      <c r="B60" s="54" t="s">
        <v>93</v>
      </c>
      <c r="C60" s="6">
        <f ca="1">_xlfn.IFNA(INDEX([2]!PAJAK[ID],MATCH(Table1[[#This Row],[N_ID]],[2]!PAJAK[ID_P],0)),"")</f>
        <v>84</v>
      </c>
      <c r="D60" s="6">
        <f ca="1">IF(Table1[[#This Row],[ID]]="","",INDEX([2]!PAJAK[QB],MATCH(Table1[[#This Row],[ID]],[2]!PAJAK[ID],0)))</f>
        <v>9</v>
      </c>
      <c r="E60" s="3">
        <f ca="1">INDEX([2]!PAJAK[TGL.MASUK],MATCH(Table1[[#This Row],[ID]],[2]!PAJAK[ID],0))</f>
        <v>44825</v>
      </c>
      <c r="F60" s="3">
        <f ca="1">INDEX([2]!PAJAK[TGL.NOTA],MATCH(Table1[[#This Row],[ID]],[2]!PAJAK[ID],0))</f>
        <v>44821</v>
      </c>
      <c r="G60" s="6" t="str">
        <f ca="1">INDEX([2]!PAJAK[NO.NOTA],MATCH(Table1[[#This Row],[ID]],[2]!PAJAK[ID],0))</f>
        <v>22091429</v>
      </c>
      <c r="I60" s="4" t="str">
        <f ca="1">INDEX([2]!PAJAK[SUPPLIER],MATCH(Table1[[#This Row],[ID]],[2]!PAJAK[ID],0))</f>
        <v>PT KENKO SINAR INDONESIA</v>
      </c>
      <c r="J60" s="4"/>
      <c r="K60" s="4"/>
      <c r="L60" s="59">
        <f ca="1">IFERROR(INDEX(INDIRECT("NOTA_.xlsx!"&amp;Table1[[#This Row],[1_h]]&amp;"[sub total]"),MATCH(Table1[[#This Row],[ID]],INDIRECT("NOTA_.xlsx!"&amp;Table1[[#This Row],[1_h]]&amp;"[ID]"),0)),"")</f>
        <v>20293600</v>
      </c>
      <c r="M60" s="5">
        <f ca="1">IFERROR(INDEX(INDIRECT("NOTA_.xlsx!"&amp;Table1[[#This Row],[1_h]]&amp;"[diskon]"),MATCH(Table1[[#This Row],[ID]],INDIRECT("NOTA_.xlsx!"&amp;Table1[[#This Row],[1_h]]&amp;"[ID]"),0)),"")</f>
        <v>3449912</v>
      </c>
      <c r="N60" s="5">
        <f ca="1">IFERROR(INDEX(INDIRECT("NOTA_.xlsx!"&amp;Table1[[#This Row],[1_h]]&amp;"[Dpp]"),MATCH(Table1[[#This Row],[ID]],INDIRECT("NOTA_.xlsx!"&amp;Table1[[#This Row],[1_h]]&amp;"[ID]"),0)),"")</f>
        <v>15174493.693693692</v>
      </c>
      <c r="O60" s="5">
        <f ca="1">IFERROR(INDEX(INDIRECT("NOTA_.xlsx!"&amp;Table1[[#This Row],[1_h]]&amp;"[ppn (11%)]"),MATCH(Table1[[#This Row],[ID]],INDIRECT("NOTA_.xlsx!"&amp;Table1[[#This Row],[1_h]]&amp;"[ID]"),0)),"")</f>
        <v>1669194.306306306</v>
      </c>
      <c r="P60" s="5">
        <f ca="1">IFERROR(INDEX(INDIRECT("NOTA_.xlsx!"&amp;Table1[[#This Row],[1_h]]&amp;"[total]"),MATCH(Table1[[#This Row],[ID]],INDIRECT("NOTA_.xlsx!"&amp;Table1[[#This Row],[1_h]]&amp;"[ID]"),0)),"")</f>
        <v>16843687.999999996</v>
      </c>
      <c r="Q60" s="49" t="str">
        <f ca="1">IF(Table1[[#This Row],[NAMA SUPPLIER]]="","",INDEX(conv1[2],MATCH(Table1[[#This Row],[NAMA SUPPLIER]],conv1[1],0)))</f>
        <v>KENKO</v>
      </c>
      <c r="R60" s="4">
        <f ca="1">IF(Table1[[#This Row],[NO. INVOICE]]="","",_xlfn.IFNA(MATCH(Table1[[#This Row],[NO. INVOICE]],'[3]REKAP PEMBELIAN'!$C:$C,0),MATCH(VALUE(Table1[[#This Row],[NO. INVOICE]]),'[3]REKAP PEMBELIAN'!$C:$C,0)))</f>
        <v>592</v>
      </c>
      <c r="S60" s="5"/>
    </row>
    <row r="61" spans="1:19" x14ac:dyDescent="0.25">
      <c r="A61" s="6">
        <f ca="1">IF(Table1[[#This Row],[NAMA SUPPLIER]]="","",MATCH(Table1[[#This Row],[N_ID]],INDIRECT(Table1[[#This Row],[1_h]]&amp;"[N_ID]"),0))</f>
        <v>142</v>
      </c>
      <c r="B61" s="54" t="s">
        <v>94</v>
      </c>
      <c r="C61" s="6">
        <f ca="1">_xlfn.IFNA(INDEX([2]!PAJAK[ID],MATCH(Table1[[#This Row],[N_ID]],[2]!PAJAK[ID_P],0)),"")</f>
        <v>83</v>
      </c>
      <c r="D61" s="6">
        <f ca="1">IF(Table1[[#This Row],[ID]]="","",INDEX([2]!PAJAK[QB],MATCH(Table1[[#This Row],[ID]],[2]!PAJAK[ID],0)))</f>
        <v>4</v>
      </c>
      <c r="E61" s="3">
        <f ca="1">INDEX([2]!PAJAK[TGL.MASUK],MATCH(Table1[[#This Row],[ID]],[2]!PAJAK[ID],0))</f>
        <v>44825</v>
      </c>
      <c r="F61" s="3">
        <f ca="1">INDEX([2]!PAJAK[TGL.NOTA],MATCH(Table1[[#This Row],[ID]],[2]!PAJAK[ID],0))</f>
        <v>44821</v>
      </c>
      <c r="G61" s="6" t="str">
        <f ca="1">INDEX([2]!PAJAK[NO.NOTA],MATCH(Table1[[#This Row],[ID]],[2]!PAJAK[ID],0))</f>
        <v>22091432</v>
      </c>
      <c r="I61" s="4" t="str">
        <f ca="1">INDEX([2]!PAJAK[SUPPLIER],MATCH(Table1[[#This Row],[ID]],[2]!PAJAK[ID],0))</f>
        <v>PT KENKO SINAR INDONESIA</v>
      </c>
      <c r="J61" s="4"/>
      <c r="K61" s="4"/>
      <c r="L61" s="59">
        <f ca="1">IFERROR(INDEX(INDIRECT("NOTA_.xlsx!"&amp;Table1[[#This Row],[1_h]]&amp;"[sub total]"),MATCH(Table1[[#This Row],[ID]],INDIRECT("NOTA_.xlsx!"&amp;Table1[[#This Row],[1_h]]&amp;"[ID]"),0)),"")</f>
        <v>28681200</v>
      </c>
      <c r="M61" s="5">
        <f ca="1">IFERROR(INDEX(INDIRECT("NOTA_.xlsx!"&amp;Table1[[#This Row],[1_h]]&amp;"[diskon]"),MATCH(Table1[[#This Row],[ID]],INDIRECT("NOTA_.xlsx!"&amp;Table1[[#This Row],[1_h]]&amp;"[ID]"),0)),"")</f>
        <v>4875804</v>
      </c>
      <c r="N61" s="5">
        <f ca="1">IFERROR(INDEX(INDIRECT("NOTA_.xlsx!"&amp;Table1[[#This Row],[1_h]]&amp;"[Dpp]"),MATCH(Table1[[#This Row],[ID]],INDIRECT("NOTA_.xlsx!"&amp;Table1[[#This Row],[1_h]]&amp;"[ID]"),0)),"")</f>
        <v>21446302.702702701</v>
      </c>
      <c r="O61" s="5">
        <f ca="1">IFERROR(INDEX(INDIRECT("NOTA_.xlsx!"&amp;Table1[[#This Row],[1_h]]&amp;"[ppn (11%)]"),MATCH(Table1[[#This Row],[ID]],INDIRECT("NOTA_.xlsx!"&amp;Table1[[#This Row],[1_h]]&amp;"[ID]"),0)),"")</f>
        <v>2359093.297297297</v>
      </c>
      <c r="P61" s="5">
        <f ca="1">IFERROR(INDEX(INDIRECT("NOTA_.xlsx!"&amp;Table1[[#This Row],[1_h]]&amp;"[total]"),MATCH(Table1[[#This Row],[ID]],INDIRECT("NOTA_.xlsx!"&amp;Table1[[#This Row],[1_h]]&amp;"[ID]"),0)),"")</f>
        <v>23805396</v>
      </c>
      <c r="Q61" s="49" t="str">
        <f ca="1">IF(Table1[[#This Row],[NAMA SUPPLIER]]="","",INDEX(conv1[2],MATCH(Table1[[#This Row],[NAMA SUPPLIER]],conv1[1],0)))</f>
        <v>KENKO</v>
      </c>
      <c r="R61" s="4">
        <f ca="1">IF(Table1[[#This Row],[NO. INVOICE]]="","",_xlfn.IFNA(MATCH(Table1[[#This Row],[NO. INVOICE]],'[3]REKAP PEMBELIAN'!$C:$C,0),MATCH(VALUE(Table1[[#This Row],[NO. INVOICE]]),'[3]REKAP PEMBELIAN'!$C:$C,0)))</f>
        <v>593</v>
      </c>
      <c r="S61" s="5"/>
    </row>
    <row r="62" spans="1:19" x14ac:dyDescent="0.25">
      <c r="A62" s="6">
        <f ca="1">IF(Table1[[#This Row],[NAMA SUPPLIER]]="","",MATCH(Table1[[#This Row],[N_ID]],INDIRECT(Table1[[#This Row],[1_h]]&amp;"[N_ID]"),0))</f>
        <v>147</v>
      </c>
      <c r="B62" s="54" t="s">
        <v>95</v>
      </c>
      <c r="C62" s="6">
        <f ca="1">_xlfn.IFNA(INDEX([2]!PAJAK[ID],MATCH(Table1[[#This Row],[N_ID]],[2]!PAJAK[ID_P],0)),"")</f>
        <v>109</v>
      </c>
      <c r="D62" s="6">
        <f ca="1">IF(Table1[[#This Row],[ID]]="","",INDEX([2]!PAJAK[QB],MATCH(Table1[[#This Row],[ID]],[2]!PAJAK[ID],0)))</f>
        <v>5</v>
      </c>
      <c r="E62" s="3">
        <f ca="1">INDEX([2]!PAJAK[TGL.MASUK],MATCH(Table1[[#This Row],[ID]],[2]!PAJAK[ID],0))</f>
        <v>44827</v>
      </c>
      <c r="F62" s="3">
        <f ca="1">INDEX([2]!PAJAK[TGL.NOTA],MATCH(Table1[[#This Row],[ID]],[2]!PAJAK[ID],0))</f>
        <v>44823</v>
      </c>
      <c r="G62" s="6" t="str">
        <f ca="1">INDEX([2]!PAJAK[NO.NOTA],MATCH(Table1[[#This Row],[ID]],[2]!PAJAK[ID],0))</f>
        <v>22091531</v>
      </c>
      <c r="I62" s="4" t="str">
        <f ca="1">INDEX([2]!PAJAK[SUPPLIER],MATCH(Table1[[#This Row],[ID]],[2]!PAJAK[ID],0))</f>
        <v>PT KENKO SINAR INDONESIA</v>
      </c>
      <c r="J62" s="4"/>
      <c r="K62" s="4"/>
      <c r="L62" s="59">
        <f ca="1">IFERROR(INDEX(INDIRECT("NOTA_.xlsx!"&amp;Table1[[#This Row],[1_h]]&amp;"[sub total]"),MATCH(Table1[[#This Row],[ID]],INDIRECT("NOTA_.xlsx!"&amp;Table1[[#This Row],[1_h]]&amp;"[ID]"),0)),"")</f>
        <v>28166400</v>
      </c>
      <c r="M62" s="5">
        <f ca="1">IFERROR(INDEX(INDIRECT("NOTA_.xlsx!"&amp;Table1[[#This Row],[1_h]]&amp;"[diskon]"),MATCH(Table1[[#This Row],[ID]],INDIRECT("NOTA_.xlsx!"&amp;Table1[[#This Row],[1_h]]&amp;"[ID]"),0)),"")</f>
        <v>4788288</v>
      </c>
      <c r="N62" s="5">
        <f ca="1">IFERROR(INDEX(INDIRECT("NOTA_.xlsx!"&amp;Table1[[#This Row],[1_h]]&amp;"[Dpp]"),MATCH(Table1[[#This Row],[ID]],INDIRECT("NOTA_.xlsx!"&amp;Table1[[#This Row],[1_h]]&amp;"[ID]"),0)),"")</f>
        <v>21061362.162162159</v>
      </c>
      <c r="O62" s="5">
        <f ca="1">IFERROR(INDEX(INDIRECT("NOTA_.xlsx!"&amp;Table1[[#This Row],[1_h]]&amp;"[ppn (11%)]"),MATCH(Table1[[#This Row],[ID]],INDIRECT("NOTA_.xlsx!"&amp;Table1[[#This Row],[1_h]]&amp;"[ID]"),0)),"")</f>
        <v>2316749.8378378376</v>
      </c>
      <c r="P62" s="5">
        <f ca="1">IFERROR(INDEX(INDIRECT("NOTA_.xlsx!"&amp;Table1[[#This Row],[1_h]]&amp;"[total]"),MATCH(Table1[[#This Row],[ID]],INDIRECT("NOTA_.xlsx!"&amp;Table1[[#This Row],[1_h]]&amp;"[ID]"),0)),"")</f>
        <v>23378111.999999996</v>
      </c>
      <c r="Q62" s="49" t="str">
        <f ca="1">IF(Table1[[#This Row],[NAMA SUPPLIER]]="","",INDEX(conv1[2],MATCH(Table1[[#This Row],[NAMA SUPPLIER]],conv1[1],0)))</f>
        <v>KENKO</v>
      </c>
      <c r="R62" s="4">
        <f ca="1">IF(Table1[[#This Row],[NO. INVOICE]]="","",_xlfn.IFNA(MATCH(Table1[[#This Row],[NO. INVOICE]],'[3]REKAP PEMBELIAN'!$C:$C,0),MATCH(VALUE(Table1[[#This Row],[NO. INVOICE]]),'[3]REKAP PEMBELIAN'!$C:$C,0)))</f>
        <v>594</v>
      </c>
      <c r="S62" s="5"/>
    </row>
    <row r="63" spans="1:19" x14ac:dyDescent="0.25">
      <c r="A63" s="6">
        <f ca="1">IF(Table1[[#This Row],[NAMA SUPPLIER]]="","",MATCH(Table1[[#This Row],[N_ID]],INDIRECT(Table1[[#This Row],[1_h]]&amp;"[N_ID]"),0))</f>
        <v>153</v>
      </c>
      <c r="B63" s="54" t="s">
        <v>103</v>
      </c>
      <c r="C63" s="6">
        <f ca="1">_xlfn.IFNA(INDEX([2]!PAJAK[ID],MATCH(Table1[[#This Row],[N_ID]],[2]!PAJAK[ID_P],0)),"")</f>
        <v>113</v>
      </c>
      <c r="D63" s="6">
        <f ca="1">IF(Table1[[#This Row],[ID]]="","",INDEX([2]!PAJAK[QB],MATCH(Table1[[#This Row],[ID]],[2]!PAJAK[ID],0)))</f>
        <v>10</v>
      </c>
      <c r="E63" s="3">
        <f ca="1">INDEX([2]!PAJAK[TGL.MASUK],MATCH(Table1[[#This Row],[ID]],[2]!PAJAK[ID],0))</f>
        <v>44830</v>
      </c>
      <c r="F63" s="3">
        <f ca="1">INDEX([2]!PAJAK[TGL.NOTA],MATCH(Table1[[#This Row],[ID]],[2]!PAJAK[ID],0))</f>
        <v>44825</v>
      </c>
      <c r="G63" s="6" t="str">
        <f ca="1">INDEX([2]!PAJAK[NO.NOTA],MATCH(Table1[[#This Row],[ID]],[2]!PAJAK[ID],0))</f>
        <v>22091688</v>
      </c>
      <c r="I63" s="4" t="str">
        <f ca="1">INDEX([2]!PAJAK[SUPPLIER],MATCH(Table1[[#This Row],[ID]],[2]!PAJAK[ID],0))</f>
        <v>PT KENKO SINAR INDONESIA</v>
      </c>
      <c r="J63" s="4"/>
      <c r="K63" s="4"/>
      <c r="L63" s="59">
        <f ca="1">IFERROR(INDEX(INDIRECT("NOTA_.xlsx!"&amp;Table1[[#This Row],[1_h]]&amp;"[sub total]"),MATCH(Table1[[#This Row],[ID]],INDIRECT("NOTA_.xlsx!"&amp;Table1[[#This Row],[1_h]]&amp;"[ID]"),0)),"")</f>
        <v>35791600</v>
      </c>
      <c r="M63" s="5">
        <f ca="1">IFERROR(INDEX(INDIRECT("NOTA_.xlsx!"&amp;Table1[[#This Row],[1_h]]&amp;"[diskon]"),MATCH(Table1[[#This Row],[ID]],INDIRECT("NOTA_.xlsx!"&amp;Table1[[#This Row],[1_h]]&amp;"[ID]"),0)),"")</f>
        <v>6127898</v>
      </c>
      <c r="N63" s="5">
        <f ca="1">IFERROR(INDEX(INDIRECT("NOTA_.xlsx!"&amp;Table1[[#This Row],[1_h]]&amp;"[Dpp]"),MATCH(Table1[[#This Row],[ID]],INDIRECT("NOTA_.xlsx!"&amp;Table1[[#This Row],[1_h]]&amp;"[ID]"),0)),"")</f>
        <v>26724055.855855852</v>
      </c>
      <c r="O63" s="5">
        <f ca="1">IFERROR(INDEX(INDIRECT("NOTA_.xlsx!"&amp;Table1[[#This Row],[1_h]]&amp;"[ppn (11%)]"),MATCH(Table1[[#This Row],[ID]],INDIRECT("NOTA_.xlsx!"&amp;Table1[[#This Row],[1_h]]&amp;"[ID]"),0)),"")</f>
        <v>2939646.1441441439</v>
      </c>
      <c r="P63" s="5">
        <f ca="1">IFERROR(INDEX(INDIRECT("NOTA_.xlsx!"&amp;Table1[[#This Row],[1_h]]&amp;"[total]"),MATCH(Table1[[#This Row],[ID]],INDIRECT("NOTA_.xlsx!"&amp;Table1[[#This Row],[1_h]]&amp;"[ID]"),0)),"")</f>
        <v>29663701.999999996</v>
      </c>
      <c r="Q63" s="49" t="str">
        <f ca="1">IF(Table1[[#This Row],[NAMA SUPPLIER]]="","",INDEX(conv1[2],MATCH(Table1[[#This Row],[NAMA SUPPLIER]],conv1[1],0)))</f>
        <v>KENKO</v>
      </c>
      <c r="R63" s="4">
        <f ca="1">IF(Table1[[#This Row],[NO. INVOICE]]="","",_xlfn.IFNA(MATCH(Table1[[#This Row],[NO. INVOICE]],'[3]REKAP PEMBELIAN'!$C:$C,0),MATCH(VALUE(Table1[[#This Row],[NO. INVOICE]]),'[3]REKAP PEMBELIAN'!$C:$C,0)))</f>
        <v>595</v>
      </c>
      <c r="S63" s="5"/>
    </row>
    <row r="64" spans="1:19" x14ac:dyDescent="0.25">
      <c r="A64" s="6">
        <f ca="1">IF(Table1[[#This Row],[NAMA SUPPLIER]]="","",MATCH(Table1[[#This Row],[N_ID]],INDIRECT(Table1[[#This Row],[1_h]]&amp;"[N_ID]"),0))</f>
        <v>164</v>
      </c>
      <c r="B64" s="54" t="s">
        <v>104</v>
      </c>
      <c r="C64" s="6">
        <f ca="1">_xlfn.IFNA(INDEX([2]!PAJAK[ID],MATCH(Table1[[#This Row],[N_ID]],[2]!PAJAK[ID_P],0)),"")</f>
        <v>114</v>
      </c>
      <c r="D64" s="6">
        <f ca="1">IF(Table1[[#This Row],[ID]]="","",INDEX([2]!PAJAK[QB],MATCH(Table1[[#This Row],[ID]],[2]!PAJAK[ID],0)))</f>
        <v>3</v>
      </c>
      <c r="E64" s="3">
        <f ca="1">INDEX([2]!PAJAK[TGL.MASUK],MATCH(Table1[[#This Row],[ID]],[2]!PAJAK[ID],0))</f>
        <v>44830</v>
      </c>
      <c r="F64" s="3">
        <f ca="1">INDEX([2]!PAJAK[TGL.NOTA],MATCH(Table1[[#This Row],[ID]],[2]!PAJAK[ID],0))</f>
        <v>44825</v>
      </c>
      <c r="G64" s="6" t="str">
        <f ca="1">INDEX([2]!PAJAK[NO.NOTA],MATCH(Table1[[#This Row],[ID]],[2]!PAJAK[ID],0))</f>
        <v>22091697</v>
      </c>
      <c r="I64" s="4" t="str">
        <f ca="1">INDEX([2]!PAJAK[SUPPLIER],MATCH(Table1[[#This Row],[ID]],[2]!PAJAK[ID],0))</f>
        <v>PT KENKO SINAR INDONESIA</v>
      </c>
      <c r="J64" s="4"/>
      <c r="K64" s="4"/>
      <c r="L64" s="59">
        <f ca="1">IFERROR(INDEX(INDIRECT("NOTA_.xlsx!"&amp;Table1[[#This Row],[1_h]]&amp;"[sub total]"),MATCH(Table1[[#This Row],[ID]],INDIRECT("NOTA_.xlsx!"&amp;Table1[[#This Row],[1_h]]&amp;"[ID]"),0)),"")</f>
        <v>5107200</v>
      </c>
      <c r="M64" s="5">
        <f ca="1">IFERROR(INDEX(INDIRECT("NOTA_.xlsx!"&amp;Table1[[#This Row],[1_h]]&amp;"[diskon]"),MATCH(Table1[[#This Row],[ID]],INDIRECT("NOTA_.xlsx!"&amp;Table1[[#This Row],[1_h]]&amp;"[ID]"),0)),"")</f>
        <v>868224</v>
      </c>
      <c r="N64" s="5">
        <f ca="1">IFERROR(INDEX(INDIRECT("NOTA_.xlsx!"&amp;Table1[[#This Row],[1_h]]&amp;"[Dpp]"),MATCH(Table1[[#This Row],[ID]],INDIRECT("NOTA_.xlsx!"&amp;Table1[[#This Row],[1_h]]&amp;"[ID]"),0)),"")</f>
        <v>3818897.297297297</v>
      </c>
      <c r="O64" s="5">
        <f ca="1">IFERROR(INDEX(INDIRECT("NOTA_.xlsx!"&amp;Table1[[#This Row],[1_h]]&amp;"[ppn (11%)]"),MATCH(Table1[[#This Row],[ID]],INDIRECT("NOTA_.xlsx!"&amp;Table1[[#This Row],[1_h]]&amp;"[ID]"),0)),"")</f>
        <v>420078.70270270266</v>
      </c>
      <c r="P64" s="5">
        <f ca="1">IFERROR(INDEX(INDIRECT("NOTA_.xlsx!"&amp;Table1[[#This Row],[1_h]]&amp;"[total]"),MATCH(Table1[[#This Row],[ID]],INDIRECT("NOTA_.xlsx!"&amp;Table1[[#This Row],[1_h]]&amp;"[ID]"),0)),"")</f>
        <v>4238976</v>
      </c>
      <c r="Q64" s="49" t="str">
        <f ca="1">IF(Table1[[#This Row],[NAMA SUPPLIER]]="","",INDEX(conv1[2],MATCH(Table1[[#This Row],[NAMA SUPPLIER]],conv1[1],0)))</f>
        <v>KENKO</v>
      </c>
      <c r="R64" s="4">
        <f ca="1">IF(Table1[[#This Row],[NO. INVOICE]]="","",_xlfn.IFNA(MATCH(Table1[[#This Row],[NO. INVOICE]],'[3]REKAP PEMBELIAN'!$C:$C,0),MATCH(VALUE(Table1[[#This Row],[NO. INVOICE]]),'[3]REKAP PEMBELIAN'!$C:$C,0)))</f>
        <v>596</v>
      </c>
      <c r="S64" s="5"/>
    </row>
    <row r="65" spans="1:19" x14ac:dyDescent="0.25">
      <c r="A65" s="6">
        <f ca="1">IF(Table1[[#This Row],[NAMA SUPPLIER]]="","",MATCH(Table1[[#This Row],[N_ID]],INDIRECT(Table1[[#This Row],[1_h]]&amp;"[N_ID]"),0))</f>
        <v>168</v>
      </c>
      <c r="B65" s="54" t="s">
        <v>105</v>
      </c>
      <c r="C65" s="6">
        <f ca="1">_xlfn.IFNA(INDEX([2]!PAJAK[ID],MATCH(Table1[[#This Row],[N_ID]],[2]!PAJAK[ID_P],0)),"")</f>
        <v>117</v>
      </c>
      <c r="D65" s="6">
        <f ca="1">IF(Table1[[#This Row],[ID]]="","",INDEX([2]!PAJAK[QB],MATCH(Table1[[#This Row],[ID]],[2]!PAJAK[ID],0)))</f>
        <v>10</v>
      </c>
      <c r="E65" s="3">
        <f ca="1">INDEX([2]!PAJAK[TGL.MASUK],MATCH(Table1[[#This Row],[ID]],[2]!PAJAK[ID],0))</f>
        <v>44830</v>
      </c>
      <c r="F65" s="3">
        <f ca="1">INDEX([2]!PAJAK[TGL.NOTA],MATCH(Table1[[#This Row],[ID]],[2]!PAJAK[ID],0))</f>
        <v>44826</v>
      </c>
      <c r="G65" s="6" t="str">
        <f ca="1">INDEX([2]!PAJAK[NO.NOTA],MATCH(Table1[[#This Row],[ID]],[2]!PAJAK[ID],0))</f>
        <v>22091783</v>
      </c>
      <c r="I65" s="4" t="str">
        <f ca="1">INDEX([2]!PAJAK[SUPPLIER],MATCH(Table1[[#This Row],[ID]],[2]!PAJAK[ID],0))</f>
        <v>PT KENKO SINAR INDONESIA</v>
      </c>
      <c r="J65" s="4"/>
      <c r="K65" s="4"/>
      <c r="L65" s="59">
        <f ca="1">IFERROR(INDEX(INDIRECT("NOTA_.xlsx!"&amp;Table1[[#This Row],[1_h]]&amp;"[sub total]"),MATCH(Table1[[#This Row],[ID]],INDIRECT("NOTA_.xlsx!"&amp;Table1[[#This Row],[1_h]]&amp;"[ID]"),0)),"")</f>
        <v>85518000</v>
      </c>
      <c r="M65" s="5">
        <f ca="1">IFERROR(INDEX(INDIRECT("NOTA_.xlsx!"&amp;Table1[[#This Row],[1_h]]&amp;"[diskon]"),MATCH(Table1[[#This Row],[ID]],INDIRECT("NOTA_.xlsx!"&amp;Table1[[#This Row],[1_h]]&amp;"[ID]"),0)),"")</f>
        <v>14538060</v>
      </c>
      <c r="N65" s="5">
        <f ca="1">IFERROR(INDEX(INDIRECT("NOTA_.xlsx!"&amp;Table1[[#This Row],[1_h]]&amp;"[Dpp]"),MATCH(Table1[[#This Row],[ID]],INDIRECT("NOTA_.xlsx!"&amp;Table1[[#This Row],[1_h]]&amp;"[ID]"),0)),"")</f>
        <v>63945891.891891889</v>
      </c>
      <c r="O65" s="5">
        <f ca="1">IFERROR(INDEX(INDIRECT("NOTA_.xlsx!"&amp;Table1[[#This Row],[1_h]]&amp;"[ppn (11%)]"),MATCH(Table1[[#This Row],[ID]],INDIRECT("NOTA_.xlsx!"&amp;Table1[[#This Row],[1_h]]&amp;"[ID]"),0)),"")</f>
        <v>7034048.1081081079</v>
      </c>
      <c r="P65" s="5">
        <f ca="1">IFERROR(INDEX(INDIRECT("NOTA_.xlsx!"&amp;Table1[[#This Row],[1_h]]&amp;"[total]"),MATCH(Table1[[#This Row],[ID]],INDIRECT("NOTA_.xlsx!"&amp;Table1[[#This Row],[1_h]]&amp;"[ID]"),0)),"")</f>
        <v>70979940</v>
      </c>
      <c r="Q65" s="49" t="str">
        <f ca="1">IF(Table1[[#This Row],[NAMA SUPPLIER]]="","",INDEX(conv1[2],MATCH(Table1[[#This Row],[NAMA SUPPLIER]],conv1[1],0)))</f>
        <v>KENKO</v>
      </c>
      <c r="R65" s="4">
        <f ca="1">IF(Table1[[#This Row],[NO. INVOICE]]="","",_xlfn.IFNA(MATCH(Table1[[#This Row],[NO. INVOICE]],'[3]REKAP PEMBELIAN'!$C:$C,0),MATCH(VALUE(Table1[[#This Row],[NO. INVOICE]]),'[3]REKAP PEMBELIAN'!$C:$C,0)))</f>
        <v>597</v>
      </c>
      <c r="S65" s="5"/>
    </row>
    <row r="66" spans="1:19" x14ac:dyDescent="0.25">
      <c r="A66" s="6">
        <f ca="1">IF(Table1[[#This Row],[NAMA SUPPLIER]]="","",MATCH(Table1[[#This Row],[N_ID]],INDIRECT(Table1[[#This Row],[1_h]]&amp;"[N_ID]"),0))</f>
        <v>179</v>
      </c>
      <c r="B66" s="54" t="s">
        <v>106</v>
      </c>
      <c r="C66" s="6">
        <f ca="1">_xlfn.IFNA(INDEX([2]!PAJAK[ID],MATCH(Table1[[#This Row],[N_ID]],[2]!PAJAK[ID_P],0)),"")</f>
        <v>115</v>
      </c>
      <c r="D66" s="6">
        <f ca="1">IF(Table1[[#This Row],[ID]]="","",INDEX([2]!PAJAK[QB],MATCH(Table1[[#This Row],[ID]],[2]!PAJAK[ID],0)))</f>
        <v>10</v>
      </c>
      <c r="E66" s="3">
        <f ca="1">INDEX([2]!PAJAK[TGL.MASUK],MATCH(Table1[[#This Row],[ID]],[2]!PAJAK[ID],0))</f>
        <v>44830</v>
      </c>
      <c r="F66" s="3">
        <f ca="1">INDEX([2]!PAJAK[TGL.NOTA],MATCH(Table1[[#This Row],[ID]],[2]!PAJAK[ID],0))</f>
        <v>44826</v>
      </c>
      <c r="G66" s="6" t="str">
        <f ca="1">INDEX([2]!PAJAK[NO.NOTA],MATCH(Table1[[#This Row],[ID]],[2]!PAJAK[ID],0))</f>
        <v>22091795</v>
      </c>
      <c r="I66" s="4" t="str">
        <f ca="1">INDEX([2]!PAJAK[SUPPLIER],MATCH(Table1[[#This Row],[ID]],[2]!PAJAK[ID],0))</f>
        <v>PT KENKO SINAR INDONESIA</v>
      </c>
      <c r="J66" s="4"/>
      <c r="K66" s="4"/>
      <c r="L66" s="59">
        <f ca="1">IFERROR(INDEX(INDIRECT("NOTA_.xlsx!"&amp;Table1[[#This Row],[1_h]]&amp;"[sub total]"),MATCH(Table1[[#This Row],[ID]],INDIRECT("NOTA_.xlsx!"&amp;Table1[[#This Row],[1_h]]&amp;"[ID]"),0)),"")</f>
        <v>44702400</v>
      </c>
      <c r="M66" s="5">
        <f ca="1">IFERROR(INDEX(INDIRECT("NOTA_.xlsx!"&amp;Table1[[#This Row],[1_h]]&amp;"[diskon]"),MATCH(Table1[[#This Row],[ID]],INDIRECT("NOTA_.xlsx!"&amp;Table1[[#This Row],[1_h]]&amp;"[ID]"),0)),"")</f>
        <v>7599408</v>
      </c>
      <c r="N66" s="5">
        <f ca="1">IFERROR(INDEX(INDIRECT("NOTA_.xlsx!"&amp;Table1[[#This Row],[1_h]]&amp;"[Dpp]"),MATCH(Table1[[#This Row],[ID]],INDIRECT("NOTA_.xlsx!"&amp;Table1[[#This Row],[1_h]]&amp;"[ID]"),0)),"")</f>
        <v>33426118.918918915</v>
      </c>
      <c r="O66" s="5">
        <f ca="1">IFERROR(INDEX(INDIRECT("NOTA_.xlsx!"&amp;Table1[[#This Row],[1_h]]&amp;"[ppn (11%)]"),MATCH(Table1[[#This Row],[ID]],INDIRECT("NOTA_.xlsx!"&amp;Table1[[#This Row],[1_h]]&amp;"[ID]"),0)),"")</f>
        <v>3676873.0810810807</v>
      </c>
      <c r="P66" s="5">
        <f ca="1">IFERROR(INDEX(INDIRECT("NOTA_.xlsx!"&amp;Table1[[#This Row],[1_h]]&amp;"[total]"),MATCH(Table1[[#This Row],[ID]],INDIRECT("NOTA_.xlsx!"&amp;Table1[[#This Row],[1_h]]&amp;"[ID]"),0)),"")</f>
        <v>37102991.999999993</v>
      </c>
      <c r="Q66" s="49" t="str">
        <f ca="1">IF(Table1[[#This Row],[NAMA SUPPLIER]]="","",INDEX(conv1[2],MATCH(Table1[[#This Row],[NAMA SUPPLIER]],conv1[1],0)))</f>
        <v>KENKO</v>
      </c>
      <c r="R66" s="4">
        <f ca="1">IF(Table1[[#This Row],[NO. INVOICE]]="","",_xlfn.IFNA(MATCH(Table1[[#This Row],[NO. INVOICE]],'[3]REKAP PEMBELIAN'!$C:$C,0),MATCH(VALUE(Table1[[#This Row],[NO. INVOICE]]),'[3]REKAP PEMBELIAN'!$C:$C,0)))</f>
        <v>598</v>
      </c>
      <c r="S66" s="5"/>
    </row>
    <row r="67" spans="1:19" x14ac:dyDescent="0.25">
      <c r="A67" s="6">
        <f ca="1">IF(Table1[[#This Row],[NAMA SUPPLIER]]="","",MATCH(Table1[[#This Row],[N_ID]],INDIRECT(Table1[[#This Row],[1_h]]&amp;"[N_ID]"),0))</f>
        <v>190</v>
      </c>
      <c r="B67" s="54" t="s">
        <v>107</v>
      </c>
      <c r="C67" s="6">
        <f ca="1">_xlfn.IFNA(INDEX([2]!PAJAK[ID],MATCH(Table1[[#This Row],[N_ID]],[2]!PAJAK[ID_P],0)),"")</f>
        <v>116</v>
      </c>
      <c r="D67" s="6">
        <f ca="1">IF(Table1[[#This Row],[ID]]="","",INDEX([2]!PAJAK[QB],MATCH(Table1[[#This Row],[ID]],[2]!PAJAK[ID],0)))</f>
        <v>4</v>
      </c>
      <c r="E67" s="3">
        <f ca="1">INDEX([2]!PAJAK[TGL.MASUK],MATCH(Table1[[#This Row],[ID]],[2]!PAJAK[ID],0))</f>
        <v>44830</v>
      </c>
      <c r="F67" s="3">
        <f ca="1">INDEX([2]!PAJAK[TGL.NOTA],MATCH(Table1[[#This Row],[ID]],[2]!PAJAK[ID],0))</f>
        <v>44826</v>
      </c>
      <c r="G67" s="6" t="str">
        <f ca="1">INDEX([2]!PAJAK[NO.NOTA],MATCH(Table1[[#This Row],[ID]],[2]!PAJAK[ID],0))</f>
        <v>22091796</v>
      </c>
      <c r="I67" s="4" t="str">
        <f ca="1">INDEX([2]!PAJAK[SUPPLIER],MATCH(Table1[[#This Row],[ID]],[2]!PAJAK[ID],0))</f>
        <v>PT KENKO SINAR INDONESIA</v>
      </c>
      <c r="J67" s="4"/>
      <c r="K67" s="4"/>
      <c r="L67" s="59">
        <f ca="1">IFERROR(INDEX(INDIRECT("NOTA_.xlsx!"&amp;Table1[[#This Row],[1_h]]&amp;"[sub total]"),MATCH(Table1[[#This Row],[ID]],INDIRECT("NOTA_.xlsx!"&amp;Table1[[#This Row],[1_h]]&amp;"[ID]"),0)),"")</f>
        <v>20536800</v>
      </c>
      <c r="M67" s="5">
        <f ca="1">IFERROR(INDEX(INDIRECT("NOTA_.xlsx!"&amp;Table1[[#This Row],[1_h]]&amp;"[diskon]"),MATCH(Table1[[#This Row],[ID]],INDIRECT("NOTA_.xlsx!"&amp;Table1[[#This Row],[1_h]]&amp;"[ID]"),0)),"")</f>
        <v>3491256</v>
      </c>
      <c r="N67" s="5">
        <f ca="1">IFERROR(INDEX(INDIRECT("NOTA_.xlsx!"&amp;Table1[[#This Row],[1_h]]&amp;"[Dpp]"),MATCH(Table1[[#This Row],[ID]],INDIRECT("NOTA_.xlsx!"&amp;Table1[[#This Row],[1_h]]&amp;"[ID]"),0)),"")</f>
        <v>15356345.945945945</v>
      </c>
      <c r="O67" s="5">
        <f ca="1">IFERROR(INDEX(INDIRECT("NOTA_.xlsx!"&amp;Table1[[#This Row],[1_h]]&amp;"[ppn (11%)]"),MATCH(Table1[[#This Row],[ID]],INDIRECT("NOTA_.xlsx!"&amp;Table1[[#This Row],[1_h]]&amp;"[ID]"),0)),"")</f>
        <v>1689198.054054054</v>
      </c>
      <c r="P67" s="5">
        <f ca="1">IFERROR(INDEX(INDIRECT("NOTA_.xlsx!"&amp;Table1[[#This Row],[1_h]]&amp;"[total]"),MATCH(Table1[[#This Row],[ID]],INDIRECT("NOTA_.xlsx!"&amp;Table1[[#This Row],[1_h]]&amp;"[ID]"),0)),"")</f>
        <v>17045544</v>
      </c>
      <c r="Q67" s="49" t="str">
        <f ca="1">IF(Table1[[#This Row],[NAMA SUPPLIER]]="","",INDEX(conv1[2],MATCH(Table1[[#This Row],[NAMA SUPPLIER]],conv1[1],0)))</f>
        <v>KENKO</v>
      </c>
      <c r="R67" s="4">
        <f ca="1">IF(Table1[[#This Row],[NO. INVOICE]]="","",_xlfn.IFNA(MATCH(Table1[[#This Row],[NO. INVOICE]],'[3]REKAP PEMBELIAN'!$C:$C,0),MATCH(VALUE(Table1[[#This Row],[NO. INVOICE]]),'[3]REKAP PEMBELIAN'!$C:$C,0)))</f>
        <v>599</v>
      </c>
      <c r="S67" s="5"/>
    </row>
    <row r="68" spans="1:19" x14ac:dyDescent="0.25">
      <c r="A68" s="6">
        <f ca="1">IF(Table1[[#This Row],[NAMA SUPPLIER]]="","",MATCH(Table1[[#This Row],[N_ID]],INDIRECT(Table1[[#This Row],[1_h]]&amp;"[N_ID]"),0))</f>
        <v>195</v>
      </c>
      <c r="B68" s="54" t="s">
        <v>108</v>
      </c>
      <c r="C68" s="6">
        <f ca="1">_xlfn.IFNA(INDEX([2]!PAJAK[ID],MATCH(Table1[[#This Row],[N_ID]],[2]!PAJAK[ID_P],0)),"")</f>
        <v>125</v>
      </c>
      <c r="D68" s="6">
        <f ca="1">IF(Table1[[#This Row],[ID]]="","",INDEX([2]!PAJAK[QB],MATCH(Table1[[#This Row],[ID]],[2]!PAJAK[ID],0)))</f>
        <v>3</v>
      </c>
      <c r="E68" s="3">
        <f ca="1">INDEX([2]!PAJAK[TGL.MASUK],MATCH(Table1[[#This Row],[ID]],[2]!PAJAK[ID],0))</f>
        <v>44831</v>
      </c>
      <c r="F68" s="3">
        <f ca="1">INDEX([2]!PAJAK[TGL.NOTA],MATCH(Table1[[#This Row],[ID]],[2]!PAJAK[ID],0))</f>
        <v>44827</v>
      </c>
      <c r="G68" s="6" t="str">
        <f ca="1">INDEX([2]!PAJAK[NO.NOTA],MATCH(Table1[[#This Row],[ID]],[2]!PAJAK[ID],0))</f>
        <v>22091890</v>
      </c>
      <c r="I68" s="4" t="str">
        <f ca="1">INDEX([2]!PAJAK[SUPPLIER],MATCH(Table1[[#This Row],[ID]],[2]!PAJAK[ID],0))</f>
        <v>PT KENKO SINAR INDONESIA</v>
      </c>
      <c r="J68" s="4"/>
      <c r="K68" s="4"/>
      <c r="L68" s="59">
        <f ca="1">IFERROR(INDEX(INDIRECT("NOTA_.xlsx!"&amp;Table1[[#This Row],[1_h]]&amp;"[sub total]"),MATCH(Table1[[#This Row],[ID]],INDIRECT("NOTA_.xlsx!"&amp;Table1[[#This Row],[1_h]]&amp;"[ID]"),0)),"")</f>
        <v>60876000</v>
      </c>
      <c r="M68" s="5">
        <f ca="1">IFERROR(INDEX(INDIRECT("NOTA_.xlsx!"&amp;Table1[[#This Row],[1_h]]&amp;"[diskon]"),MATCH(Table1[[#This Row],[ID]],INDIRECT("NOTA_.xlsx!"&amp;Table1[[#This Row],[1_h]]&amp;"[ID]"),0)),"")</f>
        <v>10348920</v>
      </c>
      <c r="N68" s="5">
        <f ca="1">IFERROR(INDEX(INDIRECT("NOTA_.xlsx!"&amp;Table1[[#This Row],[1_h]]&amp;"[Dpp]"),MATCH(Table1[[#This Row],[ID]],INDIRECT("NOTA_.xlsx!"&amp;Table1[[#This Row],[1_h]]&amp;"[ID]"),0)),"")</f>
        <v>45519891.891891889</v>
      </c>
      <c r="O68" s="5">
        <f ca="1">IFERROR(INDEX(INDIRECT("NOTA_.xlsx!"&amp;Table1[[#This Row],[1_h]]&amp;"[ppn (11%)]"),MATCH(Table1[[#This Row],[ID]],INDIRECT("NOTA_.xlsx!"&amp;Table1[[#This Row],[1_h]]&amp;"[ID]"),0)),"")</f>
        <v>5007188.1081081079</v>
      </c>
      <c r="P68" s="5">
        <f ca="1">IFERROR(INDEX(INDIRECT("NOTA_.xlsx!"&amp;Table1[[#This Row],[1_h]]&amp;"[total]"),MATCH(Table1[[#This Row],[ID]],INDIRECT("NOTA_.xlsx!"&amp;Table1[[#This Row],[1_h]]&amp;"[ID]"),0)),"")</f>
        <v>50527080</v>
      </c>
      <c r="Q68" s="49" t="str">
        <f ca="1">IF(Table1[[#This Row],[NAMA SUPPLIER]]="","",INDEX(conv1[2],MATCH(Table1[[#This Row],[NAMA SUPPLIER]],conv1[1],0)))</f>
        <v>KENKO</v>
      </c>
      <c r="R68" s="4">
        <f ca="1">IF(Table1[[#This Row],[NO. INVOICE]]="","",_xlfn.IFNA(MATCH(Table1[[#This Row],[NO. INVOICE]],'[3]REKAP PEMBELIAN'!$C:$C,0),MATCH(VALUE(Table1[[#This Row],[NO. INVOICE]]),'[3]REKAP PEMBELIAN'!$C:$C,0)))</f>
        <v>600</v>
      </c>
      <c r="S68" s="5"/>
    </row>
    <row r="69" spans="1:19" x14ac:dyDescent="0.25">
      <c r="A69" s="6">
        <f ca="1">IF(Table1[[#This Row],[NAMA SUPPLIER]]="","",MATCH(Table1[[#This Row],[N_ID]],INDIRECT(Table1[[#This Row],[1_h]]&amp;"[N_ID]"),0))</f>
        <v>199</v>
      </c>
      <c r="B69" s="54" t="s">
        <v>123</v>
      </c>
      <c r="C69" s="6">
        <f ca="1">_xlfn.IFNA(INDEX([2]!PAJAK[ID],MATCH(Table1[[#This Row],[N_ID]],[2]!PAJAK[ID_P],0)),"")</f>
        <v>141</v>
      </c>
      <c r="D69" s="6">
        <f ca="1">IF(Table1[[#This Row],[ID]]="","",INDEX([2]!PAJAK[QB],MATCH(Table1[[#This Row],[ID]],[2]!PAJAK[ID],0)))</f>
        <v>8</v>
      </c>
      <c r="E69" s="3">
        <f ca="1">INDEX([2]!PAJAK[TGL.MASUK],MATCH(Table1[[#This Row],[ID]],[2]!PAJAK[ID],0))</f>
        <v>44833</v>
      </c>
      <c r="F69" s="3">
        <f ca="1">INDEX([2]!PAJAK[TGL.NOTA],MATCH(Table1[[#This Row],[ID]],[2]!PAJAK[ID],0))</f>
        <v>44828</v>
      </c>
      <c r="G69" s="6" t="str">
        <f ca="1">INDEX([2]!PAJAK[NO.NOTA],MATCH(Table1[[#This Row],[ID]],[2]!PAJAK[ID],0))</f>
        <v>22092001</v>
      </c>
      <c r="I69" s="4" t="str">
        <f ca="1">INDEX([2]!PAJAK[SUPPLIER],MATCH(Table1[[#This Row],[ID]],[2]!PAJAK[ID],0))</f>
        <v>PT KENKO SINAR INDONESIA</v>
      </c>
      <c r="J69" s="4"/>
      <c r="K69" s="4"/>
      <c r="L69" s="59">
        <f ca="1">IFERROR(INDEX(INDIRECT("NOTA_.xlsx!"&amp;Table1[[#This Row],[1_h]]&amp;"[sub total]"),MATCH(Table1[[#This Row],[ID]],INDIRECT("NOTA_.xlsx!"&amp;Table1[[#This Row],[1_h]]&amp;"[ID]"),0)),"")</f>
        <v>29194000</v>
      </c>
      <c r="M69" s="5">
        <f ca="1">IFERROR(INDEX(INDIRECT("NOTA_.xlsx!"&amp;Table1[[#This Row],[1_h]]&amp;"[diskon]"),MATCH(Table1[[#This Row],[ID]],INDIRECT("NOTA_.xlsx!"&amp;Table1[[#This Row],[1_h]]&amp;"[ID]"),0)),"")</f>
        <v>4962980</v>
      </c>
      <c r="N69" s="5">
        <f ca="1">IFERROR(INDEX(INDIRECT("NOTA_.xlsx!"&amp;Table1[[#This Row],[1_h]]&amp;"[Dpp]"),MATCH(Table1[[#This Row],[ID]],INDIRECT("NOTA_.xlsx!"&amp;Table1[[#This Row],[1_h]]&amp;"[ID]"),0)),"")</f>
        <v>21829747.747747745</v>
      </c>
      <c r="O69" s="5">
        <f ca="1">IFERROR(INDEX(INDIRECT("NOTA_.xlsx!"&amp;Table1[[#This Row],[1_h]]&amp;"[ppn (11%)]"),MATCH(Table1[[#This Row],[ID]],INDIRECT("NOTA_.xlsx!"&amp;Table1[[#This Row],[1_h]]&amp;"[ID]"),0)),"")</f>
        <v>2401272.2522522518</v>
      </c>
      <c r="P69" s="5">
        <f ca="1">IFERROR(INDEX(INDIRECT("NOTA_.xlsx!"&amp;Table1[[#This Row],[1_h]]&amp;"[total]"),MATCH(Table1[[#This Row],[ID]],INDIRECT("NOTA_.xlsx!"&amp;Table1[[#This Row],[1_h]]&amp;"[ID]"),0)),"")</f>
        <v>24231019.999999996</v>
      </c>
      <c r="Q69" s="49" t="str">
        <f ca="1">IF(Table1[[#This Row],[NAMA SUPPLIER]]="","",INDEX(conv1[2],MATCH(Table1[[#This Row],[NAMA SUPPLIER]],conv1[1],0)))</f>
        <v>KENKO</v>
      </c>
      <c r="R69" s="4">
        <f ca="1">IF(Table1[[#This Row],[NO. INVOICE]]="","",_xlfn.IFNA(MATCH(Table1[[#This Row],[NO. INVOICE]],'[3]REKAP PEMBELIAN'!$C:$C,0),MATCH(VALUE(Table1[[#This Row],[NO. INVOICE]]),'[3]REKAP PEMBELIAN'!$C:$C,0)))</f>
        <v>601</v>
      </c>
      <c r="S69" s="5"/>
    </row>
    <row r="70" spans="1:19" x14ac:dyDescent="0.25">
      <c r="A70" s="6">
        <f ca="1">IF(Table1[[#This Row],[NAMA SUPPLIER]]="","",MATCH(Table1[[#This Row],[N_ID]],INDIRECT(Table1[[#This Row],[1_h]]&amp;"[N_ID]"),0))</f>
        <v>208</v>
      </c>
      <c r="B70" s="54" t="s">
        <v>124</v>
      </c>
      <c r="C70" s="6">
        <f ca="1">_xlfn.IFNA(INDEX([2]!PAJAK[ID],MATCH(Table1[[#This Row],[N_ID]],[2]!PAJAK[ID_P],0)),"")</f>
        <v>142</v>
      </c>
      <c r="D70" s="6">
        <f ca="1">IF(Table1[[#This Row],[ID]]="","",INDEX([2]!PAJAK[QB],MATCH(Table1[[#This Row],[ID]],[2]!PAJAK[ID],0)))</f>
        <v>7</v>
      </c>
      <c r="E70" s="3">
        <f ca="1">INDEX([2]!PAJAK[TGL.MASUK],MATCH(Table1[[#This Row],[ID]],[2]!PAJAK[ID],0))</f>
        <v>44833</v>
      </c>
      <c r="F70" s="3">
        <f ca="1">INDEX([2]!PAJAK[TGL.NOTA],MATCH(Table1[[#This Row],[ID]],[2]!PAJAK[ID],0))</f>
        <v>44831</v>
      </c>
      <c r="G70" s="6" t="str">
        <f ca="1">INDEX([2]!PAJAK[NO.NOTA],MATCH(Table1[[#This Row],[ID]],[2]!PAJAK[ID],0))</f>
        <v>22092190</v>
      </c>
      <c r="I70" s="4" t="str">
        <f ca="1">INDEX([2]!PAJAK[SUPPLIER],MATCH(Table1[[#This Row],[ID]],[2]!PAJAK[ID],0))</f>
        <v>PT KENKO SINAR INDONESIA</v>
      </c>
      <c r="J70" s="4"/>
      <c r="K70" s="4"/>
      <c r="L70" s="59">
        <f ca="1">IFERROR(INDEX(INDIRECT("NOTA_.xlsx!"&amp;Table1[[#This Row],[1_h]]&amp;"[sub total]"),MATCH(Table1[[#This Row],[ID]],INDIRECT("NOTA_.xlsx!"&amp;Table1[[#This Row],[1_h]]&amp;"[ID]"),0)),"")</f>
        <v>19343600</v>
      </c>
      <c r="M70" s="5">
        <f ca="1">IFERROR(INDEX(INDIRECT("NOTA_.xlsx!"&amp;Table1[[#This Row],[1_h]]&amp;"[diskon]"),MATCH(Table1[[#This Row],[ID]],INDIRECT("NOTA_.xlsx!"&amp;Table1[[#This Row],[1_h]]&amp;"[ID]"),0)),"")</f>
        <v>3288412</v>
      </c>
      <c r="N70" s="5">
        <f ca="1">IFERROR(INDEX(INDIRECT("NOTA_.xlsx!"&amp;Table1[[#This Row],[1_h]]&amp;"[Dpp]"),MATCH(Table1[[#This Row],[ID]],INDIRECT("NOTA_.xlsx!"&amp;Table1[[#This Row],[1_h]]&amp;"[ID]"),0)),"")</f>
        <v>14464133.333333332</v>
      </c>
      <c r="O70" s="5">
        <f ca="1">IFERROR(INDEX(INDIRECT("NOTA_.xlsx!"&amp;Table1[[#This Row],[1_h]]&amp;"[ppn (11%)]"),MATCH(Table1[[#This Row],[ID]],INDIRECT("NOTA_.xlsx!"&amp;Table1[[#This Row],[1_h]]&amp;"[ID]"),0)),"")</f>
        <v>1591054.6666666665</v>
      </c>
      <c r="P70" s="5">
        <f ca="1">IFERROR(INDEX(INDIRECT("NOTA_.xlsx!"&amp;Table1[[#This Row],[1_h]]&amp;"[total]"),MATCH(Table1[[#This Row],[ID]],INDIRECT("NOTA_.xlsx!"&amp;Table1[[#This Row],[1_h]]&amp;"[ID]"),0)),"")</f>
        <v>16055187.999999998</v>
      </c>
      <c r="Q70" s="49" t="str">
        <f ca="1">IF(Table1[[#This Row],[NAMA SUPPLIER]]="","",INDEX(conv1[2],MATCH(Table1[[#This Row],[NAMA SUPPLIER]],conv1[1],0)))</f>
        <v>KENKO</v>
      </c>
      <c r="R70" s="4">
        <f ca="1">IF(Table1[[#This Row],[NO. INVOICE]]="","",_xlfn.IFNA(MATCH(Table1[[#This Row],[NO. INVOICE]],'[3]REKAP PEMBELIAN'!$C:$C,0),MATCH(VALUE(Table1[[#This Row],[NO. INVOICE]]),'[3]REKAP PEMBELIAN'!$C:$C,0)))</f>
        <v>603</v>
      </c>
      <c r="S70" s="5"/>
    </row>
    <row r="71" spans="1:19" x14ac:dyDescent="0.25">
      <c r="A71" s="6">
        <f ca="1">IF(Table1[[#This Row],[NAMA SUPPLIER]]="","",MATCH(Table1[[#This Row],[N_ID]],INDIRECT(Table1[[#This Row],[1_h]]&amp;"[N_ID]"),0))</f>
        <v>216</v>
      </c>
      <c r="B71" s="54" t="s">
        <v>125</v>
      </c>
      <c r="C71" s="6">
        <f ca="1">_xlfn.IFNA(INDEX([2]!PAJAK[ID],MATCH(Table1[[#This Row],[N_ID]],[2]!PAJAK[ID_P],0)),"")</f>
        <v>147</v>
      </c>
      <c r="D71" s="6">
        <f ca="1">IF(Table1[[#This Row],[ID]]="","",INDEX([2]!PAJAK[QB],MATCH(Table1[[#This Row],[ID]],[2]!PAJAK[ID],0)))</f>
        <v>4</v>
      </c>
      <c r="E71" s="3">
        <f ca="1">INDEX([2]!PAJAK[TGL.MASUK],MATCH(Table1[[#This Row],[ID]],[2]!PAJAK[ID],0))</f>
        <v>44835</v>
      </c>
      <c r="F71" s="3">
        <f ca="1">INDEX([2]!PAJAK[TGL.NOTA],MATCH(Table1[[#This Row],[ID]],[2]!PAJAK[ID],0))</f>
        <v>44832</v>
      </c>
      <c r="G71" s="6" t="str">
        <f ca="1">INDEX([2]!PAJAK[NO.NOTA],MATCH(Table1[[#This Row],[ID]],[2]!PAJAK[ID],0))</f>
        <v>22092360</v>
      </c>
      <c r="I71" s="4" t="str">
        <f ca="1">INDEX([2]!PAJAK[SUPPLIER],MATCH(Table1[[#This Row],[ID]],[2]!PAJAK[ID],0))</f>
        <v>PT KENKO SINAR INDONESIA</v>
      </c>
      <c r="J71" s="4"/>
      <c r="K71" s="4"/>
      <c r="L71" s="59">
        <f ca="1">IFERROR(INDEX(INDIRECT("NOTA_.xlsx!"&amp;Table1[[#This Row],[1_h]]&amp;"[sub total]"),MATCH(Table1[[#This Row],[ID]],INDIRECT("NOTA_.xlsx!"&amp;Table1[[#This Row],[1_h]]&amp;"[ID]"),0)),"")</f>
        <v>17955000</v>
      </c>
      <c r="M71" s="5">
        <f ca="1">IFERROR(INDEX(INDIRECT("NOTA_.xlsx!"&amp;Table1[[#This Row],[1_h]]&amp;"[diskon]"),MATCH(Table1[[#This Row],[ID]],INDIRECT("NOTA_.xlsx!"&amp;Table1[[#This Row],[1_h]]&amp;"[ID]"),0)),"")</f>
        <v>3052350</v>
      </c>
      <c r="N71" s="5">
        <f ca="1">IFERROR(INDEX(INDIRECT("NOTA_.xlsx!"&amp;Table1[[#This Row],[1_h]]&amp;"[Dpp]"),MATCH(Table1[[#This Row],[ID]],INDIRECT("NOTA_.xlsx!"&amp;Table1[[#This Row],[1_h]]&amp;"[ID]"),0)),"")</f>
        <v>13425810.81081081</v>
      </c>
      <c r="O71" s="5">
        <f ca="1">IFERROR(INDEX(INDIRECT("NOTA_.xlsx!"&amp;Table1[[#This Row],[1_h]]&amp;"[ppn (11%)]"),MATCH(Table1[[#This Row],[ID]],INDIRECT("NOTA_.xlsx!"&amp;Table1[[#This Row],[1_h]]&amp;"[ID]"),0)),"")</f>
        <v>1476839.1891891891</v>
      </c>
      <c r="P71" s="5">
        <f ca="1">IFERROR(INDEX(INDIRECT("NOTA_.xlsx!"&amp;Table1[[#This Row],[1_h]]&amp;"[total]"),MATCH(Table1[[#This Row],[ID]],INDIRECT("NOTA_.xlsx!"&amp;Table1[[#This Row],[1_h]]&amp;"[ID]"),0)),"")</f>
        <v>14902650</v>
      </c>
      <c r="Q71" s="49" t="str">
        <f ca="1">IF(Table1[[#This Row],[NAMA SUPPLIER]]="","",INDEX(conv1[2],MATCH(Table1[[#This Row],[NAMA SUPPLIER]],conv1[1],0)))</f>
        <v>KENKO</v>
      </c>
      <c r="R71" s="4">
        <f ca="1">IF(Table1[[#This Row],[NO. INVOICE]]="","",_xlfn.IFNA(MATCH(Table1[[#This Row],[NO. INVOICE]],'[3]REKAP PEMBELIAN'!$C:$C,0),MATCH(VALUE(Table1[[#This Row],[NO. INVOICE]]),'[3]REKAP PEMBELIAN'!$C:$C,0)))</f>
        <v>604</v>
      </c>
      <c r="S71" s="5"/>
    </row>
    <row r="72" spans="1:19" x14ac:dyDescent="0.25">
      <c r="A72" s="6">
        <f ca="1">IF(Table1[[#This Row],[NAMA SUPPLIER]]="","",MATCH(Table1[[#This Row],[N_ID]],INDIRECT(Table1[[#This Row],[1_h]]&amp;"[N_ID]"),0))</f>
        <v>221</v>
      </c>
      <c r="B72" s="54" t="s">
        <v>133</v>
      </c>
      <c r="C72" s="6">
        <f ca="1">_xlfn.IFNA(INDEX([2]!PAJAK[ID],MATCH(Table1[[#This Row],[N_ID]],[2]!PAJAK[ID_P],0)),"")</f>
        <v>143</v>
      </c>
      <c r="D72" s="6">
        <f ca="1">IF(Table1[[#This Row],[ID]]="","",INDEX([2]!PAJAK[QB],MATCH(Table1[[#This Row],[ID]],[2]!PAJAK[ID],0)))</f>
        <v>5</v>
      </c>
      <c r="E72" s="3">
        <f ca="1">INDEX([2]!PAJAK[TGL.MASUK],MATCH(Table1[[#This Row],[ID]],[2]!PAJAK[ID],0))</f>
        <v>44834</v>
      </c>
      <c r="F72" s="3">
        <f ca="1">INDEX([2]!PAJAK[TGL.NOTA],MATCH(Table1[[#This Row],[ID]],[2]!PAJAK[ID],0))</f>
        <v>44830</v>
      </c>
      <c r="G72" s="6" t="str">
        <f ca="1">INDEX([2]!PAJAK[NO.NOTA],MATCH(Table1[[#This Row],[ID]],[2]!PAJAK[ID],0))</f>
        <v>22092145</v>
      </c>
      <c r="I72" s="4" t="str">
        <f ca="1">INDEX([2]!PAJAK[SUPPLIER],MATCH(Table1[[#This Row],[ID]],[2]!PAJAK[ID],0))</f>
        <v>PT KENKO SINAR INDONESIA</v>
      </c>
      <c r="J72" s="4"/>
      <c r="K72" s="4"/>
      <c r="L72" s="59">
        <f ca="1">IFERROR(INDEX(INDIRECT("NOTA_.xlsx!"&amp;Table1[[#This Row],[1_h]]&amp;"[sub total]"),MATCH(Table1[[#This Row],[ID]],INDIRECT("NOTA_.xlsx!"&amp;Table1[[#This Row],[1_h]]&amp;"[ID]"),0)),"")</f>
        <v>65616000</v>
      </c>
      <c r="M72" s="5">
        <f ca="1">IFERROR(INDEX(INDIRECT("NOTA_.xlsx!"&amp;Table1[[#This Row],[1_h]]&amp;"[diskon]"),MATCH(Table1[[#This Row],[ID]],INDIRECT("NOTA_.xlsx!"&amp;Table1[[#This Row],[1_h]]&amp;"[ID]"),0)),"")</f>
        <v>11154720</v>
      </c>
      <c r="N72" s="5">
        <f ca="1">IFERROR(INDEX(INDIRECT("NOTA_.xlsx!"&amp;Table1[[#This Row],[1_h]]&amp;"[Dpp]"),MATCH(Table1[[#This Row],[ID]],INDIRECT("NOTA_.xlsx!"&amp;Table1[[#This Row],[1_h]]&amp;"[ID]"),0)),"")</f>
        <v>49064216.216216214</v>
      </c>
      <c r="O72" s="5">
        <f ca="1">IFERROR(INDEX(INDIRECT("NOTA_.xlsx!"&amp;Table1[[#This Row],[1_h]]&amp;"[ppn (11%)]"),MATCH(Table1[[#This Row],[ID]],INDIRECT("NOTA_.xlsx!"&amp;Table1[[#This Row],[1_h]]&amp;"[ID]"),0)),"")</f>
        <v>5397063.7837837832</v>
      </c>
      <c r="P72" s="5">
        <f ca="1">IFERROR(INDEX(INDIRECT("NOTA_.xlsx!"&amp;Table1[[#This Row],[1_h]]&amp;"[total]"),MATCH(Table1[[#This Row],[ID]],INDIRECT("NOTA_.xlsx!"&amp;Table1[[#This Row],[1_h]]&amp;"[ID]"),0)),"")</f>
        <v>54461280</v>
      </c>
      <c r="Q72" s="49" t="str">
        <f ca="1">IF(Table1[[#This Row],[NAMA SUPPLIER]]="","",INDEX(conv1[2],MATCH(Table1[[#This Row],[NAMA SUPPLIER]],conv1[1],0)))</f>
        <v>KENKO</v>
      </c>
      <c r="R72" s="4">
        <f ca="1">IF(Table1[[#This Row],[NO. INVOICE]]="","",_xlfn.IFNA(MATCH(Table1[[#This Row],[NO. INVOICE]],'[3]REKAP PEMBELIAN'!$C:$C,0),MATCH(VALUE(Table1[[#This Row],[NO. INVOICE]]),'[3]REKAP PEMBELIAN'!$C:$C,0)))</f>
        <v>602</v>
      </c>
      <c r="S72" s="5"/>
    </row>
    <row r="73" spans="1:19" x14ac:dyDescent="0.25">
      <c r="A73" s="6" t="str">
        <f ca="1">IF(Table1[[#This Row],[NAMA SUPPLIER]]="","",MATCH(Table1[[#This Row],[N_ID]],INDIRECT(Table1[[#This Row],[1_h]]&amp;"[N_ID]"),0))</f>
        <v/>
      </c>
      <c r="B73" s="54"/>
      <c r="C73" s="6" t="str">
        <f ca="1">_xlfn.IFNA(INDEX([2]!PAJAK[ID],MATCH(Table1[[#This Row],[N_ID]],[2]!PAJAK[ID_P],0)),"")</f>
        <v/>
      </c>
      <c r="D73" s="6" t="str">
        <f ca="1">IF(Table1[[#This Row],[ID]]="","",INDEX([2]!PAJAK[QB],MATCH(Table1[[#This Row],[ID]],[2]!PAJAK[ID],0)))</f>
        <v/>
      </c>
      <c r="E73" s="3" t="str">
        <f ca="1">INDEX([2]!PAJAK[TGL.MASUK],MATCH(Table1[[#This Row],[ID]],[2]!PAJAK[ID],0))</f>
        <v/>
      </c>
      <c r="F73" s="3" t="str">
        <f ca="1">INDEX([2]!PAJAK[TGL.NOTA],MATCH(Table1[[#This Row],[ID]],[2]!PAJAK[ID],0))</f>
        <v/>
      </c>
      <c r="G73" s="6" t="str">
        <f ca="1">INDEX([2]!PAJAK[NO.NOTA],MATCH(Table1[[#This Row],[ID]],[2]!PAJAK[ID],0))</f>
        <v/>
      </c>
      <c r="I73" s="4" t="str">
        <f ca="1">INDEX([2]!PAJAK[SUPPLIER],MATCH(Table1[[#This Row],[ID]],[2]!PAJAK[ID],0))</f>
        <v/>
      </c>
      <c r="J73" s="4"/>
      <c r="K73" s="4"/>
      <c r="L73" s="59" t="str">
        <f ca="1">IFERROR(INDEX(INDIRECT("NOTA_.xlsx!"&amp;Table1[[#This Row],[1_h]]&amp;"[sub total]"),MATCH(Table1[[#This Row],[ID]],INDIRECT("NOTA_.xlsx!"&amp;Table1[[#This Row],[1_h]]&amp;"[ID]"),0)),"")</f>
        <v/>
      </c>
      <c r="M73" s="5" t="str">
        <f ca="1">IFERROR(INDEX(INDIRECT("NOTA_.xlsx!"&amp;Table1[[#This Row],[1_h]]&amp;"[diskon]"),MATCH(Table1[[#This Row],[ID]],INDIRECT("NOTA_.xlsx!"&amp;Table1[[#This Row],[1_h]]&amp;"[ID]"),0)),"")</f>
        <v/>
      </c>
      <c r="N73" s="5" t="str">
        <f ca="1">IFERROR(INDEX(INDIRECT("NOTA_.xlsx!"&amp;Table1[[#This Row],[1_h]]&amp;"[Dpp]"),MATCH(Table1[[#This Row],[ID]],INDIRECT("NOTA_.xlsx!"&amp;Table1[[#This Row],[1_h]]&amp;"[ID]"),0)),"")</f>
        <v/>
      </c>
      <c r="O73" s="5" t="str">
        <f ca="1">IFERROR(INDEX(INDIRECT("NOTA_.xlsx!"&amp;Table1[[#This Row],[1_h]]&amp;"[ppn (11%)]"),MATCH(Table1[[#This Row],[ID]],INDIRECT("NOTA_.xlsx!"&amp;Table1[[#This Row],[1_h]]&amp;"[ID]"),0)),"")</f>
        <v/>
      </c>
      <c r="P73" s="5" t="str">
        <f ca="1">IFERROR(INDEX(INDIRECT("NOTA_.xlsx!"&amp;Table1[[#This Row],[1_h]]&amp;"[total]"),MATCH(Table1[[#This Row],[ID]],INDIRECT("NOTA_.xlsx!"&amp;Table1[[#This Row],[1_h]]&amp;"[ID]"),0)),"")</f>
        <v/>
      </c>
      <c r="Q73" s="49" t="str">
        <f ca="1">IF(Table1[[#This Row],[NAMA SUPPLIER]]="","",INDEX(conv1[2],MATCH(Table1[[#This Row],[NAMA SUPPLIER]],conv1[1],0)))</f>
        <v/>
      </c>
      <c r="R7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3" s="5"/>
    </row>
    <row r="74" spans="1:19" x14ac:dyDescent="0.25">
      <c r="A74" s="6">
        <f ca="1">IF(Table1[[#This Row],[NAMA SUPPLIER]]="","",MATCH(Table1[[#This Row],[N_ID]],INDIRECT(Table1[[#This Row],[1_h]]&amp;"[N_ID]"),0))</f>
        <v>1</v>
      </c>
      <c r="B74" s="54" t="s">
        <v>122</v>
      </c>
      <c r="C74" s="6">
        <f ca="1">_xlfn.IFNA(INDEX([2]!PAJAK[ID],MATCH(Table1[[#This Row],[N_ID]],[2]!PAJAK[ID_P],0)),"")</f>
        <v>136</v>
      </c>
      <c r="D74" s="6">
        <f ca="1">IF(Table1[[#This Row],[ID]]="","",INDEX([2]!PAJAK[QB],MATCH(Table1[[#This Row],[ID]],[2]!PAJAK[ID],0)))</f>
        <v>3</v>
      </c>
      <c r="E74" s="3">
        <f ca="1">INDEX([2]!PAJAK[TGL.MASUK],MATCH(Table1[[#This Row],[ID]],[2]!PAJAK[ID],0))</f>
        <v>44832</v>
      </c>
      <c r="F74" s="3">
        <f ca="1">INDEX([2]!PAJAK[TGL.NOTA],MATCH(Table1[[#This Row],[ID]],[2]!PAJAK[ID],0))</f>
        <v>44831</v>
      </c>
      <c r="G74" s="6" t="str">
        <f ca="1">INDEX([2]!PAJAK[NO.NOTA],MATCH(Table1[[#This Row],[ID]],[2]!PAJAK[ID],0))</f>
        <v>JL-24019</v>
      </c>
      <c r="I74" s="4" t="str">
        <f ca="1">INDEX([2]!PAJAK[SUPPLIER],MATCH(Table1[[#This Row],[ID]],[2]!PAJAK[ID],0))</f>
        <v>CV SAMUDERA ANGKASA JAYA</v>
      </c>
      <c r="J74" s="4"/>
      <c r="K74" s="4"/>
      <c r="L74" s="59">
        <f ca="1">IFERROR(INDEX(INDIRECT("NOTA_.xlsx!"&amp;Table1[[#This Row],[1_h]]&amp;"[sub total]"),MATCH(Table1[[#This Row],[ID]],INDIRECT("NOTA_.xlsx!"&amp;Table1[[#This Row],[1_h]]&amp;"[ID]"),0)),"")</f>
        <v>5925000</v>
      </c>
      <c r="M74" s="5">
        <f ca="1">IFERROR(INDEX(INDIRECT("NOTA_.xlsx!"&amp;Table1[[#This Row],[1_h]]&amp;"[diskon]"),MATCH(Table1[[#This Row],[ID]],INDIRECT("NOTA_.xlsx!"&amp;Table1[[#This Row],[1_h]]&amp;"[ID]"),0)),"")</f>
        <v>296250</v>
      </c>
      <c r="N74" s="5">
        <f ca="1">IFERROR(INDEX(INDIRECT("NOTA_.xlsx!"&amp;Table1[[#This Row],[1_h]]&amp;"[Dpp]"),MATCH(Table1[[#This Row],[ID]],INDIRECT("NOTA_.xlsx!"&amp;Table1[[#This Row],[1_h]]&amp;"[ID]"),0)),"")</f>
        <v>5070945.9459459456</v>
      </c>
      <c r="O74" s="5">
        <f ca="1">IFERROR(INDEX(INDIRECT("NOTA_.xlsx!"&amp;Table1[[#This Row],[1_h]]&amp;"[ppn (11%)]"),MATCH(Table1[[#This Row],[ID]],INDIRECT("NOTA_.xlsx!"&amp;Table1[[#This Row],[1_h]]&amp;"[ID]"),0)),"")</f>
        <v>557804.05405405397</v>
      </c>
      <c r="P74" s="5">
        <f ca="1">IFERROR(INDEX(INDIRECT("NOTA_.xlsx!"&amp;Table1[[#This Row],[1_h]]&amp;"[total]"),MATCH(Table1[[#This Row],[ID]],INDIRECT("NOTA_.xlsx!"&amp;Table1[[#This Row],[1_h]]&amp;"[ID]"),0)),"")</f>
        <v>5628750</v>
      </c>
      <c r="Q74" s="49" t="str">
        <f ca="1">IF(Table1[[#This Row],[NAMA SUPPLIER]]="","",INDEX(conv1[2],MATCH(Table1[[#This Row],[NAMA SUPPLIER]],conv1[1],0)))</f>
        <v>SAJ</v>
      </c>
      <c r="R74" s="4">
        <f ca="1">IF(Table1[[#This Row],[NO. INVOICE]]="","",_xlfn.IFNA(MATCH(Table1[[#This Row],[NO. INVOICE]],'[3]REKAP PEMBELIAN'!$C:$C,0),MATCH(VALUE(Table1[[#This Row],[NO. INVOICE]]),'[3]REKAP PEMBELIAN'!$C:$C,0)))</f>
        <v>537</v>
      </c>
      <c r="S74" s="5"/>
    </row>
    <row r="75" spans="1:19" x14ac:dyDescent="0.25">
      <c r="A75" s="6" t="str">
        <f ca="1">IF(Table1[[#This Row],[NAMA SUPPLIER]]="","",MATCH(Table1[[#This Row],[N_ID]],INDIRECT(Table1[[#This Row],[1_h]]&amp;"[N_ID]"),0))</f>
        <v/>
      </c>
      <c r="B75" s="54"/>
      <c r="C75" s="6" t="str">
        <f ca="1">_xlfn.IFNA(INDEX([2]!PAJAK[ID],MATCH(Table1[[#This Row],[N_ID]],[2]!PAJAK[ID_P],0)),"")</f>
        <v/>
      </c>
      <c r="D75" s="6" t="str">
        <f ca="1">IF(Table1[[#This Row],[ID]]="","",INDEX([2]!PAJAK[QB],MATCH(Table1[[#This Row],[ID]],[2]!PAJAK[ID],0)))</f>
        <v/>
      </c>
      <c r="E75" s="3" t="str">
        <f ca="1">INDEX([2]!PAJAK[TGL.MASUK],MATCH(Table1[[#This Row],[ID]],[2]!PAJAK[ID],0))</f>
        <v/>
      </c>
      <c r="F75" s="3" t="str">
        <f ca="1">INDEX([2]!PAJAK[TGL.NOTA],MATCH(Table1[[#This Row],[ID]],[2]!PAJAK[ID],0))</f>
        <v/>
      </c>
      <c r="G75" s="6" t="str">
        <f ca="1">INDEX([2]!PAJAK[NO.NOTA],MATCH(Table1[[#This Row],[ID]],[2]!PAJAK[ID],0))</f>
        <v/>
      </c>
      <c r="I75" s="4" t="str">
        <f ca="1">INDEX([2]!PAJAK[SUPPLIER],MATCH(Table1[[#This Row],[ID]],[2]!PAJAK[ID],0))</f>
        <v/>
      </c>
      <c r="J75" s="4"/>
      <c r="K75" s="4"/>
      <c r="L75" s="59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9" t="str">
        <f ca="1">IF(Table1[[#This Row],[NAMA SUPPLIER]]="","",INDEX(conv1[2],MATCH(Table1[[#This Row],[NAMA SUPPLIER]],conv1[1],0)))</f>
        <v/>
      </c>
      <c r="R7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5" s="5"/>
    </row>
    <row r="76" spans="1:19" x14ac:dyDescent="0.25">
      <c r="A76" s="6">
        <f ca="1">IF(Table1[[#This Row],[NAMA SUPPLIER]]="","",MATCH(Table1[[#This Row],[N_ID]],INDIRECT(Table1[[#This Row],[1_h]]&amp;"[N_ID]"),0))</f>
        <v>1</v>
      </c>
      <c r="B76" s="54" t="s">
        <v>77</v>
      </c>
      <c r="C76" s="6">
        <f ca="1">_xlfn.IFNA(INDEX([2]!PAJAK[ID],MATCH(Table1[[#This Row],[N_ID]],[2]!PAJAK[ID_P],0)),"")</f>
        <v>42</v>
      </c>
      <c r="D76" s="6">
        <f ca="1">IF(Table1[[#This Row],[ID]]="","",INDEX([2]!PAJAK[QB],MATCH(Table1[[#This Row],[ID]],[2]!PAJAK[ID],0)))</f>
        <v>1</v>
      </c>
      <c r="E76" s="3">
        <f ca="1">INDEX([2]!PAJAK[TGL.MASUK],MATCH(Table1[[#This Row],[ID]],[2]!PAJAK[ID],0))</f>
        <v>44816</v>
      </c>
      <c r="F76" s="3">
        <f ca="1">INDEX([2]!PAJAK[TGL.NOTA],MATCH(Table1[[#This Row],[ID]],[2]!PAJAK[ID],0))</f>
        <v>44812</v>
      </c>
      <c r="G76" s="6" t="str">
        <f ca="1">INDEX([2]!PAJAK[NO.NOTA],MATCH(Table1[[#This Row],[ID]],[2]!PAJAK[ID],0))</f>
        <v>L109031</v>
      </c>
      <c r="I76" s="4" t="str">
        <f ca="1">INDEX([2]!PAJAK[SUPPLIER],MATCH(Table1[[#This Row],[ID]],[2]!PAJAK[ID],0))</f>
        <v>PT MITRA GLOBAL NIAGA</v>
      </c>
      <c r="J76" s="4"/>
      <c r="K76" s="4"/>
      <c r="L76" s="59">
        <f ca="1">IFERROR(INDEX(INDIRECT("NOTA_.xlsx!"&amp;Table1[[#This Row],[1_h]]&amp;"[sub total]"),MATCH(Table1[[#This Row],[ID]],INDIRECT("NOTA_.xlsx!"&amp;Table1[[#This Row],[1_h]]&amp;"[ID]"),0)),"")</f>
        <v>12000000</v>
      </c>
      <c r="M76" s="5">
        <f ca="1">IFERROR(INDEX(INDIRECT("NOTA_.xlsx!"&amp;Table1[[#This Row],[1_h]]&amp;"[diskon]"),MATCH(Table1[[#This Row],[ID]],INDIRECT("NOTA_.xlsx!"&amp;Table1[[#This Row],[1_h]]&amp;"[ID]"),0)),"")</f>
        <v>0</v>
      </c>
      <c r="N76" s="5">
        <f ca="1">IFERROR(INDEX(INDIRECT("NOTA_.xlsx!"&amp;Table1[[#This Row],[1_h]]&amp;"[Dpp]"),MATCH(Table1[[#This Row],[ID]],INDIRECT("NOTA_.xlsx!"&amp;Table1[[#This Row],[1_h]]&amp;"[ID]"),0)),"")</f>
        <v>10810810.81081081</v>
      </c>
      <c r="O76" s="5">
        <f ca="1">IFERROR(INDEX(INDIRECT("NOTA_.xlsx!"&amp;Table1[[#This Row],[1_h]]&amp;"[ppn (11%)]"),MATCH(Table1[[#This Row],[ID]],INDIRECT("NOTA_.xlsx!"&amp;Table1[[#This Row],[1_h]]&amp;"[ID]"),0)),"")</f>
        <v>1189189.1891891891</v>
      </c>
      <c r="P76" s="5">
        <f ca="1">IFERROR(INDEX(INDIRECT("NOTA_.xlsx!"&amp;Table1[[#This Row],[1_h]]&amp;"[total]"),MATCH(Table1[[#This Row],[ID]],INDIRECT("NOTA_.xlsx!"&amp;Table1[[#This Row],[1_h]]&amp;"[ID]"),0)),"")</f>
        <v>12000000</v>
      </c>
      <c r="Q76" s="49" t="str">
        <f ca="1">IF(Table1[[#This Row],[NAMA SUPPLIER]]="","",INDEX(conv1[2],MATCH(Table1[[#This Row],[NAMA SUPPLIER]],conv1[1],0)))</f>
        <v>MGN</v>
      </c>
      <c r="R76" s="4">
        <f ca="1">IF(Table1[[#This Row],[NO. INVOICE]]="","",_xlfn.IFNA(MATCH(Table1[[#This Row],[NO. INVOICE]],'[3]REKAP PEMBELIAN'!$C:$C,0),MATCH(VALUE(Table1[[#This Row],[NO. INVOICE]]),'[3]REKAP PEMBELIAN'!$C:$C,0)))</f>
        <v>605</v>
      </c>
      <c r="S76" s="5"/>
    </row>
    <row r="77" spans="1:19" x14ac:dyDescent="0.25">
      <c r="A77" s="6">
        <f ca="1">IF(Table1[[#This Row],[NAMA SUPPLIER]]="","",MATCH(Table1[[#This Row],[N_ID]],INDIRECT(Table1[[#This Row],[1_h]]&amp;"[N_ID]"),0))</f>
        <v>3</v>
      </c>
      <c r="B77" s="54" t="s">
        <v>127</v>
      </c>
      <c r="C77" s="6">
        <f ca="1">_xlfn.IFNA(INDEX([2]!PAJAK[ID],MATCH(Table1[[#This Row],[N_ID]],[2]!PAJAK[ID_P],0)),"")</f>
        <v>149</v>
      </c>
      <c r="D77" s="6">
        <f ca="1">IF(Table1[[#This Row],[ID]]="","",INDEX([2]!PAJAK[QB],MATCH(Table1[[#This Row],[ID]],[2]!PAJAK[ID],0)))</f>
        <v>1</v>
      </c>
      <c r="E77" s="3">
        <f ca="1">INDEX([2]!PAJAK[TGL.MASUK],MATCH(Table1[[#This Row],[ID]],[2]!PAJAK[ID],0))</f>
        <v>44835</v>
      </c>
      <c r="F77" s="3">
        <f ca="1">INDEX([2]!PAJAK[TGL.NOTA],MATCH(Table1[[#This Row],[ID]],[2]!PAJAK[ID],0))</f>
        <v>44832</v>
      </c>
      <c r="G77" s="6" t="str">
        <f ca="1">INDEX([2]!PAJAK[NO.NOTA],MATCH(Table1[[#This Row],[ID]],[2]!PAJAK[ID],0))</f>
        <v>L309047</v>
      </c>
      <c r="I77" s="4" t="str">
        <f ca="1">INDEX([2]!PAJAK[SUPPLIER],MATCH(Table1[[#This Row],[ID]],[2]!PAJAK[ID],0))</f>
        <v>PT MITRA GLOBAL NIAGA</v>
      </c>
      <c r="J77" s="4"/>
      <c r="K77" s="4"/>
      <c r="L77" s="59">
        <f ca="1">IFERROR(INDEX(INDIRECT("NOTA_.xlsx!"&amp;Table1[[#This Row],[1_h]]&amp;"[sub total]"),MATCH(Table1[[#This Row],[ID]],INDIRECT("NOTA_.xlsx!"&amp;Table1[[#This Row],[1_h]]&amp;"[ID]"),0)),"")</f>
        <v>28000000</v>
      </c>
      <c r="M77" s="5">
        <f ca="1">IFERROR(INDEX(INDIRECT("NOTA_.xlsx!"&amp;Table1[[#This Row],[1_h]]&amp;"[diskon]"),MATCH(Table1[[#This Row],[ID]],INDIRECT("NOTA_.xlsx!"&amp;Table1[[#This Row],[1_h]]&amp;"[ID]"),0)),"")</f>
        <v>2800000</v>
      </c>
      <c r="N77" s="5">
        <f ca="1">IFERROR(INDEX(INDIRECT("NOTA_.xlsx!"&amp;Table1[[#This Row],[1_h]]&amp;"[Dpp]"),MATCH(Table1[[#This Row],[ID]],INDIRECT("NOTA_.xlsx!"&amp;Table1[[#This Row],[1_h]]&amp;"[ID]"),0)),"")</f>
        <v>22702702.702702701</v>
      </c>
      <c r="O77" s="5">
        <f ca="1">IFERROR(INDEX(INDIRECT("NOTA_.xlsx!"&amp;Table1[[#This Row],[1_h]]&amp;"[ppn (11%)]"),MATCH(Table1[[#This Row],[ID]],INDIRECT("NOTA_.xlsx!"&amp;Table1[[#This Row],[1_h]]&amp;"[ID]"),0)),"")</f>
        <v>2497297.297297297</v>
      </c>
      <c r="P77" s="5">
        <f ca="1">IFERROR(INDEX(INDIRECT("NOTA_.xlsx!"&amp;Table1[[#This Row],[1_h]]&amp;"[total]"),MATCH(Table1[[#This Row],[ID]],INDIRECT("NOTA_.xlsx!"&amp;Table1[[#This Row],[1_h]]&amp;"[ID]"),0)),"")</f>
        <v>25200000</v>
      </c>
      <c r="Q77" s="49" t="str">
        <f ca="1">IF(Table1[[#This Row],[NAMA SUPPLIER]]="","",INDEX(conv1[2],MATCH(Table1[[#This Row],[NAMA SUPPLIER]],conv1[1],0)))</f>
        <v>MGN</v>
      </c>
      <c r="R77" s="4">
        <f ca="1">IF(Table1[[#This Row],[NO. INVOICE]]="","",_xlfn.IFNA(MATCH(Table1[[#This Row],[NO. INVOICE]],'[3]REKAP PEMBELIAN'!$C:$C,0),MATCH(VALUE(Table1[[#This Row],[NO. INVOICE]]),'[3]REKAP PEMBELIAN'!$C:$C,0)))</f>
        <v>606</v>
      </c>
      <c r="S77" s="5"/>
    </row>
    <row r="78" spans="1:19" x14ac:dyDescent="0.25">
      <c r="A78" s="6" t="str">
        <f ca="1">IF(Table1[[#This Row],[NAMA SUPPLIER]]="","",MATCH(Table1[[#This Row],[N_ID]],INDIRECT(Table1[[#This Row],[1_h]]&amp;"[N_ID]"),0))</f>
        <v/>
      </c>
      <c r="B78" s="54"/>
      <c r="C78" s="6" t="str">
        <f ca="1">_xlfn.IFNA(INDEX([2]!PAJAK[ID],MATCH(Table1[[#This Row],[N_ID]],[2]!PAJAK[ID_P],0)),"")</f>
        <v/>
      </c>
      <c r="D78" s="6" t="str">
        <f ca="1">IF(Table1[[#This Row],[ID]]="","",INDEX([2]!PAJAK[QB],MATCH(Table1[[#This Row],[ID]],[2]!PAJAK[ID],0)))</f>
        <v/>
      </c>
      <c r="E78" s="3" t="str">
        <f ca="1">INDEX([2]!PAJAK[TGL.MASUK],MATCH(Table1[[#This Row],[ID]],[2]!PAJAK[ID],0))</f>
        <v/>
      </c>
      <c r="F78" s="3" t="str">
        <f ca="1">INDEX([2]!PAJAK[TGL.NOTA],MATCH(Table1[[#This Row],[ID]],[2]!PAJAK[ID],0))</f>
        <v/>
      </c>
      <c r="G78" s="6" t="str">
        <f ca="1">INDEX([2]!PAJAK[NO.NOTA],MATCH(Table1[[#This Row],[ID]],[2]!PAJAK[ID],0))</f>
        <v/>
      </c>
      <c r="I78" s="4" t="str">
        <f ca="1">INDEX([2]!PAJAK[SUPPLIER],MATCH(Table1[[#This Row],[ID]],[2]!PAJAK[ID],0))</f>
        <v/>
      </c>
      <c r="J78" s="4"/>
      <c r="K78" s="4"/>
      <c r="L78" s="59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9" t="str">
        <f ca="1">IF(Table1[[#This Row],[NAMA SUPPLIER]]="","",INDEX(conv1[2],MATCH(Table1[[#This Row],[NAMA SUPPLIER]],conv1[1],0)))</f>
        <v/>
      </c>
      <c r="R7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8" s="5"/>
    </row>
    <row r="79" spans="1:19" x14ac:dyDescent="0.25">
      <c r="A79" s="6">
        <f ca="1">IF(Table1[[#This Row],[NAMA SUPPLIER]]="","",MATCH(Table1[[#This Row],[N_ID]],INDIRECT(Table1[[#This Row],[1_h]]&amp;"[N_ID]"),0))</f>
        <v>1</v>
      </c>
      <c r="B79" s="54" t="s">
        <v>86</v>
      </c>
      <c r="C79" s="6">
        <f ca="1">_xlfn.IFNA(INDEX([2]!PAJAK[ID],MATCH(Table1[[#This Row],[N_ID]],[2]!PAJAK[ID_P],0)),"")</f>
        <v>71</v>
      </c>
      <c r="D79" s="6">
        <f ca="1">IF(Table1[[#This Row],[ID]]="","",INDEX([2]!PAJAK[QB],MATCH(Table1[[#This Row],[ID]],[2]!PAJAK[ID],0)))</f>
        <v>2</v>
      </c>
      <c r="E79" s="3">
        <f ca="1">INDEX([2]!PAJAK[TGL.MASUK],MATCH(Table1[[#This Row],[ID]],[2]!PAJAK[ID],0))</f>
        <v>44821</v>
      </c>
      <c r="F79" s="3">
        <f ca="1">INDEX([2]!PAJAK[TGL.NOTA],MATCH(Table1[[#This Row],[ID]],[2]!PAJAK[ID],0))</f>
        <v>44816</v>
      </c>
      <c r="G79" s="6" t="str">
        <f ca="1">INDEX([2]!PAJAK[NO.NOTA],MATCH(Table1[[#This Row],[ID]],[2]!PAJAK[ID],0))</f>
        <v>JUI261/22</v>
      </c>
      <c r="I79" s="4" t="str">
        <f ca="1">INDEX([2]!PAJAK[SUPPLIER],MATCH(Table1[[#This Row],[ID]],[2]!PAJAK[ID],0))</f>
        <v>PT SEMBILAN-SEMBILAN JAYA UTAMA</v>
      </c>
      <c r="J79" s="4"/>
      <c r="K79" s="4"/>
      <c r="L79" s="59">
        <f ca="1">IFERROR(INDEX(INDIRECT("NOTA_.xlsx!"&amp;Table1[[#This Row],[1_h]]&amp;"[sub total]"),MATCH(Table1[[#This Row],[ID]],INDIRECT("NOTA_.xlsx!"&amp;Table1[[#This Row],[1_h]]&amp;"[ID]"),0)),"")</f>
        <v>18144000</v>
      </c>
      <c r="M79" s="5">
        <f ca="1">IFERROR(INDEX(INDIRECT("NOTA_.xlsx!"&amp;Table1[[#This Row],[1_h]]&amp;"[diskon]"),MATCH(Table1[[#This Row],[ID]],INDIRECT("NOTA_.xlsx!"&amp;Table1[[#This Row],[1_h]]&amp;"[ID]"),0)),"")</f>
        <v>0</v>
      </c>
      <c r="N79" s="5">
        <f ca="1">IFERROR(INDEX(INDIRECT("NOTA_.xlsx!"&amp;Table1[[#This Row],[1_h]]&amp;"[Dpp]"),MATCH(Table1[[#This Row],[ID]],INDIRECT("NOTA_.xlsx!"&amp;Table1[[#This Row],[1_h]]&amp;"[ID]"),0)),"")</f>
        <v>16345945.945945945</v>
      </c>
      <c r="O79" s="5">
        <f ca="1">IFERROR(INDEX(INDIRECT("NOTA_.xlsx!"&amp;Table1[[#This Row],[1_h]]&amp;"[ppn (11%)]"),MATCH(Table1[[#This Row],[ID]],INDIRECT("NOTA_.xlsx!"&amp;Table1[[#This Row],[1_h]]&amp;"[ID]"),0)),"")</f>
        <v>1798054.054054054</v>
      </c>
      <c r="P79" s="5">
        <f ca="1">IFERROR(INDEX(INDIRECT("NOTA_.xlsx!"&amp;Table1[[#This Row],[1_h]]&amp;"[total]"),MATCH(Table1[[#This Row],[ID]],INDIRECT("NOTA_.xlsx!"&amp;Table1[[#This Row],[1_h]]&amp;"[ID]"),0)),"")</f>
        <v>18144000</v>
      </c>
      <c r="Q79" s="49" t="str">
        <f ca="1">IF(Table1[[#This Row],[NAMA SUPPLIER]]="","",INDEX(conv1[2],MATCH(Table1[[#This Row],[NAMA SUPPLIER]],conv1[1],0)))</f>
        <v>J_UTAMA</v>
      </c>
      <c r="R79" s="4">
        <f ca="1">IF(Table1[[#This Row],[NO. INVOICE]]="","",_xlfn.IFNA(MATCH(Table1[[#This Row],[NO. INVOICE]],'[3]REKAP PEMBELIAN'!$C:$C,0),MATCH(VALUE(Table1[[#This Row],[NO. INVOICE]]),'[3]REKAP PEMBELIAN'!$C:$C,0)))</f>
        <v>607</v>
      </c>
      <c r="S79" s="5"/>
    </row>
    <row r="80" spans="1:19" x14ac:dyDescent="0.25">
      <c r="A80" s="6" t="str">
        <f ca="1">IF(Table1[[#This Row],[NAMA SUPPLIER]]="","",MATCH(Table1[[#This Row],[N_ID]],INDIRECT(Table1[[#This Row],[1_h]]&amp;"[N_ID]"),0))</f>
        <v/>
      </c>
      <c r="B80" s="54" t="s">
        <v>120</v>
      </c>
      <c r="C80" s="6" t="str">
        <f ca="1">_xlfn.IFNA(INDEX([2]!PAJAK[ID],MATCH(Table1[[#This Row],[N_ID]],[2]!PAJAK[ID_P],0)),"")</f>
        <v/>
      </c>
      <c r="D80" s="6" t="str">
        <f ca="1">IF(Table1[[#This Row],[ID]]="","",INDEX([2]!PAJAK[QB],MATCH(Table1[[#This Row],[ID]],[2]!PAJAK[ID],0)))</f>
        <v/>
      </c>
      <c r="E80" s="3" t="str">
        <f ca="1">INDEX([2]!PAJAK[TGL.MASUK],MATCH(Table1[[#This Row],[ID]],[2]!PAJAK[ID],0))</f>
        <v/>
      </c>
      <c r="F80" s="67" t="str">
        <f ca="1">INDEX([2]!PAJAK[TGL.NOTA],MATCH(Table1[[#This Row],[ID]],[2]!PAJAK[ID],0))</f>
        <v/>
      </c>
      <c r="G80" s="6" t="str">
        <f ca="1">INDEX([2]!PAJAK[NO.NOTA],MATCH(Table1[[#This Row],[ID]],[2]!PAJAK[ID],0))</f>
        <v/>
      </c>
      <c r="I80" s="4" t="str">
        <f ca="1">INDEX([2]!PAJAK[SUPPLIER],MATCH(Table1[[#This Row],[ID]],[2]!PAJAK[ID],0))</f>
        <v/>
      </c>
      <c r="J80" s="4"/>
      <c r="K80" s="4"/>
      <c r="L80" s="59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9" t="str">
        <f ca="1">IF(Table1[[#This Row],[NAMA SUPPLIER]]="","",INDEX(conv1[2],MATCH(Table1[[#This Row],[NAMA SUPPLIER]],conv1[1],0)))</f>
        <v/>
      </c>
      <c r="R8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0" s="5"/>
    </row>
    <row r="81" spans="1:19" x14ac:dyDescent="0.25">
      <c r="A81" s="6">
        <f ca="1">IF(Table1[[#This Row],[NAMA SUPPLIER]]="","",MATCH(Table1[[#This Row],[N_ID]],INDIRECT(Table1[[#This Row],[1_h]]&amp;"[N_ID]"),0))</f>
        <v>4</v>
      </c>
      <c r="B81" s="54" t="s">
        <v>121</v>
      </c>
      <c r="C81" s="6">
        <f ca="1">_xlfn.IFNA(INDEX([2]!PAJAK[ID],MATCH(Table1[[#This Row],[N_ID]],[2]!PAJAK[ID_P],0)),"")</f>
        <v>134</v>
      </c>
      <c r="D81" s="6">
        <f ca="1">IF(Table1[[#This Row],[ID]]="","",INDEX([2]!PAJAK[QB],MATCH(Table1[[#This Row],[ID]],[2]!PAJAK[ID],0)))</f>
        <v>1</v>
      </c>
      <c r="E81" s="3">
        <f ca="1">INDEX([2]!PAJAK[TGL.MASUK],MATCH(Table1[[#This Row],[ID]],[2]!PAJAK[ID],0))</f>
        <v>44832</v>
      </c>
      <c r="F81" s="67">
        <f ca="1">INDEX([2]!PAJAK[TGL.NOTA],MATCH(Table1[[#This Row],[ID]],[2]!PAJAK[ID],0))</f>
        <v>44830</v>
      </c>
      <c r="G81" s="6" t="str">
        <f ca="1">INDEX([2]!PAJAK[NO.NOTA],MATCH(Table1[[#This Row],[ID]],[2]!PAJAK[ID],0))</f>
        <v>JUI551/22</v>
      </c>
      <c r="I81" s="4" t="str">
        <f ca="1">INDEX([2]!PAJAK[SUPPLIER],MATCH(Table1[[#This Row],[ID]],[2]!PAJAK[ID],0))</f>
        <v>PT SEMBILAN-SEMBILAN JAYA UTAMA</v>
      </c>
      <c r="J81" s="4"/>
      <c r="K81" s="4"/>
      <c r="L81" s="59">
        <f ca="1">IFERROR(INDEX(INDIRECT("NOTA_.xlsx!"&amp;Table1[[#This Row],[1_h]]&amp;"[sub total]"),MATCH(Table1[[#This Row],[ID]],INDIRECT("NOTA_.xlsx!"&amp;Table1[[#This Row],[1_h]]&amp;"[ID]"),0)),"")</f>
        <v>16200000</v>
      </c>
      <c r="M81" s="5">
        <f ca="1">IFERROR(INDEX(INDIRECT("NOTA_.xlsx!"&amp;Table1[[#This Row],[1_h]]&amp;"[diskon]"),MATCH(Table1[[#This Row],[ID]],INDIRECT("NOTA_.xlsx!"&amp;Table1[[#This Row],[1_h]]&amp;"[ID]"),0)),"")</f>
        <v>0</v>
      </c>
      <c r="N81" s="5">
        <f ca="1">IFERROR(INDEX(INDIRECT("NOTA_.xlsx!"&amp;Table1[[#This Row],[1_h]]&amp;"[Dpp]"),MATCH(Table1[[#This Row],[ID]],INDIRECT("NOTA_.xlsx!"&amp;Table1[[#This Row],[1_h]]&amp;"[ID]"),0)),"")</f>
        <v>14594594.594594594</v>
      </c>
      <c r="O81" s="5">
        <f ca="1">IFERROR(INDEX(INDIRECT("NOTA_.xlsx!"&amp;Table1[[#This Row],[1_h]]&amp;"[ppn (11%)]"),MATCH(Table1[[#This Row],[ID]],INDIRECT("NOTA_.xlsx!"&amp;Table1[[#This Row],[1_h]]&amp;"[ID]"),0)),"")</f>
        <v>1605405.4054054054</v>
      </c>
      <c r="P81" s="5">
        <f ca="1">IFERROR(INDEX(INDIRECT("NOTA_.xlsx!"&amp;Table1[[#This Row],[1_h]]&amp;"[total]"),MATCH(Table1[[#This Row],[ID]],INDIRECT("NOTA_.xlsx!"&amp;Table1[[#This Row],[1_h]]&amp;"[ID]"),0)),"")</f>
        <v>16200000</v>
      </c>
      <c r="Q81" s="49" t="str">
        <f ca="1">IF(Table1[[#This Row],[NAMA SUPPLIER]]="","",INDEX(conv1[2],MATCH(Table1[[#This Row],[NAMA SUPPLIER]],conv1[1],0)))</f>
        <v>J_UTAMA</v>
      </c>
      <c r="R81" s="4">
        <f ca="1">IF(Table1[[#This Row],[NO. INVOICE]]="","",_xlfn.IFNA(MATCH(Table1[[#This Row],[NO. INVOICE]],'[3]REKAP PEMBELIAN'!$C:$C,0),MATCH(VALUE(Table1[[#This Row],[NO. INVOICE]]),'[3]REKAP PEMBELIAN'!$C:$C,0)))</f>
        <v>608</v>
      </c>
      <c r="S81" s="5"/>
    </row>
    <row r="82" spans="1:19" x14ac:dyDescent="0.25">
      <c r="A82" s="6" t="str">
        <f ca="1">IF(Table1[[#This Row],[NAMA SUPPLIER]]="","",MATCH(Table1[[#This Row],[N_ID]],INDIRECT(Table1[[#This Row],[1_h]]&amp;"[N_ID]"),0))</f>
        <v/>
      </c>
      <c r="B82" s="54"/>
      <c r="C82" s="6" t="str">
        <f ca="1">_xlfn.IFNA(INDEX([2]!PAJAK[ID],MATCH(Table1[[#This Row],[N_ID]],[2]!PAJAK[ID_P],0)),"")</f>
        <v/>
      </c>
      <c r="D82" s="6" t="str">
        <f ca="1">IF(Table1[[#This Row],[ID]]="","",INDEX([2]!PAJAK[QB],MATCH(Table1[[#This Row],[ID]],[2]!PAJAK[ID],0)))</f>
        <v/>
      </c>
      <c r="E82" s="3" t="str">
        <f ca="1">INDEX([2]!PAJAK[TGL.MASUK],MATCH(Table1[[#This Row],[ID]],[2]!PAJAK[ID],0))</f>
        <v/>
      </c>
      <c r="F82" s="3" t="str">
        <f ca="1">INDEX([2]!PAJAK[TGL.NOTA],MATCH(Table1[[#This Row],[ID]],[2]!PAJAK[ID],0))</f>
        <v/>
      </c>
      <c r="G82" s="6" t="str">
        <f ca="1">INDEX([2]!PAJAK[NO.NOTA],MATCH(Table1[[#This Row],[ID]],[2]!PAJAK[ID],0))</f>
        <v/>
      </c>
      <c r="I82" s="4" t="str">
        <f ca="1">INDEX([2]!PAJAK[SUPPLIER],MATCH(Table1[[#This Row],[ID]],[2]!PAJAK[ID],0))</f>
        <v/>
      </c>
      <c r="J82" s="4"/>
      <c r="K82" s="4"/>
      <c r="L82" s="59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9" t="str">
        <f ca="1">IF(Table1[[#This Row],[NAMA SUPPLIER]]="","",INDEX(conv1[2],MATCH(Table1[[#This Row],[NAMA SUPPLIER]],conv1[1],0)))</f>
        <v/>
      </c>
      <c r="R8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2" s="5"/>
    </row>
    <row r="83" spans="1:19" x14ac:dyDescent="0.25">
      <c r="A83" s="6">
        <f ca="1">IF(Table1[[#This Row],[NAMA SUPPLIER]]="","",MATCH(Table1[[#This Row],[N_ID]],INDIRECT(Table1[[#This Row],[1_h]]&amp;"[N_ID]"),0))</f>
        <v>1</v>
      </c>
      <c r="B83" s="54" t="s">
        <v>90</v>
      </c>
      <c r="C83" s="6">
        <f ca="1">_xlfn.IFNA(INDEX([2]!PAJAK[ID],MATCH(Table1[[#This Row],[N_ID]],[2]!PAJAK[ID_P],0)),"")</f>
        <v>77</v>
      </c>
      <c r="D83" s="6">
        <f ca="1">IF(Table1[[#This Row],[ID]]="","",INDEX([2]!PAJAK[QB],MATCH(Table1[[#This Row],[ID]],[2]!PAJAK[ID],0)))</f>
        <v>1</v>
      </c>
      <c r="E83" s="3">
        <f ca="1">INDEX([2]!PAJAK[TGL.MASUK],MATCH(Table1[[#This Row],[ID]],[2]!PAJAK[ID],0))</f>
        <v>44823</v>
      </c>
      <c r="F83" s="3">
        <f ca="1">INDEX([2]!PAJAK[TGL.NOTA],MATCH(Table1[[#This Row],[ID]],[2]!PAJAK[ID],0))</f>
        <v>44820</v>
      </c>
      <c r="G83" s="6" t="str">
        <f ca="1">INDEX([2]!PAJAK[NO.NOTA],MATCH(Table1[[#This Row],[ID]],[2]!PAJAK[ID],0))</f>
        <v>005187</v>
      </c>
      <c r="I83" s="4" t="str">
        <f ca="1">INDEX([2]!PAJAK[SUPPLIER],MATCH(Table1[[#This Row],[ID]],[2]!PAJAK[ID],0))</f>
        <v>LIE ARMAND</v>
      </c>
      <c r="J83" s="4"/>
      <c r="K83" s="4"/>
      <c r="L83" s="59">
        <f ca="1">IFERROR(INDEX(INDIRECT("NOTA_.xlsx!"&amp;Table1[[#This Row],[1_h]]&amp;"[sub total]"),MATCH(Table1[[#This Row],[ID]],INDIRECT("NOTA_.xlsx!"&amp;Table1[[#This Row],[1_h]]&amp;"[ID]"),0)),"")</f>
        <v>4285710</v>
      </c>
      <c r="M83" s="5">
        <f ca="1">IFERROR(INDEX(INDIRECT("NOTA_.xlsx!"&amp;Table1[[#This Row],[1_h]]&amp;"[diskon]"),MATCH(Table1[[#This Row],[ID]],INDIRECT("NOTA_.xlsx!"&amp;Table1[[#This Row],[1_h]]&amp;"[ID]"),0)),"")</f>
        <v>0</v>
      </c>
      <c r="N83" s="5">
        <f ca="1">IFERROR(INDEX(INDIRECT("NOTA_.xlsx!"&amp;Table1[[#This Row],[1_h]]&amp;"[Dpp]"),MATCH(Table1[[#This Row],[ID]],INDIRECT("NOTA_.xlsx!"&amp;Table1[[#This Row],[1_h]]&amp;"[ID]"),0)),"")</f>
        <v>3860999.9999999995</v>
      </c>
      <c r="O83" s="5">
        <f ca="1">IFERROR(INDEX(INDIRECT("NOTA_.xlsx!"&amp;Table1[[#This Row],[1_h]]&amp;"[ppn (11%)]"),MATCH(Table1[[#This Row],[ID]],INDIRECT("NOTA_.xlsx!"&amp;Table1[[#This Row],[1_h]]&amp;"[ID]"),0)),"")</f>
        <v>424709.99999999994</v>
      </c>
      <c r="P83" s="5">
        <f ca="1">IFERROR(INDEX(INDIRECT("NOTA_.xlsx!"&amp;Table1[[#This Row],[1_h]]&amp;"[total]"),MATCH(Table1[[#This Row],[ID]],INDIRECT("NOTA_.xlsx!"&amp;Table1[[#This Row],[1_h]]&amp;"[ID]"),0)),"")</f>
        <v>4285709.9999999991</v>
      </c>
      <c r="Q83" s="49" t="str">
        <f ca="1">IF(Table1[[#This Row],[NAMA SUPPLIER]]="","",INDEX(conv1[2],MATCH(Table1[[#This Row],[NAMA SUPPLIER]],conv1[1],0)))</f>
        <v>LIE</v>
      </c>
      <c r="R83" s="4">
        <f ca="1">IF(Table1[[#This Row],[NO. INVOICE]]="","",_xlfn.IFNA(MATCH(Table1[[#This Row],[NO. INVOICE]],'[3]REKAP PEMBELIAN'!$C:$C,0),MATCH(VALUE(Table1[[#This Row],[NO. INVOICE]]),'[3]REKAP PEMBELIAN'!$C:$C,0)))</f>
        <v>612</v>
      </c>
      <c r="S83" s="5"/>
    </row>
    <row r="84" spans="1:19" x14ac:dyDescent="0.25">
      <c r="A84" s="6" t="str">
        <f ca="1">IF(Table1[[#This Row],[NAMA SUPPLIER]]="","",MATCH(Table1[[#This Row],[N_ID]],INDIRECT(Table1[[#This Row],[1_h]]&amp;"[N_ID]"),0))</f>
        <v/>
      </c>
      <c r="B84" s="54"/>
      <c r="C84" s="6" t="str">
        <f ca="1">_xlfn.IFNA(INDEX([2]!PAJAK[ID],MATCH(Table1[[#This Row],[N_ID]],[2]!PAJAK[ID_P],0)),"")</f>
        <v/>
      </c>
      <c r="D84" s="6" t="str">
        <f ca="1">IF(Table1[[#This Row],[ID]]="","",INDEX([2]!PAJAK[QB],MATCH(Table1[[#This Row],[ID]],[2]!PAJAK[ID],0)))</f>
        <v/>
      </c>
      <c r="E84" s="3" t="str">
        <f ca="1">INDEX([2]!PAJAK[TGL.MASUK],MATCH(Table1[[#This Row],[ID]],[2]!PAJAK[ID],0))</f>
        <v/>
      </c>
      <c r="F84" s="3" t="str">
        <f ca="1">INDEX([2]!PAJAK[TGL.NOTA],MATCH(Table1[[#This Row],[ID]],[2]!PAJAK[ID],0))</f>
        <v/>
      </c>
      <c r="G84" s="6" t="str">
        <f ca="1">INDEX([2]!PAJAK[NO.NOTA],MATCH(Table1[[#This Row],[ID]],[2]!PAJAK[ID],0))</f>
        <v/>
      </c>
      <c r="I84" s="4" t="str">
        <f ca="1">INDEX([2]!PAJAK[SUPPLIER],MATCH(Table1[[#This Row],[ID]],[2]!PAJAK[ID],0))</f>
        <v/>
      </c>
      <c r="J84" s="4"/>
      <c r="K84" s="4"/>
      <c r="L84" s="59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9" t="str">
        <f ca="1">IF(Table1[[#This Row],[NAMA SUPPLIER]]="","",INDEX(conv1[2],MATCH(Table1[[#This Row],[NAMA SUPPLIER]],conv1[1],0)))</f>
        <v/>
      </c>
      <c r="R8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4" s="5"/>
    </row>
    <row r="85" spans="1:19" x14ac:dyDescent="0.25">
      <c r="A85" s="6" t="str">
        <f ca="1">IF(Table1[[#This Row],[NAMA SUPPLIER]]="","",MATCH(Table1[[#This Row],[N_ID]],INDIRECT(Table1[[#This Row],[1_h]]&amp;"[N_ID]"),0))</f>
        <v/>
      </c>
      <c r="B85" s="54"/>
      <c r="C85" s="6" t="str">
        <f ca="1">_xlfn.IFNA(INDEX([2]!PAJAK[ID],MATCH(Table1[[#This Row],[N_ID]],[2]!PAJAK[ID_P],0)),"")</f>
        <v/>
      </c>
      <c r="D85" s="6" t="str">
        <f ca="1">IF(Table1[[#This Row],[ID]]="","",INDEX([2]!PAJAK[QB],MATCH(Table1[[#This Row],[ID]],[2]!PAJAK[ID],0)))</f>
        <v/>
      </c>
      <c r="E85" s="3" t="str">
        <f ca="1">INDEX([2]!PAJAK[TGL.MASUK],MATCH(Table1[[#This Row],[ID]],[2]!PAJAK[ID],0))</f>
        <v/>
      </c>
      <c r="F85" s="3" t="str">
        <f ca="1">INDEX([2]!PAJAK[TGL.NOTA],MATCH(Table1[[#This Row],[ID]],[2]!PAJAK[ID],0))</f>
        <v/>
      </c>
      <c r="G85" s="6" t="str">
        <f ca="1">INDEX([2]!PAJAK[NO.NOTA],MATCH(Table1[[#This Row],[ID]],[2]!PAJAK[ID],0))</f>
        <v/>
      </c>
      <c r="I85" s="4" t="str">
        <f ca="1">INDEX([2]!PAJAK[SUPPLIER],MATCH(Table1[[#This Row],[ID]],[2]!PAJAK[ID],0))</f>
        <v/>
      </c>
      <c r="J85" s="4"/>
      <c r="K85" s="4"/>
      <c r="L85" s="59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9" t="str">
        <f ca="1">IF(Table1[[#This Row],[NAMA SUPPLIER]]="","",INDEX(conv1[2],MATCH(Table1[[#This Row],[NAMA SUPPLIER]],conv1[1],0)))</f>
        <v/>
      </c>
      <c r="R8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5" s="5"/>
    </row>
    <row r="86" spans="1:19" x14ac:dyDescent="0.25">
      <c r="A86" s="6" t="str">
        <f ca="1">IF(Table1[[#This Row],[NAMA SUPPLIER]]="","",MATCH(Table1[[#This Row],[N_ID]],INDIRECT(Table1[[#This Row],[1_h]]&amp;"[N_ID]"),0))</f>
        <v/>
      </c>
      <c r="B86" s="54"/>
      <c r="C86" s="6" t="str">
        <f ca="1">_xlfn.IFNA(INDEX([2]!PAJAK[ID],MATCH(Table1[[#This Row],[N_ID]],[2]!PAJAK[ID_P],0)),"")</f>
        <v/>
      </c>
      <c r="D86" s="6" t="str">
        <f ca="1">IF(Table1[[#This Row],[ID]]="","",INDEX([2]!PAJAK[QB],MATCH(Table1[[#This Row],[ID]],[2]!PAJAK[ID],0)))</f>
        <v/>
      </c>
      <c r="E86" s="3" t="str">
        <f ca="1">INDEX([2]!PAJAK[TGL.MASUK],MATCH(Table1[[#This Row],[ID]],[2]!PAJAK[ID],0))</f>
        <v/>
      </c>
      <c r="F86" s="3" t="str">
        <f ca="1">INDEX([2]!PAJAK[TGL.NOTA],MATCH(Table1[[#This Row],[ID]],[2]!PAJAK[ID],0))</f>
        <v/>
      </c>
      <c r="G86" s="6" t="str">
        <f ca="1">INDEX([2]!PAJAK[NO.NOTA],MATCH(Table1[[#This Row],[ID]],[2]!PAJAK[ID],0))</f>
        <v/>
      </c>
      <c r="I86" s="4" t="str">
        <f ca="1">INDEX([2]!PAJAK[SUPPLIER],MATCH(Table1[[#This Row],[ID]],[2]!PAJAK[ID],0))</f>
        <v/>
      </c>
      <c r="J86" s="4"/>
      <c r="K86" s="4"/>
      <c r="L86" s="59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9" t="str">
        <f ca="1">IF(Table1[[#This Row],[NAMA SUPPLIER]]="","",INDEX(conv1[2],MATCH(Table1[[#This Row],[NAMA SUPPLIER]],conv1[1],0)))</f>
        <v/>
      </c>
      <c r="R8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6" s="5"/>
    </row>
    <row r="87" spans="1:19" x14ac:dyDescent="0.25">
      <c r="A87" s="6" t="str">
        <f ca="1">IF(Table1[[#This Row],[NAMA SUPPLIER]]="","",MATCH(Table1[[#This Row],[N_ID]],INDIRECT(Table1[[#This Row],[1_h]]&amp;"[N_ID]"),0))</f>
        <v/>
      </c>
      <c r="B87" s="54"/>
      <c r="C87" s="6" t="str">
        <f ca="1">_xlfn.IFNA(INDEX([2]!PAJAK[ID],MATCH(Table1[[#This Row],[N_ID]],[2]!PAJAK[ID_P],0)),"")</f>
        <v/>
      </c>
      <c r="D87" s="6" t="str">
        <f ca="1">IF(Table1[[#This Row],[ID]]="","",INDEX([2]!PAJAK[QB],MATCH(Table1[[#This Row],[ID]],[2]!PAJAK[ID],0)))</f>
        <v/>
      </c>
      <c r="E87" s="3" t="str">
        <f ca="1">INDEX([2]!PAJAK[TGL.MASUK],MATCH(Table1[[#This Row],[ID]],[2]!PAJAK[ID],0))</f>
        <v/>
      </c>
      <c r="F87" s="3" t="str">
        <f ca="1">INDEX([2]!PAJAK[TGL.NOTA],MATCH(Table1[[#This Row],[ID]],[2]!PAJAK[ID],0))</f>
        <v/>
      </c>
      <c r="G87" s="6" t="str">
        <f ca="1">INDEX([2]!PAJAK[NO.NOTA],MATCH(Table1[[#This Row],[ID]],[2]!PAJAK[ID],0))</f>
        <v/>
      </c>
      <c r="I87" s="4" t="str">
        <f ca="1">INDEX([2]!PAJAK[SUPPLIER],MATCH(Table1[[#This Row],[ID]],[2]!PAJAK[ID],0))</f>
        <v/>
      </c>
      <c r="J87" s="4"/>
      <c r="K87" s="4"/>
      <c r="L87" s="59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9" t="str">
        <f ca="1">IF(Table1[[#This Row],[NAMA SUPPLIER]]="","",INDEX(conv1[2],MATCH(Table1[[#This Row],[NAMA SUPPLIER]],conv1[1],0)))</f>
        <v/>
      </c>
      <c r="R8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7" s="5"/>
    </row>
    <row r="88" spans="1:19" x14ac:dyDescent="0.25">
      <c r="A88" s="6" t="str">
        <f ca="1">IF(Table1[[#This Row],[NAMA SUPPLIER]]="","",MATCH(Table1[[#This Row],[N_ID]],INDIRECT(Table1[[#This Row],[1_h]]&amp;"[N_ID]"),0))</f>
        <v/>
      </c>
      <c r="B88" s="54"/>
      <c r="C88" s="6" t="str">
        <f ca="1">_xlfn.IFNA(INDEX([2]!PAJAK[ID],MATCH(Table1[[#This Row],[N_ID]],[2]!PAJAK[ID_P],0)),"")</f>
        <v/>
      </c>
      <c r="D88" s="6" t="str">
        <f ca="1">IF(Table1[[#This Row],[ID]]="","",INDEX([2]!PAJAK[QB],MATCH(Table1[[#This Row],[ID]],[2]!PAJAK[ID],0)))</f>
        <v/>
      </c>
      <c r="E88" s="3" t="str">
        <f ca="1">INDEX([2]!PAJAK[TGL.MASUK],MATCH(Table1[[#This Row],[ID]],[2]!PAJAK[ID],0))</f>
        <v/>
      </c>
      <c r="F88" s="3" t="str">
        <f ca="1">INDEX([2]!PAJAK[TGL.NOTA],MATCH(Table1[[#This Row],[ID]],[2]!PAJAK[ID],0))</f>
        <v/>
      </c>
      <c r="G88" s="6" t="str">
        <f ca="1">INDEX([2]!PAJAK[NO.NOTA],MATCH(Table1[[#This Row],[ID]],[2]!PAJAK[ID],0))</f>
        <v/>
      </c>
      <c r="I88" s="4" t="str">
        <f ca="1">INDEX([2]!PAJAK[SUPPLIER],MATCH(Table1[[#This Row],[ID]],[2]!PAJAK[ID],0))</f>
        <v/>
      </c>
      <c r="J88" s="4"/>
      <c r="K88" s="4"/>
      <c r="L88" s="59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9" t="str">
        <f ca="1">IF(Table1[[#This Row],[NAMA SUPPLIER]]="","",INDEX(conv1[2],MATCH(Table1[[#This Row],[NAMA SUPPLIER]],conv1[1],0)))</f>
        <v/>
      </c>
      <c r="R8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8" s="5"/>
    </row>
    <row r="89" spans="1:19" x14ac:dyDescent="0.25">
      <c r="A89" s="6" t="str">
        <f ca="1">IF(Table1[[#This Row],[NAMA SUPPLIER]]="","",MATCH(Table1[[#This Row],[N_ID]],INDIRECT(Table1[[#This Row],[1_h]]&amp;"[N_ID]"),0))</f>
        <v/>
      </c>
      <c r="B89" s="54"/>
      <c r="C89" s="6" t="str">
        <f ca="1">_xlfn.IFNA(INDEX([2]!PAJAK[ID],MATCH(Table1[[#This Row],[N_ID]],[2]!PAJAK[ID_P],0)),"")</f>
        <v/>
      </c>
      <c r="D89" s="6" t="str">
        <f ca="1">IF(Table1[[#This Row],[ID]]="","",INDEX([2]!PAJAK[QB],MATCH(Table1[[#This Row],[ID]],[2]!PAJAK[ID],0)))</f>
        <v/>
      </c>
      <c r="E89" s="3" t="str">
        <f ca="1">INDEX([2]!PAJAK[TGL.MASUK],MATCH(Table1[[#This Row],[ID]],[2]!PAJAK[ID],0))</f>
        <v/>
      </c>
      <c r="F89" s="3" t="str">
        <f ca="1">INDEX([2]!PAJAK[TGL.NOTA],MATCH(Table1[[#This Row],[ID]],[2]!PAJAK[ID],0))</f>
        <v/>
      </c>
      <c r="G89" s="6" t="str">
        <f ca="1">INDEX([2]!PAJAK[NO.NOTA],MATCH(Table1[[#This Row],[ID]],[2]!PAJAK[ID],0))</f>
        <v/>
      </c>
      <c r="I89" s="4" t="str">
        <f ca="1">INDEX([2]!PAJAK[SUPPLIER],MATCH(Table1[[#This Row],[ID]],[2]!PAJAK[ID],0))</f>
        <v/>
      </c>
      <c r="J89" s="4"/>
      <c r="K89" s="4"/>
      <c r="L89" s="59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9" t="str">
        <f ca="1">IF(Table1[[#This Row],[NAMA SUPPLIER]]="","",INDEX(conv1[2],MATCH(Table1[[#This Row],[NAMA SUPPLIER]],conv1[1],0)))</f>
        <v/>
      </c>
      <c r="R8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9" s="5"/>
    </row>
    <row r="90" spans="1:19" x14ac:dyDescent="0.25">
      <c r="A90" s="6" t="str">
        <f ca="1">IF(Table1[[#This Row],[NAMA SUPPLIER]]="","",MATCH(Table1[[#This Row],[N_ID]],INDIRECT(Table1[[#This Row],[1_h]]&amp;"[N_ID]"),0))</f>
        <v/>
      </c>
      <c r="B90" s="54"/>
      <c r="C90" s="6" t="str">
        <f ca="1">_xlfn.IFNA(INDEX([2]!PAJAK[ID],MATCH(Table1[[#This Row],[N_ID]],[2]!PAJAK[ID_P],0)),"")</f>
        <v/>
      </c>
      <c r="D90" s="6" t="str">
        <f ca="1">IF(Table1[[#This Row],[ID]]="","",INDEX([2]!PAJAK[QB],MATCH(Table1[[#This Row],[ID]],[2]!PAJAK[ID],0)))</f>
        <v/>
      </c>
      <c r="E90" s="3" t="str">
        <f ca="1">INDEX([2]!PAJAK[TGL.MASUK],MATCH(Table1[[#This Row],[ID]],[2]!PAJAK[ID],0))</f>
        <v/>
      </c>
      <c r="F90" s="3" t="str">
        <f ca="1">INDEX([2]!PAJAK[TGL.NOTA],MATCH(Table1[[#This Row],[ID]],[2]!PAJAK[ID],0))</f>
        <v/>
      </c>
      <c r="G90" s="6" t="str">
        <f ca="1">INDEX([2]!PAJAK[NO.NOTA],MATCH(Table1[[#This Row],[ID]],[2]!PAJAK[ID],0))</f>
        <v/>
      </c>
      <c r="I90" s="4" t="str">
        <f ca="1">INDEX([2]!PAJAK[SUPPLIER],MATCH(Table1[[#This Row],[ID]],[2]!PAJAK[ID],0))</f>
        <v/>
      </c>
      <c r="J90" s="4"/>
      <c r="K90" s="4"/>
      <c r="L90" s="59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9" t="str">
        <f ca="1">IF(Table1[[#This Row],[NAMA SUPPLIER]]="","",INDEX(conv1[2],MATCH(Table1[[#This Row],[NAMA SUPPLIER]],conv1[1],0)))</f>
        <v/>
      </c>
      <c r="R9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0" s="5"/>
    </row>
    <row r="91" spans="1:19" x14ac:dyDescent="0.25">
      <c r="A91" s="6" t="str">
        <f ca="1">IF(Table1[[#This Row],[NAMA SUPPLIER]]="","",MATCH(Table1[[#This Row],[N_ID]],INDIRECT(Table1[[#This Row],[1_h]]&amp;"[N_ID]"),0))</f>
        <v/>
      </c>
      <c r="B91" s="54"/>
      <c r="C91" s="6" t="str">
        <f ca="1">_xlfn.IFNA(INDEX([2]!PAJAK[ID],MATCH(Table1[[#This Row],[N_ID]],[2]!PAJAK[ID_P],0)),"")</f>
        <v/>
      </c>
      <c r="D91" s="6" t="str">
        <f ca="1">IF(Table1[[#This Row],[ID]]="","",INDEX([2]!PAJAK[QB],MATCH(Table1[[#This Row],[ID]],[2]!PAJAK[ID],0)))</f>
        <v/>
      </c>
      <c r="E91" s="3" t="str">
        <f ca="1">INDEX([2]!PAJAK[TGL.MASUK],MATCH(Table1[[#This Row],[ID]],[2]!PAJAK[ID],0))</f>
        <v/>
      </c>
      <c r="F91" s="3" t="str">
        <f ca="1">INDEX([2]!PAJAK[TGL.NOTA],MATCH(Table1[[#This Row],[ID]],[2]!PAJAK[ID],0))</f>
        <v/>
      </c>
      <c r="G91" s="6" t="str">
        <f ca="1">INDEX([2]!PAJAK[NO.NOTA],MATCH(Table1[[#This Row],[ID]],[2]!PAJAK[ID],0))</f>
        <v/>
      </c>
      <c r="I91" s="4" t="str">
        <f ca="1">INDEX([2]!PAJAK[SUPPLIER],MATCH(Table1[[#This Row],[ID]],[2]!PAJAK[ID],0))</f>
        <v/>
      </c>
      <c r="J91" s="4"/>
      <c r="K91" s="4"/>
      <c r="L91" s="59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9" t="str">
        <f ca="1">IF(Table1[[#This Row],[NAMA SUPPLIER]]="","",INDEX(conv1[2],MATCH(Table1[[#This Row],[NAMA SUPPLIER]],conv1[1],0)))</f>
        <v/>
      </c>
      <c r="R9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1" s="5"/>
    </row>
    <row r="92" spans="1:19" x14ac:dyDescent="0.25">
      <c r="A92" s="6" t="str">
        <f ca="1">IF(Table1[[#This Row],[NAMA SUPPLIER]]="","",MATCH(Table1[[#This Row],[N_ID]],INDIRECT(Table1[[#This Row],[1_h]]&amp;"[N_ID]"),0))</f>
        <v/>
      </c>
      <c r="B92" s="54"/>
      <c r="C92" s="6" t="str">
        <f ca="1">_xlfn.IFNA(INDEX([2]!PAJAK[ID],MATCH(Table1[[#This Row],[N_ID]],[2]!PAJAK[ID_P],0)),"")</f>
        <v/>
      </c>
      <c r="D92" s="6" t="str">
        <f ca="1">IF(Table1[[#This Row],[ID]]="","",INDEX([2]!PAJAK[QB],MATCH(Table1[[#This Row],[ID]],[2]!PAJAK[ID],0)))</f>
        <v/>
      </c>
      <c r="E92" s="3" t="str">
        <f ca="1">INDEX([2]!PAJAK[TGL.MASUK],MATCH(Table1[[#This Row],[ID]],[2]!PAJAK[ID],0))</f>
        <v/>
      </c>
      <c r="F92" s="3" t="str">
        <f ca="1">INDEX([2]!PAJAK[TGL.NOTA],MATCH(Table1[[#This Row],[ID]],[2]!PAJAK[ID],0))</f>
        <v/>
      </c>
      <c r="G92" s="6" t="str">
        <f ca="1">INDEX([2]!PAJAK[NO.NOTA],MATCH(Table1[[#This Row],[ID]],[2]!PAJAK[ID],0))</f>
        <v/>
      </c>
      <c r="I92" s="4" t="str">
        <f ca="1">INDEX([2]!PAJAK[SUPPLIER],MATCH(Table1[[#This Row],[ID]],[2]!PAJAK[ID],0))</f>
        <v/>
      </c>
      <c r="J92" s="4"/>
      <c r="K92" s="4"/>
      <c r="L92" s="59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9" t="str">
        <f ca="1">IF(Table1[[#This Row],[NAMA SUPPLIER]]="","",INDEX(conv1[2],MATCH(Table1[[#This Row],[NAMA SUPPLIER]],conv1[1],0)))</f>
        <v/>
      </c>
      <c r="R9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2" s="5"/>
    </row>
    <row r="93" spans="1:19" x14ac:dyDescent="0.25">
      <c r="A93" s="6" t="str">
        <f ca="1">IF(Table1[[#This Row],[NAMA SUPPLIER]]="","",MATCH(Table1[[#This Row],[N_ID]],INDIRECT(Table1[[#This Row],[1_h]]&amp;"[N_ID]"),0))</f>
        <v/>
      </c>
      <c r="B93" s="54"/>
      <c r="C93" s="6" t="str">
        <f ca="1">_xlfn.IFNA(INDEX([2]!PAJAK[ID],MATCH(Table1[[#This Row],[N_ID]],[2]!PAJAK[ID_P],0)),"")</f>
        <v/>
      </c>
      <c r="D93" s="6" t="str">
        <f ca="1">IF(Table1[[#This Row],[ID]]="","",INDEX([2]!PAJAK[QB],MATCH(Table1[[#This Row],[ID]],[2]!PAJAK[ID],0)))</f>
        <v/>
      </c>
      <c r="E93" s="3" t="str">
        <f ca="1">INDEX([2]!PAJAK[TGL.MASUK],MATCH(Table1[[#This Row],[ID]],[2]!PAJAK[ID],0))</f>
        <v/>
      </c>
      <c r="F93" s="3" t="str">
        <f ca="1">INDEX([2]!PAJAK[TGL.NOTA],MATCH(Table1[[#This Row],[ID]],[2]!PAJAK[ID],0))</f>
        <v/>
      </c>
      <c r="G93" s="6" t="str">
        <f ca="1">INDEX([2]!PAJAK[NO.NOTA],MATCH(Table1[[#This Row],[ID]],[2]!PAJAK[ID],0))</f>
        <v/>
      </c>
      <c r="I93" s="4" t="str">
        <f ca="1">INDEX([2]!PAJAK[SUPPLIER],MATCH(Table1[[#This Row],[ID]],[2]!PAJAK[ID],0))</f>
        <v/>
      </c>
      <c r="J93" s="4"/>
      <c r="K93" s="4"/>
      <c r="L93" s="59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9" t="str">
        <f ca="1">IF(Table1[[#This Row],[NAMA SUPPLIER]]="","",INDEX(conv1[2],MATCH(Table1[[#This Row],[NAMA SUPPLIER]],conv1[1],0)))</f>
        <v/>
      </c>
      <c r="R9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3" s="5"/>
    </row>
    <row r="94" spans="1:19" x14ac:dyDescent="0.25">
      <c r="A94" s="6" t="str">
        <f ca="1">IF(Table1[[#This Row],[NAMA SUPPLIER]]="","",MATCH(Table1[[#This Row],[N_ID]],INDIRECT(Table1[[#This Row],[1_h]]&amp;"[N_ID]"),0))</f>
        <v/>
      </c>
      <c r="B94" s="54"/>
      <c r="C94" s="6" t="str">
        <f ca="1">_xlfn.IFNA(INDEX([2]!PAJAK[ID],MATCH(Table1[[#This Row],[N_ID]],[2]!PAJAK[ID_P],0)),"")</f>
        <v/>
      </c>
      <c r="D94" s="6" t="str">
        <f ca="1">IF(Table1[[#This Row],[ID]]="","",INDEX([2]!PAJAK[QB],MATCH(Table1[[#This Row],[ID]],[2]!PAJAK[ID],0)))</f>
        <v/>
      </c>
      <c r="E94" s="3" t="str">
        <f ca="1">INDEX([2]!PAJAK[TGL.MASUK],MATCH(Table1[[#This Row],[ID]],[2]!PAJAK[ID],0))</f>
        <v/>
      </c>
      <c r="F94" s="3" t="str">
        <f ca="1">INDEX([2]!PAJAK[TGL.NOTA],MATCH(Table1[[#This Row],[ID]],[2]!PAJAK[ID],0))</f>
        <v/>
      </c>
      <c r="G94" s="6" t="str">
        <f ca="1">INDEX([2]!PAJAK[NO.NOTA],MATCH(Table1[[#This Row],[ID]],[2]!PAJAK[ID],0))</f>
        <v/>
      </c>
      <c r="I94" s="4" t="str">
        <f ca="1">INDEX([2]!PAJAK[SUPPLIER],MATCH(Table1[[#This Row],[ID]],[2]!PAJAK[ID],0))</f>
        <v/>
      </c>
      <c r="J94" s="4"/>
      <c r="K94" s="4"/>
      <c r="L94" s="59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9" t="str">
        <f ca="1">IF(Table1[[#This Row],[NAMA SUPPLIER]]="","",INDEX(conv1[2],MATCH(Table1[[#This Row],[NAMA SUPPLIER]],conv1[1],0)))</f>
        <v/>
      </c>
      <c r="R9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4" s="5"/>
    </row>
    <row r="95" spans="1:19" x14ac:dyDescent="0.25">
      <c r="A95" s="6" t="str">
        <f ca="1">IF(Table1[[#This Row],[NAMA SUPPLIER]]="","",MATCH(Table1[[#This Row],[N_ID]],INDIRECT(Table1[[#This Row],[1_h]]&amp;"[N_ID]"),0))</f>
        <v/>
      </c>
      <c r="B95" s="54"/>
      <c r="C95" s="6" t="str">
        <f ca="1">_xlfn.IFNA(INDEX([2]!PAJAK[ID],MATCH(Table1[[#This Row],[N_ID]],[2]!PAJAK[ID_P],0)),"")</f>
        <v/>
      </c>
      <c r="D95" s="6" t="str">
        <f ca="1">IF(Table1[[#This Row],[ID]]="","",INDEX([2]!PAJAK[QB],MATCH(Table1[[#This Row],[ID]],[2]!PAJAK[ID],0)))</f>
        <v/>
      </c>
      <c r="E95" s="3" t="str">
        <f ca="1">INDEX([2]!PAJAK[TGL.MASUK],MATCH(Table1[[#This Row],[ID]],[2]!PAJAK[ID],0))</f>
        <v/>
      </c>
      <c r="F95" s="3" t="str">
        <f ca="1">INDEX([2]!PAJAK[TGL.NOTA],MATCH(Table1[[#This Row],[ID]],[2]!PAJAK[ID],0))</f>
        <v/>
      </c>
      <c r="G95" s="6" t="str">
        <f ca="1">INDEX([2]!PAJAK[NO.NOTA],MATCH(Table1[[#This Row],[ID]],[2]!PAJAK[ID],0))</f>
        <v/>
      </c>
      <c r="I95" s="4" t="str">
        <f ca="1">INDEX([2]!PAJAK[SUPPLIER],MATCH(Table1[[#This Row],[ID]],[2]!PAJAK[ID],0))</f>
        <v/>
      </c>
      <c r="J95" s="4"/>
      <c r="K95" s="4"/>
      <c r="L95" s="59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9" t="str">
        <f ca="1">IF(Table1[[#This Row],[NAMA SUPPLIER]]="","",INDEX(conv1[2],MATCH(Table1[[#This Row],[NAMA SUPPLIER]],conv1[1],0)))</f>
        <v/>
      </c>
      <c r="R9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5" s="5"/>
    </row>
    <row r="96" spans="1:19" x14ac:dyDescent="0.25">
      <c r="A96" s="6" t="str">
        <f ca="1">IF(Table1[[#This Row],[NAMA SUPPLIER]]="","",MATCH(Table1[[#This Row],[N_ID]],INDIRECT(Table1[[#This Row],[1_h]]&amp;"[N_ID]"),0))</f>
        <v/>
      </c>
      <c r="B96" s="54"/>
      <c r="C96" s="6" t="str">
        <f ca="1">_xlfn.IFNA(INDEX([2]!PAJAK[ID],MATCH(Table1[[#This Row],[N_ID]],[2]!PAJAK[ID_P],0)),"")</f>
        <v/>
      </c>
      <c r="D96" s="6" t="str">
        <f ca="1">IF(Table1[[#This Row],[ID]]="","",INDEX([2]!PAJAK[QB],MATCH(Table1[[#This Row],[ID]],[2]!PAJAK[ID],0)))</f>
        <v/>
      </c>
      <c r="E96" s="3" t="str">
        <f ca="1">INDEX([2]!PAJAK[TGL.MASUK],MATCH(Table1[[#This Row],[ID]],[2]!PAJAK[ID],0))</f>
        <v/>
      </c>
      <c r="F96" s="3" t="str">
        <f ca="1">INDEX([2]!PAJAK[TGL.NOTA],MATCH(Table1[[#This Row],[ID]],[2]!PAJAK[ID],0))</f>
        <v/>
      </c>
      <c r="G96" s="6" t="str">
        <f ca="1">INDEX([2]!PAJAK[NO.NOTA],MATCH(Table1[[#This Row],[ID]],[2]!PAJAK[ID],0))</f>
        <v/>
      </c>
      <c r="I96" s="4" t="str">
        <f ca="1">INDEX([2]!PAJAK[SUPPLIER],MATCH(Table1[[#This Row],[ID]],[2]!PAJAK[ID],0))</f>
        <v/>
      </c>
      <c r="J96" s="4"/>
      <c r="K96" s="4"/>
      <c r="L96" s="59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9" t="str">
        <f ca="1">IF(Table1[[#This Row],[NAMA SUPPLIER]]="","",INDEX(conv1[2],MATCH(Table1[[#This Row],[NAMA SUPPLIER]],conv1[1],0)))</f>
        <v/>
      </c>
      <c r="R9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6" s="5"/>
    </row>
    <row r="97" spans="1:19" x14ac:dyDescent="0.25">
      <c r="A97" s="6" t="str">
        <f ca="1">IF(Table1[[#This Row],[NAMA SUPPLIER]]="","",MATCH(Table1[[#This Row],[N_ID]],INDIRECT(Table1[[#This Row],[1_h]]&amp;"[N_ID]"),0))</f>
        <v/>
      </c>
      <c r="B97" s="54"/>
      <c r="C97" s="6" t="str">
        <f ca="1">_xlfn.IFNA(INDEX([2]!PAJAK[ID],MATCH(Table1[[#This Row],[N_ID]],[2]!PAJAK[ID_P],0)),"")</f>
        <v/>
      </c>
      <c r="D97" s="6" t="str">
        <f ca="1">IF(Table1[[#This Row],[ID]]="","",INDEX([2]!PAJAK[QB],MATCH(Table1[[#This Row],[ID]],[2]!PAJAK[ID],0)))</f>
        <v/>
      </c>
      <c r="E97" s="3" t="str">
        <f ca="1">INDEX([2]!PAJAK[TGL.MASUK],MATCH(Table1[[#This Row],[ID]],[2]!PAJAK[ID],0))</f>
        <v/>
      </c>
      <c r="F97" s="3" t="str">
        <f ca="1">INDEX([2]!PAJAK[TGL.NOTA],MATCH(Table1[[#This Row],[ID]],[2]!PAJAK[ID],0))</f>
        <v/>
      </c>
      <c r="G97" s="6" t="str">
        <f ca="1">INDEX([2]!PAJAK[NO.NOTA],MATCH(Table1[[#This Row],[ID]],[2]!PAJAK[ID],0))</f>
        <v/>
      </c>
      <c r="I97" s="4" t="str">
        <f ca="1">INDEX([2]!PAJAK[SUPPLIER],MATCH(Table1[[#This Row],[ID]],[2]!PAJAK[ID],0))</f>
        <v/>
      </c>
      <c r="J97" s="4"/>
      <c r="K97" s="4"/>
      <c r="L97" s="59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9" t="str">
        <f ca="1">IF(Table1[[#This Row],[NAMA SUPPLIER]]="","",INDEX(conv1[2],MATCH(Table1[[#This Row],[NAMA SUPPLIER]],conv1[1],0)))</f>
        <v/>
      </c>
      <c r="R9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7" s="5"/>
    </row>
    <row r="98" spans="1:19" x14ac:dyDescent="0.25">
      <c r="A98" s="6" t="str">
        <f ca="1">IF(Table1[[#This Row],[NAMA SUPPLIER]]="","",MATCH(Table1[[#This Row],[N_ID]],INDIRECT(Table1[[#This Row],[1_h]]&amp;"[N_ID]"),0))</f>
        <v/>
      </c>
      <c r="B98" s="54"/>
      <c r="C98" s="6" t="str">
        <f ca="1">_xlfn.IFNA(INDEX([2]!PAJAK[ID],MATCH(Table1[[#This Row],[N_ID]],[2]!PAJAK[ID_P],0)),"")</f>
        <v/>
      </c>
      <c r="D98" s="6" t="str">
        <f ca="1">IF(Table1[[#This Row],[ID]]="","",INDEX([2]!PAJAK[QB],MATCH(Table1[[#This Row],[ID]],[2]!PAJAK[ID],0)))</f>
        <v/>
      </c>
      <c r="E98" s="3" t="str">
        <f ca="1">INDEX([2]!PAJAK[TGL.MASUK],MATCH(Table1[[#This Row],[ID]],[2]!PAJAK[ID],0))</f>
        <v/>
      </c>
      <c r="F98" s="3" t="str">
        <f ca="1">INDEX([2]!PAJAK[TGL.NOTA],MATCH(Table1[[#This Row],[ID]],[2]!PAJAK[ID],0))</f>
        <v/>
      </c>
      <c r="G98" s="6" t="str">
        <f ca="1">INDEX([2]!PAJAK[NO.NOTA],MATCH(Table1[[#This Row],[ID]],[2]!PAJAK[ID],0))</f>
        <v/>
      </c>
      <c r="I98" s="4" t="str">
        <f ca="1">INDEX([2]!PAJAK[SUPPLIER],MATCH(Table1[[#This Row],[ID]],[2]!PAJAK[ID],0))</f>
        <v/>
      </c>
      <c r="J98" s="4"/>
      <c r="K98" s="4"/>
      <c r="L98" s="59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9" t="str">
        <f ca="1">IF(Table1[[#This Row],[NAMA SUPPLIER]]="","",INDEX(conv1[2],MATCH(Table1[[#This Row],[NAMA SUPPLIER]],conv1[1],0)))</f>
        <v/>
      </c>
      <c r="R9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8" s="5"/>
    </row>
    <row r="99" spans="1:19" x14ac:dyDescent="0.25">
      <c r="A99" s="6" t="str">
        <f ca="1">IF(Table1[[#This Row],[NAMA SUPPLIER]]="","",MATCH(Table1[[#This Row],[N_ID]],INDIRECT(Table1[[#This Row],[1_h]]&amp;"[N_ID]"),0))</f>
        <v/>
      </c>
      <c r="B99" s="54"/>
      <c r="C99" s="6" t="str">
        <f ca="1">_xlfn.IFNA(INDEX([2]!PAJAK[ID],MATCH(Table1[[#This Row],[N_ID]],[2]!PAJAK[ID_P],0)),"")</f>
        <v/>
      </c>
      <c r="D99" s="6" t="str">
        <f ca="1">IF(Table1[[#This Row],[ID]]="","",INDEX([2]!PAJAK[QB],MATCH(Table1[[#This Row],[ID]],[2]!PAJAK[ID],0)))</f>
        <v/>
      </c>
      <c r="E99" s="3" t="str">
        <f ca="1">INDEX([2]!PAJAK[TGL.MASUK],MATCH(Table1[[#This Row],[ID]],[2]!PAJAK[ID],0))</f>
        <v/>
      </c>
      <c r="F99" s="3" t="str">
        <f ca="1">INDEX([2]!PAJAK[TGL.NOTA],MATCH(Table1[[#This Row],[ID]],[2]!PAJAK[ID],0))</f>
        <v/>
      </c>
      <c r="G99" s="6" t="str">
        <f ca="1">INDEX([2]!PAJAK[NO.NOTA],MATCH(Table1[[#This Row],[ID]],[2]!PAJAK[ID],0))</f>
        <v/>
      </c>
      <c r="I99" s="4" t="str">
        <f ca="1">INDEX([2]!PAJAK[SUPPLIER],MATCH(Table1[[#This Row],[ID]],[2]!PAJAK[ID],0))</f>
        <v/>
      </c>
      <c r="J99" s="4"/>
      <c r="K99" s="4"/>
      <c r="L99" s="59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9" t="str">
        <f ca="1">IF(Table1[[#This Row],[NAMA SUPPLIER]]="","",INDEX(conv1[2],MATCH(Table1[[#This Row],[NAMA SUPPLIER]],conv1[1],0)))</f>
        <v/>
      </c>
      <c r="R9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9" s="5"/>
    </row>
    <row r="100" spans="1:19" x14ac:dyDescent="0.25">
      <c r="A100" s="6" t="str">
        <f ca="1">IF(Table1[[#This Row],[NAMA SUPPLIER]]="","",MATCH(Table1[[#This Row],[N_ID]],INDIRECT(Table1[[#This Row],[1_h]]&amp;"[N_ID]"),0))</f>
        <v/>
      </c>
      <c r="B100" s="54"/>
      <c r="C100" s="6" t="str">
        <f ca="1">_xlfn.IFNA(INDEX([2]!PAJAK[ID],MATCH(Table1[[#This Row],[N_ID]],[2]!PAJAK[ID_P],0)),"")</f>
        <v/>
      </c>
      <c r="D100" s="6" t="str">
        <f ca="1">IF(Table1[[#This Row],[ID]]="","",INDEX([2]!PAJAK[QB],MATCH(Table1[[#This Row],[ID]],[2]!PAJAK[ID],0)))</f>
        <v/>
      </c>
      <c r="E100" s="3" t="str">
        <f ca="1">INDEX([2]!PAJAK[TGL.MASUK],MATCH(Table1[[#This Row],[ID]],[2]!PAJAK[ID],0))</f>
        <v/>
      </c>
      <c r="F100" s="3" t="str">
        <f ca="1">INDEX([2]!PAJAK[TGL.NOTA],MATCH(Table1[[#This Row],[ID]],[2]!PAJAK[ID],0))</f>
        <v/>
      </c>
      <c r="G100" s="6" t="str">
        <f ca="1">INDEX([2]!PAJAK[NO.NOTA],MATCH(Table1[[#This Row],[ID]],[2]!PAJAK[ID],0))</f>
        <v/>
      </c>
      <c r="I100" s="4" t="str">
        <f ca="1">INDEX([2]!PAJAK[SUPPLIER],MATCH(Table1[[#This Row],[ID]],[2]!PAJAK[ID],0))</f>
        <v/>
      </c>
      <c r="J100" s="4"/>
      <c r="K100" s="4"/>
      <c r="L100" s="59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9" t="str">
        <f ca="1">IF(Table1[[#This Row],[NAMA SUPPLIER]]="","",INDEX(conv1[2],MATCH(Table1[[#This Row],[NAMA SUPPLIER]],conv1[1],0)))</f>
        <v/>
      </c>
      <c r="R10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0" s="5"/>
    </row>
    <row r="101" spans="1:19" s="46" customFormat="1" x14ac:dyDescent="0.25">
      <c r="A101" s="43" t="str">
        <f ca="1">IF(Table1[[#This Row],[NAMA SUPPLIER]]="","",MATCH(Table1[[#This Row],[N_ID]],INDIRECT(Table1[[#This Row],[1_h]]&amp;"[N_ID]"),0))</f>
        <v/>
      </c>
      <c r="B101" s="44"/>
      <c r="C101" s="43" t="str">
        <f ca="1">_xlfn.IFNA(INDEX([2]!PAJAK[ID],MATCH(Table1[[#This Row],[N_ID]],[2]!PAJAK[ID_P],0)),"")</f>
        <v/>
      </c>
      <c r="D101" s="43" t="str">
        <f ca="1">IF(Table1[[#This Row],[ID]]="","",INDEX([2]!PAJAK[QB],MATCH(Table1[[#This Row],[ID]],[2]!PAJAK[ID],0)))</f>
        <v/>
      </c>
      <c r="E101" s="45" t="str">
        <f ca="1">INDEX([2]!PAJAK[TGL.MASUK],MATCH(Table1[[#This Row],[ID]],[2]!PAJAK[ID],0))</f>
        <v/>
      </c>
      <c r="F101" s="45" t="str">
        <f ca="1">INDEX([2]!PAJAK[TGL.NOTA],MATCH(Table1[[#This Row],[ID]],[2]!PAJAK[ID],0))</f>
        <v/>
      </c>
      <c r="G101" s="43" t="str">
        <f ca="1">INDEX([2]!PAJAK[NO.NOTA],MATCH(Table1[[#This Row],[ID]],[2]!PAJAK[ID],0))</f>
        <v/>
      </c>
      <c r="I101" s="47" t="str">
        <f ca="1">INDEX([2]!PAJAK[SUPPLIER],MATCH(Table1[[#This Row],[ID]],[2]!PAJAK[ID],0))</f>
        <v/>
      </c>
      <c r="J101" s="47"/>
      <c r="K101" s="47"/>
      <c r="L101" s="60" t="str">
        <f ca="1">IFERROR(INDEX(INDIRECT("NOTA_.xlsx!"&amp;Table1[[#This Row],[1_h]]&amp;"[sub total]"),MATCH(Table1[[#This Row],[ID]],INDIRECT("NOTA_.xlsx!"&amp;Table1[[#This Row],[1_h]]&amp;"[ID]"),0)),"")</f>
        <v/>
      </c>
      <c r="M101" s="48" t="str">
        <f ca="1">IFERROR(INDEX(INDIRECT("NOTA_.xlsx!"&amp;Table1[[#This Row],[1_h]]&amp;"[diskon]"),MATCH(Table1[[#This Row],[ID]],INDIRECT("NOTA_.xlsx!"&amp;Table1[[#This Row],[1_h]]&amp;"[ID]"),0)),"")</f>
        <v/>
      </c>
      <c r="N101" s="48" t="str">
        <f ca="1">IFERROR(INDEX(INDIRECT("NOTA_.xlsx!"&amp;Table1[[#This Row],[1_h]]&amp;"[Dpp]"),MATCH(Table1[[#This Row],[ID]],INDIRECT("NOTA_.xlsx!"&amp;Table1[[#This Row],[1_h]]&amp;"[ID]"),0)),"")</f>
        <v/>
      </c>
      <c r="O101" s="48" t="str">
        <f ca="1">IFERROR(INDEX(INDIRECT("NOTA_.xlsx!"&amp;Table1[[#This Row],[1_h]]&amp;"[ppn (11%)]"),MATCH(Table1[[#This Row],[ID]],INDIRECT("NOTA_.xlsx!"&amp;Table1[[#This Row],[1_h]]&amp;"[ID]"),0)),"")</f>
        <v/>
      </c>
      <c r="P101" s="48" t="str">
        <f ca="1">IFERROR(INDEX(INDIRECT("NOTA_.xlsx!"&amp;Table1[[#This Row],[1_h]]&amp;"[total]"),MATCH(Table1[[#This Row],[ID]],INDIRECT("NOTA_.xlsx!"&amp;Table1[[#This Row],[1_h]]&amp;"[ID]"),0)),"")</f>
        <v/>
      </c>
      <c r="Q101" s="50" t="str">
        <f ca="1">IF(Table1[[#This Row],[NAMA SUPPLIER]]="","",INDEX(conv1[2],MATCH(Table1[[#This Row],[NAMA SUPPLIER]],conv1[1],0)))</f>
        <v/>
      </c>
      <c r="R101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1" s="48"/>
    </row>
    <row r="102" spans="1:19" s="46" customFormat="1" x14ac:dyDescent="0.25">
      <c r="A102" s="43" t="str">
        <f ca="1">IF(Table1[[#This Row],[NAMA SUPPLIER]]="","",MATCH(Table1[[#This Row],[N_ID]],INDIRECT(Table1[[#This Row],[1_h]]&amp;"[N_ID]"),0))</f>
        <v/>
      </c>
      <c r="B102" s="44"/>
      <c r="C102" s="43" t="str">
        <f ca="1">_xlfn.IFNA(INDEX([2]!PAJAK[ID],MATCH(Table1[[#This Row],[N_ID]],[2]!PAJAK[ID_P],0)),"")</f>
        <v/>
      </c>
      <c r="D102" s="43" t="str">
        <f ca="1">IF(Table1[[#This Row],[ID]]="","",INDEX([2]!PAJAK[QB],MATCH(Table1[[#This Row],[ID]],[2]!PAJAK[ID],0)))</f>
        <v/>
      </c>
      <c r="E102" s="45" t="str">
        <f ca="1">INDEX([2]!PAJAK[TGL.MASUK],MATCH(Table1[[#This Row],[ID]],[2]!PAJAK[ID],0))</f>
        <v/>
      </c>
      <c r="F102" s="45" t="str">
        <f ca="1">INDEX([2]!PAJAK[TGL.NOTA],MATCH(Table1[[#This Row],[ID]],[2]!PAJAK[ID],0))</f>
        <v/>
      </c>
      <c r="G102" s="43" t="str">
        <f ca="1">INDEX([2]!PAJAK[NO.NOTA],MATCH(Table1[[#This Row],[ID]],[2]!PAJAK[ID],0))</f>
        <v/>
      </c>
      <c r="I102" s="47" t="str">
        <f ca="1">INDEX([2]!PAJAK[SUPPLIER],MATCH(Table1[[#This Row],[ID]],[2]!PAJAK[ID],0))</f>
        <v/>
      </c>
      <c r="J102" s="47"/>
      <c r="K102" s="47"/>
      <c r="L102" s="60" t="str">
        <f ca="1">IFERROR(INDEX(INDIRECT("NOTA_.xlsx!"&amp;Table1[[#This Row],[1_h]]&amp;"[sub total]"),MATCH(Table1[[#This Row],[ID]],INDIRECT("NOTA_.xlsx!"&amp;Table1[[#This Row],[1_h]]&amp;"[ID]"),0)),"")</f>
        <v/>
      </c>
      <c r="M102" s="48" t="str">
        <f ca="1">IFERROR(INDEX(INDIRECT("NOTA_.xlsx!"&amp;Table1[[#This Row],[1_h]]&amp;"[diskon]"),MATCH(Table1[[#This Row],[ID]],INDIRECT("NOTA_.xlsx!"&amp;Table1[[#This Row],[1_h]]&amp;"[ID]"),0)),"")</f>
        <v/>
      </c>
      <c r="N102" s="48" t="str">
        <f ca="1">IFERROR(INDEX(INDIRECT("NOTA_.xlsx!"&amp;Table1[[#This Row],[1_h]]&amp;"[Dpp]"),MATCH(Table1[[#This Row],[ID]],INDIRECT("NOTA_.xlsx!"&amp;Table1[[#This Row],[1_h]]&amp;"[ID]"),0)),"")</f>
        <v/>
      </c>
      <c r="O102" s="48" t="str">
        <f ca="1">IFERROR(INDEX(INDIRECT("NOTA_.xlsx!"&amp;Table1[[#This Row],[1_h]]&amp;"[ppn (11%)]"),MATCH(Table1[[#This Row],[ID]],INDIRECT("NOTA_.xlsx!"&amp;Table1[[#This Row],[1_h]]&amp;"[ID]"),0)),"")</f>
        <v/>
      </c>
      <c r="P102" s="48" t="str">
        <f ca="1">IFERROR(INDEX(INDIRECT("NOTA_.xlsx!"&amp;Table1[[#This Row],[1_h]]&amp;"[total]"),MATCH(Table1[[#This Row],[ID]],INDIRECT("NOTA_.xlsx!"&amp;Table1[[#This Row],[1_h]]&amp;"[ID]"),0)),"")</f>
        <v/>
      </c>
      <c r="Q102" s="50" t="str">
        <f ca="1">IF(Table1[[#This Row],[NAMA SUPPLIER]]="","",INDEX(conv1[2],MATCH(Table1[[#This Row],[NAMA SUPPLIER]],conv1[1],0)))</f>
        <v/>
      </c>
      <c r="R102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2" s="48"/>
    </row>
    <row r="103" spans="1:19" s="46" customFormat="1" x14ac:dyDescent="0.25">
      <c r="A103" s="43" t="str">
        <f ca="1">IF(Table1[[#This Row],[NAMA SUPPLIER]]="","",MATCH(Table1[[#This Row],[N_ID]],INDIRECT(Table1[[#This Row],[1_h]]&amp;"[N_ID]"),0))</f>
        <v/>
      </c>
      <c r="B103" s="44"/>
      <c r="C103" s="43" t="str">
        <f ca="1">_xlfn.IFNA(INDEX([2]!PAJAK[ID],MATCH(Table1[[#This Row],[N_ID]],[2]!PAJAK[ID_P],0)),"")</f>
        <v/>
      </c>
      <c r="D103" s="43" t="str">
        <f ca="1">IF(Table1[[#This Row],[ID]]="","",INDEX([2]!PAJAK[QB],MATCH(Table1[[#This Row],[ID]],[2]!PAJAK[ID],0)))</f>
        <v/>
      </c>
      <c r="E103" s="45" t="str">
        <f ca="1">INDEX([2]!PAJAK[TGL.MASUK],MATCH(Table1[[#This Row],[ID]],[2]!PAJAK[ID],0))</f>
        <v/>
      </c>
      <c r="F103" s="45" t="str">
        <f ca="1">INDEX([2]!PAJAK[TGL.NOTA],MATCH(Table1[[#This Row],[ID]],[2]!PAJAK[ID],0))</f>
        <v/>
      </c>
      <c r="G103" s="43" t="str">
        <f ca="1">INDEX([2]!PAJAK[NO.NOTA],MATCH(Table1[[#This Row],[ID]],[2]!PAJAK[ID],0))</f>
        <v/>
      </c>
      <c r="I103" s="47" t="str">
        <f ca="1">INDEX([2]!PAJAK[SUPPLIER],MATCH(Table1[[#This Row],[ID]],[2]!PAJAK[ID],0))</f>
        <v/>
      </c>
      <c r="J103" s="47"/>
      <c r="K103" s="47"/>
      <c r="L103" s="60" t="str">
        <f ca="1">IFERROR(INDEX(INDIRECT("NOTA_.xlsx!"&amp;Table1[[#This Row],[1_h]]&amp;"[sub total]"),MATCH(Table1[[#This Row],[ID]],INDIRECT("NOTA_.xlsx!"&amp;Table1[[#This Row],[1_h]]&amp;"[ID]"),0)),"")</f>
        <v/>
      </c>
      <c r="M103" s="48" t="str">
        <f ca="1">IFERROR(INDEX(INDIRECT("NOTA_.xlsx!"&amp;Table1[[#This Row],[1_h]]&amp;"[diskon]"),MATCH(Table1[[#This Row],[ID]],INDIRECT("NOTA_.xlsx!"&amp;Table1[[#This Row],[1_h]]&amp;"[ID]"),0)),"")</f>
        <v/>
      </c>
      <c r="N103" s="48" t="str">
        <f ca="1">IFERROR(INDEX(INDIRECT("NOTA_.xlsx!"&amp;Table1[[#This Row],[1_h]]&amp;"[Dpp]"),MATCH(Table1[[#This Row],[ID]],INDIRECT("NOTA_.xlsx!"&amp;Table1[[#This Row],[1_h]]&amp;"[ID]"),0)),"")</f>
        <v/>
      </c>
      <c r="O103" s="48" t="str">
        <f ca="1">IFERROR(INDEX(INDIRECT("NOTA_.xlsx!"&amp;Table1[[#This Row],[1_h]]&amp;"[ppn (11%)]"),MATCH(Table1[[#This Row],[ID]],INDIRECT("NOTA_.xlsx!"&amp;Table1[[#This Row],[1_h]]&amp;"[ID]"),0)),"")</f>
        <v/>
      </c>
      <c r="P103" s="48" t="str">
        <f ca="1">IFERROR(INDEX(INDIRECT("NOTA_.xlsx!"&amp;Table1[[#This Row],[1_h]]&amp;"[total]"),MATCH(Table1[[#This Row],[ID]],INDIRECT("NOTA_.xlsx!"&amp;Table1[[#This Row],[1_h]]&amp;"[ID]"),0)),"")</f>
        <v/>
      </c>
      <c r="Q103" s="50" t="str">
        <f ca="1">IF(Table1[[#This Row],[NAMA SUPPLIER]]="","",INDEX(conv1[2],MATCH(Table1[[#This Row],[NAMA SUPPLIER]],conv1[1],0)))</f>
        <v/>
      </c>
      <c r="R103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3" s="48"/>
    </row>
    <row r="104" spans="1:19" s="46" customFormat="1" x14ac:dyDescent="0.25">
      <c r="A104" s="43" t="str">
        <f ca="1">IF(Table1[[#This Row],[NAMA SUPPLIER]]="","",MATCH(Table1[[#This Row],[N_ID]],INDIRECT(Table1[[#This Row],[1_h]]&amp;"[N_ID]"),0))</f>
        <v/>
      </c>
      <c r="B104" s="44"/>
      <c r="C104" s="43" t="str">
        <f ca="1">_xlfn.IFNA(INDEX([2]!PAJAK[ID],MATCH(Table1[[#This Row],[N_ID]],[2]!PAJAK[ID_P],0)),"")</f>
        <v/>
      </c>
      <c r="D104" s="43" t="str">
        <f ca="1">IF(Table1[[#This Row],[ID]]="","",INDEX([2]!PAJAK[QB],MATCH(Table1[[#This Row],[ID]],[2]!PAJAK[ID],0)))</f>
        <v/>
      </c>
      <c r="E104" s="45" t="str">
        <f ca="1">INDEX([2]!PAJAK[TGL.MASUK],MATCH(Table1[[#This Row],[ID]],[2]!PAJAK[ID],0))</f>
        <v/>
      </c>
      <c r="F104" s="45" t="str">
        <f ca="1">INDEX([2]!PAJAK[TGL.NOTA],MATCH(Table1[[#This Row],[ID]],[2]!PAJAK[ID],0))</f>
        <v/>
      </c>
      <c r="G104" s="43" t="str">
        <f ca="1">INDEX([2]!PAJAK[NO.NOTA],MATCH(Table1[[#This Row],[ID]],[2]!PAJAK[ID],0))</f>
        <v/>
      </c>
      <c r="I104" s="47" t="str">
        <f ca="1">INDEX([2]!PAJAK[SUPPLIER],MATCH(Table1[[#This Row],[ID]],[2]!PAJAK[ID],0))</f>
        <v/>
      </c>
      <c r="J104" s="47"/>
      <c r="K104" s="47"/>
      <c r="L104" s="60" t="str">
        <f ca="1">IFERROR(INDEX(INDIRECT("NOTA_.xlsx!"&amp;Table1[[#This Row],[1_h]]&amp;"[sub total]"),MATCH(Table1[[#This Row],[ID]],INDIRECT("NOTA_.xlsx!"&amp;Table1[[#This Row],[1_h]]&amp;"[ID]"),0)),"")</f>
        <v/>
      </c>
      <c r="M104" s="48" t="str">
        <f ca="1">IFERROR(INDEX(INDIRECT("NOTA_.xlsx!"&amp;Table1[[#This Row],[1_h]]&amp;"[diskon]"),MATCH(Table1[[#This Row],[ID]],INDIRECT("NOTA_.xlsx!"&amp;Table1[[#This Row],[1_h]]&amp;"[ID]"),0)),"")</f>
        <v/>
      </c>
      <c r="N104" s="48" t="str">
        <f ca="1">IFERROR(INDEX(INDIRECT("NOTA_.xlsx!"&amp;Table1[[#This Row],[1_h]]&amp;"[Dpp]"),MATCH(Table1[[#This Row],[ID]],INDIRECT("NOTA_.xlsx!"&amp;Table1[[#This Row],[1_h]]&amp;"[ID]"),0)),"")</f>
        <v/>
      </c>
      <c r="O104" s="48" t="str">
        <f ca="1">IFERROR(INDEX(INDIRECT("NOTA_.xlsx!"&amp;Table1[[#This Row],[1_h]]&amp;"[ppn (11%)]"),MATCH(Table1[[#This Row],[ID]],INDIRECT("NOTA_.xlsx!"&amp;Table1[[#This Row],[1_h]]&amp;"[ID]"),0)),"")</f>
        <v/>
      </c>
      <c r="P104" s="48" t="str">
        <f ca="1">IFERROR(INDEX(INDIRECT("NOTA_.xlsx!"&amp;Table1[[#This Row],[1_h]]&amp;"[total]"),MATCH(Table1[[#This Row],[ID]],INDIRECT("NOTA_.xlsx!"&amp;Table1[[#This Row],[1_h]]&amp;"[ID]"),0)),"")</f>
        <v/>
      </c>
      <c r="Q104" s="50" t="str">
        <f ca="1">IF(Table1[[#This Row],[NAMA SUPPLIER]]="","",INDEX(conv1[2],MATCH(Table1[[#This Row],[NAMA SUPPLIER]],conv1[1],0)))</f>
        <v/>
      </c>
      <c r="R104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4" s="48"/>
    </row>
    <row r="105" spans="1:19" s="46" customFormat="1" x14ac:dyDescent="0.25">
      <c r="A105" s="43" t="str">
        <f ca="1">IF(Table1[[#This Row],[NAMA SUPPLIER]]="","",MATCH(Table1[[#This Row],[N_ID]],INDIRECT(Table1[[#This Row],[1_h]]&amp;"[N_ID]"),0))</f>
        <v/>
      </c>
      <c r="B105" s="44"/>
      <c r="C105" s="43" t="str">
        <f ca="1">_xlfn.IFNA(INDEX([2]!PAJAK[ID],MATCH(Table1[[#This Row],[N_ID]],[2]!PAJAK[ID_P],0)),"")</f>
        <v/>
      </c>
      <c r="D105" s="43" t="str">
        <f ca="1">IF(Table1[[#This Row],[ID]]="","",INDEX([2]!PAJAK[QB],MATCH(Table1[[#This Row],[ID]],[2]!PAJAK[ID],0)))</f>
        <v/>
      </c>
      <c r="E105" s="45" t="str">
        <f ca="1">INDEX([2]!PAJAK[TGL.MASUK],MATCH(Table1[[#This Row],[ID]],[2]!PAJAK[ID],0))</f>
        <v/>
      </c>
      <c r="F105" s="45" t="str">
        <f ca="1">INDEX([2]!PAJAK[TGL.NOTA],MATCH(Table1[[#This Row],[ID]],[2]!PAJAK[ID],0))</f>
        <v/>
      </c>
      <c r="G105" s="43" t="str">
        <f ca="1">INDEX([2]!PAJAK[NO.NOTA],MATCH(Table1[[#This Row],[ID]],[2]!PAJAK[ID],0))</f>
        <v/>
      </c>
      <c r="I105" s="47" t="str">
        <f ca="1">INDEX([2]!PAJAK[SUPPLIER],MATCH(Table1[[#This Row],[ID]],[2]!PAJAK[ID],0))</f>
        <v/>
      </c>
      <c r="J105" s="47"/>
      <c r="K105" s="47"/>
      <c r="L105" s="60" t="str">
        <f ca="1">IFERROR(INDEX(INDIRECT("NOTA_.xlsx!"&amp;Table1[[#This Row],[1_h]]&amp;"[sub total]"),MATCH(Table1[[#This Row],[ID]],INDIRECT("NOTA_.xlsx!"&amp;Table1[[#This Row],[1_h]]&amp;"[ID]"),0)),"")</f>
        <v/>
      </c>
      <c r="M105" s="48" t="str">
        <f ca="1">IFERROR(INDEX(INDIRECT("NOTA_.xlsx!"&amp;Table1[[#This Row],[1_h]]&amp;"[diskon]"),MATCH(Table1[[#This Row],[ID]],INDIRECT("NOTA_.xlsx!"&amp;Table1[[#This Row],[1_h]]&amp;"[ID]"),0)),"")</f>
        <v/>
      </c>
      <c r="N105" s="48" t="str">
        <f ca="1">IFERROR(INDEX(INDIRECT("NOTA_.xlsx!"&amp;Table1[[#This Row],[1_h]]&amp;"[Dpp]"),MATCH(Table1[[#This Row],[ID]],INDIRECT("NOTA_.xlsx!"&amp;Table1[[#This Row],[1_h]]&amp;"[ID]"),0)),"")</f>
        <v/>
      </c>
      <c r="O105" s="48" t="str">
        <f ca="1">IFERROR(INDEX(INDIRECT("NOTA_.xlsx!"&amp;Table1[[#This Row],[1_h]]&amp;"[ppn (11%)]"),MATCH(Table1[[#This Row],[ID]],INDIRECT("NOTA_.xlsx!"&amp;Table1[[#This Row],[1_h]]&amp;"[ID]"),0)),"")</f>
        <v/>
      </c>
      <c r="P105" s="48" t="str">
        <f ca="1">IFERROR(INDEX(INDIRECT("NOTA_.xlsx!"&amp;Table1[[#This Row],[1_h]]&amp;"[total]"),MATCH(Table1[[#This Row],[ID]],INDIRECT("NOTA_.xlsx!"&amp;Table1[[#This Row],[1_h]]&amp;"[ID]"),0)),"")</f>
        <v/>
      </c>
      <c r="Q105" s="50" t="str">
        <f ca="1">IF(Table1[[#This Row],[NAMA SUPPLIER]]="","",INDEX(conv1[2],MATCH(Table1[[#This Row],[NAMA SUPPLIER]],conv1[1],0)))</f>
        <v/>
      </c>
      <c r="R105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5" s="48"/>
    </row>
    <row r="106" spans="1:19" s="46" customFormat="1" x14ac:dyDescent="0.25">
      <c r="A106" s="43" t="str">
        <f ca="1">IF(Table1[[#This Row],[NAMA SUPPLIER]]="","",MATCH(Table1[[#This Row],[N_ID]],INDIRECT(Table1[[#This Row],[1_h]]&amp;"[N_ID]"),0))</f>
        <v/>
      </c>
      <c r="B106" s="44"/>
      <c r="C106" s="43" t="str">
        <f ca="1">_xlfn.IFNA(INDEX([2]!PAJAK[ID],MATCH(Table1[[#This Row],[N_ID]],[2]!PAJAK[ID_P],0)),"")</f>
        <v/>
      </c>
      <c r="D106" s="43" t="str">
        <f ca="1">IF(Table1[[#This Row],[ID]]="","",INDEX([2]!PAJAK[QB],MATCH(Table1[[#This Row],[ID]],[2]!PAJAK[ID],0)))</f>
        <v/>
      </c>
      <c r="E106" s="45" t="str">
        <f ca="1">INDEX([2]!PAJAK[TGL.MASUK],MATCH(Table1[[#This Row],[ID]],[2]!PAJAK[ID],0))</f>
        <v/>
      </c>
      <c r="F106" s="45" t="str">
        <f ca="1">INDEX([2]!PAJAK[TGL.NOTA],MATCH(Table1[[#This Row],[ID]],[2]!PAJAK[ID],0))</f>
        <v/>
      </c>
      <c r="G106" s="43" t="str">
        <f ca="1">INDEX([2]!PAJAK[NO.NOTA],MATCH(Table1[[#This Row],[ID]],[2]!PAJAK[ID],0))</f>
        <v/>
      </c>
      <c r="I106" s="47" t="str">
        <f ca="1">INDEX([2]!PAJAK[SUPPLIER],MATCH(Table1[[#This Row],[ID]],[2]!PAJAK[ID],0))</f>
        <v/>
      </c>
      <c r="J106" s="47"/>
      <c r="K106" s="47"/>
      <c r="L106" s="60" t="str">
        <f ca="1">IFERROR(INDEX(INDIRECT("NOTA_.xlsx!"&amp;Table1[[#This Row],[1_h]]&amp;"[sub total]"),MATCH(Table1[[#This Row],[ID]],INDIRECT("NOTA_.xlsx!"&amp;Table1[[#This Row],[1_h]]&amp;"[ID]"),0)),"")</f>
        <v/>
      </c>
      <c r="M106" s="48" t="str">
        <f ca="1">IFERROR(INDEX(INDIRECT("NOTA_.xlsx!"&amp;Table1[[#This Row],[1_h]]&amp;"[diskon]"),MATCH(Table1[[#This Row],[ID]],INDIRECT("NOTA_.xlsx!"&amp;Table1[[#This Row],[1_h]]&amp;"[ID]"),0)),"")</f>
        <v/>
      </c>
      <c r="N106" s="48" t="str">
        <f ca="1">IFERROR(INDEX(INDIRECT("NOTA_.xlsx!"&amp;Table1[[#This Row],[1_h]]&amp;"[Dpp]"),MATCH(Table1[[#This Row],[ID]],INDIRECT("NOTA_.xlsx!"&amp;Table1[[#This Row],[1_h]]&amp;"[ID]"),0)),"")</f>
        <v/>
      </c>
      <c r="O106" s="48" t="str">
        <f ca="1">IFERROR(INDEX(INDIRECT("NOTA_.xlsx!"&amp;Table1[[#This Row],[1_h]]&amp;"[ppn (11%)]"),MATCH(Table1[[#This Row],[ID]],INDIRECT("NOTA_.xlsx!"&amp;Table1[[#This Row],[1_h]]&amp;"[ID]"),0)),"")</f>
        <v/>
      </c>
      <c r="P106" s="48" t="str">
        <f ca="1">IFERROR(INDEX(INDIRECT("NOTA_.xlsx!"&amp;Table1[[#This Row],[1_h]]&amp;"[total]"),MATCH(Table1[[#This Row],[ID]],INDIRECT("NOTA_.xlsx!"&amp;Table1[[#This Row],[1_h]]&amp;"[ID]"),0)),"")</f>
        <v/>
      </c>
      <c r="Q106" s="50" t="str">
        <f ca="1">IF(Table1[[#This Row],[NAMA SUPPLIER]]="","",INDEX(conv1[2],MATCH(Table1[[#This Row],[NAMA SUPPLIER]],conv1[1],0)))</f>
        <v/>
      </c>
      <c r="R106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6" s="48"/>
    </row>
    <row r="107" spans="1:19" s="46" customFormat="1" x14ac:dyDescent="0.25">
      <c r="A107" s="43" t="str">
        <f ca="1">IF(Table1[[#This Row],[NAMA SUPPLIER]]="","",MATCH(Table1[[#This Row],[N_ID]],INDIRECT(Table1[[#This Row],[1_h]]&amp;"[N_ID]"),0))</f>
        <v/>
      </c>
      <c r="B107" s="44"/>
      <c r="C107" s="43" t="str">
        <f ca="1">_xlfn.IFNA(INDEX([2]!PAJAK[ID],MATCH(Table1[[#This Row],[N_ID]],[2]!PAJAK[ID_P],0)),"")</f>
        <v/>
      </c>
      <c r="D107" s="43" t="str">
        <f ca="1">IF(Table1[[#This Row],[ID]]="","",INDEX([2]!PAJAK[QB],MATCH(Table1[[#This Row],[ID]],[2]!PAJAK[ID],0)))</f>
        <v/>
      </c>
      <c r="E107" s="45" t="str">
        <f ca="1">INDEX([2]!PAJAK[TGL.MASUK],MATCH(Table1[[#This Row],[ID]],[2]!PAJAK[ID],0))</f>
        <v/>
      </c>
      <c r="F107" s="45" t="str">
        <f ca="1">INDEX([2]!PAJAK[TGL.NOTA],MATCH(Table1[[#This Row],[ID]],[2]!PAJAK[ID],0))</f>
        <v/>
      </c>
      <c r="G107" s="43" t="str">
        <f ca="1">INDEX([2]!PAJAK[NO.NOTA],MATCH(Table1[[#This Row],[ID]],[2]!PAJAK[ID],0))</f>
        <v/>
      </c>
      <c r="I107" s="47" t="str">
        <f ca="1">INDEX([2]!PAJAK[SUPPLIER],MATCH(Table1[[#This Row],[ID]],[2]!PAJAK[ID],0))</f>
        <v/>
      </c>
      <c r="J107" s="47"/>
      <c r="K107" s="47"/>
      <c r="L107" s="60" t="str">
        <f ca="1">IFERROR(INDEX(INDIRECT("NOTA_.xlsx!"&amp;Table1[[#This Row],[1_h]]&amp;"[sub total]"),MATCH(Table1[[#This Row],[ID]],INDIRECT("NOTA_.xlsx!"&amp;Table1[[#This Row],[1_h]]&amp;"[ID]"),0)),"")</f>
        <v/>
      </c>
      <c r="M107" s="48" t="str">
        <f ca="1">IFERROR(INDEX(INDIRECT("NOTA_.xlsx!"&amp;Table1[[#This Row],[1_h]]&amp;"[diskon]"),MATCH(Table1[[#This Row],[ID]],INDIRECT("NOTA_.xlsx!"&amp;Table1[[#This Row],[1_h]]&amp;"[ID]"),0)),"")</f>
        <v/>
      </c>
      <c r="N107" s="48" t="str">
        <f ca="1">IFERROR(INDEX(INDIRECT("NOTA_.xlsx!"&amp;Table1[[#This Row],[1_h]]&amp;"[Dpp]"),MATCH(Table1[[#This Row],[ID]],INDIRECT("NOTA_.xlsx!"&amp;Table1[[#This Row],[1_h]]&amp;"[ID]"),0)),"")</f>
        <v/>
      </c>
      <c r="O107" s="48" t="str">
        <f ca="1">IFERROR(INDEX(INDIRECT("NOTA_.xlsx!"&amp;Table1[[#This Row],[1_h]]&amp;"[ppn (11%)]"),MATCH(Table1[[#This Row],[ID]],INDIRECT("NOTA_.xlsx!"&amp;Table1[[#This Row],[1_h]]&amp;"[ID]"),0)),"")</f>
        <v/>
      </c>
      <c r="P107" s="48" t="str">
        <f ca="1">IFERROR(INDEX(INDIRECT("NOTA_.xlsx!"&amp;Table1[[#This Row],[1_h]]&amp;"[total]"),MATCH(Table1[[#This Row],[ID]],INDIRECT("NOTA_.xlsx!"&amp;Table1[[#This Row],[1_h]]&amp;"[ID]"),0)),"")</f>
        <v/>
      </c>
      <c r="Q107" s="50" t="str">
        <f ca="1">IF(Table1[[#This Row],[NAMA SUPPLIER]]="","",INDEX(conv1[2],MATCH(Table1[[#This Row],[NAMA SUPPLIER]],conv1[1],0)))</f>
        <v/>
      </c>
      <c r="R107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7" s="48"/>
    </row>
    <row r="108" spans="1:19" s="46" customFormat="1" x14ac:dyDescent="0.25">
      <c r="A108" s="43" t="str">
        <f ca="1">IF(Table1[[#This Row],[NAMA SUPPLIER]]="","",MATCH(Table1[[#This Row],[N_ID]],INDIRECT(Table1[[#This Row],[1_h]]&amp;"[N_ID]"),0))</f>
        <v/>
      </c>
      <c r="B108" s="44"/>
      <c r="C108" s="43" t="str">
        <f ca="1">_xlfn.IFNA(INDEX([2]!PAJAK[ID],MATCH(Table1[[#This Row],[N_ID]],[2]!PAJAK[ID_P],0)),"")</f>
        <v/>
      </c>
      <c r="D108" s="43" t="str">
        <f ca="1">IF(Table1[[#This Row],[ID]]="","",INDEX([2]!PAJAK[QB],MATCH(Table1[[#This Row],[ID]],[2]!PAJAK[ID],0)))</f>
        <v/>
      </c>
      <c r="E108" s="45" t="str">
        <f ca="1">INDEX([2]!PAJAK[TGL.MASUK],MATCH(Table1[[#This Row],[ID]],[2]!PAJAK[ID],0))</f>
        <v/>
      </c>
      <c r="F108" s="45" t="str">
        <f ca="1">INDEX([2]!PAJAK[TGL.NOTA],MATCH(Table1[[#This Row],[ID]],[2]!PAJAK[ID],0))</f>
        <v/>
      </c>
      <c r="G108" s="43" t="str">
        <f ca="1">INDEX([2]!PAJAK[NO.NOTA],MATCH(Table1[[#This Row],[ID]],[2]!PAJAK[ID],0))</f>
        <v/>
      </c>
      <c r="I108" s="47" t="str">
        <f ca="1">INDEX([2]!PAJAK[SUPPLIER],MATCH(Table1[[#This Row],[ID]],[2]!PAJAK[ID],0))</f>
        <v/>
      </c>
      <c r="J108" s="47"/>
      <c r="K108" s="47"/>
      <c r="L108" s="60" t="str">
        <f ca="1">IFERROR(INDEX(INDIRECT("NOTA_.xlsx!"&amp;Table1[[#This Row],[1_h]]&amp;"[sub total]"),MATCH(Table1[[#This Row],[ID]],INDIRECT("NOTA_.xlsx!"&amp;Table1[[#This Row],[1_h]]&amp;"[ID]"),0)),"")</f>
        <v/>
      </c>
      <c r="M108" s="48" t="str">
        <f ca="1">IFERROR(INDEX(INDIRECT("NOTA_.xlsx!"&amp;Table1[[#This Row],[1_h]]&amp;"[diskon]"),MATCH(Table1[[#This Row],[ID]],INDIRECT("NOTA_.xlsx!"&amp;Table1[[#This Row],[1_h]]&amp;"[ID]"),0)),"")</f>
        <v/>
      </c>
      <c r="N108" s="48" t="str">
        <f ca="1">IFERROR(INDEX(INDIRECT("NOTA_.xlsx!"&amp;Table1[[#This Row],[1_h]]&amp;"[Dpp]"),MATCH(Table1[[#This Row],[ID]],INDIRECT("NOTA_.xlsx!"&amp;Table1[[#This Row],[1_h]]&amp;"[ID]"),0)),"")</f>
        <v/>
      </c>
      <c r="O108" s="48" t="str">
        <f ca="1">IFERROR(INDEX(INDIRECT("NOTA_.xlsx!"&amp;Table1[[#This Row],[1_h]]&amp;"[ppn (11%)]"),MATCH(Table1[[#This Row],[ID]],INDIRECT("NOTA_.xlsx!"&amp;Table1[[#This Row],[1_h]]&amp;"[ID]"),0)),"")</f>
        <v/>
      </c>
      <c r="P108" s="48" t="str">
        <f ca="1">IFERROR(INDEX(INDIRECT("NOTA_.xlsx!"&amp;Table1[[#This Row],[1_h]]&amp;"[total]"),MATCH(Table1[[#This Row],[ID]],INDIRECT("NOTA_.xlsx!"&amp;Table1[[#This Row],[1_h]]&amp;"[ID]"),0)),"")</f>
        <v/>
      </c>
      <c r="Q108" s="50" t="str">
        <f ca="1">IF(Table1[[#This Row],[NAMA SUPPLIER]]="","",INDEX(conv1[2],MATCH(Table1[[#This Row],[NAMA SUPPLIER]],conv1[1],0)))</f>
        <v/>
      </c>
      <c r="R108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8" s="48"/>
    </row>
    <row r="109" spans="1:19" s="46" customFormat="1" x14ac:dyDescent="0.25">
      <c r="A109" s="43" t="str">
        <f ca="1">IF(Table1[[#This Row],[NAMA SUPPLIER]]="","",MATCH(Table1[[#This Row],[N_ID]],INDIRECT(Table1[[#This Row],[1_h]]&amp;"[N_ID]"),0))</f>
        <v/>
      </c>
      <c r="B109" s="44"/>
      <c r="C109" s="43" t="str">
        <f ca="1">_xlfn.IFNA(INDEX([2]!PAJAK[ID],MATCH(Table1[[#This Row],[N_ID]],[2]!PAJAK[ID_P],0)),"")</f>
        <v/>
      </c>
      <c r="D109" s="43" t="str">
        <f ca="1">IF(Table1[[#This Row],[ID]]="","",INDEX([2]!PAJAK[QB],MATCH(Table1[[#This Row],[ID]],[2]!PAJAK[ID],0)))</f>
        <v/>
      </c>
      <c r="E109" s="45" t="str">
        <f ca="1">INDEX([2]!PAJAK[TGL.MASUK],MATCH(Table1[[#This Row],[ID]],[2]!PAJAK[ID],0))</f>
        <v/>
      </c>
      <c r="F109" s="45" t="str">
        <f ca="1">INDEX([2]!PAJAK[TGL.NOTA],MATCH(Table1[[#This Row],[ID]],[2]!PAJAK[ID],0))</f>
        <v/>
      </c>
      <c r="G109" s="43" t="str">
        <f ca="1">INDEX([2]!PAJAK[NO.NOTA],MATCH(Table1[[#This Row],[ID]],[2]!PAJAK[ID],0))</f>
        <v/>
      </c>
      <c r="I109" s="47" t="str">
        <f ca="1">INDEX([2]!PAJAK[SUPPLIER],MATCH(Table1[[#This Row],[ID]],[2]!PAJAK[ID],0))</f>
        <v/>
      </c>
      <c r="J109" s="47"/>
      <c r="K109" s="47"/>
      <c r="L109" s="60" t="str">
        <f ca="1">IFERROR(INDEX(INDIRECT("NOTA_.xlsx!"&amp;Table1[[#This Row],[1_h]]&amp;"[sub total]"),MATCH(Table1[[#This Row],[ID]],INDIRECT("NOTA_.xlsx!"&amp;Table1[[#This Row],[1_h]]&amp;"[ID]"),0)),"")</f>
        <v/>
      </c>
      <c r="M109" s="48" t="str">
        <f ca="1">IFERROR(INDEX(INDIRECT("NOTA_.xlsx!"&amp;Table1[[#This Row],[1_h]]&amp;"[diskon]"),MATCH(Table1[[#This Row],[ID]],INDIRECT("NOTA_.xlsx!"&amp;Table1[[#This Row],[1_h]]&amp;"[ID]"),0)),"")</f>
        <v/>
      </c>
      <c r="N109" s="48" t="str">
        <f ca="1">IFERROR(INDEX(INDIRECT("NOTA_.xlsx!"&amp;Table1[[#This Row],[1_h]]&amp;"[Dpp]"),MATCH(Table1[[#This Row],[ID]],INDIRECT("NOTA_.xlsx!"&amp;Table1[[#This Row],[1_h]]&amp;"[ID]"),0)),"")</f>
        <v/>
      </c>
      <c r="O109" s="48" t="str">
        <f ca="1">IFERROR(INDEX(INDIRECT("NOTA_.xlsx!"&amp;Table1[[#This Row],[1_h]]&amp;"[ppn (11%)]"),MATCH(Table1[[#This Row],[ID]],INDIRECT("NOTA_.xlsx!"&amp;Table1[[#This Row],[1_h]]&amp;"[ID]"),0)),"")</f>
        <v/>
      </c>
      <c r="P109" s="48" t="str">
        <f ca="1">IFERROR(INDEX(INDIRECT("NOTA_.xlsx!"&amp;Table1[[#This Row],[1_h]]&amp;"[total]"),MATCH(Table1[[#This Row],[ID]],INDIRECT("NOTA_.xlsx!"&amp;Table1[[#This Row],[1_h]]&amp;"[ID]"),0)),"")</f>
        <v/>
      </c>
      <c r="Q109" s="50" t="str">
        <f ca="1">IF(Table1[[#This Row],[NAMA SUPPLIER]]="","",INDEX(conv1[2],MATCH(Table1[[#This Row],[NAMA SUPPLIER]],conv1[1],0)))</f>
        <v/>
      </c>
      <c r="R109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09" s="48"/>
    </row>
    <row r="110" spans="1:19" s="46" customFormat="1" x14ac:dyDescent="0.25">
      <c r="A110" s="43" t="str">
        <f ca="1">IF(Table1[[#This Row],[NAMA SUPPLIER]]="","",MATCH(Table1[[#This Row],[N_ID]],INDIRECT(Table1[[#This Row],[1_h]]&amp;"[N_ID]"),0))</f>
        <v/>
      </c>
      <c r="B110" s="44"/>
      <c r="C110" s="43" t="str">
        <f ca="1">_xlfn.IFNA(INDEX([2]!PAJAK[ID],MATCH(Table1[[#This Row],[N_ID]],[2]!PAJAK[ID_P],0)),"")</f>
        <v/>
      </c>
      <c r="D110" s="43" t="str">
        <f ca="1">IF(Table1[[#This Row],[ID]]="","",INDEX([2]!PAJAK[QB],MATCH(Table1[[#This Row],[ID]],[2]!PAJAK[ID],0)))</f>
        <v/>
      </c>
      <c r="E110" s="45" t="str">
        <f ca="1">INDEX([2]!PAJAK[TGL.MASUK],MATCH(Table1[[#This Row],[ID]],[2]!PAJAK[ID],0))</f>
        <v/>
      </c>
      <c r="F110" s="45" t="str">
        <f ca="1">INDEX([2]!PAJAK[TGL.NOTA],MATCH(Table1[[#This Row],[ID]],[2]!PAJAK[ID],0))</f>
        <v/>
      </c>
      <c r="G110" s="43" t="str">
        <f ca="1">INDEX([2]!PAJAK[NO.NOTA],MATCH(Table1[[#This Row],[ID]],[2]!PAJAK[ID],0))</f>
        <v/>
      </c>
      <c r="I110" s="47" t="str">
        <f ca="1">INDEX([2]!PAJAK[SUPPLIER],MATCH(Table1[[#This Row],[ID]],[2]!PAJAK[ID],0))</f>
        <v/>
      </c>
      <c r="J110" s="47"/>
      <c r="K110" s="47"/>
      <c r="L110" s="60" t="str">
        <f ca="1">IFERROR(INDEX(INDIRECT("NOTA_.xlsx!"&amp;Table1[[#This Row],[1_h]]&amp;"[sub total]"),MATCH(Table1[[#This Row],[ID]],INDIRECT("NOTA_.xlsx!"&amp;Table1[[#This Row],[1_h]]&amp;"[ID]"),0)),"")</f>
        <v/>
      </c>
      <c r="M110" s="48" t="str">
        <f ca="1">IFERROR(INDEX(INDIRECT("NOTA_.xlsx!"&amp;Table1[[#This Row],[1_h]]&amp;"[diskon]"),MATCH(Table1[[#This Row],[ID]],INDIRECT("NOTA_.xlsx!"&amp;Table1[[#This Row],[1_h]]&amp;"[ID]"),0)),"")</f>
        <v/>
      </c>
      <c r="N110" s="48" t="str">
        <f ca="1">IFERROR(INDEX(INDIRECT("NOTA_.xlsx!"&amp;Table1[[#This Row],[1_h]]&amp;"[Dpp]"),MATCH(Table1[[#This Row],[ID]],INDIRECT("NOTA_.xlsx!"&amp;Table1[[#This Row],[1_h]]&amp;"[ID]"),0)),"")</f>
        <v/>
      </c>
      <c r="O110" s="48" t="str">
        <f ca="1">IFERROR(INDEX(INDIRECT("NOTA_.xlsx!"&amp;Table1[[#This Row],[1_h]]&amp;"[ppn (11%)]"),MATCH(Table1[[#This Row],[ID]],INDIRECT("NOTA_.xlsx!"&amp;Table1[[#This Row],[1_h]]&amp;"[ID]"),0)),"")</f>
        <v/>
      </c>
      <c r="P110" s="48" t="str">
        <f ca="1">IFERROR(INDEX(INDIRECT("NOTA_.xlsx!"&amp;Table1[[#This Row],[1_h]]&amp;"[total]"),MATCH(Table1[[#This Row],[ID]],INDIRECT("NOTA_.xlsx!"&amp;Table1[[#This Row],[1_h]]&amp;"[ID]"),0)),"")</f>
        <v/>
      </c>
      <c r="Q110" s="50" t="str">
        <f ca="1">IF(Table1[[#This Row],[NAMA SUPPLIER]]="","",INDEX(conv1[2],MATCH(Table1[[#This Row],[NAMA SUPPLIER]],conv1[1],0)))</f>
        <v/>
      </c>
      <c r="R110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10" s="48"/>
    </row>
    <row r="111" spans="1:19" s="46" customFormat="1" x14ac:dyDescent="0.25">
      <c r="A111" s="43" t="str">
        <f ca="1">IF(Table1[[#This Row],[NAMA SUPPLIER]]="","",MATCH(Table1[[#This Row],[N_ID]],INDIRECT(Table1[[#This Row],[1_h]]&amp;"[N_ID]"),0))</f>
        <v/>
      </c>
      <c r="B111" s="44"/>
      <c r="C111" s="43" t="str">
        <f ca="1">_xlfn.IFNA(INDEX([2]!PAJAK[ID],MATCH(Table1[[#This Row],[N_ID]],[2]!PAJAK[ID_P],0)),"")</f>
        <v/>
      </c>
      <c r="D111" s="43" t="str">
        <f ca="1">IF(Table1[[#This Row],[ID]]="","",INDEX([2]!PAJAK[QB],MATCH(Table1[[#This Row],[ID]],[2]!PAJAK[ID],0)))</f>
        <v/>
      </c>
      <c r="E111" s="45" t="str">
        <f ca="1">INDEX([2]!PAJAK[TGL.MASUK],MATCH(Table1[[#This Row],[ID]],[2]!PAJAK[ID],0))</f>
        <v/>
      </c>
      <c r="F111" s="45" t="str">
        <f ca="1">INDEX([2]!PAJAK[TGL.NOTA],MATCH(Table1[[#This Row],[ID]],[2]!PAJAK[ID],0))</f>
        <v/>
      </c>
      <c r="G111" s="43" t="str">
        <f ca="1">INDEX([2]!PAJAK[NO.NOTA],MATCH(Table1[[#This Row],[ID]],[2]!PAJAK[ID],0))</f>
        <v/>
      </c>
      <c r="I111" s="47" t="str">
        <f ca="1">INDEX([2]!PAJAK[SUPPLIER],MATCH(Table1[[#This Row],[ID]],[2]!PAJAK[ID],0))</f>
        <v/>
      </c>
      <c r="J111" s="47"/>
      <c r="K111" s="47"/>
      <c r="L111" s="60" t="str">
        <f ca="1">IFERROR(INDEX(INDIRECT("NOTA_.xlsx!"&amp;Table1[[#This Row],[1_h]]&amp;"[sub total]"),MATCH(Table1[[#This Row],[ID]],INDIRECT("NOTA_.xlsx!"&amp;Table1[[#This Row],[1_h]]&amp;"[ID]"),0)),"")</f>
        <v/>
      </c>
      <c r="M111" s="48" t="str">
        <f ca="1">IFERROR(INDEX(INDIRECT("NOTA_.xlsx!"&amp;Table1[[#This Row],[1_h]]&amp;"[diskon]"),MATCH(Table1[[#This Row],[ID]],INDIRECT("NOTA_.xlsx!"&amp;Table1[[#This Row],[1_h]]&amp;"[ID]"),0)),"")</f>
        <v/>
      </c>
      <c r="N111" s="48" t="str">
        <f ca="1">IFERROR(INDEX(INDIRECT("NOTA_.xlsx!"&amp;Table1[[#This Row],[1_h]]&amp;"[Dpp]"),MATCH(Table1[[#This Row],[ID]],INDIRECT("NOTA_.xlsx!"&amp;Table1[[#This Row],[1_h]]&amp;"[ID]"),0)),"")</f>
        <v/>
      </c>
      <c r="O111" s="48" t="str">
        <f ca="1">IFERROR(INDEX(INDIRECT("NOTA_.xlsx!"&amp;Table1[[#This Row],[1_h]]&amp;"[ppn (11%)]"),MATCH(Table1[[#This Row],[ID]],INDIRECT("NOTA_.xlsx!"&amp;Table1[[#This Row],[1_h]]&amp;"[ID]"),0)),"")</f>
        <v/>
      </c>
      <c r="P111" s="48" t="str">
        <f ca="1">IFERROR(INDEX(INDIRECT("NOTA_.xlsx!"&amp;Table1[[#This Row],[1_h]]&amp;"[total]"),MATCH(Table1[[#This Row],[ID]],INDIRECT("NOTA_.xlsx!"&amp;Table1[[#This Row],[1_h]]&amp;"[ID]"),0)),"")</f>
        <v/>
      </c>
      <c r="Q111" s="50" t="str">
        <f ca="1">IF(Table1[[#This Row],[NAMA SUPPLIER]]="","",INDEX(conv1[2],MATCH(Table1[[#This Row],[NAMA SUPPLIER]],conv1[1],0)))</f>
        <v/>
      </c>
      <c r="R111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11" s="48"/>
    </row>
    <row r="112" spans="1:19" s="46" customFormat="1" x14ac:dyDescent="0.25">
      <c r="A112" s="43" t="str">
        <f ca="1">IF(Table1[[#This Row],[NAMA SUPPLIER]]="","",MATCH(Table1[[#This Row],[N_ID]],INDIRECT(Table1[[#This Row],[1_h]]&amp;"[N_ID]"),0))</f>
        <v/>
      </c>
      <c r="B112" s="44"/>
      <c r="C112" s="43" t="str">
        <f ca="1">_xlfn.IFNA(INDEX([2]!PAJAK[ID],MATCH(Table1[[#This Row],[N_ID]],[2]!PAJAK[ID_P],0)),"")</f>
        <v/>
      </c>
      <c r="D112" s="43" t="str">
        <f ca="1">IF(Table1[[#This Row],[ID]]="","",INDEX([2]!PAJAK[QB],MATCH(Table1[[#This Row],[ID]],[2]!PAJAK[ID],0)))</f>
        <v/>
      </c>
      <c r="E112" s="45" t="str">
        <f ca="1">INDEX([2]!PAJAK[TGL.MASUK],MATCH(Table1[[#This Row],[ID]],[2]!PAJAK[ID],0))</f>
        <v/>
      </c>
      <c r="F112" s="45" t="str">
        <f ca="1">INDEX([2]!PAJAK[TGL.NOTA],MATCH(Table1[[#This Row],[ID]],[2]!PAJAK[ID],0))</f>
        <v/>
      </c>
      <c r="G112" s="43" t="str">
        <f ca="1">INDEX([2]!PAJAK[NO.NOTA],MATCH(Table1[[#This Row],[ID]],[2]!PAJAK[ID],0))</f>
        <v/>
      </c>
      <c r="I112" s="47" t="str">
        <f ca="1">INDEX([2]!PAJAK[SUPPLIER],MATCH(Table1[[#This Row],[ID]],[2]!PAJAK[ID],0))</f>
        <v/>
      </c>
      <c r="J112" s="47"/>
      <c r="K112" s="47"/>
      <c r="L112" s="60" t="str">
        <f ca="1">IFERROR(INDEX(INDIRECT("NOTA_.xlsx!"&amp;Table1[[#This Row],[1_h]]&amp;"[sub total]"),MATCH(Table1[[#This Row],[ID]],INDIRECT("NOTA_.xlsx!"&amp;Table1[[#This Row],[1_h]]&amp;"[ID]"),0)),"")</f>
        <v/>
      </c>
      <c r="M112" s="48" t="str">
        <f ca="1">IFERROR(INDEX(INDIRECT("NOTA_.xlsx!"&amp;Table1[[#This Row],[1_h]]&amp;"[diskon]"),MATCH(Table1[[#This Row],[ID]],INDIRECT("NOTA_.xlsx!"&amp;Table1[[#This Row],[1_h]]&amp;"[ID]"),0)),"")</f>
        <v/>
      </c>
      <c r="N112" s="48" t="str">
        <f ca="1">IFERROR(INDEX(INDIRECT("NOTA_.xlsx!"&amp;Table1[[#This Row],[1_h]]&amp;"[Dpp]"),MATCH(Table1[[#This Row],[ID]],INDIRECT("NOTA_.xlsx!"&amp;Table1[[#This Row],[1_h]]&amp;"[ID]"),0)),"")</f>
        <v/>
      </c>
      <c r="O112" s="48" t="str">
        <f ca="1">IFERROR(INDEX(INDIRECT("NOTA_.xlsx!"&amp;Table1[[#This Row],[1_h]]&amp;"[ppn (11%)]"),MATCH(Table1[[#This Row],[ID]],INDIRECT("NOTA_.xlsx!"&amp;Table1[[#This Row],[1_h]]&amp;"[ID]"),0)),"")</f>
        <v/>
      </c>
      <c r="P112" s="48" t="str">
        <f ca="1">IFERROR(INDEX(INDIRECT("NOTA_.xlsx!"&amp;Table1[[#This Row],[1_h]]&amp;"[total]"),MATCH(Table1[[#This Row],[ID]],INDIRECT("NOTA_.xlsx!"&amp;Table1[[#This Row],[1_h]]&amp;"[ID]"),0)),"")</f>
        <v/>
      </c>
      <c r="Q112" s="50" t="str">
        <f ca="1">IF(Table1[[#This Row],[NAMA SUPPLIER]]="","",INDEX(conv1[2],MATCH(Table1[[#This Row],[NAMA SUPPLIER]],conv1[1],0)))</f>
        <v/>
      </c>
      <c r="R112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12" s="48"/>
    </row>
    <row r="113" spans="1:19" s="46" customFormat="1" x14ac:dyDescent="0.25">
      <c r="A113" s="43" t="str">
        <f ca="1">IF(Table1[[#This Row],[NAMA SUPPLIER]]="","",MATCH(Table1[[#This Row],[N_ID]],INDIRECT(Table1[[#This Row],[1_h]]&amp;"[N_ID]"),0))</f>
        <v/>
      </c>
      <c r="B113" s="44"/>
      <c r="C113" s="43" t="str">
        <f ca="1">_xlfn.IFNA(INDEX([2]!PAJAK[ID],MATCH(Table1[[#This Row],[N_ID]],[2]!PAJAK[ID_P],0)),"")</f>
        <v/>
      </c>
      <c r="D113" s="43" t="str">
        <f ca="1">IF(Table1[[#This Row],[ID]]="","",INDEX([2]!PAJAK[QB],MATCH(Table1[[#This Row],[ID]],[2]!PAJAK[ID],0)))</f>
        <v/>
      </c>
      <c r="E113" s="45" t="str">
        <f ca="1">INDEX([2]!PAJAK[TGL.MASUK],MATCH(Table1[[#This Row],[ID]],[2]!PAJAK[ID],0))</f>
        <v/>
      </c>
      <c r="F113" s="45" t="str">
        <f ca="1">INDEX([2]!PAJAK[TGL.NOTA],MATCH(Table1[[#This Row],[ID]],[2]!PAJAK[ID],0))</f>
        <v/>
      </c>
      <c r="G113" s="43" t="str">
        <f ca="1">INDEX([2]!PAJAK[NO.NOTA],MATCH(Table1[[#This Row],[ID]],[2]!PAJAK[ID],0))</f>
        <v/>
      </c>
      <c r="I113" s="47" t="str">
        <f ca="1">INDEX([2]!PAJAK[SUPPLIER],MATCH(Table1[[#This Row],[ID]],[2]!PAJAK[ID],0))</f>
        <v/>
      </c>
      <c r="J113" s="47"/>
      <c r="K113" s="47"/>
      <c r="L113" s="60" t="str">
        <f ca="1">IFERROR(INDEX(INDIRECT("NOTA_.xlsx!"&amp;Table1[[#This Row],[1_h]]&amp;"[sub total]"),MATCH(Table1[[#This Row],[ID]],INDIRECT("NOTA_.xlsx!"&amp;Table1[[#This Row],[1_h]]&amp;"[ID]"),0)),"")</f>
        <v/>
      </c>
      <c r="M113" s="48" t="str">
        <f ca="1">IFERROR(INDEX(INDIRECT("NOTA_.xlsx!"&amp;Table1[[#This Row],[1_h]]&amp;"[diskon]"),MATCH(Table1[[#This Row],[ID]],INDIRECT("NOTA_.xlsx!"&amp;Table1[[#This Row],[1_h]]&amp;"[ID]"),0)),"")</f>
        <v/>
      </c>
      <c r="N113" s="48" t="str">
        <f ca="1">IFERROR(INDEX(INDIRECT("NOTA_.xlsx!"&amp;Table1[[#This Row],[1_h]]&amp;"[Dpp]"),MATCH(Table1[[#This Row],[ID]],INDIRECT("NOTA_.xlsx!"&amp;Table1[[#This Row],[1_h]]&amp;"[ID]"),0)),"")</f>
        <v/>
      </c>
      <c r="O113" s="48" t="str">
        <f ca="1">IFERROR(INDEX(INDIRECT("NOTA_.xlsx!"&amp;Table1[[#This Row],[1_h]]&amp;"[ppn (11%)]"),MATCH(Table1[[#This Row],[ID]],INDIRECT("NOTA_.xlsx!"&amp;Table1[[#This Row],[1_h]]&amp;"[ID]"),0)),"")</f>
        <v/>
      </c>
      <c r="P113" s="48" t="str">
        <f ca="1">IFERROR(INDEX(INDIRECT("NOTA_.xlsx!"&amp;Table1[[#This Row],[1_h]]&amp;"[total]"),MATCH(Table1[[#This Row],[ID]],INDIRECT("NOTA_.xlsx!"&amp;Table1[[#This Row],[1_h]]&amp;"[ID]"),0)),"")</f>
        <v/>
      </c>
      <c r="Q113" s="50" t="str">
        <f ca="1">IF(Table1[[#This Row],[NAMA SUPPLIER]]="","",INDEX(conv1[2],MATCH(Table1[[#This Row],[NAMA SUPPLIER]],conv1[1],0)))</f>
        <v/>
      </c>
      <c r="R113" s="47" t="str">
        <f ca="1">IF(Table1[[#This Row],[NO. INVOICE]]="","",_xlfn.IFNA(MATCH(Table1[[#This Row],[NO. INVOICE]],'[3]REKAP PEMBELIAN'!$C:$C,0),MATCH(VALUE(Table1[[#This Row],[NO. INVOICE]]),'[3]REKAP PEMBELIAN'!$C:$C,0)))</f>
        <v/>
      </c>
      <c r="S113" s="48"/>
    </row>
    <row r="114" spans="1:19" s="40" customFormat="1" x14ac:dyDescent="0.25">
      <c r="A114" s="38" t="str">
        <f ca="1">IF(Table1[[#This Row],[NAMA SUPPLIER]]="","",MATCH(Table1[[#This Row],[N_ID]],INDIRECT(Table1[[#This Row],[1_h]]&amp;"[N_ID]"),0))</f>
        <v/>
      </c>
      <c r="B114" s="54"/>
      <c r="C114" s="38" t="str">
        <f ca="1">_xlfn.IFNA(INDEX([2]!PAJAK[ID],MATCH(Table1[[#This Row],[N_ID]],[2]!PAJAK[ID_P],0)),"")</f>
        <v/>
      </c>
      <c r="D114" s="38" t="str">
        <f ca="1">IF(Table1[[#This Row],[ID]]="","",INDEX([2]!PAJAK[QB],MATCH(Table1[[#This Row],[ID]],[2]!PAJAK[ID],0)))</f>
        <v/>
      </c>
      <c r="E114" s="39" t="str">
        <f ca="1">INDEX([2]!PAJAK[TGL.MASUK],MATCH(Table1[[#This Row],[ID]],[2]!PAJAK[ID],0))</f>
        <v/>
      </c>
      <c r="F114" s="39" t="str">
        <f ca="1">INDEX([2]!PAJAK[TGL.NOTA],MATCH(Table1[[#This Row],[ID]],[2]!PAJAK[ID],0))</f>
        <v/>
      </c>
      <c r="G114" s="38" t="str">
        <f ca="1">INDEX([2]!PAJAK[NO.NOTA],MATCH(Table1[[#This Row],[ID]],[2]!PAJAK[ID],0))</f>
        <v/>
      </c>
      <c r="I114" s="41" t="str">
        <f ca="1">INDEX([2]!PAJAK[SUPPLIER],MATCH(Table1[[#This Row],[ID]],[2]!PAJAK[ID],0))</f>
        <v/>
      </c>
      <c r="J114" s="41"/>
      <c r="K114" s="41"/>
      <c r="L114" s="61" t="str">
        <f ca="1">IFERROR(INDEX(INDIRECT("NOTA_.xlsx!"&amp;Table1[[#This Row],[1_h]]&amp;"[sub total]"),MATCH(Table1[[#This Row],[ID]],INDIRECT("NOTA_.xlsx!"&amp;Table1[[#This Row],[1_h]]&amp;"[ID]"),0)),"")</f>
        <v/>
      </c>
      <c r="M114" s="42" t="str">
        <f ca="1">IFERROR(INDEX(INDIRECT("NOTA_.xlsx!"&amp;Table1[[#This Row],[1_h]]&amp;"[diskon]"),MATCH(Table1[[#This Row],[ID]],INDIRECT("NOTA_.xlsx!"&amp;Table1[[#This Row],[1_h]]&amp;"[ID]"),0)),"")</f>
        <v/>
      </c>
      <c r="N114" s="42" t="str">
        <f ca="1">IFERROR(INDEX(INDIRECT("NOTA_.xlsx!"&amp;Table1[[#This Row],[1_h]]&amp;"[Dpp]"),MATCH(Table1[[#This Row],[ID]],INDIRECT("NOTA_.xlsx!"&amp;Table1[[#This Row],[1_h]]&amp;"[ID]"),0)),"")</f>
        <v/>
      </c>
      <c r="O114" s="42" t="str">
        <f ca="1">IFERROR(INDEX(INDIRECT("NOTA_.xlsx!"&amp;Table1[[#This Row],[1_h]]&amp;"[ppn (11%)]"),MATCH(Table1[[#This Row],[ID]],INDIRECT("NOTA_.xlsx!"&amp;Table1[[#This Row],[1_h]]&amp;"[ID]"),0)),"")</f>
        <v/>
      </c>
      <c r="P114" s="42" t="str">
        <f ca="1">IFERROR(INDEX(INDIRECT("NOTA_.xlsx!"&amp;Table1[[#This Row],[1_h]]&amp;"[total]"),MATCH(Table1[[#This Row],[ID]],INDIRECT("NOTA_.xlsx!"&amp;Table1[[#This Row],[1_h]]&amp;"[ID]"),0)),"")</f>
        <v/>
      </c>
      <c r="Q114" s="51" t="str">
        <f ca="1">IF(Table1[[#This Row],[NAMA SUPPLIER]]="","",INDEX(conv1[2],MATCH(Table1[[#This Row],[NAMA SUPPLIER]],conv1[1],0)))</f>
        <v/>
      </c>
      <c r="R114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14" s="42"/>
    </row>
    <row r="115" spans="1:19" s="40" customFormat="1" x14ac:dyDescent="0.25">
      <c r="A115" s="38" t="str">
        <f ca="1">IF(Table1[[#This Row],[NAMA SUPPLIER]]="","",MATCH(Table1[[#This Row],[N_ID]],INDIRECT(Table1[[#This Row],[1_h]]&amp;"[N_ID]"),0))</f>
        <v/>
      </c>
      <c r="B115" s="54"/>
      <c r="C115" s="38" t="str">
        <f ca="1">_xlfn.IFNA(INDEX([2]!PAJAK[ID],MATCH(Table1[[#This Row],[N_ID]],[2]!PAJAK[ID_P],0)),"")</f>
        <v/>
      </c>
      <c r="D115" s="38" t="str">
        <f ca="1">IF(Table1[[#This Row],[ID]]="","",INDEX([2]!PAJAK[QB],MATCH(Table1[[#This Row],[ID]],[2]!PAJAK[ID],0)))</f>
        <v/>
      </c>
      <c r="E115" s="39" t="str">
        <f ca="1">INDEX([2]!PAJAK[TGL.MASUK],MATCH(Table1[[#This Row],[ID]],[2]!PAJAK[ID],0))</f>
        <v/>
      </c>
      <c r="F115" s="39" t="str">
        <f ca="1">INDEX([2]!PAJAK[TGL.NOTA],MATCH(Table1[[#This Row],[ID]],[2]!PAJAK[ID],0))</f>
        <v/>
      </c>
      <c r="G115" s="38" t="str">
        <f ca="1">INDEX([2]!PAJAK[NO.NOTA],MATCH(Table1[[#This Row],[ID]],[2]!PAJAK[ID],0))</f>
        <v/>
      </c>
      <c r="I115" s="41" t="str">
        <f ca="1">INDEX([2]!PAJAK[SUPPLIER],MATCH(Table1[[#This Row],[ID]],[2]!PAJAK[ID],0))</f>
        <v/>
      </c>
      <c r="J115" s="41"/>
      <c r="K115" s="41"/>
      <c r="L115" s="61" t="str">
        <f ca="1">IFERROR(INDEX(INDIRECT("NOTA_.xlsx!"&amp;Table1[[#This Row],[1_h]]&amp;"[sub total]"),MATCH(Table1[[#This Row],[ID]],INDIRECT("NOTA_.xlsx!"&amp;Table1[[#This Row],[1_h]]&amp;"[ID]"),0)),"")</f>
        <v/>
      </c>
      <c r="M115" s="42" t="str">
        <f ca="1">IFERROR(INDEX(INDIRECT("NOTA_.xlsx!"&amp;Table1[[#This Row],[1_h]]&amp;"[diskon]"),MATCH(Table1[[#This Row],[ID]],INDIRECT("NOTA_.xlsx!"&amp;Table1[[#This Row],[1_h]]&amp;"[ID]"),0)),"")</f>
        <v/>
      </c>
      <c r="N115" s="42" t="str">
        <f ca="1">IFERROR(INDEX(INDIRECT("NOTA_.xlsx!"&amp;Table1[[#This Row],[1_h]]&amp;"[Dpp]"),MATCH(Table1[[#This Row],[ID]],INDIRECT("NOTA_.xlsx!"&amp;Table1[[#This Row],[1_h]]&amp;"[ID]"),0)),"")</f>
        <v/>
      </c>
      <c r="O115" s="42" t="str">
        <f ca="1">IFERROR(INDEX(INDIRECT("NOTA_.xlsx!"&amp;Table1[[#This Row],[1_h]]&amp;"[ppn (11%)]"),MATCH(Table1[[#This Row],[ID]],INDIRECT("NOTA_.xlsx!"&amp;Table1[[#This Row],[1_h]]&amp;"[ID]"),0)),"")</f>
        <v/>
      </c>
      <c r="P115" s="42" t="str">
        <f ca="1">IFERROR(INDEX(INDIRECT("NOTA_.xlsx!"&amp;Table1[[#This Row],[1_h]]&amp;"[total]"),MATCH(Table1[[#This Row],[ID]],INDIRECT("NOTA_.xlsx!"&amp;Table1[[#This Row],[1_h]]&amp;"[ID]"),0)),"")</f>
        <v/>
      </c>
      <c r="Q115" s="51" t="str">
        <f ca="1">IF(Table1[[#This Row],[NAMA SUPPLIER]]="","",INDEX(conv1[2],MATCH(Table1[[#This Row],[NAMA SUPPLIER]],conv1[1],0)))</f>
        <v/>
      </c>
      <c r="R115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15" s="42"/>
    </row>
    <row r="116" spans="1:19" s="40" customFormat="1" x14ac:dyDescent="0.25">
      <c r="A116" s="38" t="str">
        <f ca="1">IF(Table1[[#This Row],[NAMA SUPPLIER]]="","",MATCH(Table1[[#This Row],[N_ID]],INDIRECT(Table1[[#This Row],[1_h]]&amp;"[N_ID]"),0))</f>
        <v/>
      </c>
      <c r="B116" s="54"/>
      <c r="C116" s="38" t="str">
        <f ca="1">_xlfn.IFNA(INDEX([2]!PAJAK[ID],MATCH(Table1[[#This Row],[N_ID]],[2]!PAJAK[ID_P],0)),"")</f>
        <v/>
      </c>
      <c r="D116" s="38" t="str">
        <f ca="1">IF(Table1[[#This Row],[ID]]="","",INDEX([2]!PAJAK[QB],MATCH(Table1[[#This Row],[ID]],[2]!PAJAK[ID],0)))</f>
        <v/>
      </c>
      <c r="E116" s="39" t="str">
        <f ca="1">INDEX([2]!PAJAK[TGL.MASUK],MATCH(Table1[[#This Row],[ID]],[2]!PAJAK[ID],0))</f>
        <v/>
      </c>
      <c r="F116" s="39" t="str">
        <f ca="1">INDEX([2]!PAJAK[TGL.NOTA],MATCH(Table1[[#This Row],[ID]],[2]!PAJAK[ID],0))</f>
        <v/>
      </c>
      <c r="G116" s="38" t="str">
        <f ca="1">INDEX([2]!PAJAK[NO.NOTA],MATCH(Table1[[#This Row],[ID]],[2]!PAJAK[ID],0))</f>
        <v/>
      </c>
      <c r="I116" s="41" t="str">
        <f ca="1">INDEX([2]!PAJAK[SUPPLIER],MATCH(Table1[[#This Row],[ID]],[2]!PAJAK[ID],0))</f>
        <v/>
      </c>
      <c r="J116" s="41"/>
      <c r="K116" s="41"/>
      <c r="L116" s="61" t="str">
        <f ca="1">IFERROR(INDEX(INDIRECT("NOTA_.xlsx!"&amp;Table1[[#This Row],[1_h]]&amp;"[sub total]"),MATCH(Table1[[#This Row],[ID]],INDIRECT("NOTA_.xlsx!"&amp;Table1[[#This Row],[1_h]]&amp;"[ID]"),0)),"")</f>
        <v/>
      </c>
      <c r="M116" s="42" t="str">
        <f ca="1">IFERROR(INDEX(INDIRECT("NOTA_.xlsx!"&amp;Table1[[#This Row],[1_h]]&amp;"[diskon]"),MATCH(Table1[[#This Row],[ID]],INDIRECT("NOTA_.xlsx!"&amp;Table1[[#This Row],[1_h]]&amp;"[ID]"),0)),"")</f>
        <v/>
      </c>
      <c r="N116" s="42" t="str">
        <f ca="1">IFERROR(INDEX(INDIRECT("NOTA_.xlsx!"&amp;Table1[[#This Row],[1_h]]&amp;"[Dpp]"),MATCH(Table1[[#This Row],[ID]],INDIRECT("NOTA_.xlsx!"&amp;Table1[[#This Row],[1_h]]&amp;"[ID]"),0)),"")</f>
        <v/>
      </c>
      <c r="O116" s="42" t="str">
        <f ca="1">IFERROR(INDEX(INDIRECT("NOTA_.xlsx!"&amp;Table1[[#This Row],[1_h]]&amp;"[ppn (11%)]"),MATCH(Table1[[#This Row],[ID]],INDIRECT("NOTA_.xlsx!"&amp;Table1[[#This Row],[1_h]]&amp;"[ID]"),0)),"")</f>
        <v/>
      </c>
      <c r="P116" s="42" t="str">
        <f ca="1">IFERROR(INDEX(INDIRECT("NOTA_.xlsx!"&amp;Table1[[#This Row],[1_h]]&amp;"[total]"),MATCH(Table1[[#This Row],[ID]],INDIRECT("NOTA_.xlsx!"&amp;Table1[[#This Row],[1_h]]&amp;"[ID]"),0)),"")</f>
        <v/>
      </c>
      <c r="Q116" s="51" t="str">
        <f ca="1">IF(Table1[[#This Row],[NAMA SUPPLIER]]="","",INDEX(conv1[2],MATCH(Table1[[#This Row],[NAMA SUPPLIER]],conv1[1],0)))</f>
        <v/>
      </c>
      <c r="R116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16" s="42"/>
    </row>
    <row r="117" spans="1:19" s="40" customFormat="1" x14ac:dyDescent="0.25">
      <c r="A117" s="38" t="str">
        <f ca="1">IF(Table1[[#This Row],[NAMA SUPPLIER]]="","",MATCH(Table1[[#This Row],[N_ID]],INDIRECT(Table1[[#This Row],[1_h]]&amp;"[N_ID]"),0))</f>
        <v/>
      </c>
      <c r="B117" s="54"/>
      <c r="C117" s="38" t="str">
        <f ca="1">_xlfn.IFNA(INDEX([2]!PAJAK[ID],MATCH(Table1[[#This Row],[N_ID]],[2]!PAJAK[ID_P],0)),"")</f>
        <v/>
      </c>
      <c r="D117" s="38" t="str">
        <f ca="1">IF(Table1[[#This Row],[ID]]="","",INDEX([2]!PAJAK[QB],MATCH(Table1[[#This Row],[ID]],[2]!PAJAK[ID],0)))</f>
        <v/>
      </c>
      <c r="E117" s="39" t="str">
        <f ca="1">INDEX([2]!PAJAK[TGL.MASUK],MATCH(Table1[[#This Row],[ID]],[2]!PAJAK[ID],0))</f>
        <v/>
      </c>
      <c r="F117" s="39" t="str">
        <f ca="1">INDEX([2]!PAJAK[TGL.NOTA],MATCH(Table1[[#This Row],[ID]],[2]!PAJAK[ID],0))</f>
        <v/>
      </c>
      <c r="G117" s="38" t="str">
        <f ca="1">INDEX([2]!PAJAK[NO.NOTA],MATCH(Table1[[#This Row],[ID]],[2]!PAJAK[ID],0))</f>
        <v/>
      </c>
      <c r="I117" s="41" t="str">
        <f ca="1">INDEX([2]!PAJAK[SUPPLIER],MATCH(Table1[[#This Row],[ID]],[2]!PAJAK[ID],0))</f>
        <v/>
      </c>
      <c r="J117" s="41"/>
      <c r="K117" s="41"/>
      <c r="L117" s="61" t="str">
        <f ca="1">IFERROR(INDEX(INDIRECT("NOTA_.xlsx!"&amp;Table1[[#This Row],[1_h]]&amp;"[sub total]"),MATCH(Table1[[#This Row],[ID]],INDIRECT("NOTA_.xlsx!"&amp;Table1[[#This Row],[1_h]]&amp;"[ID]"),0)),"")</f>
        <v/>
      </c>
      <c r="M117" s="42" t="str">
        <f ca="1">IFERROR(INDEX(INDIRECT("NOTA_.xlsx!"&amp;Table1[[#This Row],[1_h]]&amp;"[diskon]"),MATCH(Table1[[#This Row],[ID]],INDIRECT("NOTA_.xlsx!"&amp;Table1[[#This Row],[1_h]]&amp;"[ID]"),0)),"")</f>
        <v/>
      </c>
      <c r="N117" s="42" t="str">
        <f ca="1">IFERROR(INDEX(INDIRECT("NOTA_.xlsx!"&amp;Table1[[#This Row],[1_h]]&amp;"[Dpp]"),MATCH(Table1[[#This Row],[ID]],INDIRECT("NOTA_.xlsx!"&amp;Table1[[#This Row],[1_h]]&amp;"[ID]"),0)),"")</f>
        <v/>
      </c>
      <c r="O117" s="42" t="str">
        <f ca="1">IFERROR(INDEX(INDIRECT("NOTA_.xlsx!"&amp;Table1[[#This Row],[1_h]]&amp;"[ppn (11%)]"),MATCH(Table1[[#This Row],[ID]],INDIRECT("NOTA_.xlsx!"&amp;Table1[[#This Row],[1_h]]&amp;"[ID]"),0)),"")</f>
        <v/>
      </c>
      <c r="P117" s="42" t="str">
        <f ca="1">IFERROR(INDEX(INDIRECT("NOTA_.xlsx!"&amp;Table1[[#This Row],[1_h]]&amp;"[total]"),MATCH(Table1[[#This Row],[ID]],INDIRECT("NOTA_.xlsx!"&amp;Table1[[#This Row],[1_h]]&amp;"[ID]"),0)),"")</f>
        <v/>
      </c>
      <c r="Q117" s="51" t="str">
        <f ca="1">IF(Table1[[#This Row],[NAMA SUPPLIER]]="","",INDEX(conv1[2],MATCH(Table1[[#This Row],[NAMA SUPPLIER]],conv1[1],0)))</f>
        <v/>
      </c>
      <c r="R117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17" s="42"/>
    </row>
    <row r="118" spans="1:19" s="40" customFormat="1" x14ac:dyDescent="0.25">
      <c r="A118" s="38" t="str">
        <f ca="1">IF(Table1[[#This Row],[NAMA SUPPLIER]]="","",MATCH(Table1[[#This Row],[N_ID]],INDIRECT(Table1[[#This Row],[1_h]]&amp;"[N_ID]"),0))</f>
        <v/>
      </c>
      <c r="B118" s="44"/>
      <c r="C118" s="38" t="str">
        <f ca="1">_xlfn.IFNA(INDEX([2]!PAJAK[ID],MATCH(Table1[[#This Row],[N_ID]],[2]!PAJAK[ID_P],0)),"")</f>
        <v/>
      </c>
      <c r="D118" s="38" t="str">
        <f ca="1">IF(Table1[[#This Row],[ID]]="","",INDEX([2]!PAJAK[QB],MATCH(Table1[[#This Row],[ID]],[2]!PAJAK[ID],0)))</f>
        <v/>
      </c>
      <c r="E118" s="39" t="str">
        <f ca="1">INDEX([2]!PAJAK[TGL.MASUK],MATCH(Table1[[#This Row],[ID]],[2]!PAJAK[ID],0))</f>
        <v/>
      </c>
      <c r="F118" s="39" t="str">
        <f ca="1">INDEX([2]!PAJAK[TGL.NOTA],MATCH(Table1[[#This Row],[ID]],[2]!PAJAK[ID],0))</f>
        <v/>
      </c>
      <c r="G118" s="38" t="str">
        <f ca="1">INDEX([2]!PAJAK[NO.NOTA],MATCH(Table1[[#This Row],[ID]],[2]!PAJAK[ID],0))</f>
        <v/>
      </c>
      <c r="I118" s="41" t="str">
        <f ca="1">INDEX([2]!PAJAK[SUPPLIER],MATCH(Table1[[#This Row],[ID]],[2]!PAJAK[ID],0))</f>
        <v/>
      </c>
      <c r="J118" s="41"/>
      <c r="K118" s="41"/>
      <c r="L118" s="61" t="str">
        <f ca="1">IFERROR(INDEX(INDIRECT("NOTA_.xlsx!"&amp;Table1[[#This Row],[1_h]]&amp;"[sub total]"),MATCH(Table1[[#This Row],[ID]],INDIRECT("NOTA_.xlsx!"&amp;Table1[[#This Row],[1_h]]&amp;"[ID]"),0)),"")</f>
        <v/>
      </c>
      <c r="M118" s="42" t="str">
        <f ca="1">IFERROR(INDEX(INDIRECT("NOTA_.xlsx!"&amp;Table1[[#This Row],[1_h]]&amp;"[diskon]"),MATCH(Table1[[#This Row],[ID]],INDIRECT("NOTA_.xlsx!"&amp;Table1[[#This Row],[1_h]]&amp;"[ID]"),0)),"")</f>
        <v/>
      </c>
      <c r="N118" s="42" t="str">
        <f ca="1">IFERROR(INDEX(INDIRECT("NOTA_.xlsx!"&amp;Table1[[#This Row],[1_h]]&amp;"[Dpp]"),MATCH(Table1[[#This Row],[ID]],INDIRECT("NOTA_.xlsx!"&amp;Table1[[#This Row],[1_h]]&amp;"[ID]"),0)),"")</f>
        <v/>
      </c>
      <c r="O118" s="42" t="str">
        <f ca="1">IFERROR(INDEX(INDIRECT("NOTA_.xlsx!"&amp;Table1[[#This Row],[1_h]]&amp;"[ppn (11%)]"),MATCH(Table1[[#This Row],[ID]],INDIRECT("NOTA_.xlsx!"&amp;Table1[[#This Row],[1_h]]&amp;"[ID]"),0)),"")</f>
        <v/>
      </c>
      <c r="P118" s="42" t="str">
        <f ca="1">IFERROR(INDEX(INDIRECT("NOTA_.xlsx!"&amp;Table1[[#This Row],[1_h]]&amp;"[total]"),MATCH(Table1[[#This Row],[ID]],INDIRECT("NOTA_.xlsx!"&amp;Table1[[#This Row],[1_h]]&amp;"[ID]"),0)),"")</f>
        <v/>
      </c>
      <c r="Q118" s="51" t="str">
        <f ca="1">IF(Table1[[#This Row],[NAMA SUPPLIER]]="","",INDEX(conv1[2],MATCH(Table1[[#This Row],[NAMA SUPPLIER]],conv1[1],0)))</f>
        <v/>
      </c>
      <c r="R118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18" s="42"/>
    </row>
    <row r="119" spans="1:19" s="40" customFormat="1" x14ac:dyDescent="0.25">
      <c r="A119" s="38" t="str">
        <f ca="1">IF(Table1[[#This Row],[NAMA SUPPLIER]]="","",MATCH(Table1[[#This Row],[N_ID]],INDIRECT(Table1[[#This Row],[1_h]]&amp;"[N_ID]"),0))</f>
        <v/>
      </c>
      <c r="B119" s="44"/>
      <c r="C119" s="38" t="str">
        <f ca="1">_xlfn.IFNA(INDEX([2]!PAJAK[ID],MATCH(Table1[[#This Row],[N_ID]],[2]!PAJAK[ID_P],0)),"")</f>
        <v/>
      </c>
      <c r="D119" s="38" t="str">
        <f ca="1">IF(Table1[[#This Row],[ID]]="","",INDEX([2]!PAJAK[QB],MATCH(Table1[[#This Row],[ID]],[2]!PAJAK[ID],0)))</f>
        <v/>
      </c>
      <c r="E119" s="39" t="str">
        <f ca="1">INDEX([2]!PAJAK[TGL.MASUK],MATCH(Table1[[#This Row],[ID]],[2]!PAJAK[ID],0))</f>
        <v/>
      </c>
      <c r="F119" s="39" t="str">
        <f ca="1">INDEX([2]!PAJAK[TGL.NOTA],MATCH(Table1[[#This Row],[ID]],[2]!PAJAK[ID],0))</f>
        <v/>
      </c>
      <c r="G119" s="38" t="str">
        <f ca="1">INDEX([2]!PAJAK[NO.NOTA],MATCH(Table1[[#This Row],[ID]],[2]!PAJAK[ID],0))</f>
        <v/>
      </c>
      <c r="I119" s="41" t="str">
        <f ca="1">INDEX([2]!PAJAK[SUPPLIER],MATCH(Table1[[#This Row],[ID]],[2]!PAJAK[ID],0))</f>
        <v/>
      </c>
      <c r="J119" s="41"/>
      <c r="K119" s="41"/>
      <c r="L119" s="61" t="str">
        <f ca="1">IFERROR(INDEX(INDIRECT("NOTA_.xlsx!"&amp;Table1[[#This Row],[1_h]]&amp;"[sub total]"),MATCH(Table1[[#This Row],[ID]],INDIRECT("NOTA_.xlsx!"&amp;Table1[[#This Row],[1_h]]&amp;"[ID]"),0)),"")</f>
        <v/>
      </c>
      <c r="M119" s="42" t="str">
        <f ca="1">IFERROR(INDEX(INDIRECT("NOTA_.xlsx!"&amp;Table1[[#This Row],[1_h]]&amp;"[diskon]"),MATCH(Table1[[#This Row],[ID]],INDIRECT("NOTA_.xlsx!"&amp;Table1[[#This Row],[1_h]]&amp;"[ID]"),0)),"")</f>
        <v/>
      </c>
      <c r="N119" s="42" t="str">
        <f ca="1">IFERROR(INDEX(INDIRECT("NOTA_.xlsx!"&amp;Table1[[#This Row],[1_h]]&amp;"[Dpp]"),MATCH(Table1[[#This Row],[ID]],INDIRECT("NOTA_.xlsx!"&amp;Table1[[#This Row],[1_h]]&amp;"[ID]"),0)),"")</f>
        <v/>
      </c>
      <c r="O119" s="42" t="str">
        <f ca="1">IFERROR(INDEX(INDIRECT("NOTA_.xlsx!"&amp;Table1[[#This Row],[1_h]]&amp;"[ppn (11%)]"),MATCH(Table1[[#This Row],[ID]],INDIRECT("NOTA_.xlsx!"&amp;Table1[[#This Row],[1_h]]&amp;"[ID]"),0)),"")</f>
        <v/>
      </c>
      <c r="P119" s="42" t="str">
        <f ca="1">IFERROR(INDEX(INDIRECT("NOTA_.xlsx!"&amp;Table1[[#This Row],[1_h]]&amp;"[total]"),MATCH(Table1[[#This Row],[ID]],INDIRECT("NOTA_.xlsx!"&amp;Table1[[#This Row],[1_h]]&amp;"[ID]"),0)),"")</f>
        <v/>
      </c>
      <c r="Q119" s="51" t="str">
        <f ca="1">IF(Table1[[#This Row],[NAMA SUPPLIER]]="","",INDEX(conv1[2],MATCH(Table1[[#This Row],[NAMA SUPPLIER]],conv1[1],0)))</f>
        <v/>
      </c>
      <c r="R119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19" s="42"/>
    </row>
    <row r="120" spans="1:19" s="40" customFormat="1" x14ac:dyDescent="0.25">
      <c r="A120" s="38" t="str">
        <f ca="1">IF(Table1[[#This Row],[NAMA SUPPLIER]]="","",MATCH(Table1[[#This Row],[N_ID]],INDIRECT(Table1[[#This Row],[1_h]]&amp;"[N_ID]"),0))</f>
        <v/>
      </c>
      <c r="B120" s="44"/>
      <c r="C120" s="38" t="str">
        <f ca="1">_xlfn.IFNA(INDEX([2]!PAJAK[ID],MATCH(Table1[[#This Row],[N_ID]],[2]!PAJAK[ID_P],0)),"")</f>
        <v/>
      </c>
      <c r="D120" s="38" t="str">
        <f ca="1">IF(Table1[[#This Row],[ID]]="","",INDEX([2]!PAJAK[QB],MATCH(Table1[[#This Row],[ID]],[2]!PAJAK[ID],0)))</f>
        <v/>
      </c>
      <c r="E120" s="39" t="str">
        <f ca="1">INDEX([2]!PAJAK[TGL.MASUK],MATCH(Table1[[#This Row],[ID]],[2]!PAJAK[ID],0))</f>
        <v/>
      </c>
      <c r="F120" s="39" t="str">
        <f ca="1">INDEX([2]!PAJAK[TGL.NOTA],MATCH(Table1[[#This Row],[ID]],[2]!PAJAK[ID],0))</f>
        <v/>
      </c>
      <c r="G120" s="38" t="str">
        <f ca="1">INDEX([2]!PAJAK[NO.NOTA],MATCH(Table1[[#This Row],[ID]],[2]!PAJAK[ID],0))</f>
        <v/>
      </c>
      <c r="I120" s="41" t="str">
        <f ca="1">INDEX([2]!PAJAK[SUPPLIER],MATCH(Table1[[#This Row],[ID]],[2]!PAJAK[ID],0))</f>
        <v/>
      </c>
      <c r="J120" s="41"/>
      <c r="K120" s="41"/>
      <c r="L120" s="61" t="str">
        <f ca="1">IFERROR(INDEX(INDIRECT("NOTA_.xlsx!"&amp;Table1[[#This Row],[1_h]]&amp;"[sub total]"),MATCH(Table1[[#This Row],[ID]],INDIRECT("NOTA_.xlsx!"&amp;Table1[[#This Row],[1_h]]&amp;"[ID]"),0)),"")</f>
        <v/>
      </c>
      <c r="M120" s="42" t="str">
        <f ca="1">IFERROR(INDEX(INDIRECT("NOTA_.xlsx!"&amp;Table1[[#This Row],[1_h]]&amp;"[diskon]"),MATCH(Table1[[#This Row],[ID]],INDIRECT("NOTA_.xlsx!"&amp;Table1[[#This Row],[1_h]]&amp;"[ID]"),0)),"")</f>
        <v/>
      </c>
      <c r="N120" s="42" t="str">
        <f ca="1">IFERROR(INDEX(INDIRECT("NOTA_.xlsx!"&amp;Table1[[#This Row],[1_h]]&amp;"[Dpp]"),MATCH(Table1[[#This Row],[ID]],INDIRECT("NOTA_.xlsx!"&amp;Table1[[#This Row],[1_h]]&amp;"[ID]"),0)),"")</f>
        <v/>
      </c>
      <c r="O120" s="42" t="str">
        <f ca="1">IFERROR(INDEX(INDIRECT("NOTA_.xlsx!"&amp;Table1[[#This Row],[1_h]]&amp;"[ppn (11%)]"),MATCH(Table1[[#This Row],[ID]],INDIRECT("NOTA_.xlsx!"&amp;Table1[[#This Row],[1_h]]&amp;"[ID]"),0)),"")</f>
        <v/>
      </c>
      <c r="P120" s="42" t="str">
        <f ca="1">IFERROR(INDEX(INDIRECT("NOTA_.xlsx!"&amp;Table1[[#This Row],[1_h]]&amp;"[total]"),MATCH(Table1[[#This Row],[ID]],INDIRECT("NOTA_.xlsx!"&amp;Table1[[#This Row],[1_h]]&amp;"[ID]"),0)),"")</f>
        <v/>
      </c>
      <c r="Q120" s="51" t="str">
        <f ca="1">IF(Table1[[#This Row],[NAMA SUPPLIER]]="","",INDEX(conv1[2],MATCH(Table1[[#This Row],[NAMA SUPPLIER]],conv1[1],0)))</f>
        <v/>
      </c>
      <c r="R120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0" s="42"/>
    </row>
    <row r="121" spans="1:19" s="40" customFormat="1" x14ac:dyDescent="0.25">
      <c r="A121" s="38" t="str">
        <f ca="1">IF(Table1[[#This Row],[NAMA SUPPLIER]]="","",MATCH(Table1[[#This Row],[N_ID]],INDIRECT(Table1[[#This Row],[1_h]]&amp;"[N_ID]"),0))</f>
        <v/>
      </c>
      <c r="B121" s="44"/>
      <c r="C121" s="38" t="str">
        <f ca="1">_xlfn.IFNA(INDEX([2]!PAJAK[ID],MATCH(Table1[[#This Row],[N_ID]],[2]!PAJAK[ID_P],0)),"")</f>
        <v/>
      </c>
      <c r="D121" s="38" t="str">
        <f ca="1">IF(Table1[[#This Row],[ID]]="","",INDEX([2]!PAJAK[QB],MATCH(Table1[[#This Row],[ID]],[2]!PAJAK[ID],0)))</f>
        <v/>
      </c>
      <c r="E121" s="39" t="str">
        <f ca="1">INDEX([2]!PAJAK[TGL.MASUK],MATCH(Table1[[#This Row],[ID]],[2]!PAJAK[ID],0))</f>
        <v/>
      </c>
      <c r="F121" s="39" t="str">
        <f ca="1">INDEX([2]!PAJAK[TGL.NOTA],MATCH(Table1[[#This Row],[ID]],[2]!PAJAK[ID],0))</f>
        <v/>
      </c>
      <c r="G121" s="38" t="str">
        <f ca="1">INDEX([2]!PAJAK[NO.NOTA],MATCH(Table1[[#This Row],[ID]],[2]!PAJAK[ID],0))</f>
        <v/>
      </c>
      <c r="I121" s="41" t="str">
        <f ca="1">INDEX([2]!PAJAK[SUPPLIER],MATCH(Table1[[#This Row],[ID]],[2]!PAJAK[ID],0))</f>
        <v/>
      </c>
      <c r="J121" s="41"/>
      <c r="K121" s="41"/>
      <c r="L121" s="61" t="str">
        <f ca="1">IFERROR(INDEX(INDIRECT("NOTA_.xlsx!"&amp;Table1[[#This Row],[1_h]]&amp;"[sub total]"),MATCH(Table1[[#This Row],[ID]],INDIRECT("NOTA_.xlsx!"&amp;Table1[[#This Row],[1_h]]&amp;"[ID]"),0)),"")</f>
        <v/>
      </c>
      <c r="M121" s="42" t="str">
        <f ca="1">IFERROR(INDEX(INDIRECT("NOTA_.xlsx!"&amp;Table1[[#This Row],[1_h]]&amp;"[diskon]"),MATCH(Table1[[#This Row],[ID]],INDIRECT("NOTA_.xlsx!"&amp;Table1[[#This Row],[1_h]]&amp;"[ID]"),0)),"")</f>
        <v/>
      </c>
      <c r="N121" s="42" t="str">
        <f ca="1">IFERROR(INDEX(INDIRECT("NOTA_.xlsx!"&amp;Table1[[#This Row],[1_h]]&amp;"[Dpp]"),MATCH(Table1[[#This Row],[ID]],INDIRECT("NOTA_.xlsx!"&amp;Table1[[#This Row],[1_h]]&amp;"[ID]"),0)),"")</f>
        <v/>
      </c>
      <c r="O121" s="42" t="str">
        <f ca="1">IFERROR(INDEX(INDIRECT("NOTA_.xlsx!"&amp;Table1[[#This Row],[1_h]]&amp;"[ppn (11%)]"),MATCH(Table1[[#This Row],[ID]],INDIRECT("NOTA_.xlsx!"&amp;Table1[[#This Row],[1_h]]&amp;"[ID]"),0)),"")</f>
        <v/>
      </c>
      <c r="P121" s="42" t="str">
        <f ca="1">IFERROR(INDEX(INDIRECT("NOTA_.xlsx!"&amp;Table1[[#This Row],[1_h]]&amp;"[total]"),MATCH(Table1[[#This Row],[ID]],INDIRECT("NOTA_.xlsx!"&amp;Table1[[#This Row],[1_h]]&amp;"[ID]"),0)),"")</f>
        <v/>
      </c>
      <c r="Q121" s="51" t="str">
        <f ca="1">IF(Table1[[#This Row],[NAMA SUPPLIER]]="","",INDEX(conv1[2],MATCH(Table1[[#This Row],[NAMA SUPPLIER]],conv1[1],0)))</f>
        <v/>
      </c>
      <c r="R121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1" s="42"/>
    </row>
    <row r="122" spans="1:19" s="40" customFormat="1" x14ac:dyDescent="0.25">
      <c r="A122" s="38" t="str">
        <f ca="1">IF(Table1[[#This Row],[NAMA SUPPLIER]]="","",MATCH(Table1[[#This Row],[N_ID]],INDIRECT(Table1[[#This Row],[1_h]]&amp;"[N_ID]"),0))</f>
        <v/>
      </c>
      <c r="B122" s="44"/>
      <c r="C122" s="38" t="str">
        <f ca="1">_xlfn.IFNA(INDEX([2]!PAJAK[ID],MATCH(Table1[[#This Row],[N_ID]],[2]!PAJAK[ID_P],0)),"")</f>
        <v/>
      </c>
      <c r="D122" s="38" t="str">
        <f ca="1">IF(Table1[[#This Row],[ID]]="","",INDEX([2]!PAJAK[QB],MATCH(Table1[[#This Row],[ID]],[2]!PAJAK[ID],0)))</f>
        <v/>
      </c>
      <c r="E122" s="39" t="str">
        <f ca="1">INDEX([2]!PAJAK[TGL.MASUK],MATCH(Table1[[#This Row],[ID]],[2]!PAJAK[ID],0))</f>
        <v/>
      </c>
      <c r="F122" s="39" t="str">
        <f ca="1">INDEX([2]!PAJAK[TGL.NOTA],MATCH(Table1[[#This Row],[ID]],[2]!PAJAK[ID],0))</f>
        <v/>
      </c>
      <c r="G122" s="38" t="str">
        <f ca="1">INDEX([2]!PAJAK[NO.NOTA],MATCH(Table1[[#This Row],[ID]],[2]!PAJAK[ID],0))</f>
        <v/>
      </c>
      <c r="I122" s="41" t="str">
        <f ca="1">INDEX([2]!PAJAK[SUPPLIER],MATCH(Table1[[#This Row],[ID]],[2]!PAJAK[ID],0))</f>
        <v/>
      </c>
      <c r="J122" s="41"/>
      <c r="K122" s="41"/>
      <c r="L122" s="61" t="str">
        <f ca="1">IFERROR(INDEX(INDIRECT("NOTA_.xlsx!"&amp;Table1[[#This Row],[1_h]]&amp;"[sub total]"),MATCH(Table1[[#This Row],[ID]],INDIRECT("NOTA_.xlsx!"&amp;Table1[[#This Row],[1_h]]&amp;"[ID]"),0)),"")</f>
        <v/>
      </c>
      <c r="M122" s="42" t="str">
        <f ca="1">IFERROR(INDEX(INDIRECT("NOTA_.xlsx!"&amp;Table1[[#This Row],[1_h]]&amp;"[diskon]"),MATCH(Table1[[#This Row],[ID]],INDIRECT("NOTA_.xlsx!"&amp;Table1[[#This Row],[1_h]]&amp;"[ID]"),0)),"")</f>
        <v/>
      </c>
      <c r="N122" s="42" t="str">
        <f ca="1">IFERROR(INDEX(INDIRECT("NOTA_.xlsx!"&amp;Table1[[#This Row],[1_h]]&amp;"[Dpp]"),MATCH(Table1[[#This Row],[ID]],INDIRECT("NOTA_.xlsx!"&amp;Table1[[#This Row],[1_h]]&amp;"[ID]"),0)),"")</f>
        <v/>
      </c>
      <c r="O122" s="42" t="str">
        <f ca="1">IFERROR(INDEX(INDIRECT("NOTA_.xlsx!"&amp;Table1[[#This Row],[1_h]]&amp;"[ppn (11%)]"),MATCH(Table1[[#This Row],[ID]],INDIRECT("NOTA_.xlsx!"&amp;Table1[[#This Row],[1_h]]&amp;"[ID]"),0)),"")</f>
        <v/>
      </c>
      <c r="P122" s="42" t="str">
        <f ca="1">IFERROR(INDEX(INDIRECT("NOTA_.xlsx!"&amp;Table1[[#This Row],[1_h]]&amp;"[total]"),MATCH(Table1[[#This Row],[ID]],INDIRECT("NOTA_.xlsx!"&amp;Table1[[#This Row],[1_h]]&amp;"[ID]"),0)),"")</f>
        <v/>
      </c>
      <c r="Q122" s="51" t="str">
        <f ca="1">IF(Table1[[#This Row],[NAMA SUPPLIER]]="","",INDEX(conv1[2],MATCH(Table1[[#This Row],[NAMA SUPPLIER]],conv1[1],0)))</f>
        <v/>
      </c>
      <c r="R122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2" s="42"/>
    </row>
    <row r="123" spans="1:19" s="40" customFormat="1" x14ac:dyDescent="0.25">
      <c r="A123" s="38" t="str">
        <f ca="1">IF(Table1[[#This Row],[NAMA SUPPLIER]]="","",MATCH(Table1[[#This Row],[N_ID]],INDIRECT(Table1[[#This Row],[1_h]]&amp;"[N_ID]"),0))</f>
        <v/>
      </c>
      <c r="B123" s="44"/>
      <c r="C123" s="38" t="str">
        <f ca="1">_xlfn.IFNA(INDEX([2]!PAJAK[ID],MATCH(Table1[[#This Row],[N_ID]],[2]!PAJAK[ID_P],0)),"")</f>
        <v/>
      </c>
      <c r="D123" s="38" t="str">
        <f ca="1">IF(Table1[[#This Row],[ID]]="","",INDEX([2]!PAJAK[QB],MATCH(Table1[[#This Row],[ID]],[2]!PAJAK[ID],0)))</f>
        <v/>
      </c>
      <c r="E123" s="39" t="str">
        <f ca="1">INDEX([2]!PAJAK[TGL.MASUK],MATCH(Table1[[#This Row],[ID]],[2]!PAJAK[ID],0))</f>
        <v/>
      </c>
      <c r="F123" s="39" t="str">
        <f ca="1">INDEX([2]!PAJAK[TGL.NOTA],MATCH(Table1[[#This Row],[ID]],[2]!PAJAK[ID],0))</f>
        <v/>
      </c>
      <c r="G123" s="38" t="str">
        <f ca="1">INDEX([2]!PAJAK[NO.NOTA],MATCH(Table1[[#This Row],[ID]],[2]!PAJAK[ID],0))</f>
        <v/>
      </c>
      <c r="I123" s="41" t="str">
        <f ca="1">INDEX([2]!PAJAK[SUPPLIER],MATCH(Table1[[#This Row],[ID]],[2]!PAJAK[ID],0))</f>
        <v/>
      </c>
      <c r="J123" s="41"/>
      <c r="K123" s="41"/>
      <c r="L123" s="61" t="str">
        <f ca="1">IFERROR(INDEX(INDIRECT("NOTA_.xlsx!"&amp;Table1[[#This Row],[1_h]]&amp;"[sub total]"),MATCH(Table1[[#This Row],[ID]],INDIRECT("NOTA_.xlsx!"&amp;Table1[[#This Row],[1_h]]&amp;"[ID]"),0)),"")</f>
        <v/>
      </c>
      <c r="M123" s="42" t="str">
        <f ca="1">IFERROR(INDEX(INDIRECT("NOTA_.xlsx!"&amp;Table1[[#This Row],[1_h]]&amp;"[diskon]"),MATCH(Table1[[#This Row],[ID]],INDIRECT("NOTA_.xlsx!"&amp;Table1[[#This Row],[1_h]]&amp;"[ID]"),0)),"")</f>
        <v/>
      </c>
      <c r="N123" s="42" t="str">
        <f ca="1">IFERROR(INDEX(INDIRECT("NOTA_.xlsx!"&amp;Table1[[#This Row],[1_h]]&amp;"[Dpp]"),MATCH(Table1[[#This Row],[ID]],INDIRECT("NOTA_.xlsx!"&amp;Table1[[#This Row],[1_h]]&amp;"[ID]"),0)),"")</f>
        <v/>
      </c>
      <c r="O123" s="42" t="str">
        <f ca="1">IFERROR(INDEX(INDIRECT("NOTA_.xlsx!"&amp;Table1[[#This Row],[1_h]]&amp;"[ppn (11%)]"),MATCH(Table1[[#This Row],[ID]],INDIRECT("NOTA_.xlsx!"&amp;Table1[[#This Row],[1_h]]&amp;"[ID]"),0)),"")</f>
        <v/>
      </c>
      <c r="P123" s="42" t="str">
        <f ca="1">IFERROR(INDEX(INDIRECT("NOTA_.xlsx!"&amp;Table1[[#This Row],[1_h]]&amp;"[total]"),MATCH(Table1[[#This Row],[ID]],INDIRECT("NOTA_.xlsx!"&amp;Table1[[#This Row],[1_h]]&amp;"[ID]"),0)),"")</f>
        <v/>
      </c>
      <c r="Q123" s="51" t="str">
        <f ca="1">IF(Table1[[#This Row],[NAMA SUPPLIER]]="","",INDEX(conv1[2],MATCH(Table1[[#This Row],[NAMA SUPPLIER]],conv1[1],0)))</f>
        <v/>
      </c>
      <c r="R123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3" s="42"/>
    </row>
    <row r="124" spans="1:19" s="40" customFormat="1" x14ac:dyDescent="0.25">
      <c r="A124" s="38" t="str">
        <f ca="1">IF(Table1[[#This Row],[NAMA SUPPLIER]]="","",MATCH(Table1[[#This Row],[N_ID]],INDIRECT(Table1[[#This Row],[1_h]]&amp;"[N_ID]"),0))</f>
        <v/>
      </c>
      <c r="B124" s="44"/>
      <c r="C124" s="38" t="str">
        <f ca="1">_xlfn.IFNA(INDEX([2]!PAJAK[ID],MATCH(Table1[[#This Row],[N_ID]],[2]!PAJAK[ID_P],0)),"")</f>
        <v/>
      </c>
      <c r="D124" s="38" t="str">
        <f ca="1">IF(Table1[[#This Row],[ID]]="","",INDEX([2]!PAJAK[QB],MATCH(Table1[[#This Row],[ID]],[2]!PAJAK[ID],0)))</f>
        <v/>
      </c>
      <c r="E124" s="39" t="str">
        <f ca="1">INDEX([2]!PAJAK[TGL.MASUK],MATCH(Table1[[#This Row],[ID]],[2]!PAJAK[ID],0))</f>
        <v/>
      </c>
      <c r="F124" s="39" t="str">
        <f ca="1">INDEX([2]!PAJAK[TGL.NOTA],MATCH(Table1[[#This Row],[ID]],[2]!PAJAK[ID],0))</f>
        <v/>
      </c>
      <c r="G124" s="38" t="str">
        <f ca="1">INDEX([2]!PAJAK[NO.NOTA],MATCH(Table1[[#This Row],[ID]],[2]!PAJAK[ID],0))</f>
        <v/>
      </c>
      <c r="I124" s="41" t="str">
        <f ca="1">INDEX([2]!PAJAK[SUPPLIER],MATCH(Table1[[#This Row],[ID]],[2]!PAJAK[ID],0))</f>
        <v/>
      </c>
      <c r="J124" s="41"/>
      <c r="K124" s="41"/>
      <c r="L124" s="61" t="str">
        <f ca="1">IFERROR(INDEX(INDIRECT("NOTA_.xlsx!"&amp;Table1[[#This Row],[1_h]]&amp;"[sub total]"),MATCH(Table1[[#This Row],[ID]],INDIRECT("NOTA_.xlsx!"&amp;Table1[[#This Row],[1_h]]&amp;"[ID]"),0)),"")</f>
        <v/>
      </c>
      <c r="M124" s="42" t="str">
        <f ca="1">IFERROR(INDEX(INDIRECT("NOTA_.xlsx!"&amp;Table1[[#This Row],[1_h]]&amp;"[diskon]"),MATCH(Table1[[#This Row],[ID]],INDIRECT("NOTA_.xlsx!"&amp;Table1[[#This Row],[1_h]]&amp;"[ID]"),0)),"")</f>
        <v/>
      </c>
      <c r="N124" s="42" t="str">
        <f ca="1">IFERROR(INDEX(INDIRECT("NOTA_.xlsx!"&amp;Table1[[#This Row],[1_h]]&amp;"[Dpp]"),MATCH(Table1[[#This Row],[ID]],INDIRECT("NOTA_.xlsx!"&amp;Table1[[#This Row],[1_h]]&amp;"[ID]"),0)),"")</f>
        <v/>
      </c>
      <c r="O124" s="42" t="str">
        <f ca="1">IFERROR(INDEX(INDIRECT("NOTA_.xlsx!"&amp;Table1[[#This Row],[1_h]]&amp;"[ppn (11%)]"),MATCH(Table1[[#This Row],[ID]],INDIRECT("NOTA_.xlsx!"&amp;Table1[[#This Row],[1_h]]&amp;"[ID]"),0)),"")</f>
        <v/>
      </c>
      <c r="P124" s="42" t="str">
        <f ca="1">IFERROR(INDEX(INDIRECT("NOTA_.xlsx!"&amp;Table1[[#This Row],[1_h]]&amp;"[total]"),MATCH(Table1[[#This Row],[ID]],INDIRECT("NOTA_.xlsx!"&amp;Table1[[#This Row],[1_h]]&amp;"[ID]"),0)),"")</f>
        <v/>
      </c>
      <c r="Q124" s="51" t="str">
        <f ca="1">IF(Table1[[#This Row],[NAMA SUPPLIER]]="","",INDEX(conv1[2],MATCH(Table1[[#This Row],[NAMA SUPPLIER]],conv1[1],0)))</f>
        <v/>
      </c>
      <c r="R124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4" s="42"/>
    </row>
    <row r="125" spans="1:19" s="40" customFormat="1" x14ac:dyDescent="0.25">
      <c r="A125" s="38" t="str">
        <f ca="1">IF(Table1[[#This Row],[NAMA SUPPLIER]]="","",MATCH(Table1[[#This Row],[N_ID]],INDIRECT(Table1[[#This Row],[1_h]]&amp;"[N_ID]"),0))</f>
        <v/>
      </c>
      <c r="B125" s="44"/>
      <c r="C125" s="38" t="str">
        <f ca="1">_xlfn.IFNA(INDEX([2]!PAJAK[ID],MATCH(Table1[[#This Row],[N_ID]],[2]!PAJAK[ID_P],0)),"")</f>
        <v/>
      </c>
      <c r="D125" s="38" t="str">
        <f ca="1">IF(Table1[[#This Row],[ID]]="","",INDEX([2]!PAJAK[QB],MATCH(Table1[[#This Row],[ID]],[2]!PAJAK[ID],0)))</f>
        <v/>
      </c>
      <c r="E125" s="39" t="str">
        <f ca="1">INDEX([2]!PAJAK[TGL.MASUK],MATCH(Table1[[#This Row],[ID]],[2]!PAJAK[ID],0))</f>
        <v/>
      </c>
      <c r="F125" s="39" t="str">
        <f ca="1">INDEX([2]!PAJAK[TGL.NOTA],MATCH(Table1[[#This Row],[ID]],[2]!PAJAK[ID],0))</f>
        <v/>
      </c>
      <c r="G125" s="38" t="str">
        <f ca="1">INDEX([2]!PAJAK[NO.NOTA],MATCH(Table1[[#This Row],[ID]],[2]!PAJAK[ID],0))</f>
        <v/>
      </c>
      <c r="I125" s="41" t="str">
        <f ca="1">INDEX([2]!PAJAK[SUPPLIER],MATCH(Table1[[#This Row],[ID]],[2]!PAJAK[ID],0))</f>
        <v/>
      </c>
      <c r="J125" s="41"/>
      <c r="K125" s="41"/>
      <c r="L125" s="61" t="str">
        <f ca="1">IFERROR(INDEX(INDIRECT("NOTA_.xlsx!"&amp;Table1[[#This Row],[1_h]]&amp;"[sub total]"),MATCH(Table1[[#This Row],[ID]],INDIRECT("NOTA_.xlsx!"&amp;Table1[[#This Row],[1_h]]&amp;"[ID]"),0)),"")</f>
        <v/>
      </c>
      <c r="M125" s="42" t="str">
        <f ca="1">IFERROR(INDEX(INDIRECT("NOTA_.xlsx!"&amp;Table1[[#This Row],[1_h]]&amp;"[diskon]"),MATCH(Table1[[#This Row],[ID]],INDIRECT("NOTA_.xlsx!"&amp;Table1[[#This Row],[1_h]]&amp;"[ID]"),0)),"")</f>
        <v/>
      </c>
      <c r="N125" s="42" t="str">
        <f ca="1">IFERROR(INDEX(INDIRECT("NOTA_.xlsx!"&amp;Table1[[#This Row],[1_h]]&amp;"[Dpp]"),MATCH(Table1[[#This Row],[ID]],INDIRECT("NOTA_.xlsx!"&amp;Table1[[#This Row],[1_h]]&amp;"[ID]"),0)),"")</f>
        <v/>
      </c>
      <c r="O125" s="42" t="str">
        <f ca="1">IFERROR(INDEX(INDIRECT("NOTA_.xlsx!"&amp;Table1[[#This Row],[1_h]]&amp;"[ppn (11%)]"),MATCH(Table1[[#This Row],[ID]],INDIRECT("NOTA_.xlsx!"&amp;Table1[[#This Row],[1_h]]&amp;"[ID]"),0)),"")</f>
        <v/>
      </c>
      <c r="P125" s="42" t="str">
        <f ca="1">IFERROR(INDEX(INDIRECT("NOTA_.xlsx!"&amp;Table1[[#This Row],[1_h]]&amp;"[total]"),MATCH(Table1[[#This Row],[ID]],INDIRECT("NOTA_.xlsx!"&amp;Table1[[#This Row],[1_h]]&amp;"[ID]"),0)),"")</f>
        <v/>
      </c>
      <c r="Q125" s="51" t="str">
        <f ca="1">IF(Table1[[#This Row],[NAMA SUPPLIER]]="","",INDEX(conv1[2],MATCH(Table1[[#This Row],[NAMA SUPPLIER]],conv1[1],0)))</f>
        <v/>
      </c>
      <c r="R125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5" s="42"/>
    </row>
    <row r="126" spans="1:19" s="40" customFormat="1" x14ac:dyDescent="0.25">
      <c r="A126" s="38" t="str">
        <f ca="1">IF(Table1[[#This Row],[NAMA SUPPLIER]]="","",MATCH(Table1[[#This Row],[N_ID]],INDIRECT(Table1[[#This Row],[1_h]]&amp;"[N_ID]"),0))</f>
        <v/>
      </c>
      <c r="B126" s="44"/>
      <c r="C126" s="38" t="str">
        <f ca="1">_xlfn.IFNA(INDEX([2]!PAJAK[ID],MATCH(Table1[[#This Row],[N_ID]],[2]!PAJAK[ID_P],0)),"")</f>
        <v/>
      </c>
      <c r="D126" s="38" t="str">
        <f ca="1">IF(Table1[[#This Row],[ID]]="","",INDEX([2]!PAJAK[QB],MATCH(Table1[[#This Row],[ID]],[2]!PAJAK[ID],0)))</f>
        <v/>
      </c>
      <c r="E126" s="39" t="str">
        <f ca="1">INDEX([2]!PAJAK[TGL.MASUK],MATCH(Table1[[#This Row],[ID]],[2]!PAJAK[ID],0))</f>
        <v/>
      </c>
      <c r="F126" s="39" t="str">
        <f ca="1">INDEX([2]!PAJAK[TGL.NOTA],MATCH(Table1[[#This Row],[ID]],[2]!PAJAK[ID],0))</f>
        <v/>
      </c>
      <c r="G126" s="38" t="str">
        <f ca="1">INDEX([2]!PAJAK[NO.NOTA],MATCH(Table1[[#This Row],[ID]],[2]!PAJAK[ID],0))</f>
        <v/>
      </c>
      <c r="I126" s="41" t="str">
        <f ca="1">INDEX([2]!PAJAK[SUPPLIER],MATCH(Table1[[#This Row],[ID]],[2]!PAJAK[ID],0))</f>
        <v/>
      </c>
      <c r="J126" s="41"/>
      <c r="K126" s="41"/>
      <c r="L126" s="61" t="str">
        <f ca="1">IFERROR(INDEX(INDIRECT("NOTA_.xlsx!"&amp;Table1[[#This Row],[1_h]]&amp;"[sub total]"),MATCH(Table1[[#This Row],[ID]],INDIRECT("NOTA_.xlsx!"&amp;Table1[[#This Row],[1_h]]&amp;"[ID]"),0)),"")</f>
        <v/>
      </c>
      <c r="M126" s="42" t="str">
        <f ca="1">IFERROR(INDEX(INDIRECT("NOTA_.xlsx!"&amp;Table1[[#This Row],[1_h]]&amp;"[diskon]"),MATCH(Table1[[#This Row],[ID]],INDIRECT("NOTA_.xlsx!"&amp;Table1[[#This Row],[1_h]]&amp;"[ID]"),0)),"")</f>
        <v/>
      </c>
      <c r="N126" s="42" t="str">
        <f ca="1">IFERROR(INDEX(INDIRECT("NOTA_.xlsx!"&amp;Table1[[#This Row],[1_h]]&amp;"[Dpp]"),MATCH(Table1[[#This Row],[ID]],INDIRECT("NOTA_.xlsx!"&amp;Table1[[#This Row],[1_h]]&amp;"[ID]"),0)),"")</f>
        <v/>
      </c>
      <c r="O126" s="42" t="str">
        <f ca="1">IFERROR(INDEX(INDIRECT("NOTA_.xlsx!"&amp;Table1[[#This Row],[1_h]]&amp;"[ppn (11%)]"),MATCH(Table1[[#This Row],[ID]],INDIRECT("NOTA_.xlsx!"&amp;Table1[[#This Row],[1_h]]&amp;"[ID]"),0)),"")</f>
        <v/>
      </c>
      <c r="P126" s="42" t="str">
        <f ca="1">IFERROR(INDEX(INDIRECT("NOTA_.xlsx!"&amp;Table1[[#This Row],[1_h]]&amp;"[total]"),MATCH(Table1[[#This Row],[ID]],INDIRECT("NOTA_.xlsx!"&amp;Table1[[#This Row],[1_h]]&amp;"[ID]"),0)),"")</f>
        <v/>
      </c>
      <c r="Q126" s="51" t="str">
        <f ca="1">IF(Table1[[#This Row],[NAMA SUPPLIER]]="","",INDEX(conv1[2],MATCH(Table1[[#This Row],[NAMA SUPPLIER]],conv1[1],0)))</f>
        <v/>
      </c>
      <c r="R126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6" s="42"/>
    </row>
    <row r="127" spans="1:19" s="40" customFormat="1" x14ac:dyDescent="0.25">
      <c r="A127" s="38" t="str">
        <f ca="1">IF(Table1[[#This Row],[NAMA SUPPLIER]]="","",MATCH(Table1[[#This Row],[N_ID]],INDIRECT(Table1[[#This Row],[1_h]]&amp;"[N_ID]"),0))</f>
        <v/>
      </c>
      <c r="B127" s="44"/>
      <c r="C127" s="38" t="str">
        <f ca="1">_xlfn.IFNA(INDEX([2]!PAJAK[ID],MATCH(Table1[[#This Row],[N_ID]],[2]!PAJAK[ID_P],0)),"")</f>
        <v/>
      </c>
      <c r="D127" s="38" t="str">
        <f ca="1">IF(Table1[[#This Row],[ID]]="","",INDEX([2]!PAJAK[QB],MATCH(Table1[[#This Row],[ID]],[2]!PAJAK[ID],0)))</f>
        <v/>
      </c>
      <c r="E127" s="39" t="str">
        <f ca="1">INDEX([2]!PAJAK[TGL.MASUK],MATCH(Table1[[#This Row],[ID]],[2]!PAJAK[ID],0))</f>
        <v/>
      </c>
      <c r="F127" s="39" t="str">
        <f ca="1">INDEX([2]!PAJAK[TGL.NOTA],MATCH(Table1[[#This Row],[ID]],[2]!PAJAK[ID],0))</f>
        <v/>
      </c>
      <c r="G127" s="38" t="str">
        <f ca="1">INDEX([2]!PAJAK[NO.NOTA],MATCH(Table1[[#This Row],[ID]],[2]!PAJAK[ID],0))</f>
        <v/>
      </c>
      <c r="I127" s="41" t="str">
        <f ca="1">INDEX([2]!PAJAK[SUPPLIER],MATCH(Table1[[#This Row],[ID]],[2]!PAJAK[ID],0))</f>
        <v/>
      </c>
      <c r="J127" s="41"/>
      <c r="K127" s="41"/>
      <c r="L127" s="61" t="str">
        <f ca="1">IFERROR(INDEX(INDIRECT("NOTA_.xlsx!"&amp;Table1[[#This Row],[1_h]]&amp;"[sub total]"),MATCH(Table1[[#This Row],[ID]],INDIRECT("NOTA_.xlsx!"&amp;Table1[[#This Row],[1_h]]&amp;"[ID]"),0)),"")</f>
        <v/>
      </c>
      <c r="M127" s="42" t="str">
        <f ca="1">IFERROR(INDEX(INDIRECT("NOTA_.xlsx!"&amp;Table1[[#This Row],[1_h]]&amp;"[diskon]"),MATCH(Table1[[#This Row],[ID]],INDIRECT("NOTA_.xlsx!"&amp;Table1[[#This Row],[1_h]]&amp;"[ID]"),0)),"")</f>
        <v/>
      </c>
      <c r="N127" s="42" t="str">
        <f ca="1">IFERROR(INDEX(INDIRECT("NOTA_.xlsx!"&amp;Table1[[#This Row],[1_h]]&amp;"[Dpp]"),MATCH(Table1[[#This Row],[ID]],INDIRECT("NOTA_.xlsx!"&amp;Table1[[#This Row],[1_h]]&amp;"[ID]"),0)),"")</f>
        <v/>
      </c>
      <c r="O127" s="42" t="str">
        <f ca="1">IFERROR(INDEX(INDIRECT("NOTA_.xlsx!"&amp;Table1[[#This Row],[1_h]]&amp;"[ppn (11%)]"),MATCH(Table1[[#This Row],[ID]],INDIRECT("NOTA_.xlsx!"&amp;Table1[[#This Row],[1_h]]&amp;"[ID]"),0)),"")</f>
        <v/>
      </c>
      <c r="P127" s="42" t="str">
        <f ca="1">IFERROR(INDEX(INDIRECT("NOTA_.xlsx!"&amp;Table1[[#This Row],[1_h]]&amp;"[total]"),MATCH(Table1[[#This Row],[ID]],INDIRECT("NOTA_.xlsx!"&amp;Table1[[#This Row],[1_h]]&amp;"[ID]"),0)),"")</f>
        <v/>
      </c>
      <c r="Q127" s="51" t="str">
        <f ca="1">IF(Table1[[#This Row],[NAMA SUPPLIER]]="","",INDEX(conv1[2],MATCH(Table1[[#This Row],[NAMA SUPPLIER]],conv1[1],0)))</f>
        <v/>
      </c>
      <c r="R127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7" s="42"/>
    </row>
    <row r="128" spans="1:19" s="40" customFormat="1" x14ac:dyDescent="0.25">
      <c r="A128" s="38" t="str">
        <f ca="1">IF(Table1[[#This Row],[NAMA SUPPLIER]]="","",MATCH(Table1[[#This Row],[N_ID]],INDIRECT(Table1[[#This Row],[1_h]]&amp;"[N_ID]"),0))</f>
        <v/>
      </c>
      <c r="B128" s="44"/>
      <c r="C128" s="38" t="str">
        <f ca="1">_xlfn.IFNA(INDEX([2]!PAJAK[ID],MATCH(Table1[[#This Row],[N_ID]],[2]!PAJAK[ID_P],0)),"")</f>
        <v/>
      </c>
      <c r="D128" s="38" t="str">
        <f ca="1">IF(Table1[[#This Row],[ID]]="","",INDEX([2]!PAJAK[QB],MATCH(Table1[[#This Row],[ID]],[2]!PAJAK[ID],0)))</f>
        <v/>
      </c>
      <c r="E128" s="39" t="str">
        <f ca="1">INDEX([2]!PAJAK[TGL.MASUK],MATCH(Table1[[#This Row],[ID]],[2]!PAJAK[ID],0))</f>
        <v/>
      </c>
      <c r="F128" s="39" t="str">
        <f ca="1">INDEX([2]!PAJAK[TGL.NOTA],MATCH(Table1[[#This Row],[ID]],[2]!PAJAK[ID],0))</f>
        <v/>
      </c>
      <c r="G128" s="38" t="str">
        <f ca="1">INDEX([2]!PAJAK[NO.NOTA],MATCH(Table1[[#This Row],[ID]],[2]!PAJAK[ID],0))</f>
        <v/>
      </c>
      <c r="I128" s="41" t="str">
        <f ca="1">INDEX([2]!PAJAK[SUPPLIER],MATCH(Table1[[#This Row],[ID]],[2]!PAJAK[ID],0))</f>
        <v/>
      </c>
      <c r="J128" s="41"/>
      <c r="K128" s="41"/>
      <c r="L128" s="61" t="str">
        <f ca="1">IFERROR(INDEX(INDIRECT("NOTA_.xlsx!"&amp;Table1[[#This Row],[1_h]]&amp;"[sub total]"),MATCH(Table1[[#This Row],[ID]],INDIRECT("NOTA_.xlsx!"&amp;Table1[[#This Row],[1_h]]&amp;"[ID]"),0)),"")</f>
        <v/>
      </c>
      <c r="M128" s="42" t="str">
        <f ca="1">IFERROR(INDEX(INDIRECT("NOTA_.xlsx!"&amp;Table1[[#This Row],[1_h]]&amp;"[diskon]"),MATCH(Table1[[#This Row],[ID]],INDIRECT("NOTA_.xlsx!"&amp;Table1[[#This Row],[1_h]]&amp;"[ID]"),0)),"")</f>
        <v/>
      </c>
      <c r="N128" s="42" t="str">
        <f ca="1">IFERROR(INDEX(INDIRECT("NOTA_.xlsx!"&amp;Table1[[#This Row],[1_h]]&amp;"[Dpp]"),MATCH(Table1[[#This Row],[ID]],INDIRECT("NOTA_.xlsx!"&amp;Table1[[#This Row],[1_h]]&amp;"[ID]"),0)),"")</f>
        <v/>
      </c>
      <c r="O128" s="42" t="str">
        <f ca="1">IFERROR(INDEX(INDIRECT("NOTA_.xlsx!"&amp;Table1[[#This Row],[1_h]]&amp;"[ppn (11%)]"),MATCH(Table1[[#This Row],[ID]],INDIRECT("NOTA_.xlsx!"&amp;Table1[[#This Row],[1_h]]&amp;"[ID]"),0)),"")</f>
        <v/>
      </c>
      <c r="P128" s="42" t="str">
        <f ca="1">IFERROR(INDEX(INDIRECT("NOTA_.xlsx!"&amp;Table1[[#This Row],[1_h]]&amp;"[total]"),MATCH(Table1[[#This Row],[ID]],INDIRECT("NOTA_.xlsx!"&amp;Table1[[#This Row],[1_h]]&amp;"[ID]"),0)),"")</f>
        <v/>
      </c>
      <c r="Q128" s="51" t="str">
        <f ca="1">IF(Table1[[#This Row],[NAMA SUPPLIER]]="","",INDEX(conv1[2],MATCH(Table1[[#This Row],[NAMA SUPPLIER]],conv1[1],0)))</f>
        <v/>
      </c>
      <c r="R128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8" s="42"/>
    </row>
    <row r="129" spans="1:19" s="40" customFormat="1" x14ac:dyDescent="0.25">
      <c r="A129" s="38" t="str">
        <f ca="1">IF(Table1[[#This Row],[NAMA SUPPLIER]]="","",MATCH(Table1[[#This Row],[N_ID]],INDIRECT(Table1[[#This Row],[1_h]]&amp;"[N_ID]"),0))</f>
        <v/>
      </c>
      <c r="B129" s="44"/>
      <c r="C129" s="38" t="str">
        <f ca="1">_xlfn.IFNA(INDEX([2]!PAJAK[ID],MATCH(Table1[[#This Row],[N_ID]],[2]!PAJAK[ID_P],0)),"")</f>
        <v/>
      </c>
      <c r="D129" s="38" t="str">
        <f ca="1">IF(Table1[[#This Row],[ID]]="","",INDEX([2]!PAJAK[QB],MATCH(Table1[[#This Row],[ID]],[2]!PAJAK[ID],0)))</f>
        <v/>
      </c>
      <c r="E129" s="39" t="str">
        <f ca="1">INDEX([2]!PAJAK[TGL.MASUK],MATCH(Table1[[#This Row],[ID]],[2]!PAJAK[ID],0))</f>
        <v/>
      </c>
      <c r="F129" s="39" t="str">
        <f ca="1">INDEX([2]!PAJAK[TGL.NOTA],MATCH(Table1[[#This Row],[ID]],[2]!PAJAK[ID],0))</f>
        <v/>
      </c>
      <c r="G129" s="38" t="str">
        <f ca="1">INDEX([2]!PAJAK[NO.NOTA],MATCH(Table1[[#This Row],[ID]],[2]!PAJAK[ID],0))</f>
        <v/>
      </c>
      <c r="I129" s="41" t="str">
        <f ca="1">INDEX([2]!PAJAK[SUPPLIER],MATCH(Table1[[#This Row],[ID]],[2]!PAJAK[ID],0))</f>
        <v/>
      </c>
      <c r="J129" s="41"/>
      <c r="K129" s="41"/>
      <c r="L129" s="61" t="str">
        <f ca="1">IFERROR(INDEX(INDIRECT("NOTA_.xlsx!"&amp;Table1[[#This Row],[1_h]]&amp;"[sub total]"),MATCH(Table1[[#This Row],[ID]],INDIRECT("NOTA_.xlsx!"&amp;Table1[[#This Row],[1_h]]&amp;"[ID]"),0)),"")</f>
        <v/>
      </c>
      <c r="M129" s="42" t="str">
        <f ca="1">IFERROR(INDEX(INDIRECT("NOTA_.xlsx!"&amp;Table1[[#This Row],[1_h]]&amp;"[diskon]"),MATCH(Table1[[#This Row],[ID]],INDIRECT("NOTA_.xlsx!"&amp;Table1[[#This Row],[1_h]]&amp;"[ID]"),0)),"")</f>
        <v/>
      </c>
      <c r="N129" s="42" t="str">
        <f ca="1">IFERROR(INDEX(INDIRECT("NOTA_.xlsx!"&amp;Table1[[#This Row],[1_h]]&amp;"[Dpp]"),MATCH(Table1[[#This Row],[ID]],INDIRECT("NOTA_.xlsx!"&amp;Table1[[#This Row],[1_h]]&amp;"[ID]"),0)),"")</f>
        <v/>
      </c>
      <c r="O129" s="42" t="str">
        <f ca="1">IFERROR(INDEX(INDIRECT("NOTA_.xlsx!"&amp;Table1[[#This Row],[1_h]]&amp;"[ppn (11%)]"),MATCH(Table1[[#This Row],[ID]],INDIRECT("NOTA_.xlsx!"&amp;Table1[[#This Row],[1_h]]&amp;"[ID]"),0)),"")</f>
        <v/>
      </c>
      <c r="P129" s="42" t="str">
        <f ca="1">IFERROR(INDEX(INDIRECT("NOTA_.xlsx!"&amp;Table1[[#This Row],[1_h]]&amp;"[total]"),MATCH(Table1[[#This Row],[ID]],INDIRECT("NOTA_.xlsx!"&amp;Table1[[#This Row],[1_h]]&amp;"[ID]"),0)),"")</f>
        <v/>
      </c>
      <c r="Q129" s="51" t="str">
        <f ca="1">IF(Table1[[#This Row],[NAMA SUPPLIER]]="","",INDEX(conv1[2],MATCH(Table1[[#This Row],[NAMA SUPPLIER]],conv1[1],0)))</f>
        <v/>
      </c>
      <c r="R129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29" s="42"/>
    </row>
    <row r="130" spans="1:19" s="40" customFormat="1" x14ac:dyDescent="0.25">
      <c r="A130" s="38" t="str">
        <f ca="1">IF(Table1[[#This Row],[NAMA SUPPLIER]]="","",MATCH(Table1[[#This Row],[N_ID]],INDIRECT(Table1[[#This Row],[1_h]]&amp;"[N_ID]"),0))</f>
        <v/>
      </c>
      <c r="B130" s="44"/>
      <c r="C130" s="38" t="str">
        <f ca="1">_xlfn.IFNA(INDEX([2]!PAJAK[ID],MATCH(Table1[[#This Row],[N_ID]],[2]!PAJAK[ID_P],0)),"")</f>
        <v/>
      </c>
      <c r="D130" s="38" t="str">
        <f ca="1">IF(Table1[[#This Row],[ID]]="","",INDEX([2]!PAJAK[QB],MATCH(Table1[[#This Row],[ID]],[2]!PAJAK[ID],0)))</f>
        <v/>
      </c>
      <c r="E130" s="39" t="str">
        <f ca="1">INDEX([2]!PAJAK[TGL.MASUK],MATCH(Table1[[#This Row],[ID]],[2]!PAJAK[ID],0))</f>
        <v/>
      </c>
      <c r="F130" s="39" t="str">
        <f ca="1">INDEX([2]!PAJAK[TGL.NOTA],MATCH(Table1[[#This Row],[ID]],[2]!PAJAK[ID],0))</f>
        <v/>
      </c>
      <c r="G130" s="38" t="str">
        <f ca="1">INDEX([2]!PAJAK[NO.NOTA],MATCH(Table1[[#This Row],[ID]],[2]!PAJAK[ID],0))</f>
        <v/>
      </c>
      <c r="I130" s="41" t="str">
        <f ca="1">INDEX([2]!PAJAK[SUPPLIER],MATCH(Table1[[#This Row],[ID]],[2]!PAJAK[ID],0))</f>
        <v/>
      </c>
      <c r="J130" s="41"/>
      <c r="K130" s="41"/>
      <c r="L130" s="61" t="str">
        <f ca="1">IFERROR(INDEX(INDIRECT("NOTA_.xlsx!"&amp;Table1[[#This Row],[1_h]]&amp;"[sub total]"),MATCH(Table1[[#This Row],[ID]],INDIRECT("NOTA_.xlsx!"&amp;Table1[[#This Row],[1_h]]&amp;"[ID]"),0)),"")</f>
        <v/>
      </c>
      <c r="M130" s="42" t="str">
        <f ca="1">IFERROR(INDEX(INDIRECT("NOTA_.xlsx!"&amp;Table1[[#This Row],[1_h]]&amp;"[diskon]"),MATCH(Table1[[#This Row],[ID]],INDIRECT("NOTA_.xlsx!"&amp;Table1[[#This Row],[1_h]]&amp;"[ID]"),0)),"")</f>
        <v/>
      </c>
      <c r="N130" s="42" t="str">
        <f ca="1">IFERROR(INDEX(INDIRECT("NOTA_.xlsx!"&amp;Table1[[#This Row],[1_h]]&amp;"[Dpp]"),MATCH(Table1[[#This Row],[ID]],INDIRECT("NOTA_.xlsx!"&amp;Table1[[#This Row],[1_h]]&amp;"[ID]"),0)),"")</f>
        <v/>
      </c>
      <c r="O130" s="42" t="str">
        <f ca="1">IFERROR(INDEX(INDIRECT("NOTA_.xlsx!"&amp;Table1[[#This Row],[1_h]]&amp;"[ppn (11%)]"),MATCH(Table1[[#This Row],[ID]],INDIRECT("NOTA_.xlsx!"&amp;Table1[[#This Row],[1_h]]&amp;"[ID]"),0)),"")</f>
        <v/>
      </c>
      <c r="P130" s="42" t="str">
        <f ca="1">IFERROR(INDEX(INDIRECT("NOTA_.xlsx!"&amp;Table1[[#This Row],[1_h]]&amp;"[total]"),MATCH(Table1[[#This Row],[ID]],INDIRECT("NOTA_.xlsx!"&amp;Table1[[#This Row],[1_h]]&amp;"[ID]"),0)),"")</f>
        <v/>
      </c>
      <c r="Q130" s="51" t="str">
        <f ca="1">IF(Table1[[#This Row],[NAMA SUPPLIER]]="","",INDEX(conv1[2],MATCH(Table1[[#This Row],[NAMA SUPPLIER]],conv1[1],0)))</f>
        <v/>
      </c>
      <c r="R130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30" s="42"/>
    </row>
    <row r="131" spans="1:19" s="40" customFormat="1" x14ac:dyDescent="0.25">
      <c r="A131" s="38" t="str">
        <f ca="1">IF(Table1[[#This Row],[NAMA SUPPLIER]]="","",MATCH(Table1[[#This Row],[N_ID]],INDIRECT(Table1[[#This Row],[1_h]]&amp;"[N_ID]"),0))</f>
        <v/>
      </c>
      <c r="B131" s="44"/>
      <c r="C131" s="38" t="str">
        <f ca="1">_xlfn.IFNA(INDEX([2]!PAJAK[ID],MATCH(Table1[[#This Row],[N_ID]],[2]!PAJAK[ID_P],0)),"")</f>
        <v/>
      </c>
      <c r="D131" s="38" t="str">
        <f ca="1">IF(Table1[[#This Row],[ID]]="","",INDEX([2]!PAJAK[QB],MATCH(Table1[[#This Row],[ID]],[2]!PAJAK[ID],0)))</f>
        <v/>
      </c>
      <c r="E131" s="39" t="str">
        <f ca="1">INDEX([2]!PAJAK[TGL.MASUK],MATCH(Table1[[#This Row],[ID]],[2]!PAJAK[ID],0))</f>
        <v/>
      </c>
      <c r="F131" s="39" t="str">
        <f ca="1">INDEX([2]!PAJAK[TGL.NOTA],MATCH(Table1[[#This Row],[ID]],[2]!PAJAK[ID],0))</f>
        <v/>
      </c>
      <c r="G131" s="38" t="str">
        <f ca="1">INDEX([2]!PAJAK[NO.NOTA],MATCH(Table1[[#This Row],[ID]],[2]!PAJAK[ID],0))</f>
        <v/>
      </c>
      <c r="I131" s="41" t="str">
        <f ca="1">INDEX([2]!PAJAK[SUPPLIER],MATCH(Table1[[#This Row],[ID]],[2]!PAJAK[ID],0))</f>
        <v/>
      </c>
      <c r="J131" s="41"/>
      <c r="K131" s="41"/>
      <c r="L131" s="61" t="str">
        <f ca="1">IFERROR(INDEX(INDIRECT("NOTA_.xlsx!"&amp;Table1[[#This Row],[1_h]]&amp;"[sub total]"),MATCH(Table1[[#This Row],[ID]],INDIRECT("NOTA_.xlsx!"&amp;Table1[[#This Row],[1_h]]&amp;"[ID]"),0)),"")</f>
        <v/>
      </c>
      <c r="M131" s="42" t="str">
        <f ca="1">IFERROR(INDEX(INDIRECT("NOTA_.xlsx!"&amp;Table1[[#This Row],[1_h]]&amp;"[diskon]"),MATCH(Table1[[#This Row],[ID]],INDIRECT("NOTA_.xlsx!"&amp;Table1[[#This Row],[1_h]]&amp;"[ID]"),0)),"")</f>
        <v/>
      </c>
      <c r="N131" s="42" t="str">
        <f ca="1">IFERROR(INDEX(INDIRECT("NOTA_.xlsx!"&amp;Table1[[#This Row],[1_h]]&amp;"[Dpp]"),MATCH(Table1[[#This Row],[ID]],INDIRECT("NOTA_.xlsx!"&amp;Table1[[#This Row],[1_h]]&amp;"[ID]"),0)),"")</f>
        <v/>
      </c>
      <c r="O131" s="42" t="str">
        <f ca="1">IFERROR(INDEX(INDIRECT("NOTA_.xlsx!"&amp;Table1[[#This Row],[1_h]]&amp;"[ppn (11%)]"),MATCH(Table1[[#This Row],[ID]],INDIRECT("NOTA_.xlsx!"&amp;Table1[[#This Row],[1_h]]&amp;"[ID]"),0)),"")</f>
        <v/>
      </c>
      <c r="P131" s="42" t="str">
        <f ca="1">IFERROR(INDEX(INDIRECT("NOTA_.xlsx!"&amp;Table1[[#This Row],[1_h]]&amp;"[total]"),MATCH(Table1[[#This Row],[ID]],INDIRECT("NOTA_.xlsx!"&amp;Table1[[#This Row],[1_h]]&amp;"[ID]"),0)),"")</f>
        <v/>
      </c>
      <c r="Q131" s="51" t="str">
        <f ca="1">IF(Table1[[#This Row],[NAMA SUPPLIER]]="","",INDEX(conv1[2],MATCH(Table1[[#This Row],[NAMA SUPPLIER]],conv1[1],0)))</f>
        <v/>
      </c>
      <c r="R131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31" s="42"/>
    </row>
    <row r="132" spans="1:19" x14ac:dyDescent="0.25">
      <c r="A132" s="38" t="str">
        <f ca="1">IF(Table1[[#This Row],[NAMA SUPPLIER]]="","",MATCH(Table1[[#This Row],[N_ID]],INDIRECT(Table1[[#This Row],[1_h]]&amp;"[N_ID]"),0))</f>
        <v/>
      </c>
      <c r="B132" s="54"/>
      <c r="C132" s="38" t="str">
        <f ca="1">_xlfn.IFNA(INDEX([2]!PAJAK[ID],MATCH(Table1[[#This Row],[N_ID]],[2]!PAJAK[ID_P],0)),"")</f>
        <v/>
      </c>
      <c r="D132" s="38" t="str">
        <f ca="1">IF(Table1[[#This Row],[ID]]="","",INDEX([2]!PAJAK[QB],MATCH(Table1[[#This Row],[ID]],[2]!PAJAK[ID],0)))</f>
        <v/>
      </c>
      <c r="E132" s="39" t="str">
        <f ca="1">INDEX([2]!PAJAK[TGL.MASUK],MATCH(Table1[[#This Row],[ID]],[2]!PAJAK[ID],0))</f>
        <v/>
      </c>
      <c r="F132" s="39" t="str">
        <f ca="1">INDEX([2]!PAJAK[TGL.NOTA],MATCH(Table1[[#This Row],[ID]],[2]!PAJAK[ID],0))</f>
        <v/>
      </c>
      <c r="G132" s="38" t="str">
        <f ca="1">INDEX([2]!PAJAK[NO.NOTA],MATCH(Table1[[#This Row],[ID]],[2]!PAJAK[ID],0))</f>
        <v/>
      </c>
      <c r="H132" s="40"/>
      <c r="I132" s="41" t="str">
        <f ca="1">INDEX([2]!PAJAK[SUPPLIER],MATCH(Table1[[#This Row],[ID]],[2]!PAJAK[ID],0))</f>
        <v/>
      </c>
      <c r="J132" s="41"/>
      <c r="K132" s="41"/>
      <c r="L132" s="61" t="str">
        <f ca="1">IFERROR(INDEX(INDIRECT("NOTA_.xlsx!"&amp;Table1[[#This Row],[1_h]]&amp;"[sub total]"),MATCH(Table1[[#This Row],[ID]],INDIRECT("NOTA_.xlsx!"&amp;Table1[[#This Row],[1_h]]&amp;"[ID]"),0)),"")</f>
        <v/>
      </c>
      <c r="M132" s="42" t="str">
        <f ca="1">IFERROR(INDEX(INDIRECT("NOTA_.xlsx!"&amp;Table1[[#This Row],[1_h]]&amp;"[diskon]"),MATCH(Table1[[#This Row],[ID]],INDIRECT("NOTA_.xlsx!"&amp;Table1[[#This Row],[1_h]]&amp;"[ID]"),0)),"")</f>
        <v/>
      </c>
      <c r="N132" s="42" t="str">
        <f ca="1">IFERROR(INDEX(INDIRECT("NOTA_.xlsx!"&amp;Table1[[#This Row],[1_h]]&amp;"[Dpp]"),MATCH(Table1[[#This Row],[ID]],INDIRECT("NOTA_.xlsx!"&amp;Table1[[#This Row],[1_h]]&amp;"[ID]"),0)),"")</f>
        <v/>
      </c>
      <c r="O132" s="42" t="str">
        <f ca="1">IFERROR(INDEX(INDIRECT("NOTA_.xlsx!"&amp;Table1[[#This Row],[1_h]]&amp;"[ppn (11%)]"),MATCH(Table1[[#This Row],[ID]],INDIRECT("NOTA_.xlsx!"&amp;Table1[[#This Row],[1_h]]&amp;"[ID]"),0)),"")</f>
        <v/>
      </c>
      <c r="P132" s="42" t="str">
        <f ca="1">IFERROR(INDEX(INDIRECT("NOTA_.xlsx!"&amp;Table1[[#This Row],[1_h]]&amp;"[total]"),MATCH(Table1[[#This Row],[ID]],INDIRECT("NOTA_.xlsx!"&amp;Table1[[#This Row],[1_h]]&amp;"[ID]"),0)),"")</f>
        <v/>
      </c>
      <c r="Q132" s="51" t="str">
        <f ca="1">IF(Table1[[#This Row],[NAMA SUPPLIER]]="","",INDEX(conv1[2],MATCH(Table1[[#This Row],[NAMA SUPPLIER]],conv1[1],0)))</f>
        <v/>
      </c>
      <c r="R132" s="41" t="str">
        <f ca="1">IF(Table1[[#This Row],[NO. INVOICE]]="","",_xlfn.IFNA(MATCH(Table1[[#This Row],[NO. INVOICE]],'[3]REKAP PEMBELIAN'!$C:$C,0),MATCH(VALUE(Table1[[#This Row],[NO. INVOICE]]),'[3]REKAP PEMBELIAN'!$C:$C,0)))</f>
        <v/>
      </c>
      <c r="S132" s="42"/>
    </row>
    <row r="133" spans="1:19" x14ac:dyDescent="0.25">
      <c r="A133" s="1" t="s">
        <v>51</v>
      </c>
      <c r="E133"/>
      <c r="F133"/>
      <c r="L133" s="5">
        <f ca="1">SUBTOTAL(109,Table1[SUB TOTAL])</f>
        <v>2028530393.5</v>
      </c>
      <c r="M133" s="5">
        <f ca="1">SUBTOTAL(109,Table1[DISKON])</f>
        <v>225122170.5</v>
      </c>
      <c r="N133" s="5">
        <f ca="1">SUBTOTAL(109,Table1[DPP])</f>
        <v>1624692092.792793</v>
      </c>
      <c r="O133" s="5">
        <f ca="1">SUBTOTAL(109,Table1[PPN (11%)])</f>
        <v>178716130.20720723</v>
      </c>
      <c r="P133" s="5">
        <f ca="1">SUBTOTAL(109,Table1[TOTAL])</f>
        <v>1803408223</v>
      </c>
    </row>
  </sheetData>
  <conditionalFormatting sqref="B134:B1048576 B114:B132 B1:B112">
    <cfRule type="duplicateValues" dxfId="247" priority="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11" sqref="A11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56</v>
      </c>
      <c r="B9" t="s">
        <v>57</v>
      </c>
    </row>
    <row r="10" spans="1:2" x14ac:dyDescent="0.25">
      <c r="A10" t="s">
        <v>92</v>
      </c>
      <c r="B10" t="s">
        <v>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4"/>
  <sheetViews>
    <sheetView topLeftCell="A211" zoomScaleNormal="100" workbookViewId="0">
      <selection activeCell="J202" sqref="J202"/>
    </sheetView>
  </sheetViews>
  <sheetFormatPr defaultRowHeight="15" customHeight="1" outlineLevelCol="1" x14ac:dyDescent="0.25"/>
  <cols>
    <col min="1" max="1" width="19.28515625" customWidth="1"/>
    <col min="2" max="2" width="4.42578125" customWidth="1"/>
    <col min="3" max="3" width="4.5703125" style="1" customWidth="1"/>
    <col min="4" max="4" width="5.140625" customWidth="1"/>
    <col min="5" max="5" width="7.140625" customWidth="1"/>
    <col min="6" max="6" width="9.28515625" bestFit="1" customWidth="1"/>
    <col min="7" max="8" width="10.85546875" customWidth="1"/>
    <col min="9" max="9" width="9.28515625" customWidth="1"/>
    <col min="10" max="10" width="50.5703125" bestFit="1" customWidth="1"/>
    <col min="11" max="11" width="6.7109375" customWidth="1"/>
    <col min="12" max="12" width="3.140625" customWidth="1"/>
    <col min="13" max="13" width="4.5703125" customWidth="1"/>
    <col min="14" max="14" width="11.7109375" customWidth="1"/>
    <col min="15" max="16" width="6.140625" customWidth="1"/>
    <col min="17" max="17" width="13.85546875" customWidth="1"/>
    <col min="18" max="18" width="12.7109375" customWidth="1"/>
    <col min="19" max="19" width="16.140625" customWidth="1"/>
    <col min="20" max="20" width="17.7109375" customWidth="1"/>
    <col min="21" max="21" width="45.85546875" customWidth="1" outlineLevel="1"/>
    <col min="22" max="22" width="38.5703125" customWidth="1" outlineLevel="1"/>
    <col min="23" max="23" width="9.42578125" customWidth="1" outlineLevel="1"/>
    <col min="24" max="24" width="11.42578125" customWidth="1" outlineLevel="1"/>
    <col min="25" max="25" width="2.7109375" customWidth="1"/>
    <col min="26" max="26" width="3.140625" customWidth="1"/>
  </cols>
  <sheetData>
    <row r="1" spans="1:26" ht="15" customHeight="1" x14ac:dyDescent="0.25">
      <c r="L1" s="1"/>
      <c r="M1" s="1"/>
    </row>
    <row r="2" spans="1:26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  <c r="Z2" s="8" t="s">
        <v>55</v>
      </c>
    </row>
    <row r="3" spans="1:26" ht="15" customHeight="1" x14ac:dyDescent="0.25">
      <c r="A3" s="2"/>
      <c r="B3" s="8" t="str">
        <f>IF(KENKO[[#This Row],[N_ID]]="","",INDEX(Table1[ID],MATCH(KENKO[[#This Row],[N_ID]],Table1[N_ID],0)))</f>
        <v/>
      </c>
      <c r="C3" s="8" t="str">
        <f>IF(KENKO[[#This Row],[ID NOTA]]="","",HYPERLINK("[NOTA_.xlsx]NOTA!e"&amp;INDEX([2]!PAJAK[//],MATCH(KENKO[[#This Row],[ID NOTA]],[2]!PAJAK[ID],0)),"&gt;") )</f>
        <v/>
      </c>
      <c r="D3" s="8" t="str">
        <f>IF(KENKO[[#This Row],[ID NOTA]]="","",INDEX(Table1[QB],MATCH(KENKO[[#This Row],[ID NOTA]],Table1[ID],0)))</f>
        <v/>
      </c>
      <c r="E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" s="8"/>
      <c r="G3" s="9" t="str">
        <f>IF(KENKO[[#This Row],[ID NOTA]]="","",INDEX([2]!NOTA[TGL_H],MATCH(KENKO[[#This Row],[ID NOTA]],[2]!NOTA[ID],0)))</f>
        <v/>
      </c>
      <c r="H3" s="9" t="str">
        <f>IF(KENKO[[#This Row],[ID NOTA]]="","",INDEX([2]!NOTA[TGL.NOTA],MATCH(KENKO[[#This Row],[ID NOTA]],[2]!NOTA[ID],0)))</f>
        <v/>
      </c>
      <c r="I3" s="16" t="str">
        <f>IF(KENKO[[#This Row],[ID NOTA]]="","",INDEX([2]!NOTA[NO.NOTA],MATCH(KENKO[[#This Row],[ID NOTA]],[2]!NOTA[ID],0)))</f>
        <v/>
      </c>
      <c r="J3" s="16" t="e">
        <f ca="1">IF(KENKO[[#This Row],[//]]="","",INDEX([4]!db[NB PAJAK],KENKO[[#This Row],[stt]]-1))</f>
        <v>#N/A</v>
      </c>
      <c r="K3" s="8" t="str">
        <f>""</f>
        <v/>
      </c>
      <c r="L3" s="8" t="e">
        <f ca="1">IF(KENKO[[#This Row],[//]]="","",IF(INDEX([2]!NOTA[QTY],KENKO[//]-2)="",INDEX([2]!NOTA[C],KENKO[//]-2),INDEX([2]!NOTA[QTY],KENKO[//]-2)))</f>
        <v>#N/A</v>
      </c>
      <c r="M3" s="8" t="e">
        <f ca="1">IF(KENKO[[#This Row],[//]]="","",IF(INDEX([2]!NOTA[STN],KENKO[//]-2)="","CTN",INDEX([2]!NOTA[STN],KENKO[//]-2)))</f>
        <v>#N/A</v>
      </c>
      <c r="N3" s="17" t="e">
        <f ca="1">IF(KENKO[[#This Row],[//]]="","",IF(INDEX([2]!NOTA[HARGA/ CTN],KENKO[[#This Row],[//]]-2)="",INDEX([2]!NOTA[HARGA SATUAN],KENKO[//]-2),INDEX([2]!NOTA[HARGA/ CTN],KENKO[[#This Row],[//]]-2)))</f>
        <v>#N/A</v>
      </c>
      <c r="O3" s="19" t="e">
        <f ca="1">IF(KENKO[[#This Row],[//]]="","",IF(INDEX([2]!NOTA[DISC 2],KENKO[[#This Row],[//]]-2)=0,"",INDEX([2]!NOTA[DISC 2],KENKO[[#This Row],[//]]-2)))</f>
        <v>#N/A</v>
      </c>
      <c r="P3" s="19"/>
      <c r="Q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" s="16" t="e">
        <f ca="1">IF(KENKO[[#This Row],[//]]="","",INDEX([2]!NOTA[NAMA BARANG],KENKO[[#This Row],[//]]-2))</f>
        <v>#N/A</v>
      </c>
      <c r="V3" s="16" t="e">
        <f ca="1">LOWER(SUBSTITUTE(SUBSTITUTE(SUBSTITUTE(SUBSTITUTE(SUBSTITUTE(SUBSTITUTE(SUBSTITUTE(SUBSTITUTE(KENKO[[#This Row],[N.B.nota]]," ",""),"-",""),"(",""),")",""),".",""),",",""),"/",""),"""",""))</f>
        <v>#N/A</v>
      </c>
      <c r="W3" s="8" t="e">
        <f ca="1">IF(KENKO[[#This Row],[concat]]="","",MATCH(KENKO[[#This Row],[concat]],[4]!db[NB NOTA_C],0)+1)</f>
        <v>#N/A</v>
      </c>
      <c r="X3" s="16" t="e">
        <f ca="1">IF(KENKO[[#This Row],[N.B.nota]]="","",ADDRESS(ROW(KENKO[QB]),COLUMN(KENKO[QB]))&amp;":"&amp;ADDRESS(ROW(),COLUMN(KENKO[QB])))</f>
        <v>#N/A</v>
      </c>
      <c r="Y3" s="16" t="e">
        <f ca="1">IF(KENKO[[#This Row],[//]]="","",HYPERLINK("[..\\DB.xlsx]DB!e"&amp;KENKO[[#This Row],[stt]],"&gt;"))</f>
        <v>#N/A</v>
      </c>
      <c r="Z3" s="4" t="e">
        <f ca="1">IF(KENKO[[#This Row],[//]]="","",IF(KENKO[[#This Row],[ID NOTA]]="",Z2,KENKO[[#This Row],[ID NOTA]]))</f>
        <v>#N/A</v>
      </c>
    </row>
    <row r="4" spans="1:26" ht="15" customHeight="1" x14ac:dyDescent="0.25">
      <c r="A4" s="2" t="s">
        <v>62</v>
      </c>
      <c r="B4" s="8">
        <f ca="1">IF(KENKO[[#This Row],[N_ID]]="","",INDEX(Table1[ID],MATCH(KENKO[[#This Row],[N_ID]],Table1[N_ID],0)))</f>
        <v>1</v>
      </c>
      <c r="C4" s="8" t="str">
        <f ca="1">IF(KENKO[[#This Row],[ID NOTA]]="","",HYPERLINK("[NOTA_.xlsx]NOTA!e"&amp;INDEX([2]!PAJAK[//],MATCH(KENKO[[#This Row],[ID NOTA]],[2]!PAJAK[ID],0)),"&gt;") )</f>
        <v>&gt;</v>
      </c>
      <c r="D4" s="8">
        <f ca="1">IF(KENKO[[#This Row],[ID NOTA]]="","",INDEX(Table1[QB],MATCH(KENKO[[#This Row],[ID NOTA]],Table1[ID],0)))</f>
        <v>5</v>
      </c>
      <c r="E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</v>
      </c>
      <c r="F4" s="8">
        <v>1</v>
      </c>
      <c r="G4" s="9">
        <f ca="1">IF(KENKO[[#This Row],[ID NOTA]]="","",INDEX([2]!NOTA[TGL_H],MATCH(KENKO[[#This Row],[ID NOTA]],[2]!NOTA[ID],0)))</f>
        <v>44805</v>
      </c>
      <c r="H4" s="9">
        <f ca="1">IF(KENKO[[#This Row],[ID NOTA]]="","",INDEX([2]!NOTA[TGL.NOTA],MATCH(KENKO[[#This Row],[ID NOTA]],[2]!NOTA[ID],0)))</f>
        <v>44805</v>
      </c>
      <c r="I4" s="16" t="str">
        <f ca="1">IF(KENKO[[#This Row],[ID NOTA]]="","",INDEX([2]!NOTA[NO.NOTA],MATCH(KENKO[[#This Row],[ID NOTA]],[2]!NOTA[ID],0)))</f>
        <v>22090015</v>
      </c>
      <c r="J4" s="16" t="str">
        <f ca="1">IF(KENKO[[#This Row],[//]]="","",INDEX([4]!db[NB PAJAK],KENKO[[#This Row],[stt]]-1))</f>
        <v>GEL PEN KENKO HI-TECH-H 0.28 MM HITAM</v>
      </c>
      <c r="K4" s="8" t="str">
        <f>""</f>
        <v/>
      </c>
      <c r="L4" s="8">
        <f ca="1">IF(KENKO[[#This Row],[//]]="","",IF(INDEX([2]!NOTA[QTY],KENKO[//]-2)="",INDEX([2]!NOTA[C],KENKO[//]-2),INDEX([2]!NOTA[QTY],KENKO[//]-2)))</f>
        <v>25</v>
      </c>
      <c r="M4" s="8" t="str">
        <f ca="1">IF(KENKO[[#This Row],[//]]="","",IF(INDEX([2]!NOTA[STN],KENKO[//]-2)="","CTN",INDEX([2]!NOTA[STN],KENKO[//]-2)))</f>
        <v>CTN</v>
      </c>
      <c r="N4" s="17">
        <f ca="1">IF(KENKO[[#This Row],[//]]="","",IF(INDEX([2]!NOTA[HARGA/ CTN],KENKO[[#This Row],[//]]-2)="",INDEX([2]!NOTA[HARGA SATUAN],KENKO[//]-2),INDEX([2]!NOTA[HARGA/ CTN],KENKO[[#This Row],[//]]-2)))</f>
        <v>5616000</v>
      </c>
      <c r="O4" s="19" t="str">
        <f ca="1">IF(KENKO[[#This Row],[//]]="","",IF(INDEX([2]!NOTA[DISC 2],KENKO[[#This Row],[//]]-2)=0,"",INDEX([2]!NOTA[DISC 2],KENKO[[#This Row],[//]]-2)))</f>
        <v/>
      </c>
      <c r="P4" s="19"/>
      <c r="Q4" s="10">
        <f ca="1">IF(KENKO[[#This Row],[//]]="","",INDEX([2]!NOTA[JUMLAH],KENKO[[#This Row],[//]]-2)-IF(ISNUMBER(KENKO[[#This Row],[DISC 1 (%)]]),INDEX([2]!NOTA[JUMLAH],KENKO[[#This Row],[//]]-2)*KENKO[[#This Row],[DISC 1 (%)]],0))</f>
        <v>140400000</v>
      </c>
      <c r="R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16" t="str">
        <f ca="1">IF(KENKO[[#This Row],[//]]="","",INDEX([2]!NOTA[NAMA BARANG],KENKO[[#This Row],[//]]-2))</f>
        <v>KENKO GEL PEN HI-TECH-H 0.28MM BLACK</v>
      </c>
      <c r="V4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4" s="8">
        <f ca="1">IF(KENKO[[#This Row],[concat]]="","",MATCH(KENKO[[#This Row],[concat]],[4]!db[NB NOTA_C],0)+1)</f>
        <v>1103</v>
      </c>
      <c r="X4" s="16" t="str">
        <f ca="1">IF(KENKO[[#This Row],[N.B.nota]]="","",ADDRESS(ROW(KENKO[QB]),COLUMN(KENKO[QB]))&amp;":"&amp;ADDRESS(ROW(),COLUMN(KENKO[QB])))</f>
        <v>$D$3:$D$4</v>
      </c>
      <c r="Y4" s="16" t="str">
        <f ca="1">IF(KENKO[[#This Row],[//]]="","",HYPERLINK("[..\\DB.xlsx]DB!e"&amp;KENKO[[#This Row],[stt]],"&gt;"))</f>
        <v>&gt;</v>
      </c>
      <c r="Z4" s="4">
        <f ca="1">IF(KENKO[[#This Row],[//]]="","",IF(KENKO[[#This Row],[ID NOTA]]="",Z3,KENKO[[#This Row],[ID NOTA]]))</f>
        <v>1</v>
      </c>
    </row>
    <row r="5" spans="1:26" ht="15" customHeight="1" x14ac:dyDescent="0.25">
      <c r="A5" s="2"/>
      <c r="B5" s="8" t="str">
        <f>IF(KENKO[[#This Row],[N_ID]]="","",INDEX(Table1[ID],MATCH(KENKO[[#This Row],[N_ID]],Table1[N_ID],0)))</f>
        <v/>
      </c>
      <c r="C5" s="8" t="str">
        <f>IF(KENKO[[#This Row],[ID NOTA]]="","",HYPERLINK("[NOTA_.xlsx]NOTA!e"&amp;INDEX([2]!PAJAK[//],MATCH(KENKO[[#This Row],[ID NOTA]],[2]!PAJAK[ID],0)),"&gt;") )</f>
        <v/>
      </c>
      <c r="D5" s="8" t="str">
        <f>IF(KENKO[[#This Row],[ID NOTA]]="","",INDEX(Table1[QB],MATCH(KENKO[[#This Row],[ID NOTA]],Table1[ID],0)))</f>
        <v/>
      </c>
      <c r="E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</v>
      </c>
      <c r="F5" s="8"/>
      <c r="G5" s="9" t="str">
        <f>IF(KENKO[[#This Row],[ID NOTA]]="","",INDEX([2]!NOTA[TGL_H],MATCH(KENKO[[#This Row],[ID NOTA]],[2]!NOTA[ID],0)))</f>
        <v/>
      </c>
      <c r="H5" s="9" t="str">
        <f>IF(KENKO[[#This Row],[ID NOTA]]="","",INDEX([2]!NOTA[TGL.NOTA],MATCH(KENKO[[#This Row],[ID NOTA]],[2]!NOTA[ID],0)))</f>
        <v/>
      </c>
      <c r="I5" s="16" t="str">
        <f>IF(KENKO[[#This Row],[ID NOTA]]="","",INDEX([2]!NOTA[NO.NOTA],MATCH(KENKO[[#This Row],[ID NOTA]],[2]!NOTA[ID],0)))</f>
        <v/>
      </c>
      <c r="J5" s="16" t="str">
        <f ca="1">IF(KENKO[[#This Row],[//]]="","",INDEX([4]!db[NB PAJAK],KENKO[[#This Row],[stt]]-1))</f>
        <v>GEL PEN KENKO HI-TECH-H 0.28 MM BIRU</v>
      </c>
      <c r="K5" s="8" t="str">
        <f>""</f>
        <v/>
      </c>
      <c r="L5" s="8">
        <f ca="1">IF(KENKO[[#This Row],[//]]="","",IF(INDEX([2]!NOTA[QTY],KENKO[//]-2)="",INDEX([2]!NOTA[C],KENKO[//]-2),INDEX([2]!NOTA[QTY],KENKO[//]-2)))</f>
        <v>3</v>
      </c>
      <c r="M5" s="8" t="str">
        <f ca="1">IF(KENKO[[#This Row],[//]]="","",IF(INDEX([2]!NOTA[STN],KENKO[//]-2)="","CTN",INDEX([2]!NOTA[STN],KENKO[//]-2)))</f>
        <v>CTN</v>
      </c>
      <c r="N5" s="17">
        <f ca="1">IF(KENKO[[#This Row],[//]]="","",IF(INDEX([2]!NOTA[HARGA/ CTN],KENKO[[#This Row],[//]]-2)="",INDEX([2]!NOTA[HARGA SATUAN],KENKO[//]-2),INDEX([2]!NOTA[HARGA/ CTN],KENKO[[#This Row],[//]]-2)))</f>
        <v>5616000</v>
      </c>
      <c r="O5" s="19" t="str">
        <f ca="1">IF(KENKO[[#This Row],[//]]="","",IF(INDEX([2]!NOTA[DISC 2],KENKO[[#This Row],[//]]-2)=0,"",INDEX([2]!NOTA[DISC 2],KENKO[[#This Row],[//]]-2)))</f>
        <v/>
      </c>
      <c r="P5" s="19"/>
      <c r="Q5" s="10">
        <f ca="1">IF(KENKO[[#This Row],[//]]="","",INDEX([2]!NOTA[JUMLAH],KENKO[[#This Row],[//]]-2)-IF(ISNUMBER(KENKO[[#This Row],[DISC 1 (%)]]),INDEX([2]!NOTA[JUMLAH],KENKO[[#This Row],[//]]-2)*KENKO[[#This Row],[DISC 1 (%)]],0))</f>
        <v>16848000</v>
      </c>
      <c r="R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s="16" t="str">
        <f ca="1">IF(KENKO[[#This Row],[//]]="","",INDEX([2]!NOTA[NAMA BARANG],KENKO[[#This Row],[//]]-2))</f>
        <v>KENKO GEL PEN HI-TECH-H 0.28MM BLUE</v>
      </c>
      <c r="V5" s="16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5" s="8">
        <f ca="1">IF(KENKO[[#This Row],[concat]]="","",MATCH(KENKO[[#This Row],[concat]],[4]!db[NB NOTA_C],0)+1)</f>
        <v>1104</v>
      </c>
      <c r="X5" s="16" t="str">
        <f ca="1">IF(KENKO[[#This Row],[N.B.nota]]="","",ADDRESS(ROW(KENKO[QB]),COLUMN(KENKO[QB]))&amp;":"&amp;ADDRESS(ROW(),COLUMN(KENKO[QB])))</f>
        <v>$D$3:$D$5</v>
      </c>
      <c r="Y5" s="16" t="str">
        <f ca="1">IF(KENKO[[#This Row],[//]]="","",HYPERLINK("[..\\DB.xlsx]DB!e"&amp;KENKO[[#This Row],[stt]],"&gt;"))</f>
        <v>&gt;</v>
      </c>
      <c r="Z5" s="4">
        <f ca="1">IF(KENKO[[#This Row],[//]]="","",IF(KENKO[[#This Row],[ID NOTA]]="",Z4,KENKO[[#This Row],[ID NOTA]]))</f>
        <v>1</v>
      </c>
    </row>
    <row r="6" spans="1:26" ht="15" customHeight="1" x14ac:dyDescent="0.25">
      <c r="A6" s="2"/>
      <c r="B6" s="8" t="str">
        <f>IF(KENKO[[#This Row],[N_ID]]="","",INDEX(Table1[ID],MATCH(KENKO[[#This Row],[N_ID]],Table1[N_ID],0)))</f>
        <v/>
      </c>
      <c r="C6" s="8" t="str">
        <f>IF(KENKO[[#This Row],[ID NOTA]]="","",HYPERLINK("[NOTA_.xlsx]NOTA!e"&amp;INDEX([2]!PAJAK[//],MATCH(KENKO[[#This Row],[ID NOTA]],[2]!PAJAK[ID],0)),"&gt;") )</f>
        <v/>
      </c>
      <c r="D6" s="8" t="str">
        <f>IF(KENKO[[#This Row],[ID NOTA]]="","",INDEX(Table1[QB],MATCH(KENKO[[#This Row],[ID NOTA]],Table1[ID],0)))</f>
        <v/>
      </c>
      <c r="E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</v>
      </c>
      <c r="F6" s="8"/>
      <c r="G6" s="9" t="str">
        <f>IF(KENKO[[#This Row],[ID NOTA]]="","",INDEX([2]!NOTA[TGL_H],MATCH(KENKO[[#This Row],[ID NOTA]],[2]!NOTA[ID],0)))</f>
        <v/>
      </c>
      <c r="H6" s="9" t="str">
        <f>IF(KENKO[[#This Row],[ID NOTA]]="","",INDEX([2]!NOTA[TGL.NOTA],MATCH(KENKO[[#This Row],[ID NOTA]],[2]!NOTA[ID],0)))</f>
        <v/>
      </c>
      <c r="I6" s="16" t="str">
        <f>IF(KENKO[[#This Row],[ID NOTA]]="","",INDEX([2]!NOTA[NO.NOTA],MATCH(KENKO[[#This Row],[ID NOTA]],[2]!NOTA[ID],0)))</f>
        <v/>
      </c>
      <c r="J6" s="16" t="str">
        <f ca="1">IF(KENKO[[#This Row],[//]]="","",INDEX([4]!db[NB PAJAK],KENKO[[#This Row],[stt]]-1))</f>
        <v>STAPLER KENKO HD-10S (MINI)</v>
      </c>
      <c r="K6" s="8" t="str">
        <f>""</f>
        <v/>
      </c>
      <c r="L6" s="8">
        <f ca="1">IF(KENKO[[#This Row],[//]]="","",IF(INDEX([2]!NOTA[QTY],KENKO[//]-2)="",INDEX([2]!NOTA[C],KENKO[//]-2),INDEX([2]!NOTA[QTY],KENKO[//]-2)))</f>
        <v>2</v>
      </c>
      <c r="M6" s="8" t="str">
        <f ca="1">IF(KENKO[[#This Row],[//]]="","",IF(INDEX([2]!NOTA[STN],KENKO[//]-2)="","CTN",INDEX([2]!NOTA[STN],KENKO[//]-2)))</f>
        <v>CTN</v>
      </c>
      <c r="N6" s="17">
        <f ca="1">IF(KENKO[[#This Row],[//]]="","",IF(INDEX([2]!NOTA[HARGA/ CTN],KENKO[[#This Row],[//]]-2)="",INDEX([2]!NOTA[HARGA SATUAN],KENKO[//]-2),INDEX([2]!NOTA[HARGA/ CTN],KENKO[[#This Row],[//]]-2)))</f>
        <v>1740000</v>
      </c>
      <c r="O6" s="19" t="str">
        <f ca="1">IF(KENKO[[#This Row],[//]]="","",IF(INDEX([2]!NOTA[DISC 2],KENKO[[#This Row],[//]]-2)=0,"",INDEX([2]!NOTA[DISC 2],KENKO[[#This Row],[//]]-2)))</f>
        <v/>
      </c>
      <c r="P6" s="19"/>
      <c r="Q6" s="10">
        <f ca="1">IF(KENKO[[#This Row],[//]]="","",INDEX([2]!NOTA[JUMLAH],KENKO[[#This Row],[//]]-2)-IF(ISNUMBER(KENKO[[#This Row],[DISC 1 (%)]]),INDEX([2]!NOTA[JUMLAH],KENKO[[#This Row],[//]]-2)*KENKO[[#This Row],[DISC 1 (%)]],0))</f>
        <v>3480000</v>
      </c>
      <c r="R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s="16" t="str">
        <f ca="1">IF(KENKO[[#This Row],[//]]="","",INDEX([2]!NOTA[NAMA BARANG],KENKO[[#This Row],[//]]-2))</f>
        <v>KENKO STAPLER HD-10S (MINI)</v>
      </c>
      <c r="V6" s="16" t="str">
        <f ca="1">LOWER(SUBSTITUTE(SUBSTITUTE(SUBSTITUTE(SUBSTITUTE(SUBSTITUTE(SUBSTITUTE(SUBSTITUTE(SUBSTITUTE(KENKO[[#This Row],[N.B.nota]]," ",""),"-",""),"(",""),")",""),".",""),",",""),"/",""),"""",""))</f>
        <v>kenkostaplerhd10smini</v>
      </c>
      <c r="W6" s="8">
        <f ca="1">IF(KENKO[[#This Row],[concat]]="","",MATCH(KENKO[[#This Row],[concat]],[4]!db[NB NOTA_C],0)+1)</f>
        <v>1244</v>
      </c>
      <c r="X6" s="16" t="str">
        <f ca="1">IF(KENKO[[#This Row],[N.B.nota]]="","",ADDRESS(ROW(KENKO[QB]),COLUMN(KENKO[QB]))&amp;":"&amp;ADDRESS(ROW(),COLUMN(KENKO[QB])))</f>
        <v>$D$3:$D$6</v>
      </c>
      <c r="Y6" s="16" t="str">
        <f ca="1">IF(KENKO[[#This Row],[//]]="","",HYPERLINK("[..\\DB.xlsx]DB!e"&amp;KENKO[[#This Row],[stt]],"&gt;"))</f>
        <v>&gt;</v>
      </c>
      <c r="Z6" s="4">
        <f ca="1">IF(KENKO[[#This Row],[//]]="","",IF(KENKO[[#This Row],[ID NOTA]]="",Z5,KENKO[[#This Row],[ID NOTA]]))</f>
        <v>1</v>
      </c>
    </row>
    <row r="7" spans="1:26" ht="15" customHeight="1" x14ac:dyDescent="0.25">
      <c r="A7" s="2"/>
      <c r="B7" s="8" t="str">
        <f>IF(KENKO[[#This Row],[N_ID]]="","",INDEX(Table1[ID],MATCH(KENKO[[#This Row],[N_ID]],Table1[N_ID],0)))</f>
        <v/>
      </c>
      <c r="C7" s="8" t="str">
        <f>IF(KENKO[[#This Row],[ID NOTA]]="","",HYPERLINK("[NOTA_.xlsx]NOTA!e"&amp;INDEX([2]!PAJAK[//],MATCH(KENKO[[#This Row],[ID NOTA]],[2]!PAJAK[ID],0)),"&gt;") )</f>
        <v/>
      </c>
      <c r="D7" s="8" t="str">
        <f>IF(KENKO[[#This Row],[ID NOTA]]="","",INDEX(Table1[QB],MATCH(KENKO[[#This Row],[ID NOTA]],Table1[ID],0)))</f>
        <v/>
      </c>
      <c r="E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</v>
      </c>
      <c r="F7" s="8"/>
      <c r="G7" s="9" t="str">
        <f>IF(KENKO[[#This Row],[ID NOTA]]="","",INDEX([2]!NOTA[TGL_H],MATCH(KENKO[[#This Row],[ID NOTA]],[2]!NOTA[ID],0)))</f>
        <v/>
      </c>
      <c r="H7" s="9" t="str">
        <f>IF(KENKO[[#This Row],[ID NOTA]]="","",INDEX([2]!NOTA[TGL.NOTA],MATCH(KENKO[[#This Row],[ID NOTA]],[2]!NOTA[ID],0)))</f>
        <v/>
      </c>
      <c r="I7" s="16" t="str">
        <f>IF(KENKO[[#This Row],[ID NOTA]]="","",INDEX([2]!NOTA[NO.NOTA],MATCH(KENKO[[#This Row],[ID NOTA]],[2]!NOTA[ID],0)))</f>
        <v/>
      </c>
      <c r="J7" s="16" t="str">
        <f ca="1">IF(KENKO[[#This Row],[//]]="","",INDEX([4]!db[NB PAJAK],KENKO[[#This Row],[stt]]-1))</f>
        <v>STAPLER KENKO HD-10D NEW COLOR</v>
      </c>
      <c r="K7" s="8" t="str">
        <f>""</f>
        <v/>
      </c>
      <c r="L7" s="8">
        <f ca="1">IF(KENKO[[#This Row],[//]]="","",IF(INDEX([2]!NOTA[QTY],KENKO[//]-2)="",INDEX([2]!NOTA[C],KENKO[//]-2),INDEX([2]!NOTA[QTY],KENKO[//]-2)))</f>
        <v>2</v>
      </c>
      <c r="M7" s="8" t="str">
        <f ca="1">IF(KENKO[[#This Row],[//]]="","",IF(INDEX([2]!NOTA[STN],KENKO[//]-2)="","CTN",INDEX([2]!NOTA[STN],KENKO[//]-2)))</f>
        <v>CTN</v>
      </c>
      <c r="N7" s="17">
        <f ca="1">IF(KENKO[[#This Row],[//]]="","",IF(INDEX([2]!NOTA[HARGA/ CTN],KENKO[[#This Row],[//]]-2)="",INDEX([2]!NOTA[HARGA SATUAN],KENKO[//]-2),INDEX([2]!NOTA[HARGA/ CTN],KENKO[[#This Row],[//]]-2)))</f>
        <v>2352000</v>
      </c>
      <c r="O7" s="19" t="str">
        <f ca="1">IF(KENKO[[#This Row],[//]]="","",IF(INDEX([2]!NOTA[DISC 2],KENKO[[#This Row],[//]]-2)=0,"",INDEX([2]!NOTA[DISC 2],KENKO[[#This Row],[//]]-2)))</f>
        <v/>
      </c>
      <c r="P7" s="19"/>
      <c r="Q7" s="10">
        <f ca="1">IF(KENKO[[#This Row],[//]]="","",INDEX([2]!NOTA[JUMLAH],KENKO[[#This Row],[//]]-2)-IF(ISNUMBER(KENKO[[#This Row],[DISC 1 (%)]]),INDEX([2]!NOTA[JUMLAH],KENKO[[#This Row],[//]]-2)*KENKO[[#This Row],[DISC 1 (%)]],0))</f>
        <v>4704000</v>
      </c>
      <c r="R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s="16" t="str">
        <f ca="1">IF(KENKO[[#This Row],[//]]="","",INDEX([2]!NOTA[NAMA BARANG],KENKO[[#This Row],[//]]-2))</f>
        <v>KENKO STAPLER HD-10D (NEW COLOR)</v>
      </c>
      <c r="V7" s="16" t="str">
        <f ca="1">LOWER(SUBSTITUTE(SUBSTITUTE(SUBSTITUTE(SUBSTITUTE(SUBSTITUTE(SUBSTITUTE(SUBSTITUTE(SUBSTITUTE(KENKO[[#This Row],[N.B.nota]]," ",""),"-",""),"(",""),")",""),".",""),",",""),"/",""),"""",""))</f>
        <v>kenkostaplerhd10dnewcolor</v>
      </c>
      <c r="W7" s="8">
        <f ca="1">IF(KENKO[[#This Row],[concat]]="","",MATCH(KENKO[[#This Row],[concat]],[4]!db[NB NOTA_C],0)+1)</f>
        <v>1264</v>
      </c>
      <c r="X7" s="16" t="str">
        <f ca="1">IF(KENKO[[#This Row],[N.B.nota]]="","",ADDRESS(ROW(KENKO[QB]),COLUMN(KENKO[QB]))&amp;":"&amp;ADDRESS(ROW(),COLUMN(KENKO[QB])))</f>
        <v>$D$3:$D$7</v>
      </c>
      <c r="Y7" s="16" t="str">
        <f ca="1">IF(KENKO[[#This Row],[//]]="","",HYPERLINK("[..\\DB.xlsx]DB!e"&amp;KENKO[[#This Row],[stt]],"&gt;"))</f>
        <v>&gt;</v>
      </c>
      <c r="Z7" s="4">
        <f ca="1">IF(KENKO[[#This Row],[//]]="","",IF(KENKO[[#This Row],[ID NOTA]]="",Z6,KENKO[[#This Row],[ID NOTA]]))</f>
        <v>1</v>
      </c>
    </row>
    <row r="8" spans="1:26" ht="15" customHeight="1" x14ac:dyDescent="0.25">
      <c r="A8" s="2"/>
      <c r="B8" s="8" t="str">
        <f>IF(KENKO[[#This Row],[N_ID]]="","",INDEX(Table1[ID],MATCH(KENKO[[#This Row],[N_ID]],Table1[N_ID],0)))</f>
        <v/>
      </c>
      <c r="C8" s="8" t="str">
        <f>IF(KENKO[[#This Row],[ID NOTA]]="","",HYPERLINK("[NOTA_.xlsx]NOTA!e"&amp;INDEX([2]!PAJAK[//],MATCH(KENKO[[#This Row],[ID NOTA]],[2]!PAJAK[ID],0)),"&gt;") )</f>
        <v/>
      </c>
      <c r="D8" s="8" t="str">
        <f>IF(KENKO[[#This Row],[ID NOTA]]="","",INDEX(Table1[QB],MATCH(KENKO[[#This Row],[ID NOTA]],Table1[ID],0)))</f>
        <v/>
      </c>
      <c r="E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</v>
      </c>
      <c r="F8" s="8"/>
      <c r="G8" s="9" t="str">
        <f>IF(KENKO[[#This Row],[ID NOTA]]="","",INDEX([2]!NOTA[TGL_H],MATCH(KENKO[[#This Row],[ID NOTA]],[2]!NOTA[ID],0)))</f>
        <v/>
      </c>
      <c r="H8" s="9" t="str">
        <f>IF(KENKO[[#This Row],[ID NOTA]]="","",INDEX([2]!NOTA[TGL.NOTA],MATCH(KENKO[[#This Row],[ID NOTA]],[2]!NOTA[ID],0)))</f>
        <v/>
      </c>
      <c r="I8" s="16" t="str">
        <f>IF(KENKO[[#This Row],[ID NOTA]]="","",INDEX([2]!NOTA[NO.NOTA],MATCH(KENKO[[#This Row],[ID NOTA]],[2]!NOTA[ID],0)))</f>
        <v/>
      </c>
      <c r="J8" s="16" t="str">
        <f ca="1">IF(KENKO[[#This Row],[//]]="","",INDEX([4]!db[NB PAJAK],KENKO[[#This Row],[stt]]-1))</f>
        <v>STAPLER KENKO HD-50</v>
      </c>
      <c r="K8" s="8" t="str">
        <f>""</f>
        <v/>
      </c>
      <c r="L8" s="8">
        <f ca="1">IF(KENKO[[#This Row],[//]]="","",IF(INDEX([2]!NOTA[QTY],KENKO[//]-2)="",INDEX([2]!NOTA[C],KENKO[//]-2),INDEX([2]!NOTA[QTY],KENKO[//]-2)))</f>
        <v>2</v>
      </c>
      <c r="M8" s="8" t="str">
        <f ca="1">IF(KENKO[[#This Row],[//]]="","",IF(INDEX([2]!NOTA[STN],KENKO[//]-2)="","CTN",INDEX([2]!NOTA[STN],KENKO[//]-2)))</f>
        <v>CTN</v>
      </c>
      <c r="N8" s="17">
        <f ca="1">IF(KENKO[[#This Row],[//]]="","",IF(INDEX([2]!NOTA[HARGA/ CTN],KENKO[[#This Row],[//]]-2)="",INDEX([2]!NOTA[HARGA SATUAN],KENKO[//]-2),INDEX([2]!NOTA[HARGA/ CTN],KENKO[[#This Row],[//]]-2)))</f>
        <v>2280000</v>
      </c>
      <c r="O8" s="19" t="str">
        <f ca="1">IF(KENKO[[#This Row],[//]]="","",IF(INDEX([2]!NOTA[DISC 2],KENKO[[#This Row],[//]]-2)=0,"",INDEX([2]!NOTA[DISC 2],KENKO[[#This Row],[//]]-2)))</f>
        <v/>
      </c>
      <c r="P8" s="19"/>
      <c r="Q8" s="10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28898640.000000004</v>
      </c>
      <c r="S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141093360</v>
      </c>
      <c r="T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s="16" t="str">
        <f ca="1">IF(KENKO[[#This Row],[//]]="","",INDEX([2]!NOTA[NAMA BARANG],KENKO[[#This Row],[//]]-2))</f>
        <v>KENKO STAPLER HD-50</v>
      </c>
      <c r="V8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8" s="8">
        <f ca="1">IF(KENKO[[#This Row],[concat]]="","",MATCH(KENKO[[#This Row],[concat]],[4]!db[NB NOTA_C],0)+1)</f>
        <v>1246</v>
      </c>
      <c r="X8" s="16" t="str">
        <f ca="1">IF(KENKO[[#This Row],[N.B.nota]]="","",ADDRESS(ROW(KENKO[QB]),COLUMN(KENKO[QB]))&amp;":"&amp;ADDRESS(ROW(),COLUMN(KENKO[QB])))</f>
        <v>$D$3:$D$8</v>
      </c>
      <c r="Y8" s="16" t="str">
        <f ca="1">IF(KENKO[[#This Row],[//]]="","",HYPERLINK("[..\\DB.xlsx]DB!e"&amp;KENKO[[#This Row],[stt]],"&gt;"))</f>
        <v>&gt;</v>
      </c>
      <c r="Z8" s="4">
        <f ca="1">IF(KENKO[[#This Row],[//]]="","",IF(KENKO[[#This Row],[ID NOTA]]="",Z7,KENKO[[#This Row],[ID NOTA]]))</f>
        <v>1</v>
      </c>
    </row>
    <row r="9" spans="1:26" ht="15" customHeight="1" x14ac:dyDescent="0.25">
      <c r="A9" s="2"/>
      <c r="B9" s="8" t="str">
        <f>IF(KENKO[[#This Row],[N_ID]]="","",INDEX(Table1[ID],MATCH(KENKO[[#This Row],[N_ID]],Table1[N_ID],0)))</f>
        <v/>
      </c>
      <c r="C9" s="8" t="str">
        <f>IF(KENKO[[#This Row],[ID NOTA]]="","",HYPERLINK("[NOTA_.xlsx]NOTA!e"&amp;INDEX([2]!PAJAK[//],MATCH(KENKO[[#This Row],[ID NOTA]],[2]!PAJAK[ID],0)),"&gt;") )</f>
        <v/>
      </c>
      <c r="D9" s="8" t="str">
        <f>IF(KENKO[[#This Row],[ID NOTA]]="","",INDEX(Table1[QB],MATCH(KENKO[[#This Row],[ID NOTA]],Table1[ID],0)))</f>
        <v/>
      </c>
      <c r="E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" s="8"/>
      <c r="G9" s="9" t="str">
        <f>IF(KENKO[[#This Row],[ID NOTA]]="","",INDEX([2]!NOTA[TGL_H],MATCH(KENKO[[#This Row],[ID NOTA]],[2]!NOTA[ID],0)))</f>
        <v/>
      </c>
      <c r="H9" s="9" t="str">
        <f>IF(KENKO[[#This Row],[ID NOTA]]="","",INDEX([2]!NOTA[TGL.NOTA],MATCH(KENKO[[#This Row],[ID NOTA]],[2]!NOTA[ID],0)))</f>
        <v/>
      </c>
      <c r="I9" s="16" t="str">
        <f>IF(KENKO[[#This Row],[ID NOTA]]="","",INDEX([2]!NOTA[NO.NOTA],MATCH(KENKO[[#This Row],[ID NOTA]],[2]!NOTA[ID],0)))</f>
        <v/>
      </c>
      <c r="J9" s="16" t="str">
        <f ca="1">IF(KENKO[[#This Row],[//]]="","",INDEX([4]!db[NB PAJAK],KENKO[[#This Row],[stt]]-1))</f>
        <v/>
      </c>
      <c r="K9" s="8" t="str">
        <f>""</f>
        <v/>
      </c>
      <c r="L9" s="8" t="str">
        <f ca="1">IF(KENKO[[#This Row],[//]]="","",IF(INDEX([2]!NOTA[QTY],KENKO[//]-2)="",INDEX([2]!NOTA[C],KENKO[//]-2),INDEX([2]!NOTA[QTY],KENKO[//]-2)))</f>
        <v/>
      </c>
      <c r="M9" s="8" t="str">
        <f ca="1">IF(KENKO[[#This Row],[//]]="","",IF(INDEX([2]!NOTA[STN],KENKO[//]-2)="","CTN",INDEX([2]!NOTA[STN],KENKO[//]-2)))</f>
        <v/>
      </c>
      <c r="N9" s="17" t="str">
        <f ca="1">IF(KENKO[[#This Row],[//]]="","",IF(INDEX([2]!NOTA[HARGA/ CTN],KENKO[[#This Row],[//]]-2)="",INDEX([2]!NOTA[HARGA SATUAN],KENKO[//]-2),INDEX([2]!NOTA[HARGA/ CTN],KENKO[[#This Row],[//]]-2)))</f>
        <v/>
      </c>
      <c r="O9" s="19" t="str">
        <f ca="1">IF(KENKO[[#This Row],[//]]="","",IF(INDEX([2]!NOTA[DISC 2],KENKO[[#This Row],[//]]-2)=0,"",INDEX([2]!NOTA[DISC 2],KENKO[[#This Row],[//]]-2)))</f>
        <v/>
      </c>
      <c r="P9" s="19"/>
      <c r="Q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s="16" t="str">
        <f ca="1">IF(KENKO[[#This Row],[//]]="","",INDEX([2]!NOTA[NAMA BARANG],KENKO[[#This Row],[//]]-2))</f>
        <v/>
      </c>
      <c r="V9" s="16" t="str">
        <f ca="1">LOWER(SUBSTITUTE(SUBSTITUTE(SUBSTITUTE(SUBSTITUTE(SUBSTITUTE(SUBSTITUTE(SUBSTITUTE(SUBSTITUTE(KENKO[[#This Row],[N.B.nota]]," ",""),"-",""),"(",""),")",""),".",""),",",""),"/",""),"""",""))</f>
        <v/>
      </c>
      <c r="W9" s="8" t="str">
        <f ca="1">IF(KENKO[[#This Row],[concat]]="","",MATCH(KENKO[[#This Row],[concat]],[4]!db[NB NOTA_C],0)+1)</f>
        <v/>
      </c>
      <c r="X9" s="16" t="str">
        <f ca="1">IF(KENKO[[#This Row],[N.B.nota]]="","",ADDRESS(ROW(KENKO[QB]),COLUMN(KENKO[QB]))&amp;":"&amp;ADDRESS(ROW(),COLUMN(KENKO[QB])))</f>
        <v/>
      </c>
      <c r="Y9" s="16" t="str">
        <f ca="1">IF(KENKO[[#This Row],[//]]="","",HYPERLINK("[..\\DB.xlsx]DB!e"&amp;KENKO[[#This Row],[stt]],"&gt;"))</f>
        <v/>
      </c>
      <c r="Z9" s="4" t="str">
        <f ca="1">IF(KENKO[[#This Row],[//]]="","",IF(KENKO[[#This Row],[ID NOTA]]="",Z8,KENKO[[#This Row],[ID NOTA]]))</f>
        <v/>
      </c>
    </row>
    <row r="10" spans="1:26" ht="15" customHeight="1" x14ac:dyDescent="0.25">
      <c r="A10" s="2" t="s">
        <v>63</v>
      </c>
      <c r="B10" s="8">
        <f ca="1">IF(KENKO[[#This Row],[N_ID]]="","",INDEX(Table1[ID],MATCH(KENKO[[#This Row],[N_ID]],Table1[N_ID],0)))</f>
        <v>2</v>
      </c>
      <c r="C10" s="8" t="str">
        <f ca="1">IF(KENKO[[#This Row],[ID NOTA]]="","",HYPERLINK("[NOTA_.xlsx]NOTA!e"&amp;INDEX([2]!PAJAK[//],MATCH(KENKO[[#This Row],[ID NOTA]],[2]!PAJAK[ID],0)),"&gt;") )</f>
        <v>&gt;</v>
      </c>
      <c r="D10" s="8">
        <f ca="1">IF(KENKO[[#This Row],[ID NOTA]]="","",INDEX(Table1[QB],MATCH(KENKO[[#This Row],[ID NOTA]],Table1[ID],0)))</f>
        <v>4</v>
      </c>
      <c r="E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</v>
      </c>
      <c r="F10" s="8">
        <v>2</v>
      </c>
      <c r="G10" s="9">
        <f ca="1">IF(KENKO[[#This Row],[ID NOTA]]="","",INDEX([2]!NOTA[TGL_H],MATCH(KENKO[[#This Row],[ID NOTA]],[2]!NOTA[ID],0)))</f>
        <v>44805</v>
      </c>
      <c r="H10" s="9">
        <f ca="1">IF(KENKO[[#This Row],[ID NOTA]]="","",INDEX([2]!NOTA[TGL.NOTA],MATCH(KENKO[[#This Row],[ID NOTA]],[2]!NOTA[ID],0)))</f>
        <v>44805</v>
      </c>
      <c r="I10" s="16" t="str">
        <f ca="1">IF(KENKO[[#This Row],[ID NOTA]]="","",INDEX([2]!NOTA[NO.NOTA],MATCH(KENKO[[#This Row],[ID NOTA]],[2]!NOTA[ID],0)))</f>
        <v>22090046</v>
      </c>
      <c r="J10" s="16" t="str">
        <f ca="1">IF(KENKO[[#This Row],[//]]="","",INDEX([4]!db[NB PAJAK],KENKO[[#This Row],[stt]]-1))</f>
        <v>PENSIL WARNA KENKO CP-12F CLASSIC (PANJANG)</v>
      </c>
      <c r="K10" s="8" t="str">
        <f>""</f>
        <v/>
      </c>
      <c r="L10" s="8">
        <f ca="1">IF(KENKO[[#This Row],[//]]="","",IF(INDEX([2]!NOTA[QTY],KENKO[//]-2)="",INDEX([2]!NOTA[C],KENKO[//]-2),INDEX([2]!NOTA[QTY],KENKO[//]-2)))</f>
        <v>2</v>
      </c>
      <c r="M10" s="8" t="str">
        <f ca="1">IF(KENKO[[#This Row],[//]]="","",IF(INDEX([2]!NOTA[STN],KENKO[//]-2)="","CTN",INDEX([2]!NOTA[STN],KENKO[//]-2)))</f>
        <v>CTN</v>
      </c>
      <c r="N10" s="17">
        <f ca="1">IF(KENKO[[#This Row],[//]]="","",IF(INDEX([2]!NOTA[HARGA/ CTN],KENKO[[#This Row],[//]]-2)="",INDEX([2]!NOTA[HARGA SATUAN],KENKO[//]-2),INDEX([2]!NOTA[HARGA/ CTN],KENKO[[#This Row],[//]]-2)))</f>
        <v>2980800</v>
      </c>
      <c r="O10" s="19" t="str">
        <f ca="1">IF(KENKO[[#This Row],[//]]="","",IF(INDEX([2]!NOTA[DISC 2],KENKO[[#This Row],[//]]-2)=0,"",INDEX([2]!NOTA[DISC 2],KENKO[[#This Row],[//]]-2)))</f>
        <v/>
      </c>
      <c r="P10" s="19"/>
      <c r="Q10" s="10">
        <f ca="1">IF(KENKO[[#This Row],[//]]="","",INDEX([2]!NOTA[JUMLAH],KENKO[[#This Row],[//]]-2)-IF(ISNUMBER(KENKO[[#This Row],[DISC 1 (%)]]),INDEX([2]!NOTA[JUMLAH],KENKO[[#This Row],[//]]-2)*KENKO[[#This Row],[DISC 1 (%)]],0))</f>
        <v>5961600</v>
      </c>
      <c r="R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s="16" t="str">
        <f ca="1">IF(KENKO[[#This Row],[//]]="","",INDEX([2]!NOTA[NAMA BARANG],KENKO[[#This Row],[//]]-2))</f>
        <v>KENKO 12 COLOR PENCIL CP-12F CLASSIC</v>
      </c>
      <c r="V10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0" s="8">
        <f ca="1">IF(KENKO[[#This Row],[concat]]="","",MATCH(KENKO[[#This Row],[concat]],[4]!db[NB NOTA_C],0)+1)</f>
        <v>994</v>
      </c>
      <c r="X10" s="16" t="str">
        <f ca="1">IF(KENKO[[#This Row],[N.B.nota]]="","",ADDRESS(ROW(KENKO[QB]),COLUMN(KENKO[QB]))&amp;":"&amp;ADDRESS(ROW(),COLUMN(KENKO[QB])))</f>
        <v>$D$3:$D$10</v>
      </c>
      <c r="Y10" s="16" t="str">
        <f ca="1">IF(KENKO[[#This Row],[//]]="","",HYPERLINK("[..\\DB.xlsx]DB!e"&amp;KENKO[[#This Row],[stt]],"&gt;"))</f>
        <v>&gt;</v>
      </c>
      <c r="Z10" s="4">
        <f ca="1">IF(KENKO[[#This Row],[//]]="","",IF(KENKO[[#This Row],[ID NOTA]]="",Z9,KENKO[[#This Row],[ID NOTA]]))</f>
        <v>2</v>
      </c>
    </row>
    <row r="11" spans="1:26" ht="15" customHeight="1" x14ac:dyDescent="0.25">
      <c r="A11" s="2"/>
      <c r="B11" s="8" t="str">
        <f>IF(KENKO[[#This Row],[N_ID]]="","",INDEX(Table1[ID],MATCH(KENKO[[#This Row],[N_ID]],Table1[N_ID],0)))</f>
        <v/>
      </c>
      <c r="C11" s="8" t="str">
        <f>IF(KENKO[[#This Row],[ID NOTA]]="","",HYPERLINK("[NOTA_.xlsx]NOTA!e"&amp;INDEX([2]!PAJAK[//],MATCH(KENKO[[#This Row],[ID NOTA]],[2]!PAJAK[ID],0)),"&gt;") )</f>
        <v/>
      </c>
      <c r="D11" s="8" t="str">
        <f>IF(KENKO[[#This Row],[ID NOTA]]="","",INDEX(Table1[QB],MATCH(KENKO[[#This Row],[ID NOTA]],Table1[ID],0)))</f>
        <v/>
      </c>
      <c r="E1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</v>
      </c>
      <c r="F11" s="8"/>
      <c r="G11" s="9" t="str">
        <f>IF(KENKO[[#This Row],[ID NOTA]]="","",INDEX([2]!NOTA[TGL_H],MATCH(KENKO[[#This Row],[ID NOTA]],[2]!NOTA[ID],0)))</f>
        <v/>
      </c>
      <c r="H11" s="9" t="str">
        <f>IF(KENKO[[#This Row],[ID NOTA]]="","",INDEX([2]!NOTA[TGL.NOTA],MATCH(KENKO[[#This Row],[ID NOTA]],[2]!NOTA[ID],0)))</f>
        <v/>
      </c>
      <c r="I11" s="16" t="str">
        <f>IF(KENKO[[#This Row],[ID NOTA]]="","",INDEX([2]!NOTA[NO.NOTA],MATCH(KENKO[[#This Row],[ID NOTA]],[2]!NOTA[ID],0)))</f>
        <v/>
      </c>
      <c r="J11" s="16" t="str">
        <f ca="1">IF(KENKO[[#This Row],[//]]="","",INDEX([4]!db[NB PAJAK],KENKO[[#This Row],[stt]]-1))</f>
        <v>PUNCH KENKO NO. 30</v>
      </c>
      <c r="K11" s="8" t="str">
        <f>""</f>
        <v/>
      </c>
      <c r="L11" s="8">
        <f ca="1">IF(KENKO[[#This Row],[//]]="","",IF(INDEX([2]!NOTA[QTY],KENKO[//]-2)="",INDEX([2]!NOTA[C],KENKO[//]-2),INDEX([2]!NOTA[QTY],KENKO[//]-2)))</f>
        <v>1</v>
      </c>
      <c r="M11" s="8" t="str">
        <f ca="1">IF(KENKO[[#This Row],[//]]="","",IF(INDEX([2]!NOTA[STN],KENKO[//]-2)="","CTN",INDEX([2]!NOTA[STN],KENKO[//]-2)))</f>
        <v>CTN</v>
      </c>
      <c r="N11" s="17">
        <f ca="1">IF(KENKO[[#This Row],[//]]="","",IF(INDEX([2]!NOTA[HARGA/ CTN],KENKO[[#This Row],[//]]-2)="",INDEX([2]!NOTA[HARGA SATUAN],KENKO[//]-2),INDEX([2]!NOTA[HARGA/ CTN],KENKO[[#This Row],[//]]-2)))</f>
        <v>1560000</v>
      </c>
      <c r="O11" s="19" t="str">
        <f ca="1">IF(KENKO[[#This Row],[//]]="","",IF(INDEX([2]!NOTA[DISC 2],KENKO[[#This Row],[//]]-2)=0,"",INDEX([2]!NOTA[DISC 2],KENKO[[#This Row],[//]]-2)))</f>
        <v/>
      </c>
      <c r="P11" s="19"/>
      <c r="Q11" s="10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s="16" t="str">
        <f ca="1">IF(KENKO[[#This Row],[//]]="","",INDEX([2]!NOTA[NAMA BARANG],KENKO[[#This Row],[//]]-2))</f>
        <v>KENKO PUNCH NO.30</v>
      </c>
      <c r="V11" s="16" t="str">
        <f ca="1">LOWER(SUBSTITUTE(SUBSTITUTE(SUBSTITUTE(SUBSTITUTE(SUBSTITUTE(SUBSTITUTE(SUBSTITUTE(SUBSTITUTE(KENKO[[#This Row],[N.B.nota]]," ",""),"-",""),"(",""),")",""),".",""),",",""),"/",""),"""",""))</f>
        <v>kenkopunchno30</v>
      </c>
      <c r="W11" s="8">
        <f ca="1">IF(KENKO[[#This Row],[concat]]="","",MATCH(KENKO[[#This Row],[concat]],[4]!db[NB NOTA_C],0)+1)</f>
        <v>1207</v>
      </c>
      <c r="X11" s="16" t="str">
        <f ca="1">IF(KENKO[[#This Row],[N.B.nota]]="","",ADDRESS(ROW(KENKO[QB]),COLUMN(KENKO[QB]))&amp;":"&amp;ADDRESS(ROW(),COLUMN(KENKO[QB])))</f>
        <v>$D$3:$D$11</v>
      </c>
      <c r="Y11" s="16" t="str">
        <f ca="1">IF(KENKO[[#This Row],[//]]="","",HYPERLINK("[..\\DB.xlsx]DB!e"&amp;KENKO[[#This Row],[stt]],"&gt;"))</f>
        <v>&gt;</v>
      </c>
      <c r="Z11" s="4">
        <f ca="1">IF(KENKO[[#This Row],[//]]="","",IF(KENKO[[#This Row],[ID NOTA]]="",Z10,KENKO[[#This Row],[ID NOTA]]))</f>
        <v>2</v>
      </c>
    </row>
    <row r="12" spans="1:26" ht="15" customHeight="1" x14ac:dyDescent="0.25">
      <c r="A12" s="2"/>
      <c r="B12" s="8" t="str">
        <f>IF(KENKO[[#This Row],[N_ID]]="","",INDEX(Table1[ID],MATCH(KENKO[[#This Row],[N_ID]],Table1[N_ID],0)))</f>
        <v/>
      </c>
      <c r="C12" s="8" t="str">
        <f>IF(KENKO[[#This Row],[ID NOTA]]="","",HYPERLINK("[NOTA_.xlsx]NOTA!e"&amp;INDEX([2]!PAJAK[//],MATCH(KENKO[[#This Row],[ID NOTA]],[2]!PAJAK[ID],0)),"&gt;") )</f>
        <v/>
      </c>
      <c r="D12" s="8" t="str">
        <f>IF(KENKO[[#This Row],[ID NOTA]]="","",INDEX(Table1[QB],MATCH(KENKO[[#This Row],[ID NOTA]],Table1[ID],0)))</f>
        <v/>
      </c>
      <c r="E1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</v>
      </c>
      <c r="F12" s="8"/>
      <c r="G12" s="9" t="str">
        <f>IF(KENKO[[#This Row],[ID NOTA]]="","",INDEX([2]!NOTA[TGL_H],MATCH(KENKO[[#This Row],[ID NOTA]],[2]!NOTA[ID],0)))</f>
        <v/>
      </c>
      <c r="H12" s="9" t="str">
        <f>IF(KENKO[[#This Row],[ID NOTA]]="","",INDEX([2]!NOTA[TGL.NOTA],MATCH(KENKO[[#This Row],[ID NOTA]],[2]!NOTA[ID],0)))</f>
        <v/>
      </c>
      <c r="I12" s="16" t="str">
        <f>IF(KENKO[[#This Row],[ID NOTA]]="","",INDEX([2]!NOTA[NO.NOTA],MATCH(KENKO[[#This Row],[ID NOTA]],[2]!NOTA[ID],0)))</f>
        <v/>
      </c>
      <c r="J12" s="16" t="str">
        <f ca="1">IF(KENKO[[#This Row],[//]]="","",INDEX([4]!db[NB PAJAK],KENKO[[#This Row],[stt]]-1))</f>
        <v>PUNCH KENKO NO. 40XL</v>
      </c>
      <c r="K12" s="8" t="str">
        <f>""</f>
        <v/>
      </c>
      <c r="L12" s="8">
        <f ca="1">IF(KENKO[[#This Row],[//]]="","",IF(INDEX([2]!NOTA[QTY],KENKO[//]-2)="",INDEX([2]!NOTA[C],KENKO[//]-2),INDEX([2]!NOTA[QTY],KENKO[//]-2)))</f>
        <v>1</v>
      </c>
      <c r="M12" s="8" t="str">
        <f ca="1">IF(KENKO[[#This Row],[//]]="","",IF(INDEX([2]!NOTA[STN],KENKO[//]-2)="","CTN",INDEX([2]!NOTA[STN],KENKO[//]-2)))</f>
        <v>CTN</v>
      </c>
      <c r="N12" s="17">
        <f ca="1">IF(KENKO[[#This Row],[//]]="","",IF(INDEX([2]!NOTA[HARGA/ CTN],KENKO[[#This Row],[//]]-2)="",INDEX([2]!NOTA[HARGA SATUAN],KENKO[//]-2),INDEX([2]!NOTA[HARGA/ CTN],KENKO[[#This Row],[//]]-2)))</f>
        <v>1536000</v>
      </c>
      <c r="O12" s="19" t="str">
        <f ca="1">IF(KENKO[[#This Row],[//]]="","",IF(INDEX([2]!NOTA[DISC 2],KENKO[[#This Row],[//]]-2)=0,"",INDEX([2]!NOTA[DISC 2],KENKO[[#This Row],[//]]-2)))</f>
        <v/>
      </c>
      <c r="P12" s="19"/>
      <c r="Q12" s="10">
        <f ca="1">IF(KENKO[[#This Row],[//]]="","",INDEX([2]!NOTA[JUMLAH],KENKO[[#This Row],[//]]-2)-IF(ISNUMBER(KENKO[[#This Row],[DISC 1 (%)]]),INDEX([2]!NOTA[JUMLAH],KENKO[[#This Row],[//]]-2)*KENKO[[#This Row],[DISC 1 (%)]],0))</f>
        <v>1536000</v>
      </c>
      <c r="R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s="16" t="str">
        <f ca="1">IF(KENKO[[#This Row],[//]]="","",INDEX([2]!NOTA[NAMA BARANG],KENKO[[#This Row],[//]]-2))</f>
        <v>KENKO PUNCH NO.40XL</v>
      </c>
      <c r="V12" s="16" t="str">
        <f ca="1">LOWER(SUBSTITUTE(SUBSTITUTE(SUBSTITUTE(SUBSTITUTE(SUBSTITUTE(SUBSTITUTE(SUBSTITUTE(SUBSTITUTE(KENKO[[#This Row],[N.B.nota]]," ",""),"-",""),"(",""),")",""),".",""),",",""),"/",""),"""",""))</f>
        <v>kenkopunchno40xl</v>
      </c>
      <c r="W12" s="8">
        <f ca="1">IF(KENKO[[#This Row],[concat]]="","",MATCH(KENKO[[#This Row],[concat]],[4]!db[NB NOTA_C],0)+1)</f>
        <v>1210</v>
      </c>
      <c r="X12" s="16" t="str">
        <f ca="1">IF(KENKO[[#This Row],[N.B.nota]]="","",ADDRESS(ROW(KENKO[QB]),COLUMN(KENKO[QB]))&amp;":"&amp;ADDRESS(ROW(),COLUMN(KENKO[QB])))</f>
        <v>$D$3:$D$12</v>
      </c>
      <c r="Y12" s="16" t="str">
        <f ca="1">IF(KENKO[[#This Row],[//]]="","",HYPERLINK("[..\\DB.xlsx]DB!e"&amp;KENKO[[#This Row],[stt]],"&gt;"))</f>
        <v>&gt;</v>
      </c>
      <c r="Z12" s="4">
        <f ca="1">IF(KENKO[[#This Row],[//]]="","",IF(KENKO[[#This Row],[ID NOTA]]="",Z11,KENKO[[#This Row],[ID NOTA]]))</f>
        <v>2</v>
      </c>
    </row>
    <row r="13" spans="1:26" ht="15" customHeight="1" x14ac:dyDescent="0.25">
      <c r="A13" s="2"/>
      <c r="B13" s="8" t="str">
        <f>IF(KENKO[[#This Row],[N_ID]]="","",INDEX(Table1[ID],MATCH(KENKO[[#This Row],[N_ID]],Table1[N_ID],0)))</f>
        <v/>
      </c>
      <c r="C13" s="8" t="str">
        <f>IF(KENKO[[#This Row],[ID NOTA]]="","",HYPERLINK("[NOTA_.xlsx]NOTA!e"&amp;INDEX([2]!PAJAK[//],MATCH(KENKO[[#This Row],[ID NOTA]],[2]!PAJAK[ID],0)),"&gt;") )</f>
        <v/>
      </c>
      <c r="D13" s="8" t="str">
        <f>IF(KENKO[[#This Row],[ID NOTA]]="","",INDEX(Table1[QB],MATCH(KENKO[[#This Row],[ID NOTA]],Table1[ID],0)))</f>
        <v/>
      </c>
      <c r="E1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12</v>
      </c>
      <c r="F13" s="8"/>
      <c r="G13" s="9" t="str">
        <f>IF(KENKO[[#This Row],[ID NOTA]]="","",INDEX([2]!NOTA[TGL_H],MATCH(KENKO[[#This Row],[ID NOTA]],[2]!NOTA[ID],0)))</f>
        <v/>
      </c>
      <c r="H13" s="9" t="str">
        <f>IF(KENKO[[#This Row],[ID NOTA]]="","",INDEX([2]!NOTA[TGL.NOTA],MATCH(KENKO[[#This Row],[ID NOTA]],[2]!NOTA[ID],0)))</f>
        <v/>
      </c>
      <c r="I13" s="16" t="str">
        <f>IF(KENKO[[#This Row],[ID NOTA]]="","",INDEX([2]!NOTA[NO.NOTA],MATCH(KENKO[[#This Row],[ID NOTA]],[2]!NOTA[ID],0)))</f>
        <v/>
      </c>
      <c r="J13" s="16" t="str">
        <f ca="1">IF(KENKO[[#This Row],[//]]="","",INDEX([4]!db[NB PAJAK],KENKO[[#This Row],[stt]]-1))</f>
        <v>PUNCH KENKO NO. 85XL</v>
      </c>
      <c r="K13" s="8" t="str">
        <f>""</f>
        <v/>
      </c>
      <c r="L13" s="8">
        <f ca="1">IF(KENKO[[#This Row],[//]]="","",IF(INDEX([2]!NOTA[QTY],KENKO[//]-2)="",INDEX([2]!NOTA[C],KENKO[//]-2),INDEX([2]!NOTA[QTY],KENKO[//]-2)))</f>
        <v>1</v>
      </c>
      <c r="M13" s="8" t="str">
        <f ca="1">IF(KENKO[[#This Row],[//]]="","",IF(INDEX([2]!NOTA[STN],KENKO[//]-2)="","CTN",INDEX([2]!NOTA[STN],KENKO[//]-2)))</f>
        <v>CTN</v>
      </c>
      <c r="N13" s="17">
        <f ca="1">IF(KENKO[[#This Row],[//]]="","",IF(INDEX([2]!NOTA[HARGA/ CTN],KENKO[[#This Row],[//]]-2)="",INDEX([2]!NOTA[HARGA SATUAN],KENKO[//]-2),INDEX([2]!NOTA[HARGA/ CTN],KENKO[[#This Row],[//]]-2)))</f>
        <v>1416000</v>
      </c>
      <c r="O13" s="19" t="str">
        <f ca="1">IF(KENKO[[#This Row],[//]]="","",IF(INDEX([2]!NOTA[DISC 2],KENKO[[#This Row],[//]]-2)=0,"",INDEX([2]!NOTA[DISC 2],KENKO[[#This Row],[//]]-2)))</f>
        <v/>
      </c>
      <c r="P13" s="19"/>
      <c r="Q13" s="10">
        <f ca="1">IF(KENKO[[#This Row],[//]]="","",INDEX([2]!NOTA[JUMLAH],KENKO[[#This Row],[//]]-2)-IF(ISNUMBER(KENKO[[#This Row],[DISC 1 (%)]]),INDEX([2]!NOTA[JUMLAH],KENKO[[#This Row],[//]]-2)*KENKO[[#This Row],[DISC 1 (%)]],0))</f>
        <v>1416000</v>
      </c>
      <c r="R1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1780512.0000000002</v>
      </c>
      <c r="S1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8693088</v>
      </c>
      <c r="T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s="16" t="str">
        <f ca="1">IF(KENKO[[#This Row],[//]]="","",INDEX([2]!NOTA[NAMA BARANG],KENKO[[#This Row],[//]]-2))</f>
        <v>KENKO PUNCH NO.85XL</v>
      </c>
      <c r="V13" s="16" t="str">
        <f ca="1">LOWER(SUBSTITUTE(SUBSTITUTE(SUBSTITUTE(SUBSTITUTE(SUBSTITUTE(SUBSTITUTE(SUBSTITUTE(SUBSTITUTE(KENKO[[#This Row],[N.B.nota]]," ",""),"-",""),"(",""),")",""),".",""),",",""),"/",""),"""",""))</f>
        <v>kenkopunchno85xl</v>
      </c>
      <c r="W13" s="8">
        <f ca="1">IF(KENKO[[#This Row],[concat]]="","",MATCH(KENKO[[#This Row],[concat]],[4]!db[NB NOTA_C],0)+1)</f>
        <v>1212</v>
      </c>
      <c r="X13" s="16" t="str">
        <f ca="1">IF(KENKO[[#This Row],[N.B.nota]]="","",ADDRESS(ROW(KENKO[QB]),COLUMN(KENKO[QB]))&amp;":"&amp;ADDRESS(ROW(),COLUMN(KENKO[QB])))</f>
        <v>$D$3:$D$13</v>
      </c>
      <c r="Y13" s="16" t="str">
        <f ca="1">IF(KENKO[[#This Row],[//]]="","",HYPERLINK("[..\\DB.xlsx]DB!e"&amp;KENKO[[#This Row],[stt]],"&gt;"))</f>
        <v>&gt;</v>
      </c>
      <c r="Z13" s="4">
        <f ca="1">IF(KENKO[[#This Row],[//]]="","",IF(KENKO[[#This Row],[ID NOTA]]="",Z12,KENKO[[#This Row],[ID NOTA]]))</f>
        <v>2</v>
      </c>
    </row>
    <row r="14" spans="1:26" ht="15" customHeight="1" x14ac:dyDescent="0.25">
      <c r="A14" s="2"/>
      <c r="B14" s="8" t="str">
        <f>IF(KENKO[[#This Row],[N_ID]]="","",INDEX(Table1[ID],MATCH(KENKO[[#This Row],[N_ID]],Table1[N_ID],0)))</f>
        <v/>
      </c>
      <c r="C14" s="8" t="str">
        <f>IF(KENKO[[#This Row],[ID NOTA]]="","",HYPERLINK("[NOTA_.xlsx]NOTA!e"&amp;INDEX([2]!PAJAK[//],MATCH(KENKO[[#This Row],[ID NOTA]],[2]!PAJAK[ID],0)),"&gt;") )</f>
        <v/>
      </c>
      <c r="D14" s="8" t="str">
        <f>IF(KENKO[[#This Row],[ID NOTA]]="","",INDEX(Table1[QB],MATCH(KENKO[[#This Row],[ID NOTA]],Table1[ID],0)))</f>
        <v/>
      </c>
      <c r="E1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" s="8"/>
      <c r="G14" s="9" t="str">
        <f>IF(KENKO[[#This Row],[ID NOTA]]="","",INDEX([2]!NOTA[TGL_H],MATCH(KENKO[[#This Row],[ID NOTA]],[2]!NOTA[ID],0)))</f>
        <v/>
      </c>
      <c r="H14" s="9" t="str">
        <f>IF(KENKO[[#This Row],[ID NOTA]]="","",INDEX([2]!NOTA[TGL.NOTA],MATCH(KENKO[[#This Row],[ID NOTA]],[2]!NOTA[ID],0)))</f>
        <v/>
      </c>
      <c r="I14" s="16" t="str">
        <f>IF(KENKO[[#This Row],[ID NOTA]]="","",INDEX([2]!NOTA[NO.NOTA],MATCH(KENKO[[#This Row],[ID NOTA]],[2]!NOTA[ID],0)))</f>
        <v/>
      </c>
      <c r="J14" s="16" t="str">
        <f ca="1">IF(KENKO[[#This Row],[//]]="","",INDEX([4]!db[NB PAJAK],KENKO[[#This Row],[stt]]-1))</f>
        <v/>
      </c>
      <c r="K14" s="8" t="str">
        <f>""</f>
        <v/>
      </c>
      <c r="L14" s="8" t="str">
        <f ca="1">IF(KENKO[[#This Row],[//]]="","",IF(INDEX([2]!NOTA[QTY],KENKO[//]-2)="",INDEX([2]!NOTA[C],KENKO[//]-2),INDEX([2]!NOTA[QTY],KENKO[//]-2)))</f>
        <v/>
      </c>
      <c r="M14" s="8" t="str">
        <f ca="1">IF(KENKO[[#This Row],[//]]="","",IF(INDEX([2]!NOTA[STN],KENKO[//]-2)="","CTN",INDEX([2]!NOTA[STN],KENKO[//]-2)))</f>
        <v/>
      </c>
      <c r="N14" s="17" t="str">
        <f ca="1">IF(KENKO[[#This Row],[//]]="","",IF(INDEX([2]!NOTA[HARGA/ CTN],KENKO[[#This Row],[//]]-2)="",INDEX([2]!NOTA[HARGA SATUAN],KENKO[//]-2),INDEX([2]!NOTA[HARGA/ CTN],KENKO[[#This Row],[//]]-2)))</f>
        <v/>
      </c>
      <c r="O14" s="19" t="str">
        <f ca="1">IF(KENKO[[#This Row],[//]]="","",IF(INDEX([2]!NOTA[DISC 2],KENKO[[#This Row],[//]]-2)=0,"",INDEX([2]!NOTA[DISC 2],KENKO[[#This Row],[//]]-2)))</f>
        <v/>
      </c>
      <c r="P14" s="19"/>
      <c r="Q1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s="16" t="str">
        <f ca="1">IF(KENKO[[#This Row],[//]]="","",INDEX([2]!NOTA[NAMA BARANG],KENKO[[#This Row],[//]]-2))</f>
        <v/>
      </c>
      <c r="V14" s="16" t="str">
        <f ca="1">LOWER(SUBSTITUTE(SUBSTITUTE(SUBSTITUTE(SUBSTITUTE(SUBSTITUTE(SUBSTITUTE(SUBSTITUTE(SUBSTITUTE(KENKO[[#This Row],[N.B.nota]]," ",""),"-",""),"(",""),")",""),".",""),",",""),"/",""),"""",""))</f>
        <v/>
      </c>
      <c r="W14" s="8" t="str">
        <f ca="1">IF(KENKO[[#This Row],[concat]]="","",MATCH(KENKO[[#This Row],[concat]],[4]!db[NB NOTA_C],0)+1)</f>
        <v/>
      </c>
      <c r="X14" s="16" t="str">
        <f ca="1">IF(KENKO[[#This Row],[N.B.nota]]="","",ADDRESS(ROW(KENKO[QB]),COLUMN(KENKO[QB]))&amp;":"&amp;ADDRESS(ROW(),COLUMN(KENKO[QB])))</f>
        <v/>
      </c>
      <c r="Y14" s="16" t="str">
        <f ca="1">IF(KENKO[[#This Row],[//]]="","",HYPERLINK("[..\\DB.xlsx]DB!e"&amp;KENKO[[#This Row],[stt]],"&gt;"))</f>
        <v/>
      </c>
      <c r="Z14" s="4" t="str">
        <f ca="1">IF(KENKO[[#This Row],[//]]="","",IF(KENKO[[#This Row],[ID NOTA]]="",Z13,KENKO[[#This Row],[ID NOTA]]))</f>
        <v/>
      </c>
    </row>
    <row r="15" spans="1:26" ht="15" customHeight="1" x14ac:dyDescent="0.25">
      <c r="A15" s="2" t="s">
        <v>64</v>
      </c>
      <c r="B15" s="8">
        <f ca="1">IF(KENKO[[#This Row],[N_ID]]="","",INDEX(Table1[ID],MATCH(KENKO[[#This Row],[N_ID]],Table1[N_ID],0)))</f>
        <v>9</v>
      </c>
      <c r="C15" s="8" t="str">
        <f ca="1">IF(KENKO[[#This Row],[ID NOTA]]="","",HYPERLINK("[NOTA_.xlsx]NOTA!e"&amp;INDEX([2]!PAJAK[//],MATCH(KENKO[[#This Row],[ID NOTA]],[2]!PAJAK[ID],0)),"&gt;") )</f>
        <v>&gt;</v>
      </c>
      <c r="D15" s="8">
        <f ca="1">IF(KENKO[[#This Row],[ID NOTA]]="","",INDEX(Table1[QB],MATCH(KENKO[[#This Row],[ID NOTA]],Table1[ID],0)))</f>
        <v>4</v>
      </c>
      <c r="E1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</v>
      </c>
      <c r="F15" s="8">
        <v>3</v>
      </c>
      <c r="G15" s="9">
        <f ca="1">IF(KENKO[[#This Row],[ID NOTA]]="","",INDEX([2]!NOTA[TGL_H],MATCH(KENKO[[#This Row],[ID NOTA]],[2]!NOTA[ID],0)))</f>
        <v>44806</v>
      </c>
      <c r="H15" s="9">
        <f ca="1">IF(KENKO[[#This Row],[ID NOTA]]="","",INDEX([2]!NOTA[TGL.NOTA],MATCH(KENKO[[#This Row],[ID NOTA]],[2]!NOTA[ID],0)))</f>
        <v>44805</v>
      </c>
      <c r="I15" s="16" t="str">
        <f ca="1">IF(KENKO[[#This Row],[ID NOTA]]="","",INDEX([2]!NOTA[NO.NOTA],MATCH(KENKO[[#This Row],[ID NOTA]],[2]!NOTA[ID],0)))</f>
        <v>22090060</v>
      </c>
      <c r="J15" s="16" t="str">
        <f ca="1">IF(KENKO[[#This Row],[//]]="","",INDEX([4]!db[NB PAJAK],KENKO[[#This Row],[stt]]-1))</f>
        <v>BINDER CLIP KENKO NO. 111</v>
      </c>
      <c r="K15" s="8" t="str">
        <f>""</f>
        <v/>
      </c>
      <c r="L15" s="8">
        <f ca="1">IF(KENKO[[#This Row],[//]]="","",IF(INDEX([2]!NOTA[QTY],KENKO[//]-2)="",INDEX([2]!NOTA[C],KENKO[//]-2),INDEX([2]!NOTA[QTY],KENKO[//]-2)))</f>
        <v>3</v>
      </c>
      <c r="M15" s="8" t="str">
        <f ca="1">IF(KENKO[[#This Row],[//]]="","",IF(INDEX([2]!NOTA[STN],KENKO[//]-2)="","CTN",INDEX([2]!NOTA[STN],KENKO[//]-2)))</f>
        <v>CTN</v>
      </c>
      <c r="N15" s="17">
        <f ca="1">IF(KENKO[[#This Row],[//]]="","",IF(INDEX([2]!NOTA[HARGA/ CTN],KENKO[[#This Row],[//]]-2)="",INDEX([2]!NOTA[HARGA SATUAN],KENKO[//]-2),INDEX([2]!NOTA[HARGA/ CTN],KENKO[[#This Row],[//]]-2)))</f>
        <v>1476000</v>
      </c>
      <c r="O15" s="19" t="str">
        <f ca="1">IF(KENKO[[#This Row],[//]]="","",IF(INDEX([2]!NOTA[DISC 2],KENKO[[#This Row],[//]]-2)=0,"",INDEX([2]!NOTA[DISC 2],KENKO[[#This Row],[//]]-2)))</f>
        <v/>
      </c>
      <c r="P15" s="19"/>
      <c r="Q15" s="10">
        <f ca="1">IF(KENKO[[#This Row],[//]]="","",INDEX([2]!NOTA[JUMLAH],KENKO[[#This Row],[//]]-2)-IF(ISNUMBER(KENKO[[#This Row],[DISC 1 (%)]]),INDEX([2]!NOTA[JUMLAH],KENKO[[#This Row],[//]]-2)*KENKO[[#This Row],[DISC 1 (%)]],0))</f>
        <v>4428000</v>
      </c>
      <c r="R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s="16" t="str">
        <f ca="1">IF(KENKO[[#This Row],[//]]="","",INDEX([2]!NOTA[NAMA BARANG],KENKO[[#This Row],[//]]-2))</f>
        <v>KENKO BINDER CLIP NO.111</v>
      </c>
      <c r="V15" s="16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5" s="8">
        <f ca="1">IF(KENKO[[#This Row],[concat]]="","",MATCH(KENKO[[#This Row],[concat]],[4]!db[NB NOTA_C],0)+1)</f>
        <v>1007</v>
      </c>
      <c r="X15" s="16" t="str">
        <f ca="1">IF(KENKO[[#This Row],[N.B.nota]]="","",ADDRESS(ROW(KENKO[QB]),COLUMN(KENKO[QB]))&amp;":"&amp;ADDRESS(ROW(),COLUMN(KENKO[QB])))</f>
        <v>$D$3:$D$15</v>
      </c>
      <c r="Y15" s="16" t="str">
        <f ca="1">IF(KENKO[[#This Row],[//]]="","",HYPERLINK("[..\\DB.xlsx]DB!e"&amp;KENKO[[#This Row],[stt]],"&gt;"))</f>
        <v>&gt;</v>
      </c>
      <c r="Z15" s="4">
        <f ca="1">IF(KENKO[[#This Row],[//]]="","",IF(KENKO[[#This Row],[ID NOTA]]="",Z14,KENKO[[#This Row],[ID NOTA]]))</f>
        <v>9</v>
      </c>
    </row>
    <row r="16" spans="1:26" ht="15" customHeight="1" x14ac:dyDescent="0.25">
      <c r="A16" s="2"/>
      <c r="B16" s="8" t="str">
        <f>IF(KENKO[[#This Row],[N_ID]]="","",INDEX(Table1[ID],MATCH(KENKO[[#This Row],[N_ID]],Table1[N_ID],0)))</f>
        <v/>
      </c>
      <c r="C16" s="8" t="str">
        <f>IF(KENKO[[#This Row],[ID NOTA]]="","",HYPERLINK("[NOTA_.xlsx]NOTA!e"&amp;INDEX([2]!PAJAK[//],MATCH(KENKO[[#This Row],[ID NOTA]],[2]!PAJAK[ID],0)),"&gt;") )</f>
        <v/>
      </c>
      <c r="D16" s="8" t="str">
        <f>IF(KENKO[[#This Row],[ID NOTA]]="","",INDEX(Table1[QB],MATCH(KENKO[[#This Row],[ID NOTA]],Table1[ID],0)))</f>
        <v/>
      </c>
      <c r="E1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49</v>
      </c>
      <c r="F16" s="8"/>
      <c r="G16" s="9" t="str">
        <f>IF(KENKO[[#This Row],[ID NOTA]]="","",INDEX([2]!NOTA[TGL_H],MATCH(KENKO[[#This Row],[ID NOTA]],[2]!NOTA[ID],0)))</f>
        <v/>
      </c>
      <c r="H16" s="9" t="str">
        <f>IF(KENKO[[#This Row],[ID NOTA]]="","",INDEX([2]!NOTA[TGL.NOTA],MATCH(KENKO[[#This Row],[ID NOTA]],[2]!NOTA[ID],0)))</f>
        <v/>
      </c>
      <c r="I16" s="16" t="str">
        <f>IF(KENKO[[#This Row],[ID NOTA]]="","",INDEX([2]!NOTA[NO.NOTA],MATCH(KENKO[[#This Row],[ID NOTA]],[2]!NOTA[ID],0)))</f>
        <v/>
      </c>
      <c r="J16" s="16" t="str">
        <f ca="1">IF(KENKO[[#This Row],[//]]="","",INDEX([4]!db[NB PAJAK],KENKO[[#This Row],[stt]]-1))</f>
        <v>BINDER CLIP KENKO NO.280 (6 PCS / BOX)</v>
      </c>
      <c r="K16" s="8" t="str">
        <f>""</f>
        <v/>
      </c>
      <c r="L16" s="8">
        <f ca="1">IF(KENKO[[#This Row],[//]]="","",IF(INDEX([2]!NOTA[QTY],KENKO[//]-2)="",INDEX([2]!NOTA[C],KENKO[//]-2),INDEX([2]!NOTA[QTY],KENKO[//]-2)))</f>
        <v>1</v>
      </c>
      <c r="M16" s="8" t="str">
        <f ca="1">IF(KENKO[[#This Row],[//]]="","",IF(INDEX([2]!NOTA[STN],KENKO[//]-2)="","CTN",INDEX([2]!NOTA[STN],KENKO[//]-2)))</f>
        <v>CTN</v>
      </c>
      <c r="N16" s="17">
        <f ca="1">IF(KENKO[[#This Row],[//]]="","",IF(INDEX([2]!NOTA[HARGA/ CTN],KENKO[[#This Row],[//]]-2)="",INDEX([2]!NOTA[HARGA SATUAN],KENKO[//]-2),INDEX([2]!NOTA[HARGA/ CTN],KENKO[[#This Row],[//]]-2)))</f>
        <v>1548000</v>
      </c>
      <c r="O16" s="19" t="str">
        <f ca="1">IF(KENKO[[#This Row],[//]]="","",IF(INDEX([2]!NOTA[DISC 2],KENKO[[#This Row],[//]]-2)=0,"",INDEX([2]!NOTA[DISC 2],KENKO[[#This Row],[//]]-2)))</f>
        <v/>
      </c>
      <c r="P16" s="19"/>
      <c r="Q16" s="10">
        <f ca="1">IF(KENKO[[#This Row],[//]]="","",INDEX([2]!NOTA[JUMLAH],KENKO[[#This Row],[//]]-2)-IF(ISNUMBER(KENKO[[#This Row],[DISC 1 (%)]]),INDEX([2]!NOTA[JUMLAH],KENKO[[#This Row],[//]]-2)*KENKO[[#This Row],[DISC 1 (%)]],0))</f>
        <v>1548000</v>
      </c>
      <c r="R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s="16" t="str">
        <f ca="1">IF(KENKO[[#This Row],[//]]="","",INDEX([2]!NOTA[NAMA BARANG],KENKO[[#This Row],[//]]-2))</f>
        <v>KENKO BINDER CLIP NO.280 (6PCS/ BOX)</v>
      </c>
      <c r="V16" s="16" t="str">
        <f ca="1">LOWER(SUBSTITUTE(SUBSTITUTE(SUBSTITUTE(SUBSTITUTE(SUBSTITUTE(SUBSTITUTE(SUBSTITUTE(SUBSTITUTE(KENKO[[#This Row],[N.B.nota]]," ",""),"-",""),"(",""),")",""),".",""),",",""),"/",""),"""",""))</f>
        <v>kenkobinderclipno2806pcsbox</v>
      </c>
      <c r="W16" s="8">
        <f ca="1">IF(KENKO[[#This Row],[concat]]="","",MATCH(KENKO[[#This Row],[concat]],[4]!db[NB NOTA_C],0)+1)</f>
        <v>1012</v>
      </c>
      <c r="X16" s="16" t="str">
        <f ca="1">IF(KENKO[[#This Row],[N.B.nota]]="","",ADDRESS(ROW(KENKO[QB]),COLUMN(KENKO[QB]))&amp;":"&amp;ADDRESS(ROW(),COLUMN(KENKO[QB])))</f>
        <v>$D$3:$D$16</v>
      </c>
      <c r="Y16" s="16" t="str">
        <f ca="1">IF(KENKO[[#This Row],[//]]="","",HYPERLINK("[..\\DB.xlsx]DB!e"&amp;KENKO[[#This Row],[stt]],"&gt;"))</f>
        <v>&gt;</v>
      </c>
      <c r="Z16" s="4">
        <f ca="1">IF(KENKO[[#This Row],[//]]="","",IF(KENKO[[#This Row],[ID NOTA]]="",Z15,KENKO[[#This Row],[ID NOTA]]))</f>
        <v>9</v>
      </c>
    </row>
    <row r="17" spans="1:26" ht="15" customHeight="1" x14ac:dyDescent="0.25">
      <c r="A17" s="2"/>
      <c r="B17" s="8" t="str">
        <f>IF(KENKO[[#This Row],[N_ID]]="","",INDEX(Table1[ID],MATCH(KENKO[[#This Row],[N_ID]],Table1[N_ID],0)))</f>
        <v/>
      </c>
      <c r="C17" s="8" t="str">
        <f>IF(KENKO[[#This Row],[ID NOTA]]="","",HYPERLINK("[NOTA_.xlsx]NOTA!e"&amp;INDEX([2]!PAJAK[//],MATCH(KENKO[[#This Row],[ID NOTA]],[2]!PAJAK[ID],0)),"&gt;") )</f>
        <v/>
      </c>
      <c r="D17" s="8" t="str">
        <f>IF(KENKO[[#This Row],[ID NOTA]]="","",INDEX(Table1[QB],MATCH(KENKO[[#This Row],[ID NOTA]],Table1[ID],0)))</f>
        <v/>
      </c>
      <c r="E1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50</v>
      </c>
      <c r="F17" s="8"/>
      <c r="G17" s="9" t="str">
        <f>IF(KENKO[[#This Row],[ID NOTA]]="","",INDEX([2]!NOTA[TGL_H],MATCH(KENKO[[#This Row],[ID NOTA]],[2]!NOTA[ID],0)))</f>
        <v/>
      </c>
      <c r="H17" s="9" t="str">
        <f>IF(KENKO[[#This Row],[ID NOTA]]="","",INDEX([2]!NOTA[TGL.NOTA],MATCH(KENKO[[#This Row],[ID NOTA]],[2]!NOTA[ID],0)))</f>
        <v/>
      </c>
      <c r="I17" s="16" t="str">
        <f>IF(KENKO[[#This Row],[ID NOTA]]="","",INDEX([2]!NOTA[NO.NOTA],MATCH(KENKO[[#This Row],[ID NOTA]],[2]!NOTA[ID],0)))</f>
        <v/>
      </c>
      <c r="J17" s="16" t="str">
        <f ca="1">IF(KENKO[[#This Row],[//]]="","",INDEX([4]!db[NB PAJAK],KENKO[[#This Row],[stt]]-1))</f>
        <v>CORRECTION FLUID KENKO KE-108</v>
      </c>
      <c r="K17" s="8" t="str">
        <f>""</f>
        <v/>
      </c>
      <c r="L17" s="8">
        <f ca="1">IF(KENKO[[#This Row],[//]]="","",IF(INDEX([2]!NOTA[QTY],KENKO[//]-2)="",INDEX([2]!NOTA[C],KENKO[//]-2),INDEX([2]!NOTA[QTY],KENKO[//]-2)))</f>
        <v>4</v>
      </c>
      <c r="M17" s="8" t="str">
        <f ca="1">IF(KENKO[[#This Row],[//]]="","",IF(INDEX([2]!NOTA[STN],KENKO[//]-2)="","CTN",INDEX([2]!NOTA[STN],KENKO[//]-2)))</f>
        <v>CTN</v>
      </c>
      <c r="N17" s="17">
        <f ca="1">IF(KENKO[[#This Row],[//]]="","",IF(INDEX([2]!NOTA[HARGA/ CTN],KENKO[[#This Row],[//]]-2)="",INDEX([2]!NOTA[HARGA SATUAN],KENKO[//]-2),INDEX([2]!NOTA[HARGA/ CTN],KENKO[[#This Row],[//]]-2)))</f>
        <v>1695600</v>
      </c>
      <c r="O17" s="19" t="str">
        <f ca="1">IF(KENKO[[#This Row],[//]]="","",IF(INDEX([2]!NOTA[DISC 2],KENKO[[#This Row],[//]]-2)=0,"",INDEX([2]!NOTA[DISC 2],KENKO[[#This Row],[//]]-2)))</f>
        <v/>
      </c>
      <c r="P17" s="19"/>
      <c r="Q17" s="10">
        <f ca="1">IF(KENKO[[#This Row],[//]]="","",INDEX([2]!NOTA[JUMLAH],KENKO[[#This Row],[//]]-2)-IF(ISNUMBER(KENKO[[#This Row],[DISC 1 (%)]]),INDEX([2]!NOTA[JUMLAH],KENKO[[#This Row],[//]]-2)*KENKO[[#This Row],[DISC 1 (%)]],0))</f>
        <v>6782400</v>
      </c>
      <c r="R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s="16" t="str">
        <f ca="1">IF(KENKO[[#This Row],[//]]="","",INDEX([2]!NOTA[NAMA BARANG],KENKO[[#This Row],[//]]-2))</f>
        <v>KENKO CORRECTION FLUID KE-108</v>
      </c>
      <c r="V17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7" s="8">
        <f ca="1">IF(KENKO[[#This Row],[concat]]="","",MATCH(KENKO[[#This Row],[concat]],[4]!db[NB NOTA_C],0)+1)</f>
        <v>1057</v>
      </c>
      <c r="X17" s="16" t="str">
        <f ca="1">IF(KENKO[[#This Row],[N.B.nota]]="","",ADDRESS(ROW(KENKO[QB]),COLUMN(KENKO[QB]))&amp;":"&amp;ADDRESS(ROW(),COLUMN(KENKO[QB])))</f>
        <v>$D$3:$D$17</v>
      </c>
      <c r="Y17" s="16" t="str">
        <f ca="1">IF(KENKO[[#This Row],[//]]="","",HYPERLINK("[..\\DB.xlsx]DB!e"&amp;KENKO[[#This Row],[stt]],"&gt;"))</f>
        <v>&gt;</v>
      </c>
      <c r="Z17" s="4">
        <f ca="1">IF(KENKO[[#This Row],[//]]="","",IF(KENKO[[#This Row],[ID NOTA]]="",Z16,KENKO[[#This Row],[ID NOTA]]))</f>
        <v>9</v>
      </c>
    </row>
    <row r="18" spans="1:26" ht="15" customHeight="1" x14ac:dyDescent="0.25">
      <c r="A18" s="2"/>
      <c r="B18" s="8" t="str">
        <f>IF(KENKO[[#This Row],[N_ID]]="","",INDEX(Table1[ID],MATCH(KENKO[[#This Row],[N_ID]],Table1[N_ID],0)))</f>
        <v/>
      </c>
      <c r="C18" s="8" t="str">
        <f>IF(KENKO[[#This Row],[ID NOTA]]="","",HYPERLINK("[NOTA_.xlsx]NOTA!e"&amp;INDEX([2]!PAJAK[//],MATCH(KENKO[[#This Row],[ID NOTA]],[2]!PAJAK[ID],0)),"&gt;") )</f>
        <v/>
      </c>
      <c r="D18" s="8" t="str">
        <f>IF(KENKO[[#This Row],[ID NOTA]]="","",INDEX(Table1[QB],MATCH(KENKO[[#This Row],[ID NOTA]],Table1[ID],0)))</f>
        <v/>
      </c>
      <c r="E1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</v>
      </c>
      <c r="F18" s="8"/>
      <c r="G18" s="9" t="str">
        <f>IF(KENKO[[#This Row],[ID NOTA]]="","",INDEX([2]!NOTA[TGL_H],MATCH(KENKO[[#This Row],[ID NOTA]],[2]!NOTA[ID],0)))</f>
        <v/>
      </c>
      <c r="H18" s="9" t="str">
        <f>IF(KENKO[[#This Row],[ID NOTA]]="","",INDEX([2]!NOTA[TGL.NOTA],MATCH(KENKO[[#This Row],[ID NOTA]],[2]!NOTA[ID],0)))</f>
        <v/>
      </c>
      <c r="I18" s="16" t="str">
        <f>IF(KENKO[[#This Row],[ID NOTA]]="","",INDEX([2]!NOTA[NO.NOTA],MATCH(KENKO[[#This Row],[ID NOTA]],[2]!NOTA[ID],0)))</f>
        <v/>
      </c>
      <c r="J18" s="16" t="str">
        <f ca="1">IF(KENKO[[#This Row],[//]]="","",INDEX([4]!db[NB PAJAK],KENKO[[#This Row],[stt]]-1))</f>
        <v>CORRECTION FLUID KENKO KE-01</v>
      </c>
      <c r="K18" s="8" t="str">
        <f>""</f>
        <v/>
      </c>
      <c r="L18" s="8">
        <f ca="1">IF(KENKO[[#This Row],[//]]="","",IF(INDEX([2]!NOTA[QTY],KENKO[//]-2)="",INDEX([2]!NOTA[C],KENKO[//]-2),INDEX([2]!NOTA[QTY],KENKO[//]-2)))</f>
        <v>10</v>
      </c>
      <c r="M18" s="8" t="str">
        <f ca="1">IF(KENKO[[#This Row],[//]]="","",IF(INDEX([2]!NOTA[STN],KENKO[//]-2)="","CTN",INDEX([2]!NOTA[STN],KENKO[//]-2)))</f>
        <v>CTN</v>
      </c>
      <c r="N18" s="17">
        <f ca="1">IF(KENKO[[#This Row],[//]]="","",IF(INDEX([2]!NOTA[HARGA/ CTN],KENKO[[#This Row],[//]]-2)="",INDEX([2]!NOTA[HARGA SATUAN],KENKO[//]-2),INDEX([2]!NOTA[HARGA/ CTN],KENKO[[#This Row],[//]]-2)))</f>
        <v>1954800</v>
      </c>
      <c r="O18" s="19" t="str">
        <f ca="1">IF(KENKO[[#This Row],[//]]="","",IF(INDEX([2]!NOTA[DISC 2],KENKO[[#This Row],[//]]-2)=0,"",INDEX([2]!NOTA[DISC 2],KENKO[[#This Row],[//]]-2)))</f>
        <v/>
      </c>
      <c r="P18" s="19"/>
      <c r="Q18" s="10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1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5492088</v>
      </c>
      <c r="S1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26814312</v>
      </c>
      <c r="T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s="16" t="str">
        <f ca="1">IF(KENKO[[#This Row],[//]]="","",INDEX([2]!NOTA[NAMA BARANG],KENKO[[#This Row],[//]]-2))</f>
        <v>KENKO CORRECTION FLUID KE-01</v>
      </c>
      <c r="V18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8" s="8">
        <f ca="1">IF(KENKO[[#This Row],[concat]]="","",MATCH(KENKO[[#This Row],[concat]],[4]!db[NB NOTA_C],0)+1)</f>
        <v>1055</v>
      </c>
      <c r="X18" s="16" t="str">
        <f ca="1">IF(KENKO[[#This Row],[N.B.nota]]="","",ADDRESS(ROW(KENKO[QB]),COLUMN(KENKO[QB]))&amp;":"&amp;ADDRESS(ROW(),COLUMN(KENKO[QB])))</f>
        <v>$D$3:$D$18</v>
      </c>
      <c r="Y18" s="16" t="str">
        <f ca="1">IF(KENKO[[#This Row],[//]]="","",HYPERLINK("[..\\DB.xlsx]DB!e"&amp;KENKO[[#This Row],[stt]],"&gt;"))</f>
        <v>&gt;</v>
      </c>
      <c r="Z18" s="4">
        <f ca="1">IF(KENKO[[#This Row],[//]]="","",IF(KENKO[[#This Row],[ID NOTA]]="",Z17,KENKO[[#This Row],[ID NOTA]]))</f>
        <v>9</v>
      </c>
    </row>
    <row r="19" spans="1:26" ht="15" customHeight="1" x14ac:dyDescent="0.25">
      <c r="A19" s="2"/>
      <c r="B19" s="8" t="str">
        <f>IF(KENKO[[#This Row],[N_ID]]="","",INDEX(Table1[ID],MATCH(KENKO[[#This Row],[N_ID]],Table1[N_ID],0)))</f>
        <v/>
      </c>
      <c r="C19" s="8" t="str">
        <f>IF(KENKO[[#This Row],[ID NOTA]]="","",HYPERLINK("[NOTA_.xlsx]NOTA!e"&amp;INDEX([2]!PAJAK[//],MATCH(KENKO[[#This Row],[ID NOTA]],[2]!PAJAK[ID],0)),"&gt;") )</f>
        <v/>
      </c>
      <c r="D19" s="8" t="str">
        <f>IF(KENKO[[#This Row],[ID NOTA]]="","",INDEX(Table1[QB],MATCH(KENKO[[#This Row],[ID NOTA]],Table1[ID],0)))</f>
        <v/>
      </c>
      <c r="E1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" s="8"/>
      <c r="G19" s="9" t="str">
        <f>IF(KENKO[[#This Row],[ID NOTA]]="","",INDEX([2]!NOTA[TGL_H],MATCH(KENKO[[#This Row],[ID NOTA]],[2]!NOTA[ID],0)))</f>
        <v/>
      </c>
      <c r="H19" s="9" t="str">
        <f>IF(KENKO[[#This Row],[ID NOTA]]="","",INDEX([2]!NOTA[TGL.NOTA],MATCH(KENKO[[#This Row],[ID NOTA]],[2]!NOTA[ID],0)))</f>
        <v/>
      </c>
      <c r="I19" s="16" t="str">
        <f>IF(KENKO[[#This Row],[ID NOTA]]="","",INDEX([2]!NOTA[NO.NOTA],MATCH(KENKO[[#This Row],[ID NOTA]],[2]!NOTA[ID],0)))</f>
        <v/>
      </c>
      <c r="J19" s="16" t="str">
        <f ca="1">IF(KENKO[[#This Row],[//]]="","",INDEX([4]!db[NB PAJAK],KENKO[[#This Row],[stt]]-1))</f>
        <v/>
      </c>
      <c r="K19" s="8" t="str">
        <f>""</f>
        <v/>
      </c>
      <c r="L19" s="8" t="str">
        <f ca="1">IF(KENKO[[#This Row],[//]]="","",IF(INDEX([2]!NOTA[QTY],KENKO[//]-2)="",INDEX([2]!NOTA[C],KENKO[//]-2),INDEX([2]!NOTA[QTY],KENKO[//]-2)))</f>
        <v/>
      </c>
      <c r="M19" s="8" t="str">
        <f ca="1">IF(KENKO[[#This Row],[//]]="","",IF(INDEX([2]!NOTA[STN],KENKO[//]-2)="","CTN",INDEX([2]!NOTA[STN],KENKO[//]-2)))</f>
        <v/>
      </c>
      <c r="N19" s="17" t="str">
        <f ca="1">IF(KENKO[[#This Row],[//]]="","",IF(INDEX([2]!NOTA[HARGA/ CTN],KENKO[[#This Row],[//]]-2)="",INDEX([2]!NOTA[HARGA SATUAN],KENKO[//]-2),INDEX([2]!NOTA[HARGA/ CTN],KENKO[[#This Row],[//]]-2)))</f>
        <v/>
      </c>
      <c r="O19" s="19" t="str">
        <f ca="1">IF(KENKO[[#This Row],[//]]="","",IF(INDEX([2]!NOTA[DISC 2],KENKO[[#This Row],[//]]-2)=0,"",INDEX([2]!NOTA[DISC 2],KENKO[[#This Row],[//]]-2)))</f>
        <v/>
      </c>
      <c r="P19" s="19"/>
      <c r="Q1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s="16" t="str">
        <f ca="1">IF(KENKO[[#This Row],[//]]="","",INDEX([2]!NOTA[NAMA BARANG],KENKO[[#This Row],[//]]-2))</f>
        <v/>
      </c>
      <c r="V19" s="16" t="str">
        <f ca="1">LOWER(SUBSTITUTE(SUBSTITUTE(SUBSTITUTE(SUBSTITUTE(SUBSTITUTE(SUBSTITUTE(SUBSTITUTE(SUBSTITUTE(KENKO[[#This Row],[N.B.nota]]," ",""),"-",""),"(",""),")",""),".",""),",",""),"/",""),"""",""))</f>
        <v/>
      </c>
      <c r="W19" s="8" t="str">
        <f ca="1">IF(KENKO[[#This Row],[concat]]="","",MATCH(KENKO[[#This Row],[concat]],[4]!db[NB NOTA_C],0)+1)</f>
        <v/>
      </c>
      <c r="X19" s="16" t="str">
        <f ca="1">IF(KENKO[[#This Row],[N.B.nota]]="","",ADDRESS(ROW(KENKO[QB]),COLUMN(KENKO[QB]))&amp;":"&amp;ADDRESS(ROW(),COLUMN(KENKO[QB])))</f>
        <v/>
      </c>
      <c r="Y19" s="16" t="str">
        <f ca="1">IF(KENKO[[#This Row],[//]]="","",HYPERLINK("[..\\DB.xlsx]DB!e"&amp;KENKO[[#This Row],[stt]],"&gt;"))</f>
        <v/>
      </c>
      <c r="Z19" s="4" t="str">
        <f ca="1">IF(KENKO[[#This Row],[//]]="","",IF(KENKO[[#This Row],[ID NOTA]]="",Z18,KENKO[[#This Row],[ID NOTA]]))</f>
        <v/>
      </c>
    </row>
    <row r="20" spans="1:26" ht="15" customHeight="1" x14ac:dyDescent="0.25">
      <c r="A20" s="2" t="s">
        <v>65</v>
      </c>
      <c r="B20" s="8">
        <f ca="1">IF(KENKO[[#This Row],[N_ID]]="","",INDEX(Table1[ID],MATCH(KENKO[[#This Row],[N_ID]],Table1[N_ID],0)))</f>
        <v>10</v>
      </c>
      <c r="C20" s="8" t="str">
        <f ca="1">IF(KENKO[[#This Row],[ID NOTA]]="","",HYPERLINK("[NOTA_.xlsx]NOTA!e"&amp;INDEX([2]!PAJAK[//],MATCH(KENKO[[#This Row],[ID NOTA]],[2]!PAJAK[ID],0)),"&gt;") )</f>
        <v>&gt;</v>
      </c>
      <c r="D20" s="8">
        <f ca="1">IF(KENKO[[#This Row],[ID NOTA]]="","",INDEX(Table1[QB],MATCH(KENKO[[#This Row],[ID NOTA]],Table1[ID],0)))</f>
        <v>4</v>
      </c>
      <c r="E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</v>
      </c>
      <c r="F20" s="8">
        <v>4</v>
      </c>
      <c r="G20" s="9">
        <f ca="1">IF(KENKO[[#This Row],[ID NOTA]]="","",INDEX([2]!NOTA[TGL_H],MATCH(KENKO[[#This Row],[ID NOTA]],[2]!NOTA[ID],0)))</f>
        <v>44806</v>
      </c>
      <c r="H20" s="9">
        <f ca="1">IF(KENKO[[#This Row],[ID NOTA]]="","",INDEX([2]!NOTA[TGL.NOTA],MATCH(KENKO[[#This Row],[ID NOTA]],[2]!NOTA[ID],0)))</f>
        <v>44805</v>
      </c>
      <c r="I20" s="16" t="str">
        <f ca="1">IF(KENKO[[#This Row],[ID NOTA]]="","",INDEX([2]!NOTA[NO.NOTA],MATCH(KENKO[[#This Row],[ID NOTA]],[2]!NOTA[ID],0)))</f>
        <v>22090093</v>
      </c>
      <c r="J20" s="16" t="str">
        <f ca="1">IF(KENKO[[#This Row],[//]]="","",INDEX([4]!db[NB PAJAK],KENKO[[#This Row],[stt]]-1))</f>
        <v>CORRECTION FLUID KENKO KE-108</v>
      </c>
      <c r="K20" s="8" t="str">
        <f>""</f>
        <v/>
      </c>
      <c r="L20" s="8">
        <f ca="1">IF(KENKO[[#This Row],[//]]="","",IF(INDEX([2]!NOTA[QTY],KENKO[//]-2)="",INDEX([2]!NOTA[C],KENKO[//]-2),INDEX([2]!NOTA[QTY],KENKO[//]-2)))</f>
        <v>2</v>
      </c>
      <c r="M20" s="8" t="str">
        <f ca="1">IF(KENKO[[#This Row],[//]]="","",IF(INDEX([2]!NOTA[STN],KENKO[//]-2)="","CTN",INDEX([2]!NOTA[STN],KENKO[//]-2)))</f>
        <v>CTN</v>
      </c>
      <c r="N20" s="17">
        <f ca="1">IF(KENKO[[#This Row],[//]]="","",IF(INDEX([2]!NOTA[HARGA/ CTN],KENKO[[#This Row],[//]]-2)="",INDEX([2]!NOTA[HARGA SATUAN],KENKO[//]-2),INDEX([2]!NOTA[HARGA/ CTN],KENKO[[#This Row],[//]]-2)))</f>
        <v>1695600</v>
      </c>
      <c r="O20" s="19" t="str">
        <f ca="1">IF(KENKO[[#This Row],[//]]="","",IF(INDEX([2]!NOTA[DISC 2],KENKO[[#This Row],[//]]-2)=0,"",INDEX([2]!NOTA[DISC 2],KENKO[[#This Row],[//]]-2)))</f>
        <v/>
      </c>
      <c r="P20" s="19"/>
      <c r="Q20" s="10">
        <f ca="1">IF(KENKO[[#This Row],[//]]="","",INDEX([2]!NOTA[JUMLAH],KENKO[[#This Row],[//]]-2)-IF(ISNUMBER(KENKO[[#This Row],[DISC 1 (%)]]),INDEX([2]!NOTA[JUMLAH],KENKO[[#This Row],[//]]-2)*KENKO[[#This Row],[DISC 1 (%)]],0))</f>
        <v>3391200</v>
      </c>
      <c r="R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s="16" t="str">
        <f ca="1">IF(KENKO[[#This Row],[//]]="","",INDEX([2]!NOTA[NAMA BARANG],KENKO[[#This Row],[//]]-2))</f>
        <v>KENKO CORRECTION FLUID KE-108</v>
      </c>
      <c r="V20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20" s="8">
        <f ca="1">IF(KENKO[[#This Row],[concat]]="","",MATCH(KENKO[[#This Row],[concat]],[4]!db[NB NOTA_C],0)+1)</f>
        <v>1057</v>
      </c>
      <c r="X20" s="16" t="str">
        <f ca="1">IF(KENKO[[#This Row],[N.B.nota]]="","",ADDRESS(ROW(KENKO[QB]),COLUMN(KENKO[QB]))&amp;":"&amp;ADDRESS(ROW(),COLUMN(KENKO[QB])))</f>
        <v>$D$3:$D$20</v>
      </c>
      <c r="Y20" s="16" t="str">
        <f ca="1">IF(KENKO[[#This Row],[//]]="","",HYPERLINK("[..\\DB.xlsx]DB!e"&amp;KENKO[[#This Row],[stt]],"&gt;"))</f>
        <v>&gt;</v>
      </c>
      <c r="Z20" s="4">
        <f ca="1">IF(KENKO[[#This Row],[//]]="","",IF(KENKO[[#This Row],[ID NOTA]]="",Z19,KENKO[[#This Row],[ID NOTA]]))</f>
        <v>10</v>
      </c>
    </row>
    <row r="21" spans="1:26" ht="15" customHeight="1" x14ac:dyDescent="0.25">
      <c r="A21" s="2"/>
      <c r="B21" s="8" t="str">
        <f>IF(KENKO[[#This Row],[N_ID]]="","",INDEX(Table1[ID],MATCH(KENKO[[#This Row],[N_ID]],Table1[N_ID],0)))</f>
        <v/>
      </c>
      <c r="C21" s="8" t="str">
        <f>IF(KENKO[[#This Row],[ID NOTA]]="","",HYPERLINK("[NOTA_.xlsx]NOTA!e"&amp;INDEX([2]!PAJAK[//],MATCH(KENKO[[#This Row],[ID NOTA]],[2]!PAJAK[ID],0)),"&gt;") )</f>
        <v/>
      </c>
      <c r="D21" s="8" t="str">
        <f>IF(KENKO[[#This Row],[ID NOTA]]="","",INDEX(Table1[QB],MATCH(KENKO[[#This Row],[ID NOTA]],Table1[ID],0)))</f>
        <v/>
      </c>
      <c r="E2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54</v>
      </c>
      <c r="F21" s="8"/>
      <c r="G21" s="9" t="str">
        <f>IF(KENKO[[#This Row],[ID NOTA]]="","",INDEX([2]!NOTA[TGL_H],MATCH(KENKO[[#This Row],[ID NOTA]],[2]!NOTA[ID],0)))</f>
        <v/>
      </c>
      <c r="H21" s="9" t="str">
        <f>IF(KENKO[[#This Row],[ID NOTA]]="","",INDEX([2]!NOTA[TGL.NOTA],MATCH(KENKO[[#This Row],[ID NOTA]],[2]!NOTA[ID],0)))</f>
        <v/>
      </c>
      <c r="I21" s="16" t="str">
        <f>IF(KENKO[[#This Row],[ID NOTA]]="","",INDEX([2]!NOTA[NO.NOTA],MATCH(KENKO[[#This Row],[ID NOTA]],[2]!NOTA[ID],0)))</f>
        <v/>
      </c>
      <c r="J21" s="16" t="str">
        <f ca="1">IF(KENKO[[#This Row],[//]]="","",INDEX([4]!db[NB PAJAK],KENKO[[#This Row],[stt]]-1))</f>
        <v>CUTTER 18 MM KENKO L-500 (BESAR)</v>
      </c>
      <c r="K21" s="8" t="str">
        <f>""</f>
        <v/>
      </c>
      <c r="L21" s="8">
        <f ca="1">IF(KENKO[[#This Row],[//]]="","",IF(INDEX([2]!NOTA[QTY],KENKO[//]-2)="",INDEX([2]!NOTA[C],KENKO[//]-2),INDEX([2]!NOTA[QTY],KENKO[//]-2)))</f>
        <v>3</v>
      </c>
      <c r="M21" s="8" t="str">
        <f ca="1">IF(KENKO[[#This Row],[//]]="","",IF(INDEX([2]!NOTA[STN],KENKO[//]-2)="","CTN",INDEX([2]!NOTA[STN],KENKO[//]-2)))</f>
        <v>CTN</v>
      </c>
      <c r="N21" s="17">
        <f ca="1">IF(KENKO[[#This Row],[//]]="","",IF(INDEX([2]!NOTA[HARGA/ CTN],KENKO[[#This Row],[//]]-2)="",INDEX([2]!NOTA[HARGA SATUAN],KENKO[//]-2),INDEX([2]!NOTA[HARGA/ CTN],KENKO[[#This Row],[//]]-2)))</f>
        <v>2952000</v>
      </c>
      <c r="O21" s="19" t="str">
        <f ca="1">IF(KENKO[[#This Row],[//]]="","",IF(INDEX([2]!NOTA[DISC 2],KENKO[[#This Row],[//]]-2)=0,"",INDEX([2]!NOTA[DISC 2],KENKO[[#This Row],[//]]-2)))</f>
        <v/>
      </c>
      <c r="P21" s="19"/>
      <c r="Q21" s="10">
        <f ca="1">IF(KENKO[[#This Row],[//]]="","",INDEX([2]!NOTA[JUMLAH],KENKO[[#This Row],[//]]-2)-IF(ISNUMBER(KENKO[[#This Row],[DISC 1 (%)]]),INDEX([2]!NOTA[JUMLAH],KENKO[[#This Row],[//]]-2)*KENKO[[#This Row],[DISC 1 (%)]],0))</f>
        <v>8856000</v>
      </c>
      <c r="R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s="16" t="str">
        <f ca="1">IF(KENKO[[#This Row],[//]]="","",INDEX([2]!NOTA[NAMA BARANG],KENKO[[#This Row],[//]]-2))</f>
        <v>KENKO CUTTER L-500 (18MM BLADE)</v>
      </c>
      <c r="V21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21" s="8">
        <f ca="1">IF(KENKO[[#This Row],[concat]]="","",MATCH(KENKO[[#This Row],[concat]],[4]!db[NB NOTA_C],0)+1)</f>
        <v>1087</v>
      </c>
      <c r="X21" s="16" t="str">
        <f ca="1">IF(KENKO[[#This Row],[N.B.nota]]="","",ADDRESS(ROW(KENKO[QB]),COLUMN(KENKO[QB]))&amp;":"&amp;ADDRESS(ROW(),COLUMN(KENKO[QB])))</f>
        <v>$D$3:$D$21</v>
      </c>
      <c r="Y21" s="16" t="str">
        <f ca="1">IF(KENKO[[#This Row],[//]]="","",HYPERLINK("[..\\DB.xlsx]DB!e"&amp;KENKO[[#This Row],[stt]],"&gt;"))</f>
        <v>&gt;</v>
      </c>
      <c r="Z21" s="4">
        <f ca="1">IF(KENKO[[#This Row],[//]]="","",IF(KENKO[[#This Row],[ID NOTA]]="",Z20,KENKO[[#This Row],[ID NOTA]]))</f>
        <v>10</v>
      </c>
    </row>
    <row r="22" spans="1:26" ht="15" customHeight="1" x14ac:dyDescent="0.25">
      <c r="A22" s="2"/>
      <c r="B22" s="8" t="str">
        <f>IF(KENKO[[#This Row],[N_ID]]="","",INDEX(Table1[ID],MATCH(KENKO[[#This Row],[N_ID]],Table1[N_ID],0)))</f>
        <v/>
      </c>
      <c r="C22" s="8" t="str">
        <f>IF(KENKO[[#This Row],[ID NOTA]]="","",HYPERLINK("[NOTA_.xlsx]NOTA!e"&amp;INDEX([2]!PAJAK[//],MATCH(KENKO[[#This Row],[ID NOTA]],[2]!PAJAK[ID],0)),"&gt;") )</f>
        <v/>
      </c>
      <c r="D22" s="8" t="str">
        <f>IF(KENKO[[#This Row],[ID NOTA]]="","",INDEX(Table1[QB],MATCH(KENKO[[#This Row],[ID NOTA]],Table1[ID],0)))</f>
        <v/>
      </c>
      <c r="E2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55</v>
      </c>
      <c r="F22" s="8"/>
      <c r="G22" s="9" t="str">
        <f>IF(KENKO[[#This Row],[ID NOTA]]="","",INDEX([2]!NOTA[TGL_H],MATCH(KENKO[[#This Row],[ID NOTA]],[2]!NOTA[ID],0)))</f>
        <v/>
      </c>
      <c r="H22" s="9" t="str">
        <f>IF(KENKO[[#This Row],[ID NOTA]]="","",INDEX([2]!NOTA[TGL.NOTA],MATCH(KENKO[[#This Row],[ID NOTA]],[2]!NOTA[ID],0)))</f>
        <v/>
      </c>
      <c r="I22" s="16" t="str">
        <f>IF(KENKO[[#This Row],[ID NOTA]]="","",INDEX([2]!NOTA[NO.NOTA],MATCH(KENKO[[#This Row],[ID NOTA]],[2]!NOTA[ID],0)))</f>
        <v/>
      </c>
      <c r="J22" s="16" t="str">
        <f ca="1">IF(KENKO[[#This Row],[//]]="","",INDEX([4]!db[NB PAJAK],KENKO[[#This Row],[stt]]-1))</f>
        <v>GEL PEN KENKO HI-TECH-H 0.28 MM HITAM</v>
      </c>
      <c r="K22" s="8" t="str">
        <f>""</f>
        <v/>
      </c>
      <c r="L22" s="8">
        <f ca="1">IF(KENKO[[#This Row],[//]]="","",IF(INDEX([2]!NOTA[QTY],KENKO[//]-2)="",INDEX([2]!NOTA[C],KENKO[//]-2),INDEX([2]!NOTA[QTY],KENKO[//]-2)))</f>
        <v>15</v>
      </c>
      <c r="M22" s="8" t="str">
        <f ca="1">IF(KENKO[[#This Row],[//]]="","",IF(INDEX([2]!NOTA[STN],KENKO[//]-2)="","CTN",INDEX([2]!NOTA[STN],KENKO[//]-2)))</f>
        <v>CTN</v>
      </c>
      <c r="N22" s="17">
        <f ca="1">IF(KENKO[[#This Row],[//]]="","",IF(INDEX([2]!NOTA[HARGA/ CTN],KENKO[[#This Row],[//]]-2)="",INDEX([2]!NOTA[HARGA SATUAN],KENKO[//]-2),INDEX([2]!NOTA[HARGA/ CTN],KENKO[[#This Row],[//]]-2)))</f>
        <v>5616000</v>
      </c>
      <c r="O22" s="19" t="str">
        <f ca="1">IF(KENKO[[#This Row],[//]]="","",IF(INDEX([2]!NOTA[DISC 2],KENKO[[#This Row],[//]]-2)=0,"",INDEX([2]!NOTA[DISC 2],KENKO[[#This Row],[//]]-2)))</f>
        <v/>
      </c>
      <c r="P22" s="19"/>
      <c r="Q22" s="10">
        <f ca="1">IF(KENKO[[#This Row],[//]]="","",INDEX([2]!NOTA[JUMLAH],KENKO[[#This Row],[//]]-2)-IF(ISNUMBER(KENKO[[#This Row],[DISC 1 (%)]]),INDEX([2]!NOTA[JUMLAH],KENKO[[#This Row],[//]]-2)*KENKO[[#This Row],[DISC 1 (%)]],0))</f>
        <v>84240000</v>
      </c>
      <c r="R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s="16" t="str">
        <f ca="1">IF(KENKO[[#This Row],[//]]="","",INDEX([2]!NOTA[NAMA BARANG],KENKO[[#This Row],[//]]-2))</f>
        <v>KENKO GEL PEN HI-TECH-H 0.28MM BLACK</v>
      </c>
      <c r="V22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22" s="8">
        <f ca="1">IF(KENKO[[#This Row],[concat]]="","",MATCH(KENKO[[#This Row],[concat]],[4]!db[NB NOTA_C],0)+1)</f>
        <v>1103</v>
      </c>
      <c r="X22" s="16" t="str">
        <f ca="1">IF(KENKO[[#This Row],[N.B.nota]]="","",ADDRESS(ROW(KENKO[QB]),COLUMN(KENKO[QB]))&amp;":"&amp;ADDRESS(ROW(),COLUMN(KENKO[QB])))</f>
        <v>$D$3:$D$22</v>
      </c>
      <c r="Y22" s="16" t="str">
        <f ca="1">IF(KENKO[[#This Row],[//]]="","",HYPERLINK("[..\\DB.xlsx]DB!e"&amp;KENKO[[#This Row],[stt]],"&gt;"))</f>
        <v>&gt;</v>
      </c>
      <c r="Z22" s="4">
        <f ca="1">IF(KENKO[[#This Row],[//]]="","",IF(KENKO[[#This Row],[ID NOTA]]="",Z21,KENKO[[#This Row],[ID NOTA]]))</f>
        <v>10</v>
      </c>
    </row>
    <row r="23" spans="1:26" ht="15" customHeight="1" x14ac:dyDescent="0.25">
      <c r="A23" s="2"/>
      <c r="B23" s="8" t="str">
        <f>IF(KENKO[[#This Row],[N_ID]]="","",INDEX(Table1[ID],MATCH(KENKO[[#This Row],[N_ID]],Table1[N_ID],0)))</f>
        <v/>
      </c>
      <c r="C23" s="8" t="str">
        <f>IF(KENKO[[#This Row],[ID NOTA]]="","",HYPERLINK("[NOTA_.xlsx]NOTA!e"&amp;INDEX([2]!PAJAK[//],MATCH(KENKO[[#This Row],[ID NOTA]],[2]!PAJAK[ID],0)),"&gt;") )</f>
        <v/>
      </c>
      <c r="D23" s="8" t="str">
        <f>IF(KENKO[[#This Row],[ID NOTA]]="","",INDEX(Table1[QB],MATCH(KENKO[[#This Row],[ID NOTA]],Table1[ID],0)))</f>
        <v/>
      </c>
      <c r="E2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</v>
      </c>
      <c r="F23" s="8"/>
      <c r="G23" s="9" t="str">
        <f>IF(KENKO[[#This Row],[ID NOTA]]="","",INDEX([2]!NOTA[TGL_H],MATCH(KENKO[[#This Row],[ID NOTA]],[2]!NOTA[ID],0)))</f>
        <v/>
      </c>
      <c r="H23" s="9" t="str">
        <f>IF(KENKO[[#This Row],[ID NOTA]]="","",INDEX([2]!NOTA[TGL.NOTA],MATCH(KENKO[[#This Row],[ID NOTA]],[2]!NOTA[ID],0)))</f>
        <v/>
      </c>
      <c r="I23" s="16" t="str">
        <f>IF(KENKO[[#This Row],[ID NOTA]]="","",INDEX([2]!NOTA[NO.NOTA],MATCH(KENKO[[#This Row],[ID NOTA]],[2]!NOTA[ID],0)))</f>
        <v/>
      </c>
      <c r="J23" s="16" t="str">
        <f ca="1">IF(KENKO[[#This Row],[//]]="","",INDEX([4]!db[NB PAJAK],KENKO[[#This Row],[stt]]-1))</f>
        <v>ISI STAPLER (STAPLES) KENKO NO.3 (isi 20 box)</v>
      </c>
      <c r="K23" s="8" t="str">
        <f>""</f>
        <v/>
      </c>
      <c r="L23" s="8">
        <f ca="1">IF(KENKO[[#This Row],[//]]="","",IF(INDEX([2]!NOTA[QTY],KENKO[//]-2)="",INDEX([2]!NOTA[C],KENKO[//]-2),INDEX([2]!NOTA[QTY],KENKO[//]-2)))</f>
        <v>5</v>
      </c>
      <c r="M23" s="8" t="str">
        <f ca="1">IF(KENKO[[#This Row],[//]]="","",IF(INDEX([2]!NOTA[STN],KENKO[//]-2)="","CTN",INDEX([2]!NOTA[STN],KENKO[//]-2)))</f>
        <v>CTN</v>
      </c>
      <c r="N23" s="17">
        <f ca="1">IF(KENKO[[#This Row],[//]]="","",IF(INDEX([2]!NOTA[HARGA/ CTN],KENKO[[#This Row],[//]]-2)="",INDEX([2]!NOTA[HARGA SATUAN],KENKO[//]-2),INDEX([2]!NOTA[HARGA/ CTN],KENKO[[#This Row],[//]]-2)))</f>
        <v>525000</v>
      </c>
      <c r="O23" s="19" t="str">
        <f ca="1">IF(KENKO[[#This Row],[//]]="","",IF(INDEX([2]!NOTA[DISC 2],KENKO[[#This Row],[//]]-2)=0,"",INDEX([2]!NOTA[DISC 2],KENKO[[#This Row],[//]]-2)))</f>
        <v/>
      </c>
      <c r="P23" s="19"/>
      <c r="Q23" s="10">
        <f ca="1">IF(KENKO[[#This Row],[//]]="","",INDEX([2]!NOTA[JUMLAH],KENKO[[#This Row],[//]]-2)-IF(ISNUMBER(KENKO[[#This Row],[DISC 1 (%)]]),INDEX([2]!NOTA[JUMLAH],KENKO[[#This Row],[//]]-2)*KENKO[[#This Row],[DISC 1 (%)]],0))</f>
        <v>2625000</v>
      </c>
      <c r="R2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16849074</v>
      </c>
      <c r="S2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82263126</v>
      </c>
      <c r="T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s="16" t="str">
        <f ca="1">IF(KENKO[[#This Row],[//]]="","",INDEX([2]!NOTA[NAMA BARANG],KENKO[[#This Row],[//]]-2))</f>
        <v>KENKO STAPLES NO.3</v>
      </c>
      <c r="V23" s="16" t="str">
        <f ca="1">LOWER(SUBSTITUTE(SUBSTITUTE(SUBSTITUTE(SUBSTITUTE(SUBSTITUTE(SUBSTITUTE(SUBSTITUTE(SUBSTITUTE(KENKO[[#This Row],[N.B.nota]]," ",""),"-",""),"(",""),")",""),".",""),",",""),"/",""),"""",""))</f>
        <v>kenkostaplesno3</v>
      </c>
      <c r="W23" s="8">
        <f ca="1">IF(KENKO[[#This Row],[concat]]="","",MATCH(KENKO[[#This Row],[concat]],[4]!db[NB NOTA_C],0)+1)</f>
        <v>1251</v>
      </c>
      <c r="X23" s="16" t="str">
        <f ca="1">IF(KENKO[[#This Row],[N.B.nota]]="","",ADDRESS(ROW(KENKO[QB]),COLUMN(KENKO[QB]))&amp;":"&amp;ADDRESS(ROW(),COLUMN(KENKO[QB])))</f>
        <v>$D$3:$D$23</v>
      </c>
      <c r="Y23" s="16" t="str">
        <f ca="1">IF(KENKO[[#This Row],[//]]="","",HYPERLINK("[..\\DB.xlsx]DB!e"&amp;KENKO[[#This Row],[stt]],"&gt;"))</f>
        <v>&gt;</v>
      </c>
      <c r="Z23" s="4">
        <f ca="1">IF(KENKO[[#This Row],[//]]="","",IF(KENKO[[#This Row],[ID NOTA]]="",Z22,KENKO[[#This Row],[ID NOTA]]))</f>
        <v>10</v>
      </c>
    </row>
    <row r="24" spans="1:26" ht="15" customHeight="1" x14ac:dyDescent="0.25">
      <c r="A24" s="2"/>
      <c r="B24" s="8" t="str">
        <f>IF(KENKO[[#This Row],[N_ID]]="","",INDEX(Table1[ID],MATCH(KENKO[[#This Row],[N_ID]],Table1[N_ID],0)))</f>
        <v/>
      </c>
      <c r="C24" s="8" t="str">
        <f>IF(KENKO[[#This Row],[ID NOTA]]="","",HYPERLINK("[NOTA_.xlsx]NOTA!e"&amp;INDEX([2]!PAJAK[//],MATCH(KENKO[[#This Row],[ID NOTA]],[2]!PAJAK[ID],0)),"&gt;") )</f>
        <v/>
      </c>
      <c r="D24" s="8" t="str">
        <f>IF(KENKO[[#This Row],[ID NOTA]]="","",INDEX(Table1[QB],MATCH(KENKO[[#This Row],[ID NOTA]],Table1[ID],0)))</f>
        <v/>
      </c>
      <c r="E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" s="8"/>
      <c r="G24" s="9" t="str">
        <f>IF(KENKO[[#This Row],[ID NOTA]]="","",INDEX([2]!NOTA[TGL_H],MATCH(KENKO[[#This Row],[ID NOTA]],[2]!NOTA[ID],0)))</f>
        <v/>
      </c>
      <c r="H24" s="9" t="str">
        <f>IF(KENKO[[#This Row],[ID NOTA]]="","",INDEX([2]!NOTA[TGL.NOTA],MATCH(KENKO[[#This Row],[ID NOTA]],[2]!NOTA[ID],0)))</f>
        <v/>
      </c>
      <c r="I24" s="16" t="str">
        <f>IF(KENKO[[#This Row],[ID NOTA]]="","",INDEX([2]!NOTA[NO.NOTA],MATCH(KENKO[[#This Row],[ID NOTA]],[2]!NOTA[ID],0)))</f>
        <v/>
      </c>
      <c r="J24" s="16" t="str">
        <f ca="1">IF(KENKO[[#This Row],[//]]="","",INDEX([4]!db[NB PAJAK],KENKO[[#This Row],[stt]]-1))</f>
        <v/>
      </c>
      <c r="K24" s="8" t="str">
        <f>""</f>
        <v/>
      </c>
      <c r="L24" s="8" t="str">
        <f ca="1">IF(KENKO[[#This Row],[//]]="","",IF(INDEX([2]!NOTA[QTY],KENKO[//]-2)="",INDEX([2]!NOTA[C],KENKO[//]-2),INDEX([2]!NOTA[QTY],KENKO[//]-2)))</f>
        <v/>
      </c>
      <c r="M24" s="8" t="str">
        <f ca="1">IF(KENKO[[#This Row],[//]]="","",IF(INDEX([2]!NOTA[STN],KENKO[//]-2)="","CTN",INDEX([2]!NOTA[STN],KENKO[//]-2)))</f>
        <v/>
      </c>
      <c r="N24" s="17" t="str">
        <f ca="1">IF(KENKO[[#This Row],[//]]="","",IF(INDEX([2]!NOTA[HARGA/ CTN],KENKO[[#This Row],[//]]-2)="",INDEX([2]!NOTA[HARGA SATUAN],KENKO[//]-2),INDEX([2]!NOTA[HARGA/ CTN],KENKO[[#This Row],[//]]-2)))</f>
        <v/>
      </c>
      <c r="O24" s="19" t="str">
        <f ca="1">IF(KENKO[[#This Row],[//]]="","",IF(INDEX([2]!NOTA[DISC 2],KENKO[[#This Row],[//]]-2)=0,"",INDEX([2]!NOTA[DISC 2],KENKO[[#This Row],[//]]-2)))</f>
        <v/>
      </c>
      <c r="P24" s="19"/>
      <c r="Q2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s="16" t="str">
        <f ca="1">IF(KENKO[[#This Row],[//]]="","",INDEX([2]!NOTA[NAMA BARANG],KENKO[[#This Row],[//]]-2))</f>
        <v/>
      </c>
      <c r="V24" s="16" t="str">
        <f ca="1">LOWER(SUBSTITUTE(SUBSTITUTE(SUBSTITUTE(SUBSTITUTE(SUBSTITUTE(SUBSTITUTE(SUBSTITUTE(SUBSTITUTE(KENKO[[#This Row],[N.B.nota]]," ",""),"-",""),"(",""),")",""),".",""),",",""),"/",""),"""",""))</f>
        <v/>
      </c>
      <c r="W24" s="8" t="str">
        <f ca="1">IF(KENKO[[#This Row],[concat]]="","",MATCH(KENKO[[#This Row],[concat]],[4]!db[NB NOTA_C],0)+1)</f>
        <v/>
      </c>
      <c r="X24" s="16" t="str">
        <f ca="1">IF(KENKO[[#This Row],[N.B.nota]]="","",ADDRESS(ROW(KENKO[QB]),COLUMN(KENKO[QB]))&amp;":"&amp;ADDRESS(ROW(),COLUMN(KENKO[QB])))</f>
        <v/>
      </c>
      <c r="Y24" s="16" t="str">
        <f ca="1">IF(KENKO[[#This Row],[//]]="","",HYPERLINK("[..\\DB.xlsx]DB!e"&amp;KENKO[[#This Row],[stt]],"&gt;"))</f>
        <v/>
      </c>
      <c r="Z24" s="4" t="str">
        <f ca="1">IF(KENKO[[#This Row],[//]]="","",IF(KENKO[[#This Row],[ID NOTA]]="",Z23,KENKO[[#This Row],[ID NOTA]]))</f>
        <v/>
      </c>
    </row>
    <row r="25" spans="1:26" ht="15" customHeight="1" x14ac:dyDescent="0.25">
      <c r="A25" s="2" t="s">
        <v>66</v>
      </c>
      <c r="B25" s="8">
        <f ca="1">IF(KENKO[[#This Row],[N_ID]]="","",INDEX(Table1[ID],MATCH(KENKO[[#This Row],[N_ID]],Table1[N_ID],0)))</f>
        <v>19</v>
      </c>
      <c r="C25" s="8" t="str">
        <f ca="1">IF(KENKO[[#This Row],[ID NOTA]]="","",HYPERLINK("[NOTA_.xlsx]NOTA!e"&amp;INDEX([2]!PAJAK[//],MATCH(KENKO[[#This Row],[ID NOTA]],[2]!PAJAK[ID],0)),"&gt;") )</f>
        <v>&gt;</v>
      </c>
      <c r="D25" s="8">
        <f ca="1">IF(KENKO[[#This Row],[ID NOTA]]="","",INDEX(Table1[QB],MATCH(KENKO[[#This Row],[ID NOTA]],Table1[ID],0)))</f>
        <v>4</v>
      </c>
      <c r="E2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100</v>
      </c>
      <c r="F25" s="8">
        <v>5</v>
      </c>
      <c r="G25" s="9">
        <f ca="1">IF(KENKO[[#This Row],[ID NOTA]]="","",INDEX([2]!NOTA[TGL_H],MATCH(KENKO[[#This Row],[ID NOTA]],[2]!NOTA[ID],0)))</f>
        <v>44809</v>
      </c>
      <c r="H25" s="9">
        <f ca="1">IF(KENKO[[#This Row],[ID NOTA]]="","",INDEX([2]!NOTA[TGL.NOTA],MATCH(KENKO[[#This Row],[ID NOTA]],[2]!NOTA[ID],0)))</f>
        <v>44806</v>
      </c>
      <c r="I25" s="16" t="str">
        <f ca="1">IF(KENKO[[#This Row],[ID NOTA]]="","",INDEX([2]!NOTA[NO.NOTA],MATCH(KENKO[[#This Row],[ID NOTA]],[2]!NOTA[ID],0)))</f>
        <v>22090175</v>
      </c>
      <c r="J25" s="16" t="str">
        <f ca="1">IF(KENKO[[#This Row],[//]]="","",INDEX([4]!db[NB PAJAK],KENKO[[#This Row],[stt]]-1))</f>
        <v>CUTTER 9 MM KENKO A-300 (KECIL)</v>
      </c>
      <c r="K25" s="8" t="str">
        <f>""</f>
        <v/>
      </c>
      <c r="L25" s="8">
        <f ca="1">IF(KENKO[[#This Row],[//]]="","",IF(INDEX([2]!NOTA[QTY],KENKO[//]-2)="",INDEX([2]!NOTA[C],KENKO[//]-2),INDEX([2]!NOTA[QTY],KENKO[//]-2)))</f>
        <v>3</v>
      </c>
      <c r="M25" s="8" t="str">
        <f ca="1">IF(KENKO[[#This Row],[//]]="","",IF(INDEX([2]!NOTA[STN],KENKO[//]-2)="","CTN",INDEX([2]!NOTA[STN],KENKO[//]-2)))</f>
        <v>CTN</v>
      </c>
      <c r="N25" s="17">
        <f ca="1">IF(KENKO[[#This Row],[//]]="","",IF(INDEX([2]!NOTA[HARGA/ CTN],KENKO[[#This Row],[//]]-2)="",INDEX([2]!NOTA[HARGA SATUAN],KENKO[//]-2),INDEX([2]!NOTA[HARGA/ CTN],KENKO[[#This Row],[//]]-2)))</f>
        <v>1710000</v>
      </c>
      <c r="O25" s="19" t="str">
        <f ca="1">IF(KENKO[[#This Row],[//]]="","",IF(INDEX([2]!NOTA[DISC 2],KENKO[[#This Row],[//]]-2)=0,"",INDEX([2]!NOTA[DISC 2],KENKO[[#This Row],[//]]-2)))</f>
        <v/>
      </c>
      <c r="P25" s="19"/>
      <c r="Q25" s="10">
        <f ca="1">IF(KENKO[[#This Row],[//]]="","",INDEX([2]!NOTA[JUMLAH],KENKO[[#This Row],[//]]-2)-IF(ISNUMBER(KENKO[[#This Row],[DISC 1 (%)]]),INDEX([2]!NOTA[JUMLAH],KENKO[[#This Row],[//]]-2)*KENKO[[#This Row],[DISC 1 (%)]],0))</f>
        <v>5130000</v>
      </c>
      <c r="R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s="16" t="str">
        <f ca="1">IF(KENKO[[#This Row],[//]]="","",INDEX([2]!NOTA[NAMA BARANG],KENKO[[#This Row],[//]]-2))</f>
        <v>KENKO CUTTER A-300 (9MM BLADE)</v>
      </c>
      <c r="V25" s="16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25" s="8">
        <f ca="1">IF(KENKO[[#This Row],[concat]]="","",MATCH(KENKO[[#This Row],[concat]],[4]!db[NB NOTA_C],0)+1)</f>
        <v>1082</v>
      </c>
      <c r="X25" s="16" t="str">
        <f ca="1">IF(KENKO[[#This Row],[N.B.nota]]="","",ADDRESS(ROW(KENKO[QB]),COLUMN(KENKO[QB]))&amp;":"&amp;ADDRESS(ROW(),COLUMN(KENKO[QB])))</f>
        <v>$D$3:$D$25</v>
      </c>
      <c r="Y25" s="16" t="str">
        <f ca="1">IF(KENKO[[#This Row],[//]]="","",HYPERLINK("[..\\DB.xlsx]DB!e"&amp;KENKO[[#This Row],[stt]],"&gt;"))</f>
        <v>&gt;</v>
      </c>
      <c r="Z25" s="4">
        <f ca="1">IF(KENKO[[#This Row],[//]]="","",IF(KENKO[[#This Row],[ID NOTA]]="",Z24,KENKO[[#This Row],[ID NOTA]]))</f>
        <v>19</v>
      </c>
    </row>
    <row r="26" spans="1:26" ht="15" customHeight="1" x14ac:dyDescent="0.25">
      <c r="A26" s="2"/>
      <c r="B26" s="8" t="str">
        <f>IF(KENKO[[#This Row],[N_ID]]="","",INDEX(Table1[ID],MATCH(KENKO[[#This Row],[N_ID]],Table1[N_ID],0)))</f>
        <v/>
      </c>
      <c r="C26" s="8" t="str">
        <f>IF(KENKO[[#This Row],[ID NOTA]]="","",HYPERLINK("[NOTA_.xlsx]NOTA!e"&amp;INDEX([2]!PAJAK[//],MATCH(KENKO[[#This Row],[ID NOTA]],[2]!PAJAK[ID],0)),"&gt;") )</f>
        <v/>
      </c>
      <c r="D26" s="8" t="str">
        <f>IF(KENKO[[#This Row],[ID NOTA]]="","",INDEX(Table1[QB],MATCH(KENKO[[#This Row],[ID NOTA]],Table1[ID],0)))</f>
        <v/>
      </c>
      <c r="E2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101</v>
      </c>
      <c r="F26" s="8"/>
      <c r="G26" s="9" t="str">
        <f>IF(KENKO[[#This Row],[ID NOTA]]="","",INDEX([2]!NOTA[TGL_H],MATCH(KENKO[[#This Row],[ID NOTA]],[2]!NOTA[ID],0)))</f>
        <v/>
      </c>
      <c r="H26" s="9" t="str">
        <f>IF(KENKO[[#This Row],[ID NOTA]]="","",INDEX([2]!NOTA[TGL.NOTA],MATCH(KENKO[[#This Row],[ID NOTA]],[2]!NOTA[ID],0)))</f>
        <v/>
      </c>
      <c r="I26" s="16" t="str">
        <f>IF(KENKO[[#This Row],[ID NOTA]]="","",INDEX([2]!NOTA[NO.NOTA],MATCH(KENKO[[#This Row],[ID NOTA]],[2]!NOTA[ID],0)))</f>
        <v/>
      </c>
      <c r="J26" s="16" t="str">
        <f ca="1">IF(KENKO[[#This Row],[//]]="","",INDEX([4]!db[NB PAJAK],KENKO[[#This Row],[stt]]-1))</f>
        <v>STAND PEN SPIRAL KENKO STP-100SG</v>
      </c>
      <c r="K26" s="8" t="str">
        <f>""</f>
        <v/>
      </c>
      <c r="L26" s="8">
        <f ca="1">IF(KENKO[[#This Row],[//]]="","",IF(INDEX([2]!NOTA[QTY],KENKO[//]-2)="",INDEX([2]!NOTA[C],KENKO[//]-2),INDEX([2]!NOTA[QTY],KENKO[//]-2)))</f>
        <v>1</v>
      </c>
      <c r="M26" s="8" t="str">
        <f ca="1">IF(KENKO[[#This Row],[//]]="","",IF(INDEX([2]!NOTA[STN],KENKO[//]-2)="","CTN",INDEX([2]!NOTA[STN],KENKO[//]-2)))</f>
        <v>CTN</v>
      </c>
      <c r="N26" s="17">
        <f ca="1">IF(KENKO[[#This Row],[//]]="","",IF(INDEX([2]!NOTA[HARGA/ CTN],KENKO[[#This Row],[//]]-2)="",INDEX([2]!NOTA[HARGA SATUAN],KENKO[//]-2),INDEX([2]!NOTA[HARGA/ CTN],KENKO[[#This Row],[//]]-2)))</f>
        <v>2592000</v>
      </c>
      <c r="O26" s="19" t="str">
        <f ca="1">IF(KENKO[[#This Row],[//]]="","",IF(INDEX([2]!NOTA[DISC 2],KENKO[[#This Row],[//]]-2)=0,"",INDEX([2]!NOTA[DISC 2],KENKO[[#This Row],[//]]-2)))</f>
        <v/>
      </c>
      <c r="P26" s="19"/>
      <c r="Q26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s="16" t="str">
        <f ca="1">IF(KENKO[[#This Row],[//]]="","",INDEX([2]!NOTA[NAMA BARANG],KENKO[[#This Row],[//]]-2))</f>
        <v>KENKO STAND PEN STP-100SG BLACK</v>
      </c>
      <c r="V26" s="16" t="str">
        <f ca="1">LOWER(SUBSTITUTE(SUBSTITUTE(SUBSTITUTE(SUBSTITUTE(SUBSTITUTE(SUBSTITUTE(SUBSTITUTE(SUBSTITUTE(KENKO[[#This Row],[N.B.nota]]," ",""),"-",""),"(",""),")",""),".",""),",",""),"/",""),"""",""))</f>
        <v>kenkostandpenstp100sgblack</v>
      </c>
      <c r="W26" s="8">
        <f ca="1">IF(KENKO[[#This Row],[concat]]="","",MATCH(KENKO[[#This Row],[concat]],[4]!db[NB NOTA_C],0)+1)</f>
        <v>1237</v>
      </c>
      <c r="X26" s="16" t="str">
        <f ca="1">IF(KENKO[[#This Row],[N.B.nota]]="","",ADDRESS(ROW(KENKO[QB]),COLUMN(KENKO[QB]))&amp;":"&amp;ADDRESS(ROW(),COLUMN(KENKO[QB])))</f>
        <v>$D$3:$D$26</v>
      </c>
      <c r="Y26" s="16" t="str">
        <f ca="1">IF(KENKO[[#This Row],[//]]="","",HYPERLINK("[..\\DB.xlsx]DB!e"&amp;KENKO[[#This Row],[stt]],"&gt;"))</f>
        <v>&gt;</v>
      </c>
      <c r="Z26" s="4">
        <f ca="1">IF(KENKO[[#This Row],[//]]="","",IF(KENKO[[#This Row],[ID NOTA]]="",Z25,KENKO[[#This Row],[ID NOTA]]))</f>
        <v>19</v>
      </c>
    </row>
    <row r="27" spans="1:26" ht="15" customHeight="1" x14ac:dyDescent="0.25">
      <c r="A27" s="2"/>
      <c r="B27" s="8" t="str">
        <f>IF(KENKO[[#This Row],[N_ID]]="","",INDEX(Table1[ID],MATCH(KENKO[[#This Row],[N_ID]],Table1[N_ID],0)))</f>
        <v/>
      </c>
      <c r="C27" s="8" t="str">
        <f>IF(KENKO[[#This Row],[ID NOTA]]="","",HYPERLINK("[NOTA_.xlsx]NOTA!e"&amp;INDEX([2]!PAJAK[//],MATCH(KENKO[[#This Row],[ID NOTA]],[2]!PAJAK[ID],0)),"&gt;") )</f>
        <v/>
      </c>
      <c r="D27" s="8" t="str">
        <f>IF(KENKO[[#This Row],[ID NOTA]]="","",INDEX(Table1[QB],MATCH(KENKO[[#This Row],[ID NOTA]],Table1[ID],0)))</f>
        <v/>
      </c>
      <c r="E2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102</v>
      </c>
      <c r="F27" s="8"/>
      <c r="G27" s="9" t="str">
        <f>IF(KENKO[[#This Row],[ID NOTA]]="","",INDEX([2]!NOTA[TGL_H],MATCH(KENKO[[#This Row],[ID NOTA]],[2]!NOTA[ID],0)))</f>
        <v/>
      </c>
      <c r="H27" s="9" t="str">
        <f>IF(KENKO[[#This Row],[ID NOTA]]="","",INDEX([2]!NOTA[TGL.NOTA],MATCH(KENKO[[#This Row],[ID NOTA]],[2]!NOTA[ID],0)))</f>
        <v/>
      </c>
      <c r="I27" s="16" t="str">
        <f>IF(KENKO[[#This Row],[ID NOTA]]="","",INDEX([2]!NOTA[NO.NOTA],MATCH(KENKO[[#This Row],[ID NOTA]],[2]!NOTA[ID],0)))</f>
        <v/>
      </c>
      <c r="J27" s="16" t="str">
        <f ca="1">IF(KENKO[[#This Row],[//]]="","",INDEX([4]!db[NB PAJAK],KENKO[[#This Row],[stt]]-1))</f>
        <v>BINDER CLIP KENKO NO. 107</v>
      </c>
      <c r="K27" s="8" t="str">
        <f>""</f>
        <v/>
      </c>
      <c r="L27" s="8">
        <f ca="1">IF(KENKO[[#This Row],[//]]="","",IF(INDEX([2]!NOTA[QTY],KENKO[//]-2)="",INDEX([2]!NOTA[C],KENKO[//]-2),INDEX([2]!NOTA[QTY],KENKO[//]-2)))</f>
        <v>1</v>
      </c>
      <c r="M27" s="8" t="str">
        <f ca="1">IF(KENKO[[#This Row],[//]]="","",IF(INDEX([2]!NOTA[STN],KENKO[//]-2)="","CTN",INDEX([2]!NOTA[STN],KENKO[//]-2)))</f>
        <v>CTN</v>
      </c>
      <c r="N27" s="17">
        <f ca="1">IF(KENKO[[#This Row],[//]]="","",IF(INDEX([2]!NOTA[HARGA/ CTN],KENKO[[#This Row],[//]]-2)="",INDEX([2]!NOTA[HARGA SATUAN],KENKO[//]-2),INDEX([2]!NOTA[HARGA/ CTN],KENKO[[#This Row],[//]]-2)))</f>
        <v>1590000</v>
      </c>
      <c r="O27" s="19" t="str">
        <f ca="1">IF(KENKO[[#This Row],[//]]="","",IF(INDEX([2]!NOTA[DISC 2],KENKO[[#This Row],[//]]-2)=0,"",INDEX([2]!NOTA[DISC 2],KENKO[[#This Row],[//]]-2)))</f>
        <v/>
      </c>
      <c r="P27" s="19"/>
      <c r="Q27" s="10">
        <f ca="1">IF(KENKO[[#This Row],[//]]="","",INDEX([2]!NOTA[JUMLAH],KENKO[[#This Row],[//]]-2)-IF(ISNUMBER(KENKO[[#This Row],[DISC 1 (%)]]),INDEX([2]!NOTA[JUMLAH],KENKO[[#This Row],[//]]-2)*KENKO[[#This Row],[DISC 1 (%)]],0))</f>
        <v>1590000</v>
      </c>
      <c r="R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s="16" t="str">
        <f ca="1">IF(KENKO[[#This Row],[//]]="","",INDEX([2]!NOTA[NAMA BARANG],KENKO[[#This Row],[//]]-2))</f>
        <v>KENKO BINDER CLIP NO.107</v>
      </c>
      <c r="V27" s="16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27" s="8">
        <f ca="1">IF(KENKO[[#This Row],[concat]]="","",MATCH(KENKO[[#This Row],[concat]],[4]!db[NB NOTA_C],0)+1)</f>
        <v>1006</v>
      </c>
      <c r="X27" s="16" t="str">
        <f ca="1">IF(KENKO[[#This Row],[N.B.nota]]="","",ADDRESS(ROW(KENKO[QB]),COLUMN(KENKO[QB]))&amp;":"&amp;ADDRESS(ROW(),COLUMN(KENKO[QB])))</f>
        <v>$D$3:$D$27</v>
      </c>
      <c r="Y27" s="16" t="str">
        <f ca="1">IF(KENKO[[#This Row],[//]]="","",HYPERLINK("[..\\DB.xlsx]DB!e"&amp;KENKO[[#This Row],[stt]],"&gt;"))</f>
        <v>&gt;</v>
      </c>
      <c r="Z27" s="4">
        <f ca="1">IF(KENKO[[#This Row],[//]]="","",IF(KENKO[[#This Row],[ID NOTA]]="",Z26,KENKO[[#This Row],[ID NOTA]]))</f>
        <v>19</v>
      </c>
    </row>
    <row r="28" spans="1:26" ht="15" customHeight="1" x14ac:dyDescent="0.25">
      <c r="A28" s="2"/>
      <c r="B28" s="8" t="str">
        <f>IF(KENKO[[#This Row],[N_ID]]="","",INDEX(Table1[ID],MATCH(KENKO[[#This Row],[N_ID]],Table1[N_ID],0)))</f>
        <v/>
      </c>
      <c r="C28" s="8" t="str">
        <f>IF(KENKO[[#This Row],[ID NOTA]]="","",HYPERLINK("[NOTA_.xlsx]NOTA!e"&amp;INDEX([2]!PAJAK[//],MATCH(KENKO[[#This Row],[ID NOTA]],[2]!PAJAK[ID],0)),"&gt;") )</f>
        <v/>
      </c>
      <c r="D28" s="8" t="str">
        <f>IF(KENKO[[#This Row],[ID NOTA]]="","",INDEX(Table1[QB],MATCH(KENKO[[#This Row],[ID NOTA]],Table1[ID],0)))</f>
        <v/>
      </c>
      <c r="E2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103</v>
      </c>
      <c r="F28" s="8"/>
      <c r="G28" s="9" t="str">
        <f>IF(KENKO[[#This Row],[ID NOTA]]="","",INDEX([2]!NOTA[TGL_H],MATCH(KENKO[[#This Row],[ID NOTA]],[2]!NOTA[ID],0)))</f>
        <v/>
      </c>
      <c r="H28" s="9" t="str">
        <f>IF(KENKO[[#This Row],[ID NOTA]]="","",INDEX([2]!NOTA[TGL.NOTA],MATCH(KENKO[[#This Row],[ID NOTA]],[2]!NOTA[ID],0)))</f>
        <v/>
      </c>
      <c r="I28" s="16" t="str">
        <f>IF(KENKO[[#This Row],[ID NOTA]]="","",INDEX([2]!NOTA[NO.NOTA],MATCH(KENKO[[#This Row],[ID NOTA]],[2]!NOTA[ID],0)))</f>
        <v/>
      </c>
      <c r="J28" s="16" t="str">
        <f ca="1">IF(KENKO[[#This Row],[//]]="","",INDEX([4]!db[NB PAJAK],KENKO[[#This Row],[stt]]-1))</f>
        <v>BINDER CLIP KENKO NO. 200</v>
      </c>
      <c r="K28" s="8" t="str">
        <f>""</f>
        <v/>
      </c>
      <c r="L28" s="8">
        <f ca="1">IF(KENKO[[#This Row],[//]]="","",IF(INDEX([2]!NOTA[QTY],KENKO[//]-2)="",INDEX([2]!NOTA[C],KENKO[//]-2),INDEX([2]!NOTA[QTY],KENKO[//]-2)))</f>
        <v>1</v>
      </c>
      <c r="M28" s="8" t="str">
        <f ca="1">IF(KENKO[[#This Row],[//]]="","",IF(INDEX([2]!NOTA[STN],KENKO[//]-2)="","CTN",INDEX([2]!NOTA[STN],KENKO[//]-2)))</f>
        <v>CTN</v>
      </c>
      <c r="N28" s="17">
        <f ca="1">IF(KENKO[[#This Row],[//]]="","",IF(INDEX([2]!NOTA[HARGA/ CTN],KENKO[[#This Row],[//]]-2)="",INDEX([2]!NOTA[HARGA SATUAN],KENKO[//]-2),INDEX([2]!NOTA[HARGA/ CTN],KENKO[[#This Row],[//]]-2)))</f>
        <v>1200000</v>
      </c>
      <c r="O28" s="19" t="str">
        <f ca="1">IF(KENKO[[#This Row],[//]]="","",IF(INDEX([2]!NOTA[DISC 2],KENKO[[#This Row],[//]]-2)=0,"",INDEX([2]!NOTA[DISC 2],KENKO[[#This Row],[//]]-2)))</f>
        <v/>
      </c>
      <c r="P28" s="19"/>
      <c r="Q28" s="10">
        <f ca="1">IF(KENKO[[#This Row],[//]]="","",INDEX([2]!NOTA[JUMLAH],KENKO[[#This Row],[//]]-2)-IF(ISNUMBER(KENKO[[#This Row],[DISC 1 (%)]]),INDEX([2]!NOTA[JUMLAH],KENKO[[#This Row],[//]]-2)*KENKO[[#This Row],[DISC 1 (%)]],0))</f>
        <v>1200000</v>
      </c>
      <c r="R2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1787040.0000000002</v>
      </c>
      <c r="S2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8724960</v>
      </c>
      <c r="T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s="16" t="str">
        <f ca="1">IF(KENKO[[#This Row],[//]]="","",INDEX([2]!NOTA[NAMA BARANG],KENKO[[#This Row],[//]]-2))</f>
        <v>KENKO BINDER CLIP NO.200</v>
      </c>
      <c r="V28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28" s="8">
        <f ca="1">IF(KENKO[[#This Row],[concat]]="","",MATCH(KENKO[[#This Row],[concat]],[4]!db[NB NOTA_C],0)+1)</f>
        <v>1009</v>
      </c>
      <c r="X28" s="16" t="str">
        <f ca="1">IF(KENKO[[#This Row],[N.B.nota]]="","",ADDRESS(ROW(KENKO[QB]),COLUMN(KENKO[QB]))&amp;":"&amp;ADDRESS(ROW(),COLUMN(KENKO[QB])))</f>
        <v>$D$3:$D$28</v>
      </c>
      <c r="Y28" s="16" t="str">
        <f ca="1">IF(KENKO[[#This Row],[//]]="","",HYPERLINK("[..\\DB.xlsx]DB!e"&amp;KENKO[[#This Row],[stt]],"&gt;"))</f>
        <v>&gt;</v>
      </c>
      <c r="Z28" s="4">
        <f ca="1">IF(KENKO[[#This Row],[//]]="","",IF(KENKO[[#This Row],[ID NOTA]]="",Z27,KENKO[[#This Row],[ID NOTA]]))</f>
        <v>19</v>
      </c>
    </row>
    <row r="29" spans="1:26" ht="15" customHeight="1" x14ac:dyDescent="0.25">
      <c r="A29" s="2"/>
      <c r="B29" s="8" t="str">
        <f>IF(KENKO[[#This Row],[N_ID]]="","",INDEX(Table1[ID],MATCH(KENKO[[#This Row],[N_ID]],Table1[N_ID],0)))</f>
        <v/>
      </c>
      <c r="C29" s="8" t="str">
        <f>IF(KENKO[[#This Row],[ID NOTA]]="","",HYPERLINK("[NOTA_.xlsx]NOTA!e"&amp;INDEX([2]!PAJAK[//],MATCH(KENKO[[#This Row],[ID NOTA]],[2]!PAJAK[ID],0)),"&gt;") )</f>
        <v/>
      </c>
      <c r="D29" s="8" t="str">
        <f>IF(KENKO[[#This Row],[ID NOTA]]="","",INDEX(Table1[QB],MATCH(KENKO[[#This Row],[ID NOTA]],Table1[ID],0)))</f>
        <v/>
      </c>
      <c r="E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" s="8"/>
      <c r="G29" s="9" t="str">
        <f>IF(KENKO[[#This Row],[ID NOTA]]="","",INDEX([2]!NOTA[TGL_H],MATCH(KENKO[[#This Row],[ID NOTA]],[2]!NOTA[ID],0)))</f>
        <v/>
      </c>
      <c r="H29" s="9" t="str">
        <f>IF(KENKO[[#This Row],[ID NOTA]]="","",INDEX([2]!NOTA[TGL.NOTA],MATCH(KENKO[[#This Row],[ID NOTA]],[2]!NOTA[ID],0)))</f>
        <v/>
      </c>
      <c r="I29" s="16" t="str">
        <f>IF(KENKO[[#This Row],[ID NOTA]]="","",INDEX([2]!NOTA[NO.NOTA],MATCH(KENKO[[#This Row],[ID NOTA]],[2]!NOTA[ID],0)))</f>
        <v/>
      </c>
      <c r="J29" s="16" t="str">
        <f ca="1">IF(KENKO[[#This Row],[//]]="","",INDEX([4]!db[NB PAJAK],KENKO[[#This Row],[stt]]-1))</f>
        <v/>
      </c>
      <c r="K29" s="8" t="str">
        <f>""</f>
        <v/>
      </c>
      <c r="L29" s="8" t="str">
        <f ca="1">IF(KENKO[[#This Row],[//]]="","",IF(INDEX([2]!NOTA[QTY],KENKO[//]-2)="",INDEX([2]!NOTA[C],KENKO[//]-2),INDEX([2]!NOTA[QTY],KENKO[//]-2)))</f>
        <v/>
      </c>
      <c r="M29" s="8" t="str">
        <f ca="1">IF(KENKO[[#This Row],[//]]="","",IF(INDEX([2]!NOTA[STN],KENKO[//]-2)="","CTN",INDEX([2]!NOTA[STN],KENKO[//]-2)))</f>
        <v/>
      </c>
      <c r="N29" s="17" t="str">
        <f ca="1">IF(KENKO[[#This Row],[//]]="","",IF(INDEX([2]!NOTA[HARGA/ CTN],KENKO[[#This Row],[//]]-2)="",INDEX([2]!NOTA[HARGA SATUAN],KENKO[//]-2),INDEX([2]!NOTA[HARGA/ CTN],KENKO[[#This Row],[//]]-2)))</f>
        <v/>
      </c>
      <c r="O29" s="19" t="str">
        <f ca="1">IF(KENKO[[#This Row],[//]]="","",IF(INDEX([2]!NOTA[DISC 2],KENKO[[#This Row],[//]]-2)=0,"",INDEX([2]!NOTA[DISC 2],KENKO[[#This Row],[//]]-2)))</f>
        <v/>
      </c>
      <c r="P29" s="19"/>
      <c r="Q2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s="16" t="str">
        <f ca="1">IF(KENKO[[#This Row],[//]]="","",INDEX([2]!NOTA[NAMA BARANG],KENKO[[#This Row],[//]]-2))</f>
        <v/>
      </c>
      <c r="V29" s="16" t="str">
        <f ca="1">LOWER(SUBSTITUTE(SUBSTITUTE(SUBSTITUTE(SUBSTITUTE(SUBSTITUTE(SUBSTITUTE(SUBSTITUTE(SUBSTITUTE(KENKO[[#This Row],[N.B.nota]]," ",""),"-",""),"(",""),")",""),".",""),",",""),"/",""),"""",""))</f>
        <v/>
      </c>
      <c r="W29" s="8" t="str">
        <f ca="1">IF(KENKO[[#This Row],[concat]]="","",MATCH(KENKO[[#This Row],[concat]],[4]!db[NB NOTA_C],0)+1)</f>
        <v/>
      </c>
      <c r="X29" s="16" t="str">
        <f ca="1">IF(KENKO[[#This Row],[N.B.nota]]="","",ADDRESS(ROW(KENKO[QB]),COLUMN(KENKO[QB]))&amp;":"&amp;ADDRESS(ROW(),COLUMN(KENKO[QB])))</f>
        <v/>
      </c>
      <c r="Y29" s="16" t="str">
        <f ca="1">IF(KENKO[[#This Row],[//]]="","",HYPERLINK("[..\\DB.xlsx]DB!e"&amp;KENKO[[#This Row],[stt]],"&gt;"))</f>
        <v/>
      </c>
      <c r="Z29" s="4" t="str">
        <f ca="1">IF(KENKO[[#This Row],[//]]="","",IF(KENKO[[#This Row],[ID NOTA]]="",Z28,KENKO[[#This Row],[ID NOTA]]))</f>
        <v/>
      </c>
    </row>
    <row r="30" spans="1:26" ht="15" customHeight="1" x14ac:dyDescent="0.25">
      <c r="A30" s="2" t="s">
        <v>67</v>
      </c>
      <c r="B30" s="8">
        <f ca="1">IF(KENKO[[#This Row],[N_ID]]="","",INDEX(Table1[ID],MATCH(KENKO[[#This Row],[N_ID]],Table1[N_ID],0)))</f>
        <v>31</v>
      </c>
      <c r="C30" s="8" t="str">
        <f ca="1">IF(KENKO[[#This Row],[ID NOTA]]="","",HYPERLINK("[NOTA_.xlsx]NOTA!e"&amp;INDEX([2]!PAJAK[//],MATCH(KENKO[[#This Row],[ID NOTA]],[2]!PAJAK[ID],0)),"&gt;") )</f>
        <v>&gt;</v>
      </c>
      <c r="D30" s="8">
        <f ca="1">IF(KENKO[[#This Row],[ID NOTA]]="","",INDEX(Table1[QB],MATCH(KENKO[[#This Row],[ID NOTA]],Table1[ID],0)))</f>
        <v>6</v>
      </c>
      <c r="E3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150</v>
      </c>
      <c r="F30" s="8">
        <v>6</v>
      </c>
      <c r="G30" s="9">
        <f ca="1">IF(KENKO[[#This Row],[ID NOTA]]="","",INDEX([2]!NOTA[TGL_H],MATCH(KENKO[[#This Row],[ID NOTA]],[2]!NOTA[ID],0)))</f>
        <v>44813</v>
      </c>
      <c r="H30" s="9">
        <f ca="1">IF(KENKO[[#This Row],[ID NOTA]]="","",INDEX([2]!NOTA[TGL.NOTA],MATCH(KENKO[[#This Row],[ID NOTA]],[2]!NOTA[ID],0)))</f>
        <v>44809</v>
      </c>
      <c r="I30" s="16" t="str">
        <f ca="1">IF(KENKO[[#This Row],[ID NOTA]]="","",INDEX([2]!NOTA[NO.NOTA],MATCH(KENKO[[#This Row],[ID NOTA]],[2]!NOTA[ID],0)))</f>
        <v>22090305</v>
      </c>
      <c r="J30" s="16" t="str">
        <f ca="1">IF(KENKO[[#This Row],[//]]="","",INDEX([4]!db[NB PAJAK],KENKO[[#This Row],[stt]]-1))</f>
        <v>ISI CUTTER 9 MM KENKO A-100 (KECIL)</v>
      </c>
      <c r="K30" s="8" t="str">
        <f>""</f>
        <v/>
      </c>
      <c r="L30" s="8">
        <f ca="1">IF(KENKO[[#This Row],[//]]="","",IF(INDEX([2]!NOTA[QTY],KENKO[//]-2)="",INDEX([2]!NOTA[C],KENKO[//]-2),INDEX([2]!NOTA[QTY],KENKO[//]-2)))</f>
        <v>2</v>
      </c>
      <c r="M30" s="8" t="str">
        <f ca="1">IF(KENKO[[#This Row],[//]]="","",IF(INDEX([2]!NOTA[STN],KENKO[//]-2)="","CTN",INDEX([2]!NOTA[STN],KENKO[//]-2)))</f>
        <v>CTN</v>
      </c>
      <c r="N30" s="17">
        <f ca="1">IF(KENKO[[#This Row],[//]]="","",IF(INDEX([2]!NOTA[HARGA/ CTN],KENKO[[#This Row],[//]]-2)="",INDEX([2]!NOTA[HARGA SATUAN],KENKO[//]-2),INDEX([2]!NOTA[HARGA/ CTN],KENKO[[#This Row],[//]]-2)))</f>
        <v>3888000</v>
      </c>
      <c r="O30" s="19" t="str">
        <f ca="1">IF(KENKO[[#This Row],[//]]="","",IF(INDEX([2]!NOTA[DISC 2],KENKO[[#This Row],[//]]-2)=0,"",INDEX([2]!NOTA[DISC 2],KENKO[[#This Row],[//]]-2)))</f>
        <v/>
      </c>
      <c r="P30" s="19"/>
      <c r="Q30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s="16" t="str">
        <f ca="1">IF(KENKO[[#This Row],[//]]="","",INDEX([2]!NOTA[NAMA BARANG],KENKO[[#This Row],[//]]-2))</f>
        <v>KENKO CUTTER BLADE A-100 (9 MM)</v>
      </c>
      <c r="V30" s="16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30" s="8">
        <f ca="1">IF(KENKO[[#This Row],[concat]]="","",MATCH(KENKO[[#This Row],[concat]],[4]!db[NB NOTA_C],0)+1)</f>
        <v>1083</v>
      </c>
      <c r="X30" s="16" t="str">
        <f ca="1">IF(KENKO[[#This Row],[N.B.nota]]="","",ADDRESS(ROW(KENKO[QB]),COLUMN(KENKO[QB]))&amp;":"&amp;ADDRESS(ROW(),COLUMN(KENKO[QB])))</f>
        <v>$D$3:$D$30</v>
      </c>
      <c r="Y30" s="16" t="str">
        <f ca="1">IF(KENKO[[#This Row],[//]]="","",HYPERLINK("[..\\DB.xlsx]DB!e"&amp;KENKO[[#This Row],[stt]],"&gt;"))</f>
        <v>&gt;</v>
      </c>
      <c r="Z30" s="4">
        <f ca="1">IF(KENKO[[#This Row],[//]]="","",IF(KENKO[[#This Row],[ID NOTA]]="",Z29,KENKO[[#This Row],[ID NOTA]]))</f>
        <v>31</v>
      </c>
    </row>
    <row r="31" spans="1:26" ht="15" customHeight="1" x14ac:dyDescent="0.25">
      <c r="A31" s="2"/>
      <c r="B31" s="8" t="str">
        <f>IF(KENKO[[#This Row],[N_ID]]="","",INDEX(Table1[ID],MATCH(KENKO[[#This Row],[N_ID]],Table1[N_ID],0)))</f>
        <v/>
      </c>
      <c r="C31" s="8" t="str">
        <f>IF(KENKO[[#This Row],[ID NOTA]]="","",HYPERLINK("[NOTA_.xlsx]NOTA!e"&amp;INDEX([2]!PAJAK[//],MATCH(KENKO[[#This Row],[ID NOTA]],[2]!PAJAK[ID],0)),"&gt;") )</f>
        <v/>
      </c>
      <c r="D31" s="8" t="str">
        <f>IF(KENKO[[#This Row],[ID NOTA]]="","",INDEX(Table1[QB],MATCH(KENKO[[#This Row],[ID NOTA]],Table1[ID],0)))</f>
        <v/>
      </c>
      <c r="E3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151</v>
      </c>
      <c r="F31" s="8"/>
      <c r="G31" s="9" t="str">
        <f>IF(KENKO[[#This Row],[ID NOTA]]="","",INDEX([2]!NOTA[TGL_H],MATCH(KENKO[[#This Row],[ID NOTA]],[2]!NOTA[ID],0)))</f>
        <v/>
      </c>
      <c r="H31" s="9" t="str">
        <f>IF(KENKO[[#This Row],[ID NOTA]]="","",INDEX([2]!NOTA[TGL.NOTA],MATCH(KENKO[[#This Row],[ID NOTA]],[2]!NOTA[ID],0)))</f>
        <v/>
      </c>
      <c r="I31" s="16" t="str">
        <f>IF(KENKO[[#This Row],[ID NOTA]]="","",INDEX([2]!NOTA[NO.NOTA],MATCH(KENKO[[#This Row],[ID NOTA]],[2]!NOTA[ID],0)))</f>
        <v/>
      </c>
      <c r="J31" s="16" t="str">
        <f ca="1">IF(KENKO[[#This Row],[//]]="","",INDEX([4]!db[NB PAJAK],KENKO[[#This Row],[stt]]-1))</f>
        <v>GEL PEN KENKO EASY GEL HITAM</v>
      </c>
      <c r="K31" s="8" t="str">
        <f>""</f>
        <v/>
      </c>
      <c r="L31" s="8">
        <f ca="1">IF(KENKO[[#This Row],[//]]="","",IF(INDEX([2]!NOTA[QTY],KENKO[//]-2)="",INDEX([2]!NOTA[C],KENKO[//]-2),INDEX([2]!NOTA[QTY],KENKO[//]-2)))</f>
        <v>2</v>
      </c>
      <c r="M31" s="8" t="str">
        <f ca="1">IF(KENKO[[#This Row],[//]]="","",IF(INDEX([2]!NOTA[STN],KENKO[//]-2)="","CTN",INDEX([2]!NOTA[STN],KENKO[//]-2)))</f>
        <v>CTN</v>
      </c>
      <c r="N31" s="17">
        <f ca="1">IF(KENKO[[#This Row],[//]]="","",IF(INDEX([2]!NOTA[HARGA/ CTN],KENKO[[#This Row],[//]]-2)="",INDEX([2]!NOTA[HARGA SATUAN],KENKO[//]-2),INDEX([2]!NOTA[HARGA/ CTN],KENKO[[#This Row],[//]]-2)))</f>
        <v>3758400</v>
      </c>
      <c r="O31" s="19" t="str">
        <f ca="1">IF(KENKO[[#This Row],[//]]="","",IF(INDEX([2]!NOTA[DISC 2],KENKO[[#This Row],[//]]-2)=0,"",INDEX([2]!NOTA[DISC 2],KENKO[[#This Row],[//]]-2)))</f>
        <v/>
      </c>
      <c r="P31" s="19"/>
      <c r="Q31" s="10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s="16" t="str">
        <f ca="1">IF(KENKO[[#This Row],[//]]="","",INDEX([2]!NOTA[NAMA BARANG],KENKO[[#This Row],[//]]-2))</f>
        <v>KENKO GEL PEN EASY GEL BLACK</v>
      </c>
      <c r="V31" s="1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31" s="8">
        <f ca="1">IF(KENKO[[#This Row],[concat]]="","",MATCH(KENKO[[#This Row],[concat]],[4]!db[NB NOTA_C],0)+1)</f>
        <v>1098</v>
      </c>
      <c r="X31" s="16" t="str">
        <f ca="1">IF(KENKO[[#This Row],[N.B.nota]]="","",ADDRESS(ROW(KENKO[QB]),COLUMN(KENKO[QB]))&amp;":"&amp;ADDRESS(ROW(),COLUMN(KENKO[QB])))</f>
        <v>$D$3:$D$31</v>
      </c>
      <c r="Y31" s="16" t="str">
        <f ca="1">IF(KENKO[[#This Row],[//]]="","",HYPERLINK("[..\\DB.xlsx]DB!e"&amp;KENKO[[#This Row],[stt]],"&gt;"))</f>
        <v>&gt;</v>
      </c>
      <c r="Z31" s="4">
        <f ca="1">IF(KENKO[[#This Row],[//]]="","",IF(KENKO[[#This Row],[ID NOTA]]="",Z30,KENKO[[#This Row],[ID NOTA]]))</f>
        <v>31</v>
      </c>
    </row>
    <row r="32" spans="1:26" ht="15" customHeight="1" x14ac:dyDescent="0.25">
      <c r="A32" s="2"/>
      <c r="B32" s="8" t="str">
        <f>IF(KENKO[[#This Row],[N_ID]]="","",INDEX(Table1[ID],MATCH(KENKO[[#This Row],[N_ID]],Table1[N_ID],0)))</f>
        <v/>
      </c>
      <c r="C32" s="8" t="str">
        <f>IF(KENKO[[#This Row],[ID NOTA]]="","",HYPERLINK("[NOTA_.xlsx]NOTA!e"&amp;INDEX([2]!PAJAK[//],MATCH(KENKO[[#This Row],[ID NOTA]],[2]!PAJAK[ID],0)),"&gt;") )</f>
        <v/>
      </c>
      <c r="D32" s="8" t="str">
        <f>IF(KENKO[[#This Row],[ID NOTA]]="","",INDEX(Table1[QB],MATCH(KENKO[[#This Row],[ID NOTA]],Table1[ID],0)))</f>
        <v/>
      </c>
      <c r="E3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152</v>
      </c>
      <c r="F32" s="8"/>
      <c r="G32" s="9" t="str">
        <f>IF(KENKO[[#This Row],[ID NOTA]]="","",INDEX([2]!NOTA[TGL_H],MATCH(KENKO[[#This Row],[ID NOTA]],[2]!NOTA[ID],0)))</f>
        <v/>
      </c>
      <c r="H32" s="9" t="str">
        <f>IF(KENKO[[#This Row],[ID NOTA]]="","",INDEX([2]!NOTA[TGL.NOTA],MATCH(KENKO[[#This Row],[ID NOTA]],[2]!NOTA[ID],0)))</f>
        <v/>
      </c>
      <c r="I32" s="16" t="str">
        <f>IF(KENKO[[#This Row],[ID NOTA]]="","",INDEX([2]!NOTA[NO.NOTA],MATCH(KENKO[[#This Row],[ID NOTA]],[2]!NOTA[ID],0)))</f>
        <v/>
      </c>
      <c r="J32" s="16" t="str">
        <f ca="1">IF(KENKO[[#This Row],[//]]="","",INDEX([4]!db[NB PAJAK],KENKO[[#This Row],[stt]]-1))</f>
        <v>GEL PEN KENKO KE-600 WINJELLER HITAM</v>
      </c>
      <c r="K32" s="8" t="str">
        <f>""</f>
        <v/>
      </c>
      <c r="L32" s="8">
        <f ca="1">IF(KENKO[[#This Row],[//]]="","",IF(INDEX([2]!NOTA[QTY],KENKO[//]-2)="",INDEX([2]!NOTA[C],KENKO[//]-2),INDEX([2]!NOTA[QTY],KENKO[//]-2)))</f>
        <v>1</v>
      </c>
      <c r="M32" s="8" t="str">
        <f ca="1">IF(KENKO[[#This Row],[//]]="","",IF(INDEX([2]!NOTA[STN],KENKO[//]-2)="","CTN",INDEX([2]!NOTA[STN],KENKO[//]-2)))</f>
        <v>CTN</v>
      </c>
      <c r="N32" s="17">
        <f ca="1">IF(KENKO[[#This Row],[//]]="","",IF(INDEX([2]!NOTA[HARGA/ CTN],KENKO[[#This Row],[//]]-2)="",INDEX([2]!NOTA[HARGA SATUAN],KENKO[//]-2),INDEX([2]!NOTA[HARGA/ CTN],KENKO[[#This Row],[//]]-2)))</f>
        <v>3758400</v>
      </c>
      <c r="O32" s="19" t="str">
        <f ca="1">IF(KENKO[[#This Row],[//]]="","",IF(INDEX([2]!NOTA[DISC 2],KENKO[[#This Row],[//]]-2)=0,"",INDEX([2]!NOTA[DISC 2],KENKO[[#This Row],[//]]-2)))</f>
        <v/>
      </c>
      <c r="P32" s="19"/>
      <c r="Q32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s="16" t="str">
        <f ca="1">IF(KENKO[[#This Row],[//]]="","",INDEX([2]!NOTA[NAMA BARANG],KENKO[[#This Row],[//]]-2))</f>
        <v>KENKO GEL PEN WINJELLER KE-600 BLACK</v>
      </c>
      <c r="V32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32" s="8">
        <f ca="1">IF(KENKO[[#This Row],[concat]]="","",MATCH(KENKO[[#This Row],[concat]],[4]!db[NB NOTA_C],0)+1)</f>
        <v>1135</v>
      </c>
      <c r="X32" s="16" t="str">
        <f ca="1">IF(KENKO[[#This Row],[N.B.nota]]="","",ADDRESS(ROW(KENKO[QB]),COLUMN(KENKO[QB]))&amp;":"&amp;ADDRESS(ROW(),COLUMN(KENKO[QB])))</f>
        <v>$D$3:$D$32</v>
      </c>
      <c r="Y32" s="16" t="str">
        <f ca="1">IF(KENKO[[#This Row],[//]]="","",HYPERLINK("[..\\DB.xlsx]DB!e"&amp;KENKO[[#This Row],[stt]],"&gt;"))</f>
        <v>&gt;</v>
      </c>
      <c r="Z32" s="4">
        <f ca="1">IF(KENKO[[#This Row],[//]]="","",IF(KENKO[[#This Row],[ID NOTA]]="",Z31,KENKO[[#This Row],[ID NOTA]]))</f>
        <v>31</v>
      </c>
    </row>
    <row r="33" spans="1:26" ht="15" customHeight="1" x14ac:dyDescent="0.25">
      <c r="A33" s="2"/>
      <c r="B33" s="8" t="str">
        <f>IF(KENKO[[#This Row],[N_ID]]="","",INDEX(Table1[ID],MATCH(KENKO[[#This Row],[N_ID]],Table1[N_ID],0)))</f>
        <v/>
      </c>
      <c r="C33" s="8" t="str">
        <f>IF(KENKO[[#This Row],[ID NOTA]]="","",HYPERLINK("[NOTA_.xlsx]NOTA!e"&amp;INDEX([2]!PAJAK[//],MATCH(KENKO[[#This Row],[ID NOTA]],[2]!PAJAK[ID],0)),"&gt;") )</f>
        <v/>
      </c>
      <c r="D33" s="8" t="str">
        <f>IF(KENKO[[#This Row],[ID NOTA]]="","",INDEX(Table1[QB],MATCH(KENKO[[#This Row],[ID NOTA]],Table1[ID],0)))</f>
        <v/>
      </c>
      <c r="E3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153</v>
      </c>
      <c r="F33" s="8"/>
      <c r="G33" s="9" t="str">
        <f>IF(KENKO[[#This Row],[ID NOTA]]="","",INDEX([2]!NOTA[TGL_H],MATCH(KENKO[[#This Row],[ID NOTA]],[2]!NOTA[ID],0)))</f>
        <v/>
      </c>
      <c r="H33" s="9" t="str">
        <f>IF(KENKO[[#This Row],[ID NOTA]]="","",INDEX([2]!NOTA[TGL.NOTA],MATCH(KENKO[[#This Row],[ID NOTA]],[2]!NOTA[ID],0)))</f>
        <v/>
      </c>
      <c r="I33" s="16" t="str">
        <f>IF(KENKO[[#This Row],[ID NOTA]]="","",INDEX([2]!NOTA[NO.NOTA],MATCH(KENKO[[#This Row],[ID NOTA]],[2]!NOTA[ID],0)))</f>
        <v/>
      </c>
      <c r="J33" s="16" t="str">
        <f ca="1">IF(KENKO[[#This Row],[//]]="","",INDEX([4]!db[NB PAJAK],KENKO[[#This Row],[stt]]-1))</f>
        <v>STAPLER KENKO HD-50</v>
      </c>
      <c r="K33" s="8" t="str">
        <f>""</f>
        <v/>
      </c>
      <c r="L33" s="8">
        <f ca="1">IF(KENKO[[#This Row],[//]]="","",IF(INDEX([2]!NOTA[QTY],KENKO[//]-2)="",INDEX([2]!NOTA[C],KENKO[//]-2),INDEX([2]!NOTA[QTY],KENKO[//]-2)))</f>
        <v>1</v>
      </c>
      <c r="M33" s="8" t="str">
        <f ca="1">IF(KENKO[[#This Row],[//]]="","",IF(INDEX([2]!NOTA[STN],KENKO[//]-2)="","CTN",INDEX([2]!NOTA[STN],KENKO[//]-2)))</f>
        <v>CTN</v>
      </c>
      <c r="N33" s="17">
        <f ca="1">IF(KENKO[[#This Row],[//]]="","",IF(INDEX([2]!NOTA[HARGA/ CTN],KENKO[[#This Row],[//]]-2)="",INDEX([2]!NOTA[HARGA SATUAN],KENKO[//]-2),INDEX([2]!NOTA[HARGA/ CTN],KENKO[[#This Row],[//]]-2)))</f>
        <v>2280000</v>
      </c>
      <c r="O33" s="19" t="str">
        <f ca="1">IF(KENKO[[#This Row],[//]]="","",IF(INDEX([2]!NOTA[DISC 2],KENKO[[#This Row],[//]]-2)=0,"",INDEX([2]!NOTA[DISC 2],KENKO[[#This Row],[//]]-2)))</f>
        <v/>
      </c>
      <c r="P33" s="19"/>
      <c r="Q33" s="10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s="16" t="str">
        <f ca="1">IF(KENKO[[#This Row],[//]]="","",INDEX([2]!NOTA[NAMA BARANG],KENKO[[#This Row],[//]]-2))</f>
        <v>KENKO STAPLER HD-50</v>
      </c>
      <c r="V33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33" s="8">
        <f ca="1">IF(KENKO[[#This Row],[concat]]="","",MATCH(KENKO[[#This Row],[concat]],[4]!db[NB NOTA_C],0)+1)</f>
        <v>1246</v>
      </c>
      <c r="X33" s="16" t="str">
        <f ca="1">IF(KENKO[[#This Row],[N.B.nota]]="","",ADDRESS(ROW(KENKO[QB]),COLUMN(KENKO[QB]))&amp;":"&amp;ADDRESS(ROW(),COLUMN(KENKO[QB])))</f>
        <v>$D$3:$D$33</v>
      </c>
      <c r="Y33" s="16" t="str">
        <f ca="1">IF(KENKO[[#This Row],[//]]="","",HYPERLINK("[..\\DB.xlsx]DB!e"&amp;KENKO[[#This Row],[stt]],"&gt;"))</f>
        <v>&gt;</v>
      </c>
      <c r="Z33" s="4">
        <f ca="1">IF(KENKO[[#This Row],[//]]="","",IF(KENKO[[#This Row],[ID NOTA]]="",Z32,KENKO[[#This Row],[ID NOTA]]))</f>
        <v>31</v>
      </c>
    </row>
    <row r="34" spans="1:26" ht="15" customHeight="1" x14ac:dyDescent="0.25">
      <c r="A34" s="2"/>
      <c r="B34" s="8" t="str">
        <f>IF(KENKO[[#This Row],[N_ID]]="","",INDEX(Table1[ID],MATCH(KENKO[[#This Row],[N_ID]],Table1[N_ID],0)))</f>
        <v/>
      </c>
      <c r="C34" s="8" t="str">
        <f>IF(KENKO[[#This Row],[ID NOTA]]="","",HYPERLINK("[NOTA_.xlsx]NOTA!e"&amp;INDEX([2]!PAJAK[//],MATCH(KENKO[[#This Row],[ID NOTA]],[2]!PAJAK[ID],0)),"&gt;") )</f>
        <v/>
      </c>
      <c r="D34" s="8" t="str">
        <f>IF(KENKO[[#This Row],[ID NOTA]]="","",INDEX(Table1[QB],MATCH(KENKO[[#This Row],[ID NOTA]],Table1[ID],0)))</f>
        <v/>
      </c>
      <c r="E3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154</v>
      </c>
      <c r="F34" s="8"/>
      <c r="G34" s="9" t="str">
        <f>IF(KENKO[[#This Row],[ID NOTA]]="","",INDEX([2]!NOTA[TGL_H],MATCH(KENKO[[#This Row],[ID NOTA]],[2]!NOTA[ID],0)))</f>
        <v/>
      </c>
      <c r="H34" s="9" t="str">
        <f>IF(KENKO[[#This Row],[ID NOTA]]="","",INDEX([2]!NOTA[TGL.NOTA],MATCH(KENKO[[#This Row],[ID NOTA]],[2]!NOTA[ID],0)))</f>
        <v/>
      </c>
      <c r="I34" s="16" t="str">
        <f>IF(KENKO[[#This Row],[ID NOTA]]="","",INDEX([2]!NOTA[NO.NOTA],MATCH(KENKO[[#This Row],[ID NOTA]],[2]!NOTA[ID],0)))</f>
        <v/>
      </c>
      <c r="J34" s="16" t="str">
        <f ca="1">IF(KENKO[[#This Row],[//]]="","",INDEX([4]!db[NB PAJAK],KENKO[[#This Row],[stt]]-1))</f>
        <v>BINDER CLIP KENKO NO.280 (6 PCS / BOX)</v>
      </c>
      <c r="K34" s="8" t="str">
        <f>""</f>
        <v/>
      </c>
      <c r="L34" s="8">
        <f ca="1">IF(KENKO[[#This Row],[//]]="","",IF(INDEX([2]!NOTA[QTY],KENKO[//]-2)="",INDEX([2]!NOTA[C],KENKO[//]-2),INDEX([2]!NOTA[QTY],KENKO[//]-2)))</f>
        <v>2</v>
      </c>
      <c r="M34" s="8" t="str">
        <f ca="1">IF(KENKO[[#This Row],[//]]="","",IF(INDEX([2]!NOTA[STN],KENKO[//]-2)="","CTN",INDEX([2]!NOTA[STN],KENKO[//]-2)))</f>
        <v>CTN</v>
      </c>
      <c r="N34" s="17">
        <f ca="1">IF(KENKO[[#This Row],[//]]="","",IF(INDEX([2]!NOTA[HARGA/ CTN],KENKO[[#This Row],[//]]-2)="",INDEX([2]!NOTA[HARGA SATUAN],KENKO[//]-2),INDEX([2]!NOTA[HARGA/ CTN],KENKO[[#This Row],[//]]-2)))</f>
        <v>1548000</v>
      </c>
      <c r="O34" s="19" t="str">
        <f ca="1">IF(KENKO[[#This Row],[//]]="","",IF(INDEX([2]!NOTA[DISC 2],KENKO[[#This Row],[//]]-2)=0,"",INDEX([2]!NOTA[DISC 2],KENKO[[#This Row],[//]]-2)))</f>
        <v/>
      </c>
      <c r="P34" s="19"/>
      <c r="Q34" s="10">
        <f ca="1">IF(KENKO[[#This Row],[//]]="","",INDEX([2]!NOTA[JUMLAH],KENKO[[#This Row],[//]]-2)-IF(ISNUMBER(KENKO[[#This Row],[DISC 1 (%)]]),INDEX([2]!NOTA[JUMLAH],KENKO[[#This Row],[//]]-2)*KENKO[[#This Row],[DISC 1 (%)]],0))</f>
        <v>3096000</v>
      </c>
      <c r="R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s="16" t="str">
        <f ca="1">IF(KENKO[[#This Row],[//]]="","",INDEX([2]!NOTA[NAMA BARANG],KENKO[[#This Row],[//]]-2))</f>
        <v>KENKO BINDER CLIP NO.280 (6PCS/ BOX)</v>
      </c>
      <c r="V34" s="16" t="str">
        <f ca="1">LOWER(SUBSTITUTE(SUBSTITUTE(SUBSTITUTE(SUBSTITUTE(SUBSTITUTE(SUBSTITUTE(SUBSTITUTE(SUBSTITUTE(KENKO[[#This Row],[N.B.nota]]," ",""),"-",""),"(",""),")",""),".",""),",",""),"/",""),"""",""))</f>
        <v>kenkobinderclipno2806pcsbox</v>
      </c>
      <c r="W34" s="8">
        <f ca="1">IF(KENKO[[#This Row],[concat]]="","",MATCH(KENKO[[#This Row],[concat]],[4]!db[NB NOTA_C],0)+1)</f>
        <v>1012</v>
      </c>
      <c r="X34" s="16" t="str">
        <f ca="1">IF(KENKO[[#This Row],[N.B.nota]]="","",ADDRESS(ROW(KENKO[QB]),COLUMN(KENKO[QB]))&amp;":"&amp;ADDRESS(ROW(),COLUMN(KENKO[QB])))</f>
        <v>$D$3:$D$34</v>
      </c>
      <c r="Y34" s="16" t="str">
        <f ca="1">IF(KENKO[[#This Row],[//]]="","",HYPERLINK("[..\\DB.xlsx]DB!e"&amp;KENKO[[#This Row],[stt]],"&gt;"))</f>
        <v>&gt;</v>
      </c>
      <c r="Z34" s="4">
        <f ca="1">IF(KENKO[[#This Row],[//]]="","",IF(KENKO[[#This Row],[ID NOTA]]="",Z33,KENKO[[#This Row],[ID NOTA]]))</f>
        <v>31</v>
      </c>
    </row>
    <row r="35" spans="1:26" ht="15" customHeight="1" x14ac:dyDescent="0.25">
      <c r="A35" s="2"/>
      <c r="B35" s="8" t="str">
        <f>IF(KENKO[[#This Row],[N_ID]]="","",INDEX(Table1[ID],MATCH(KENKO[[#This Row],[N_ID]],Table1[N_ID],0)))</f>
        <v/>
      </c>
      <c r="C35" s="8" t="str">
        <f>IF(KENKO[[#This Row],[ID NOTA]]="","",HYPERLINK("[NOTA_.xlsx]NOTA!e"&amp;INDEX([2]!PAJAK[//],MATCH(KENKO[[#This Row],[ID NOTA]],[2]!PAJAK[ID],0)),"&gt;") )</f>
        <v/>
      </c>
      <c r="D35" s="8" t="str">
        <f>IF(KENKO[[#This Row],[ID NOTA]]="","",INDEX(Table1[QB],MATCH(KENKO[[#This Row],[ID NOTA]],Table1[ID],0)))</f>
        <v/>
      </c>
      <c r="E3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155</v>
      </c>
      <c r="F35" s="8"/>
      <c r="G35" s="9" t="str">
        <f>IF(KENKO[[#This Row],[ID NOTA]]="","",INDEX([2]!NOTA[TGL_H],MATCH(KENKO[[#This Row],[ID NOTA]],[2]!NOTA[ID],0)))</f>
        <v/>
      </c>
      <c r="H35" s="9" t="str">
        <f>IF(KENKO[[#This Row],[ID NOTA]]="","",INDEX([2]!NOTA[TGL.NOTA],MATCH(KENKO[[#This Row],[ID NOTA]],[2]!NOTA[ID],0)))</f>
        <v/>
      </c>
      <c r="I35" s="16" t="str">
        <f>IF(KENKO[[#This Row],[ID NOTA]]="","",INDEX([2]!NOTA[NO.NOTA],MATCH(KENKO[[#This Row],[ID NOTA]],[2]!NOTA[ID],0)))</f>
        <v/>
      </c>
      <c r="J35" s="16" t="str">
        <f ca="1">IF(KENKO[[#This Row],[//]]="","",INDEX([4]!db[NB PAJAK],KENKO[[#This Row],[stt]]-1))</f>
        <v>PAPER TRIGONAL CLIP KENKO NO. 1</v>
      </c>
      <c r="K35" s="8" t="str">
        <f>""</f>
        <v/>
      </c>
      <c r="L35" s="8">
        <f ca="1">IF(KENKO[[#This Row],[//]]="","",IF(INDEX([2]!NOTA[QTY],KENKO[//]-2)="",INDEX([2]!NOTA[C],KENKO[//]-2),INDEX([2]!NOTA[QTY],KENKO[//]-2)))</f>
        <v>1</v>
      </c>
      <c r="M35" s="8" t="str">
        <f ca="1">IF(KENKO[[#This Row],[//]]="","",IF(INDEX([2]!NOTA[STN],KENKO[//]-2)="","CTN",INDEX([2]!NOTA[STN],KENKO[//]-2)))</f>
        <v>CTN</v>
      </c>
      <c r="N35" s="17">
        <f ca="1">IF(KENKO[[#This Row],[//]]="","",IF(INDEX([2]!NOTA[HARGA/ CTN],KENKO[[#This Row],[//]]-2)="",INDEX([2]!NOTA[HARGA SATUAN],KENKO[//]-2),INDEX([2]!NOTA[HARGA/ CTN],KENKO[[#This Row],[//]]-2)))</f>
        <v>850000</v>
      </c>
      <c r="O35" s="19" t="str">
        <f ca="1">IF(KENKO[[#This Row],[//]]="","",IF(INDEX([2]!NOTA[DISC 2],KENKO[[#This Row],[//]]-2)=0,"",INDEX([2]!NOTA[DISC 2],KENKO[[#This Row],[//]]-2)))</f>
        <v/>
      </c>
      <c r="P35" s="19"/>
      <c r="Q35" s="10">
        <f ca="1">IF(KENKO[[#This Row],[//]]="","",INDEX([2]!NOTA[JUMLAH],KENKO[[#This Row],[//]]-2)-IF(ISNUMBER(KENKO[[#This Row],[DISC 1 (%)]]),INDEX([2]!NOTA[JUMLAH],KENKO[[#This Row],[//]]-2)*KENKO[[#This Row],[DISC 1 (%)]],0))</f>
        <v>850000</v>
      </c>
      <c r="R3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4297124</v>
      </c>
      <c r="S3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20980076</v>
      </c>
      <c r="T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s="16" t="str">
        <f ca="1">IF(KENKO[[#This Row],[//]]="","",INDEX([2]!NOTA[NAMA BARANG],KENKO[[#This Row],[//]]-2))</f>
        <v>KENKO TRIGONAL CLIP NO.1</v>
      </c>
      <c r="V35" s="16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35" s="8">
        <f ca="1">IF(KENKO[[#This Row],[concat]]="","",MATCH(KENKO[[#This Row],[concat]],[4]!db[NB NOTA_C],0)+1)</f>
        <v>1261</v>
      </c>
      <c r="X35" s="16" t="str">
        <f ca="1">IF(KENKO[[#This Row],[N.B.nota]]="","",ADDRESS(ROW(KENKO[QB]),COLUMN(KENKO[QB]))&amp;":"&amp;ADDRESS(ROW(),COLUMN(KENKO[QB])))</f>
        <v>$D$3:$D$35</v>
      </c>
      <c r="Y35" s="16" t="str">
        <f ca="1">IF(KENKO[[#This Row],[//]]="","",HYPERLINK("[..\\DB.xlsx]DB!e"&amp;KENKO[[#This Row],[stt]],"&gt;"))</f>
        <v>&gt;</v>
      </c>
      <c r="Z35" s="4">
        <f ca="1">IF(KENKO[[#This Row],[//]]="","",IF(KENKO[[#This Row],[ID NOTA]]="",Z34,KENKO[[#This Row],[ID NOTA]]))</f>
        <v>31</v>
      </c>
    </row>
    <row r="36" spans="1:26" ht="15" customHeight="1" x14ac:dyDescent="0.25">
      <c r="A36" s="2"/>
      <c r="B36" s="8" t="str">
        <f>IF(KENKO[[#This Row],[N_ID]]="","",INDEX(Table1[ID],MATCH(KENKO[[#This Row],[N_ID]],Table1[N_ID],0)))</f>
        <v/>
      </c>
      <c r="C36" s="8" t="str">
        <f>IF(KENKO[[#This Row],[ID NOTA]]="","",HYPERLINK("[NOTA_.xlsx]NOTA!e"&amp;INDEX([2]!PAJAK[//],MATCH(KENKO[[#This Row],[ID NOTA]],[2]!PAJAK[ID],0)),"&gt;") )</f>
        <v/>
      </c>
      <c r="D36" s="8" t="str">
        <f>IF(KENKO[[#This Row],[ID NOTA]]="","",INDEX(Table1[QB],MATCH(KENKO[[#This Row],[ID NOTA]],Table1[ID],0)))</f>
        <v/>
      </c>
      <c r="E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" s="8"/>
      <c r="G36" s="9" t="str">
        <f>IF(KENKO[[#This Row],[ID NOTA]]="","",INDEX([2]!NOTA[TGL_H],MATCH(KENKO[[#This Row],[ID NOTA]],[2]!NOTA[ID],0)))</f>
        <v/>
      </c>
      <c r="H36" s="9" t="str">
        <f>IF(KENKO[[#This Row],[ID NOTA]]="","",INDEX([2]!NOTA[TGL.NOTA],MATCH(KENKO[[#This Row],[ID NOTA]],[2]!NOTA[ID],0)))</f>
        <v/>
      </c>
      <c r="I36" s="16" t="str">
        <f>IF(KENKO[[#This Row],[ID NOTA]]="","",INDEX([2]!NOTA[NO.NOTA],MATCH(KENKO[[#This Row],[ID NOTA]],[2]!NOTA[ID],0)))</f>
        <v/>
      </c>
      <c r="J36" s="16" t="str">
        <f ca="1">IF(KENKO[[#This Row],[//]]="","",INDEX([4]!db[NB PAJAK],KENKO[[#This Row],[stt]]-1))</f>
        <v/>
      </c>
      <c r="K36" s="8" t="str">
        <f>""</f>
        <v/>
      </c>
      <c r="L36" s="8" t="str">
        <f ca="1">IF(KENKO[[#This Row],[//]]="","",IF(INDEX([2]!NOTA[QTY],KENKO[//]-2)="",INDEX([2]!NOTA[C],KENKO[//]-2),INDEX([2]!NOTA[QTY],KENKO[//]-2)))</f>
        <v/>
      </c>
      <c r="M36" s="8" t="str">
        <f ca="1">IF(KENKO[[#This Row],[//]]="","",IF(INDEX([2]!NOTA[STN],KENKO[//]-2)="","CTN",INDEX([2]!NOTA[STN],KENKO[//]-2)))</f>
        <v/>
      </c>
      <c r="N36" s="17" t="str">
        <f ca="1">IF(KENKO[[#This Row],[//]]="","",IF(INDEX([2]!NOTA[HARGA/ CTN],KENKO[[#This Row],[//]]-2)="",INDEX([2]!NOTA[HARGA SATUAN],KENKO[//]-2),INDEX([2]!NOTA[HARGA/ CTN],KENKO[[#This Row],[//]]-2)))</f>
        <v/>
      </c>
      <c r="O36" s="19" t="str">
        <f ca="1">IF(KENKO[[#This Row],[//]]="","",IF(INDEX([2]!NOTA[DISC 2],KENKO[[#This Row],[//]]-2)=0,"",INDEX([2]!NOTA[DISC 2],KENKO[[#This Row],[//]]-2)))</f>
        <v/>
      </c>
      <c r="P36" s="19"/>
      <c r="Q3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s="16" t="str">
        <f ca="1">IF(KENKO[[#This Row],[//]]="","",INDEX([2]!NOTA[NAMA BARANG],KENKO[[#This Row],[//]]-2))</f>
        <v/>
      </c>
      <c r="V36" s="16" t="str">
        <f ca="1">LOWER(SUBSTITUTE(SUBSTITUTE(SUBSTITUTE(SUBSTITUTE(SUBSTITUTE(SUBSTITUTE(SUBSTITUTE(SUBSTITUTE(KENKO[[#This Row],[N.B.nota]]," ",""),"-",""),"(",""),")",""),".",""),",",""),"/",""),"""",""))</f>
        <v/>
      </c>
      <c r="W36" s="8" t="str">
        <f ca="1">IF(KENKO[[#This Row],[concat]]="","",MATCH(KENKO[[#This Row],[concat]],[4]!db[NB NOTA_C],0)+1)</f>
        <v/>
      </c>
      <c r="X36" s="16" t="str">
        <f ca="1">IF(KENKO[[#This Row],[N.B.nota]]="","",ADDRESS(ROW(KENKO[QB]),COLUMN(KENKO[QB]))&amp;":"&amp;ADDRESS(ROW(),COLUMN(KENKO[QB])))</f>
        <v/>
      </c>
      <c r="Y36" s="16" t="str">
        <f ca="1">IF(KENKO[[#This Row],[//]]="","",HYPERLINK("[..\\DB.xlsx]DB!e"&amp;KENKO[[#This Row],[stt]],"&gt;"))</f>
        <v/>
      </c>
      <c r="Z36" s="4" t="str">
        <f ca="1">IF(KENKO[[#This Row],[//]]="","",IF(KENKO[[#This Row],[ID NOTA]]="",Z35,KENKO[[#This Row],[ID NOTA]]))</f>
        <v/>
      </c>
    </row>
    <row r="37" spans="1:26" ht="15" customHeight="1" x14ac:dyDescent="0.25">
      <c r="A37" s="2" t="s">
        <v>68</v>
      </c>
      <c r="B37" s="8">
        <f ca="1">IF(KENKO[[#This Row],[N_ID]]="","",INDEX(Table1[ID],MATCH(KENKO[[#This Row],[N_ID]],Table1[N_ID],0)))</f>
        <v>27</v>
      </c>
      <c r="C37" s="8" t="str">
        <f ca="1">IF(KENKO[[#This Row],[ID NOTA]]="","",HYPERLINK("[NOTA_.xlsx]NOTA!e"&amp;INDEX([2]!PAJAK[//],MATCH(KENKO[[#This Row],[ID NOTA]],[2]!PAJAK[ID],0)),"&gt;") )</f>
        <v>&gt;</v>
      </c>
      <c r="D37" s="8">
        <f ca="1">IF(KENKO[[#This Row],[ID NOTA]]="","",INDEX(Table1[QB],MATCH(KENKO[[#This Row],[ID NOTA]],Table1[ID],0)))</f>
        <v>7</v>
      </c>
      <c r="E3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128</v>
      </c>
      <c r="F37" s="8">
        <v>7</v>
      </c>
      <c r="G37" s="9">
        <f ca="1">IF(KENKO[[#This Row],[ID NOTA]]="","",INDEX([2]!NOTA[TGL_H],MATCH(KENKO[[#This Row],[ID NOTA]],[2]!NOTA[ID],0)))</f>
        <v>44812</v>
      </c>
      <c r="H37" s="9">
        <f ca="1">IF(KENKO[[#This Row],[ID NOTA]]="","",INDEX([2]!NOTA[TGL.NOTA],MATCH(KENKO[[#This Row],[ID NOTA]],[2]!NOTA[ID],0)))</f>
        <v>44810</v>
      </c>
      <c r="I37" s="16" t="str">
        <f ca="1">IF(KENKO[[#This Row],[ID NOTA]]="","",INDEX([2]!NOTA[NO.NOTA],MATCH(KENKO[[#This Row],[ID NOTA]],[2]!NOTA[ID],0)))</f>
        <v>22090393</v>
      </c>
      <c r="J37" s="16" t="str">
        <f ca="1">IF(KENKO[[#This Row],[//]]="","",INDEX([4]!db[NB PAJAK],KENKO[[#This Row],[stt]]-1))</f>
        <v>GEL PEN KENKO HI-TECH-H 0.28 MM HITAM</v>
      </c>
      <c r="K37" s="8" t="str">
        <f>""</f>
        <v/>
      </c>
      <c r="L37" s="8">
        <f ca="1">IF(KENKO[[#This Row],[//]]="","",IF(INDEX([2]!NOTA[QTY],KENKO[//]-2)="",INDEX([2]!NOTA[C],KENKO[//]-2),INDEX([2]!NOTA[QTY],KENKO[//]-2)))</f>
        <v>20</v>
      </c>
      <c r="M37" s="8" t="str">
        <f ca="1">IF(KENKO[[#This Row],[//]]="","",IF(INDEX([2]!NOTA[STN],KENKO[//]-2)="","CTN",INDEX([2]!NOTA[STN],KENKO[//]-2)))</f>
        <v>CTN</v>
      </c>
      <c r="N37" s="17">
        <f ca="1">IF(KENKO[[#This Row],[//]]="","",IF(INDEX([2]!NOTA[HARGA/ CTN],KENKO[[#This Row],[//]]-2)="",INDEX([2]!NOTA[HARGA SATUAN],KENKO[//]-2),INDEX([2]!NOTA[HARGA/ CTN],KENKO[[#This Row],[//]]-2)))</f>
        <v>5616000</v>
      </c>
      <c r="O37" s="19" t="str">
        <f ca="1">IF(KENKO[[#This Row],[//]]="","",IF(INDEX([2]!NOTA[DISC 2],KENKO[[#This Row],[//]]-2)=0,"",INDEX([2]!NOTA[DISC 2],KENKO[[#This Row],[//]]-2)))</f>
        <v/>
      </c>
      <c r="P37" s="19"/>
      <c r="Q37" s="10">
        <f ca="1">IF(KENKO[[#This Row],[//]]="","",INDEX([2]!NOTA[JUMLAH],KENKO[[#This Row],[//]]-2)-IF(ISNUMBER(KENKO[[#This Row],[DISC 1 (%)]]),INDEX([2]!NOTA[JUMLAH],KENKO[[#This Row],[//]]-2)*KENKO[[#This Row],[DISC 1 (%)]],0))</f>
        <v>112320000</v>
      </c>
      <c r="R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s="16" t="str">
        <f ca="1">IF(KENKO[[#This Row],[//]]="","",INDEX([2]!NOTA[NAMA BARANG],KENKO[[#This Row],[//]]-2))</f>
        <v>KENKO GEL PEN HI-TECH-H 0.28MM BLACK</v>
      </c>
      <c r="V37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37" s="8">
        <f ca="1">IF(KENKO[[#This Row],[concat]]="","",MATCH(KENKO[[#This Row],[concat]],[4]!db[NB NOTA_C],0)+1)</f>
        <v>1103</v>
      </c>
      <c r="X37" s="16" t="str">
        <f ca="1">IF(KENKO[[#This Row],[N.B.nota]]="","",ADDRESS(ROW(KENKO[QB]),COLUMN(KENKO[QB]))&amp;":"&amp;ADDRESS(ROW(),COLUMN(KENKO[QB])))</f>
        <v>$D$3:$D$37</v>
      </c>
      <c r="Y37" s="16" t="str">
        <f ca="1">IF(KENKO[[#This Row],[//]]="","",HYPERLINK("[..\\DB.xlsx]DB!e"&amp;KENKO[[#This Row],[stt]],"&gt;"))</f>
        <v>&gt;</v>
      </c>
      <c r="Z37" s="4">
        <f ca="1">IF(KENKO[[#This Row],[//]]="","",IF(KENKO[[#This Row],[ID NOTA]]="",Z36,KENKO[[#This Row],[ID NOTA]]))</f>
        <v>27</v>
      </c>
    </row>
    <row r="38" spans="1:26" ht="15" customHeight="1" x14ac:dyDescent="0.25">
      <c r="A38" s="2"/>
      <c r="B38" s="8" t="str">
        <f>IF(KENKO[[#This Row],[N_ID]]="","",INDEX(Table1[ID],MATCH(KENKO[[#This Row],[N_ID]],Table1[N_ID],0)))</f>
        <v/>
      </c>
      <c r="C38" s="8" t="str">
        <f>IF(KENKO[[#This Row],[ID NOTA]]="","",HYPERLINK("[NOTA_.xlsx]NOTA!e"&amp;INDEX([2]!PAJAK[//],MATCH(KENKO[[#This Row],[ID NOTA]],[2]!PAJAK[ID],0)),"&gt;") )</f>
        <v/>
      </c>
      <c r="D38" s="8" t="str">
        <f>IF(KENKO[[#This Row],[ID NOTA]]="","",INDEX(Table1[QB],MATCH(KENKO[[#This Row],[ID NOTA]],Table1[ID],0)))</f>
        <v/>
      </c>
      <c r="E3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129</v>
      </c>
      <c r="F38" s="8"/>
      <c r="G38" s="9" t="str">
        <f>IF(KENKO[[#This Row],[ID NOTA]]="","",INDEX([2]!NOTA[TGL_H],MATCH(KENKO[[#This Row],[ID NOTA]],[2]!NOTA[ID],0)))</f>
        <v/>
      </c>
      <c r="H38" s="9" t="str">
        <f>IF(KENKO[[#This Row],[ID NOTA]]="","",INDEX([2]!NOTA[TGL.NOTA],MATCH(KENKO[[#This Row],[ID NOTA]],[2]!NOTA[ID],0)))</f>
        <v/>
      </c>
      <c r="I38" s="16" t="str">
        <f>IF(KENKO[[#This Row],[ID NOTA]]="","",INDEX([2]!NOTA[NO.NOTA],MATCH(KENKO[[#This Row],[ID NOTA]],[2]!NOTA[ID],0)))</f>
        <v/>
      </c>
      <c r="J38" s="16" t="str">
        <f ca="1">IF(KENKO[[#This Row],[//]]="","",INDEX([4]!db[NB PAJAK],KENKO[[#This Row],[stt]]-1))</f>
        <v>CORRECTION FLUID KENKO KE-108</v>
      </c>
      <c r="K38" s="8" t="str">
        <f>""</f>
        <v/>
      </c>
      <c r="L38" s="8">
        <f ca="1">IF(KENKO[[#This Row],[//]]="","",IF(INDEX([2]!NOTA[QTY],KENKO[//]-2)="",INDEX([2]!NOTA[C],KENKO[//]-2),INDEX([2]!NOTA[QTY],KENKO[//]-2)))</f>
        <v>6</v>
      </c>
      <c r="M38" s="8" t="str">
        <f ca="1">IF(KENKO[[#This Row],[//]]="","",IF(INDEX([2]!NOTA[STN],KENKO[//]-2)="","CTN",INDEX([2]!NOTA[STN],KENKO[//]-2)))</f>
        <v>CTN</v>
      </c>
      <c r="N38" s="17">
        <f ca="1">IF(KENKO[[#This Row],[//]]="","",IF(INDEX([2]!NOTA[HARGA/ CTN],KENKO[[#This Row],[//]]-2)="",INDEX([2]!NOTA[HARGA SATUAN],KENKO[//]-2),INDEX([2]!NOTA[HARGA/ CTN],KENKO[[#This Row],[//]]-2)))</f>
        <v>1695600</v>
      </c>
      <c r="O38" s="19" t="str">
        <f ca="1">IF(KENKO[[#This Row],[//]]="","",IF(INDEX([2]!NOTA[DISC 2],KENKO[[#This Row],[//]]-2)=0,"",INDEX([2]!NOTA[DISC 2],KENKO[[#This Row],[//]]-2)))</f>
        <v/>
      </c>
      <c r="P38" s="19"/>
      <c r="Q38" s="10">
        <f ca="1">IF(KENKO[[#This Row],[//]]="","",INDEX([2]!NOTA[JUMLAH],KENKO[[#This Row],[//]]-2)-IF(ISNUMBER(KENKO[[#This Row],[DISC 1 (%)]]),INDEX([2]!NOTA[JUMLAH],KENKO[[#This Row],[//]]-2)*KENKO[[#This Row],[DISC 1 (%)]],0))</f>
        <v>10173600</v>
      </c>
      <c r="R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s="16" t="str">
        <f ca="1">IF(KENKO[[#This Row],[//]]="","",INDEX([2]!NOTA[NAMA BARANG],KENKO[[#This Row],[//]]-2))</f>
        <v>KENKO CORRECTION FLUID KE-108</v>
      </c>
      <c r="V38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38" s="8">
        <f ca="1">IF(KENKO[[#This Row],[concat]]="","",MATCH(KENKO[[#This Row],[concat]],[4]!db[NB NOTA_C],0)+1)</f>
        <v>1057</v>
      </c>
      <c r="X38" s="16" t="str">
        <f ca="1">IF(KENKO[[#This Row],[N.B.nota]]="","",ADDRESS(ROW(KENKO[QB]),COLUMN(KENKO[QB]))&amp;":"&amp;ADDRESS(ROW(),COLUMN(KENKO[QB])))</f>
        <v>$D$3:$D$38</v>
      </c>
      <c r="Y38" s="16" t="str">
        <f ca="1">IF(KENKO[[#This Row],[//]]="","",HYPERLINK("[..\\DB.xlsx]DB!e"&amp;KENKO[[#This Row],[stt]],"&gt;"))</f>
        <v>&gt;</v>
      </c>
      <c r="Z38" s="4">
        <f ca="1">IF(KENKO[[#This Row],[//]]="","",IF(KENKO[[#This Row],[ID NOTA]]="",Z37,KENKO[[#This Row],[ID NOTA]]))</f>
        <v>27</v>
      </c>
    </row>
    <row r="39" spans="1:26" ht="15" customHeight="1" x14ac:dyDescent="0.25">
      <c r="A39" s="2"/>
      <c r="B39" s="8" t="str">
        <f>IF(KENKO[[#This Row],[N_ID]]="","",INDEX(Table1[ID],MATCH(KENKO[[#This Row],[N_ID]],Table1[N_ID],0)))</f>
        <v/>
      </c>
      <c r="C39" s="8" t="str">
        <f>IF(KENKO[[#This Row],[ID NOTA]]="","",HYPERLINK("[NOTA_.xlsx]NOTA!e"&amp;INDEX([2]!PAJAK[//],MATCH(KENKO[[#This Row],[ID NOTA]],[2]!PAJAK[ID],0)),"&gt;") )</f>
        <v/>
      </c>
      <c r="D39" s="8" t="str">
        <f>IF(KENKO[[#This Row],[ID NOTA]]="","",INDEX(Table1[QB],MATCH(KENKO[[#This Row],[ID NOTA]],Table1[ID],0)))</f>
        <v/>
      </c>
      <c r="E3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130</v>
      </c>
      <c r="F39" s="8"/>
      <c r="G39" s="9" t="str">
        <f>IF(KENKO[[#This Row],[ID NOTA]]="","",INDEX([2]!NOTA[TGL_H],MATCH(KENKO[[#This Row],[ID NOTA]],[2]!NOTA[ID],0)))</f>
        <v/>
      </c>
      <c r="H39" s="9" t="str">
        <f>IF(KENKO[[#This Row],[ID NOTA]]="","",INDEX([2]!NOTA[TGL.NOTA],MATCH(KENKO[[#This Row],[ID NOTA]],[2]!NOTA[ID],0)))</f>
        <v/>
      </c>
      <c r="I39" s="16" t="str">
        <f>IF(KENKO[[#This Row],[ID NOTA]]="","",INDEX([2]!NOTA[NO.NOTA],MATCH(KENKO[[#This Row],[ID NOTA]],[2]!NOTA[ID],0)))</f>
        <v/>
      </c>
      <c r="J39" s="16" t="str">
        <f ca="1">IF(KENKO[[#This Row],[//]]="","",INDEX([4]!db[NB PAJAK],KENKO[[#This Row],[stt]]-1))</f>
        <v>PAPER TRIGONAL CLIP KENKO NO. 3</v>
      </c>
      <c r="K39" s="8" t="str">
        <f>""</f>
        <v/>
      </c>
      <c r="L39" s="8">
        <f ca="1">IF(KENKO[[#This Row],[//]]="","",IF(INDEX([2]!NOTA[QTY],KENKO[//]-2)="",INDEX([2]!NOTA[C],KENKO[//]-2),INDEX([2]!NOTA[QTY],KENKO[//]-2)))</f>
        <v>3</v>
      </c>
      <c r="M39" s="8" t="str">
        <f ca="1">IF(KENKO[[#This Row],[//]]="","",IF(INDEX([2]!NOTA[STN],KENKO[//]-2)="","CTN",INDEX([2]!NOTA[STN],KENKO[//]-2)))</f>
        <v>CTN</v>
      </c>
      <c r="N39" s="17">
        <f ca="1">IF(KENKO[[#This Row],[//]]="","",IF(INDEX([2]!NOTA[HARGA/ CTN],KENKO[[#This Row],[//]]-2)="",INDEX([2]!NOTA[HARGA SATUAN],KENKO[//]-2),INDEX([2]!NOTA[HARGA/ CTN],KENKO[[#This Row],[//]]-2)))</f>
        <v>800000</v>
      </c>
      <c r="O39" s="19" t="str">
        <f ca="1">IF(KENKO[[#This Row],[//]]="","",IF(INDEX([2]!NOTA[DISC 2],KENKO[[#This Row],[//]]-2)=0,"",INDEX([2]!NOTA[DISC 2],KENKO[[#This Row],[//]]-2)))</f>
        <v/>
      </c>
      <c r="P39" s="19"/>
      <c r="Q39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s="16" t="str">
        <f ca="1">IF(KENKO[[#This Row],[//]]="","",INDEX([2]!NOTA[NAMA BARANG],KENKO[[#This Row],[//]]-2))</f>
        <v>KENKO TRIGONAL CLIP NO.3</v>
      </c>
      <c r="V39" s="1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39" s="8">
        <f ca="1">IF(KENKO[[#This Row],[concat]]="","",MATCH(KENKO[[#This Row],[concat]],[4]!db[NB NOTA_C],0)+1)</f>
        <v>1260</v>
      </c>
      <c r="X39" s="16" t="str">
        <f ca="1">IF(KENKO[[#This Row],[N.B.nota]]="","",ADDRESS(ROW(KENKO[QB]),COLUMN(KENKO[QB]))&amp;":"&amp;ADDRESS(ROW(),COLUMN(KENKO[QB])))</f>
        <v>$D$3:$D$39</v>
      </c>
      <c r="Y39" s="16" t="str">
        <f ca="1">IF(KENKO[[#This Row],[//]]="","",HYPERLINK("[..\\DB.xlsx]DB!e"&amp;KENKO[[#This Row],[stt]],"&gt;"))</f>
        <v>&gt;</v>
      </c>
      <c r="Z39" s="4">
        <f ca="1">IF(KENKO[[#This Row],[//]]="","",IF(KENKO[[#This Row],[ID NOTA]]="",Z38,KENKO[[#This Row],[ID NOTA]]))</f>
        <v>27</v>
      </c>
    </row>
    <row r="40" spans="1:26" ht="15" customHeight="1" x14ac:dyDescent="0.25">
      <c r="A40" s="2"/>
      <c r="B40" s="8" t="str">
        <f>IF(KENKO[[#This Row],[N_ID]]="","",INDEX(Table1[ID],MATCH(KENKO[[#This Row],[N_ID]],Table1[N_ID],0)))</f>
        <v/>
      </c>
      <c r="C40" s="8" t="str">
        <f>IF(KENKO[[#This Row],[ID NOTA]]="","",HYPERLINK("[NOTA_.xlsx]NOTA!e"&amp;INDEX([2]!PAJAK[//],MATCH(KENKO[[#This Row],[ID NOTA]],[2]!PAJAK[ID],0)),"&gt;") )</f>
        <v/>
      </c>
      <c r="D40" s="8" t="str">
        <f>IF(KENKO[[#This Row],[ID NOTA]]="","",INDEX(Table1[QB],MATCH(KENKO[[#This Row],[ID NOTA]],Table1[ID],0)))</f>
        <v/>
      </c>
      <c r="E4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131</v>
      </c>
      <c r="F40" s="8"/>
      <c r="G40" s="9" t="str">
        <f>IF(KENKO[[#This Row],[ID NOTA]]="","",INDEX([2]!NOTA[TGL_H],MATCH(KENKO[[#This Row],[ID NOTA]],[2]!NOTA[ID],0)))</f>
        <v/>
      </c>
      <c r="H40" s="9" t="str">
        <f>IF(KENKO[[#This Row],[ID NOTA]]="","",INDEX([2]!NOTA[TGL.NOTA],MATCH(KENKO[[#This Row],[ID NOTA]],[2]!NOTA[ID],0)))</f>
        <v/>
      </c>
      <c r="I40" s="16" t="str">
        <f>IF(KENKO[[#This Row],[ID NOTA]]="","",INDEX([2]!NOTA[NO.NOTA],MATCH(KENKO[[#This Row],[ID NOTA]],[2]!NOTA[ID],0)))</f>
        <v/>
      </c>
      <c r="J40" s="16" t="str">
        <f ca="1">IF(KENKO[[#This Row],[//]]="","",INDEX([4]!db[NB PAJAK],KENKO[[#This Row],[stt]]-1))</f>
        <v>STAPLER KENKO HD-10D</v>
      </c>
      <c r="K40" s="8" t="str">
        <f>""</f>
        <v/>
      </c>
      <c r="L40" s="8">
        <f ca="1">IF(KENKO[[#This Row],[//]]="","",IF(INDEX([2]!NOTA[QTY],KENKO[//]-2)="",INDEX([2]!NOTA[C],KENKO[//]-2),INDEX([2]!NOTA[QTY],KENKO[//]-2)))</f>
        <v>3</v>
      </c>
      <c r="M40" s="8" t="str">
        <f ca="1">IF(KENKO[[#This Row],[//]]="","",IF(INDEX([2]!NOTA[STN],KENKO[//]-2)="","CTN",INDEX([2]!NOTA[STN],KENKO[//]-2)))</f>
        <v>CTN</v>
      </c>
      <c r="N40" s="17">
        <f ca="1">IF(KENKO[[#This Row],[//]]="","",IF(INDEX([2]!NOTA[HARGA/ CTN],KENKO[[#This Row],[//]]-2)="",INDEX([2]!NOTA[HARGA SATUAN],KENKO[//]-2),INDEX([2]!NOTA[HARGA/ CTN],KENKO[[#This Row],[//]]-2)))</f>
        <v>2352000</v>
      </c>
      <c r="O40" s="19" t="str">
        <f ca="1">IF(KENKO[[#This Row],[//]]="","",IF(INDEX([2]!NOTA[DISC 2],KENKO[[#This Row],[//]]-2)=0,"",INDEX([2]!NOTA[DISC 2],KENKO[[#This Row],[//]]-2)))</f>
        <v/>
      </c>
      <c r="P40" s="19"/>
      <c r="Q40" s="10">
        <f ca="1">IF(KENKO[[#This Row],[//]]="","",INDEX([2]!NOTA[JUMLAH],KENKO[[#This Row],[//]]-2)-IF(ISNUMBER(KENKO[[#This Row],[DISC 1 (%)]]),INDEX([2]!NOTA[JUMLAH],KENKO[[#This Row],[//]]-2)*KENKO[[#This Row],[DISC 1 (%)]],0))</f>
        <v>7056000</v>
      </c>
      <c r="R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s="16" t="str">
        <f ca="1">IF(KENKO[[#This Row],[//]]="","",INDEX([2]!NOTA[NAMA BARANG],KENKO[[#This Row],[//]]-2))</f>
        <v>KENKO STAPLER HD-10D</v>
      </c>
      <c r="V40" s="16" t="str">
        <f ca="1">LOWER(SUBSTITUTE(SUBSTITUTE(SUBSTITUTE(SUBSTITUTE(SUBSTITUTE(SUBSTITUTE(SUBSTITUTE(SUBSTITUTE(KENKO[[#This Row],[N.B.nota]]," ",""),"-",""),"(",""),")",""),".",""),",",""),"/",""),"""",""))</f>
        <v>kenkostaplerhd10d</v>
      </c>
      <c r="W40" s="8">
        <f ca="1">IF(KENKO[[#This Row],[concat]]="","",MATCH(KENKO[[#This Row],[concat]],[4]!db[NB NOTA_C],0)+1)</f>
        <v>1241</v>
      </c>
      <c r="X40" s="16" t="str">
        <f ca="1">IF(KENKO[[#This Row],[N.B.nota]]="","",ADDRESS(ROW(KENKO[QB]),COLUMN(KENKO[QB]))&amp;":"&amp;ADDRESS(ROW(),COLUMN(KENKO[QB])))</f>
        <v>$D$3:$D$40</v>
      </c>
      <c r="Y40" s="16" t="str">
        <f ca="1">IF(KENKO[[#This Row],[//]]="","",HYPERLINK("[..\\DB.xlsx]DB!e"&amp;KENKO[[#This Row],[stt]],"&gt;"))</f>
        <v>&gt;</v>
      </c>
      <c r="Z40" s="4">
        <f ca="1">IF(KENKO[[#This Row],[//]]="","",IF(KENKO[[#This Row],[ID NOTA]]="",Z39,KENKO[[#This Row],[ID NOTA]]))</f>
        <v>27</v>
      </c>
    </row>
    <row r="41" spans="1:26" ht="15" customHeight="1" x14ac:dyDescent="0.25">
      <c r="A41" s="2"/>
      <c r="B41" s="8" t="str">
        <f>IF(KENKO[[#This Row],[N_ID]]="","",INDEX(Table1[ID],MATCH(KENKO[[#This Row],[N_ID]],Table1[N_ID],0)))</f>
        <v/>
      </c>
      <c r="C41" s="8" t="str">
        <f>IF(KENKO[[#This Row],[ID NOTA]]="","",HYPERLINK("[NOTA_.xlsx]NOTA!e"&amp;INDEX([2]!PAJAK[//],MATCH(KENKO[[#This Row],[ID NOTA]],[2]!PAJAK[ID],0)),"&gt;") )</f>
        <v/>
      </c>
      <c r="D41" s="8" t="str">
        <f>IF(KENKO[[#This Row],[ID NOTA]]="","",INDEX(Table1[QB],MATCH(KENKO[[#This Row],[ID NOTA]],Table1[ID],0)))</f>
        <v/>
      </c>
      <c r="E4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132</v>
      </c>
      <c r="F41" s="8"/>
      <c r="G41" s="9" t="str">
        <f>IF(KENKO[[#This Row],[ID NOTA]]="","",INDEX([2]!NOTA[TGL_H],MATCH(KENKO[[#This Row],[ID NOTA]],[2]!NOTA[ID],0)))</f>
        <v/>
      </c>
      <c r="H41" s="9" t="str">
        <f>IF(KENKO[[#This Row],[ID NOTA]]="","",INDEX([2]!NOTA[TGL.NOTA],MATCH(KENKO[[#This Row],[ID NOTA]],[2]!NOTA[ID],0)))</f>
        <v/>
      </c>
      <c r="I41" s="16" t="str">
        <f>IF(KENKO[[#This Row],[ID NOTA]]="","",INDEX([2]!NOTA[NO.NOTA],MATCH(KENKO[[#This Row],[ID NOTA]],[2]!NOTA[ID],0)))</f>
        <v/>
      </c>
      <c r="J41" s="16" t="str">
        <f ca="1">IF(KENKO[[#This Row],[//]]="","",INDEX([4]!db[NB PAJAK],KENKO[[#This Row],[stt]]-1))</f>
        <v>CORRECTION FLUID KENKO KE-107M</v>
      </c>
      <c r="K41" s="8" t="str">
        <f>""</f>
        <v/>
      </c>
      <c r="L41" s="8">
        <f ca="1">IF(KENKO[[#This Row],[//]]="","",IF(INDEX([2]!NOTA[QTY],KENKO[//]-2)="",INDEX([2]!NOTA[C],KENKO[//]-2),INDEX([2]!NOTA[QTY],KENKO[//]-2)))</f>
        <v>4</v>
      </c>
      <c r="M41" s="8" t="str">
        <f ca="1">IF(KENKO[[#This Row],[//]]="","",IF(INDEX([2]!NOTA[STN],KENKO[//]-2)="","CTN",INDEX([2]!NOTA[STN],KENKO[//]-2)))</f>
        <v>CTN</v>
      </c>
      <c r="N41" s="17">
        <f ca="1">IF(KENKO[[#This Row],[//]]="","",IF(INDEX([2]!NOTA[HARGA/ CTN],KENKO[[#This Row],[//]]-2)="",INDEX([2]!NOTA[HARGA SATUAN],KENKO[//]-2),INDEX([2]!NOTA[HARGA/ CTN],KENKO[[#This Row],[//]]-2)))</f>
        <v>2008800</v>
      </c>
      <c r="O41" s="19" t="str">
        <f ca="1">IF(KENKO[[#This Row],[//]]="","",IF(INDEX([2]!NOTA[DISC 2],KENKO[[#This Row],[//]]-2)=0,"",INDEX([2]!NOTA[DISC 2],KENKO[[#This Row],[//]]-2)))</f>
        <v/>
      </c>
      <c r="P41" s="19"/>
      <c r="Q41" s="10">
        <f ca="1">IF(KENKO[[#This Row],[//]]="","",INDEX([2]!NOTA[JUMLAH],KENKO[[#This Row],[//]]-2)-IF(ISNUMBER(KENKO[[#This Row],[DISC 1 (%)]]),INDEX([2]!NOTA[JUMLAH],KENKO[[#This Row],[//]]-2)*KENKO[[#This Row],[DISC 1 (%)]],0))</f>
        <v>8035200</v>
      </c>
      <c r="R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16" t="str">
        <f ca="1">IF(KENKO[[#This Row],[//]]="","",INDEX([2]!NOTA[NAMA BARANG],KENKO[[#This Row],[//]]-2))</f>
        <v>KENKO CORRECTION FLUID KE-107M</v>
      </c>
      <c r="V41" s="16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41" s="8">
        <f ca="1">IF(KENKO[[#This Row],[concat]]="","",MATCH(KENKO[[#This Row],[concat]],[4]!db[NB NOTA_C],0)+1)</f>
        <v>1056</v>
      </c>
      <c r="X41" s="16" t="str">
        <f ca="1">IF(KENKO[[#This Row],[N.B.nota]]="","",ADDRESS(ROW(KENKO[QB]),COLUMN(KENKO[QB]))&amp;":"&amp;ADDRESS(ROW(),COLUMN(KENKO[QB])))</f>
        <v>$D$3:$D$41</v>
      </c>
      <c r="Y41" s="16" t="str">
        <f ca="1">IF(KENKO[[#This Row],[//]]="","",HYPERLINK("[..\\DB.xlsx]DB!e"&amp;KENKO[[#This Row],[stt]],"&gt;"))</f>
        <v>&gt;</v>
      </c>
      <c r="Z41" s="4">
        <f ca="1">IF(KENKO[[#This Row],[//]]="","",IF(KENKO[[#This Row],[ID NOTA]]="",Z40,KENKO[[#This Row],[ID NOTA]]))</f>
        <v>27</v>
      </c>
    </row>
    <row r="42" spans="1:26" ht="15" customHeight="1" x14ac:dyDescent="0.25">
      <c r="A42" s="2"/>
      <c r="B42" s="8" t="str">
        <f>IF(KENKO[[#This Row],[N_ID]]="","",INDEX(Table1[ID],MATCH(KENKO[[#This Row],[N_ID]],Table1[N_ID],0)))</f>
        <v/>
      </c>
      <c r="C42" s="8" t="str">
        <f>IF(KENKO[[#This Row],[ID NOTA]]="","",HYPERLINK("[NOTA_.xlsx]NOTA!e"&amp;INDEX([2]!PAJAK[//],MATCH(KENKO[[#This Row],[ID NOTA]],[2]!PAJAK[ID],0)),"&gt;") )</f>
        <v/>
      </c>
      <c r="D42" s="8" t="str">
        <f>IF(KENKO[[#This Row],[ID NOTA]]="","",INDEX(Table1[QB],MATCH(KENKO[[#This Row],[ID NOTA]],Table1[ID],0)))</f>
        <v/>
      </c>
      <c r="E4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133</v>
      </c>
      <c r="F42" s="8"/>
      <c r="G42" s="9" t="str">
        <f>IF(KENKO[[#This Row],[ID NOTA]]="","",INDEX([2]!NOTA[TGL_H],MATCH(KENKO[[#This Row],[ID NOTA]],[2]!NOTA[ID],0)))</f>
        <v/>
      </c>
      <c r="H42" s="9" t="str">
        <f>IF(KENKO[[#This Row],[ID NOTA]]="","",INDEX([2]!NOTA[TGL.NOTA],MATCH(KENKO[[#This Row],[ID NOTA]],[2]!NOTA[ID],0)))</f>
        <v/>
      </c>
      <c r="I42" s="16" t="str">
        <f>IF(KENKO[[#This Row],[ID NOTA]]="","",INDEX([2]!NOTA[NO.NOTA],MATCH(KENKO[[#This Row],[ID NOTA]],[2]!NOTA[ID],0)))</f>
        <v/>
      </c>
      <c r="J42" s="16" t="str">
        <f ca="1">IF(KENKO[[#This Row],[//]]="","",INDEX([4]!db[NB PAJAK],KENKO[[#This Row],[stt]]-1))</f>
        <v>PENSIL KENKO 2B-0820 PELANGI</v>
      </c>
      <c r="K42" s="8" t="str">
        <f>""</f>
        <v/>
      </c>
      <c r="L42" s="8">
        <f ca="1">IF(KENKO[[#This Row],[//]]="","",IF(INDEX([2]!NOTA[QTY],KENKO[//]-2)="",INDEX([2]!NOTA[C],KENKO[//]-2),INDEX([2]!NOTA[QTY],KENKO[//]-2)))</f>
        <v>1</v>
      </c>
      <c r="M42" s="8" t="str">
        <f ca="1">IF(KENKO[[#This Row],[//]]="","",IF(INDEX([2]!NOTA[STN],KENKO[//]-2)="","CTN",INDEX([2]!NOTA[STN],KENKO[//]-2)))</f>
        <v>CTN</v>
      </c>
      <c r="N42" s="17">
        <f ca="1">IF(KENKO[[#This Row],[//]]="","",IF(INDEX([2]!NOTA[HARGA/ CTN],KENKO[[#This Row],[//]]-2)="",INDEX([2]!NOTA[HARGA SATUAN],KENKO[//]-2),INDEX([2]!NOTA[HARGA/ CTN],KENKO[[#This Row],[//]]-2)))</f>
        <v>2880000</v>
      </c>
      <c r="O42" s="19" t="str">
        <f ca="1">IF(KENKO[[#This Row],[//]]="","",IF(INDEX([2]!NOTA[DISC 2],KENKO[[#This Row],[//]]-2)=0,"",INDEX([2]!NOTA[DISC 2],KENKO[[#This Row],[//]]-2)))</f>
        <v/>
      </c>
      <c r="P42" s="19"/>
      <c r="Q42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16" t="str">
        <f ca="1">IF(KENKO[[#This Row],[//]]="","",INDEX([2]!NOTA[NAMA BARANG],KENKO[[#This Row],[//]]-2))</f>
        <v>KENKO PENCIL 2B-0820 PELANGI</v>
      </c>
      <c r="V42" s="16" t="str">
        <f ca="1">LOWER(SUBSTITUTE(SUBSTITUTE(SUBSTITUTE(SUBSTITUTE(SUBSTITUTE(SUBSTITUTE(SUBSTITUTE(SUBSTITUTE(KENKO[[#This Row],[N.B.nota]]," ",""),"-",""),"(",""),")",""),".",""),",",""),"/",""),"""",""))</f>
        <v>kenkopencil2b0820pelangi</v>
      </c>
      <c r="W42" s="8">
        <f ca="1">IF(KENKO[[#This Row],[concat]]="","",MATCH(KENKO[[#This Row],[concat]],[4]!db[NB NOTA_C],0)+1)</f>
        <v>1181</v>
      </c>
      <c r="X42" s="16" t="str">
        <f ca="1">IF(KENKO[[#This Row],[N.B.nota]]="","",ADDRESS(ROW(KENKO[QB]),COLUMN(KENKO[QB]))&amp;":"&amp;ADDRESS(ROW(),COLUMN(KENKO[QB])))</f>
        <v>$D$3:$D$42</v>
      </c>
      <c r="Y42" s="16" t="str">
        <f ca="1">IF(KENKO[[#This Row],[//]]="","",HYPERLINK("[..\\DB.xlsx]DB!e"&amp;KENKO[[#This Row],[stt]],"&gt;"))</f>
        <v>&gt;</v>
      </c>
      <c r="Z42" s="4">
        <f ca="1">IF(KENKO[[#This Row],[//]]="","",IF(KENKO[[#This Row],[ID NOTA]]="",Z41,KENKO[[#This Row],[ID NOTA]]))</f>
        <v>27</v>
      </c>
    </row>
    <row r="43" spans="1:26" ht="15" customHeight="1" x14ac:dyDescent="0.25">
      <c r="A43" s="2"/>
      <c r="B43" s="8" t="str">
        <f>IF(KENKO[[#This Row],[N_ID]]="","",INDEX(Table1[ID],MATCH(KENKO[[#This Row],[N_ID]],Table1[N_ID],0)))</f>
        <v/>
      </c>
      <c r="C43" s="8" t="str">
        <f>IF(KENKO[[#This Row],[ID NOTA]]="","",HYPERLINK("[NOTA_.xlsx]NOTA!e"&amp;INDEX([2]!PAJAK[//],MATCH(KENKO[[#This Row],[ID NOTA]],[2]!PAJAK[ID],0)),"&gt;") )</f>
        <v/>
      </c>
      <c r="D43" s="8" t="str">
        <f>IF(KENKO[[#This Row],[ID NOTA]]="","",INDEX(Table1[QB],MATCH(KENKO[[#This Row],[ID NOTA]],Table1[ID],0)))</f>
        <v/>
      </c>
      <c r="E4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134</v>
      </c>
      <c r="F43" s="8"/>
      <c r="G43" s="9" t="str">
        <f>IF(KENKO[[#This Row],[ID NOTA]]="","",INDEX([2]!NOTA[TGL_H],MATCH(KENKO[[#This Row],[ID NOTA]],[2]!NOTA[ID],0)))</f>
        <v/>
      </c>
      <c r="H43" s="9" t="str">
        <f>IF(KENKO[[#This Row],[ID NOTA]]="","",INDEX([2]!NOTA[TGL.NOTA],MATCH(KENKO[[#This Row],[ID NOTA]],[2]!NOTA[ID],0)))</f>
        <v/>
      </c>
      <c r="I43" s="16" t="str">
        <f>IF(KENKO[[#This Row],[ID NOTA]]="","",INDEX([2]!NOTA[NO.NOTA],MATCH(KENKO[[#This Row],[ID NOTA]],[2]!NOTA[ID],0)))</f>
        <v/>
      </c>
      <c r="J43" s="16" t="str">
        <f ca="1">IF(KENKO[[#This Row],[//]]="","",INDEX([4]!db[NB PAJAK],KENKO[[#This Row],[stt]]-1))</f>
        <v>CORRECTION FLUID KENKO KE-01</v>
      </c>
      <c r="K43" s="8" t="str">
        <f>""</f>
        <v/>
      </c>
      <c r="L43" s="8">
        <f ca="1">IF(KENKO[[#This Row],[//]]="","",IF(INDEX([2]!NOTA[QTY],KENKO[//]-2)="",INDEX([2]!NOTA[C],KENKO[//]-2),INDEX([2]!NOTA[QTY],KENKO[//]-2)))</f>
        <v>10</v>
      </c>
      <c r="M43" s="8" t="str">
        <f ca="1">IF(KENKO[[#This Row],[//]]="","",IF(INDEX([2]!NOTA[STN],KENKO[//]-2)="","CTN",INDEX([2]!NOTA[STN],KENKO[//]-2)))</f>
        <v>CTN</v>
      </c>
      <c r="N43" s="17">
        <f ca="1">IF(KENKO[[#This Row],[//]]="","",IF(INDEX([2]!NOTA[HARGA/ CTN],KENKO[[#This Row],[//]]-2)="",INDEX([2]!NOTA[HARGA SATUAN],KENKO[//]-2),INDEX([2]!NOTA[HARGA/ CTN],KENKO[[#This Row],[//]]-2)))</f>
        <v>1954800</v>
      </c>
      <c r="O43" s="19" t="str">
        <f ca="1">IF(KENKO[[#This Row],[//]]="","",IF(INDEX([2]!NOTA[DISC 2],KENKO[[#This Row],[//]]-2)=0,"",INDEX([2]!NOTA[DISC 2],KENKO[[#This Row],[//]]-2)))</f>
        <v/>
      </c>
      <c r="P43" s="19"/>
      <c r="Q43" s="10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4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27610176.000000004</v>
      </c>
      <c r="S4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134802624</v>
      </c>
      <c r="T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16" t="str">
        <f ca="1">IF(KENKO[[#This Row],[//]]="","",INDEX([2]!NOTA[NAMA BARANG],KENKO[[#This Row],[//]]-2))</f>
        <v>KENKO CORRECTION FLUID KE-01</v>
      </c>
      <c r="V43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43" s="8">
        <f ca="1">IF(KENKO[[#This Row],[concat]]="","",MATCH(KENKO[[#This Row],[concat]],[4]!db[NB NOTA_C],0)+1)</f>
        <v>1055</v>
      </c>
      <c r="X43" s="16" t="str">
        <f ca="1">IF(KENKO[[#This Row],[N.B.nota]]="","",ADDRESS(ROW(KENKO[QB]),COLUMN(KENKO[QB]))&amp;":"&amp;ADDRESS(ROW(),COLUMN(KENKO[QB])))</f>
        <v>$D$3:$D$43</v>
      </c>
      <c r="Y43" s="16" t="str">
        <f ca="1">IF(KENKO[[#This Row],[//]]="","",HYPERLINK("[..\\DB.xlsx]DB!e"&amp;KENKO[[#This Row],[stt]],"&gt;"))</f>
        <v>&gt;</v>
      </c>
      <c r="Z43" s="4">
        <f ca="1">IF(KENKO[[#This Row],[//]]="","",IF(KENKO[[#This Row],[ID NOTA]]="",Z42,KENKO[[#This Row],[ID NOTA]]))</f>
        <v>27</v>
      </c>
    </row>
    <row r="44" spans="1:26" ht="15" customHeight="1" x14ac:dyDescent="0.25">
      <c r="A44" s="2"/>
      <c r="B44" s="8" t="str">
        <f>IF(KENKO[[#This Row],[N_ID]]="","",INDEX(Table1[ID],MATCH(KENKO[[#This Row],[N_ID]],Table1[N_ID],0)))</f>
        <v/>
      </c>
      <c r="C44" s="8" t="str">
        <f>IF(KENKO[[#This Row],[ID NOTA]]="","",HYPERLINK("[NOTA_.xlsx]NOTA!e"&amp;INDEX([2]!PAJAK[//],MATCH(KENKO[[#This Row],[ID NOTA]],[2]!PAJAK[ID],0)),"&gt;") )</f>
        <v/>
      </c>
      <c r="D44" s="8" t="str">
        <f>IF(KENKO[[#This Row],[ID NOTA]]="","",INDEX(Table1[QB],MATCH(KENKO[[#This Row],[ID NOTA]],Table1[ID],0)))</f>
        <v/>
      </c>
      <c r="E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" s="8"/>
      <c r="G44" s="9" t="str">
        <f>IF(KENKO[[#This Row],[ID NOTA]]="","",INDEX([2]!NOTA[TGL_H],MATCH(KENKO[[#This Row],[ID NOTA]],[2]!NOTA[ID],0)))</f>
        <v/>
      </c>
      <c r="H44" s="9" t="str">
        <f>IF(KENKO[[#This Row],[ID NOTA]]="","",INDEX([2]!NOTA[TGL.NOTA],MATCH(KENKO[[#This Row],[ID NOTA]],[2]!NOTA[ID],0)))</f>
        <v/>
      </c>
      <c r="I44" s="16" t="str">
        <f>IF(KENKO[[#This Row],[ID NOTA]]="","",INDEX([2]!NOTA[NO.NOTA],MATCH(KENKO[[#This Row],[ID NOTA]],[2]!NOTA[ID],0)))</f>
        <v/>
      </c>
      <c r="J44" s="16" t="str">
        <f ca="1">IF(KENKO[[#This Row],[//]]="","",INDEX([4]!db[NB PAJAK],KENKO[[#This Row],[stt]]-1))</f>
        <v/>
      </c>
      <c r="K44" s="8" t="str">
        <f>""</f>
        <v/>
      </c>
      <c r="L44" s="8" t="str">
        <f ca="1">IF(KENKO[[#This Row],[//]]="","",IF(INDEX([2]!NOTA[QTY],KENKO[//]-2)="",INDEX([2]!NOTA[C],KENKO[//]-2),INDEX([2]!NOTA[QTY],KENKO[//]-2)))</f>
        <v/>
      </c>
      <c r="M44" s="8" t="str">
        <f ca="1">IF(KENKO[[#This Row],[//]]="","",IF(INDEX([2]!NOTA[STN],KENKO[//]-2)="","CTN",INDEX([2]!NOTA[STN],KENKO[//]-2)))</f>
        <v/>
      </c>
      <c r="N44" s="17" t="str">
        <f ca="1">IF(KENKO[[#This Row],[//]]="","",IF(INDEX([2]!NOTA[HARGA/ CTN],KENKO[[#This Row],[//]]-2)="",INDEX([2]!NOTA[HARGA SATUAN],KENKO[//]-2),INDEX([2]!NOTA[HARGA/ CTN],KENKO[[#This Row],[//]]-2)))</f>
        <v/>
      </c>
      <c r="O44" s="19" t="str">
        <f ca="1">IF(KENKO[[#This Row],[//]]="","",IF(INDEX([2]!NOTA[DISC 2],KENKO[[#This Row],[//]]-2)=0,"",INDEX([2]!NOTA[DISC 2],KENKO[[#This Row],[//]]-2)))</f>
        <v/>
      </c>
      <c r="P44" s="19"/>
      <c r="Q4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16" t="str">
        <f ca="1">IF(KENKO[[#This Row],[//]]="","",INDEX([2]!NOTA[NAMA BARANG],KENKO[[#This Row],[//]]-2))</f>
        <v/>
      </c>
      <c r="V44" s="16" t="str">
        <f ca="1">LOWER(SUBSTITUTE(SUBSTITUTE(SUBSTITUTE(SUBSTITUTE(SUBSTITUTE(SUBSTITUTE(SUBSTITUTE(SUBSTITUTE(KENKO[[#This Row],[N.B.nota]]," ",""),"-",""),"(",""),")",""),".",""),",",""),"/",""),"""",""))</f>
        <v/>
      </c>
      <c r="W44" s="8" t="str">
        <f ca="1">IF(KENKO[[#This Row],[concat]]="","",MATCH(KENKO[[#This Row],[concat]],[4]!db[NB NOTA_C],0)+1)</f>
        <v/>
      </c>
      <c r="X44" s="16" t="str">
        <f ca="1">IF(KENKO[[#This Row],[N.B.nota]]="","",ADDRESS(ROW(KENKO[QB]),COLUMN(KENKO[QB]))&amp;":"&amp;ADDRESS(ROW(),COLUMN(KENKO[QB])))</f>
        <v/>
      </c>
      <c r="Y44" s="16" t="str">
        <f ca="1">IF(KENKO[[#This Row],[//]]="","",HYPERLINK("[..\\DB.xlsx]DB!e"&amp;KENKO[[#This Row],[stt]],"&gt;"))</f>
        <v/>
      </c>
      <c r="Z44" s="4" t="str">
        <f ca="1">IF(KENKO[[#This Row],[//]]="","",IF(KENKO[[#This Row],[ID NOTA]]="",Z43,KENKO[[#This Row],[ID NOTA]]))</f>
        <v/>
      </c>
    </row>
    <row r="45" spans="1:26" ht="15" customHeight="1" x14ac:dyDescent="0.25">
      <c r="A45" s="2" t="s">
        <v>69</v>
      </c>
      <c r="B45" s="8">
        <f ca="1">IF(KENKO[[#This Row],[N_ID]]="","",INDEX(Table1[ID],MATCH(KENKO[[#This Row],[N_ID]],Table1[N_ID],0)))</f>
        <v>32</v>
      </c>
      <c r="C45" s="8" t="str">
        <f ca="1">IF(KENKO[[#This Row],[ID NOTA]]="","",HYPERLINK("[NOTA_.xlsx]NOTA!e"&amp;INDEX([2]!PAJAK[//],MATCH(KENKO[[#This Row],[ID NOTA]],[2]!PAJAK[ID],0)),"&gt;") )</f>
        <v>&gt;</v>
      </c>
      <c r="D45" s="8">
        <f ca="1">IF(KENKO[[#This Row],[ID NOTA]]="","",INDEX(Table1[QB],MATCH(KENKO[[#This Row],[ID NOTA]],Table1[ID],0)))</f>
        <v>6</v>
      </c>
      <c r="E4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157</v>
      </c>
      <c r="F45" s="8">
        <v>8</v>
      </c>
      <c r="G45" s="9">
        <f ca="1">IF(KENKO[[#This Row],[ID NOTA]]="","",INDEX([2]!NOTA[TGL_H],MATCH(KENKO[[#This Row],[ID NOTA]],[2]!NOTA[ID],0)))</f>
        <v>44813</v>
      </c>
      <c r="H45" s="9">
        <f ca="1">IF(KENKO[[#This Row],[ID NOTA]]="","",INDEX([2]!NOTA[TGL.NOTA],MATCH(KENKO[[#This Row],[ID NOTA]],[2]!NOTA[ID],0)))</f>
        <v>44811</v>
      </c>
      <c r="I45" s="16" t="str">
        <f ca="1">IF(KENKO[[#This Row],[ID NOTA]]="","",INDEX([2]!NOTA[NO.NOTA],MATCH(KENKO[[#This Row],[ID NOTA]],[2]!NOTA[ID],0)))</f>
        <v>22090527</v>
      </c>
      <c r="J45" s="16" t="str">
        <f ca="1">IF(KENKO[[#This Row],[//]]="","",INDEX([4]!db[NB PAJAK],KENKO[[#This Row],[stt]]-1))</f>
        <v>CORRECTION FLUID KENKO KE-107M</v>
      </c>
      <c r="K45" s="8" t="str">
        <f>""</f>
        <v/>
      </c>
      <c r="L45" s="8">
        <f ca="1">IF(KENKO[[#This Row],[//]]="","",IF(INDEX([2]!NOTA[QTY],KENKO[//]-2)="",INDEX([2]!NOTA[C],KENKO[//]-2),INDEX([2]!NOTA[QTY],KENKO[//]-2)))</f>
        <v>2</v>
      </c>
      <c r="M45" s="8" t="str">
        <f ca="1">IF(KENKO[[#This Row],[//]]="","",IF(INDEX([2]!NOTA[STN],KENKO[//]-2)="","CTN",INDEX([2]!NOTA[STN],KENKO[//]-2)))</f>
        <v>CTN</v>
      </c>
      <c r="N45" s="17">
        <f ca="1">IF(KENKO[[#This Row],[//]]="","",IF(INDEX([2]!NOTA[HARGA/ CTN],KENKO[[#This Row],[//]]-2)="",INDEX([2]!NOTA[HARGA SATUAN],KENKO[//]-2),INDEX([2]!NOTA[HARGA/ CTN],KENKO[[#This Row],[//]]-2)))</f>
        <v>2008800</v>
      </c>
      <c r="O45" s="19" t="str">
        <f ca="1">IF(KENKO[[#This Row],[//]]="","",IF(INDEX([2]!NOTA[DISC 2],KENKO[[#This Row],[//]]-2)=0,"",INDEX([2]!NOTA[DISC 2],KENKO[[#This Row],[//]]-2)))</f>
        <v/>
      </c>
      <c r="P45" s="19"/>
      <c r="Q45" s="10">
        <f ca="1">IF(KENKO[[#This Row],[//]]="","",INDEX([2]!NOTA[JUMLAH],KENKO[[#This Row],[//]]-2)-IF(ISNUMBER(KENKO[[#This Row],[DISC 1 (%)]]),INDEX([2]!NOTA[JUMLAH],KENKO[[#This Row],[//]]-2)*KENKO[[#This Row],[DISC 1 (%)]],0))</f>
        <v>4017600</v>
      </c>
      <c r="R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16" t="str">
        <f ca="1">IF(KENKO[[#This Row],[//]]="","",INDEX([2]!NOTA[NAMA BARANG],KENKO[[#This Row],[//]]-2))</f>
        <v>KENKO CORRECTION FLUID KE-107M</v>
      </c>
      <c r="V45" s="16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45" s="8">
        <f ca="1">IF(KENKO[[#This Row],[concat]]="","",MATCH(KENKO[[#This Row],[concat]],[4]!db[NB NOTA_C],0)+1)</f>
        <v>1056</v>
      </c>
      <c r="X45" s="16" t="str">
        <f ca="1">IF(KENKO[[#This Row],[N.B.nota]]="","",ADDRESS(ROW(KENKO[QB]),COLUMN(KENKO[QB]))&amp;":"&amp;ADDRESS(ROW(),COLUMN(KENKO[QB])))</f>
        <v>$D$3:$D$45</v>
      </c>
      <c r="Y45" s="16" t="str">
        <f ca="1">IF(KENKO[[#This Row],[//]]="","",HYPERLINK("[..\\DB.xlsx]DB!e"&amp;KENKO[[#This Row],[stt]],"&gt;"))</f>
        <v>&gt;</v>
      </c>
      <c r="Z45" s="4">
        <f ca="1">IF(KENKO[[#This Row],[//]]="","",IF(KENKO[[#This Row],[ID NOTA]]="",Z44,KENKO[[#This Row],[ID NOTA]]))</f>
        <v>32</v>
      </c>
    </row>
    <row r="46" spans="1:26" ht="15" customHeight="1" x14ac:dyDescent="0.25">
      <c r="A46" s="2"/>
      <c r="B46" s="8" t="str">
        <f>IF(KENKO[[#This Row],[N_ID]]="","",INDEX(Table1[ID],MATCH(KENKO[[#This Row],[N_ID]],Table1[N_ID],0)))</f>
        <v/>
      </c>
      <c r="C46" s="8" t="str">
        <f>IF(KENKO[[#This Row],[ID NOTA]]="","",HYPERLINK("[NOTA_.xlsx]NOTA!e"&amp;INDEX([2]!PAJAK[//],MATCH(KENKO[[#This Row],[ID NOTA]],[2]!PAJAK[ID],0)),"&gt;") )</f>
        <v/>
      </c>
      <c r="D46" s="8" t="str">
        <f>IF(KENKO[[#This Row],[ID NOTA]]="","",INDEX(Table1[QB],MATCH(KENKO[[#This Row],[ID NOTA]],Table1[ID],0)))</f>
        <v/>
      </c>
      <c r="E4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158</v>
      </c>
      <c r="F46" s="8"/>
      <c r="G46" s="9" t="str">
        <f>IF(KENKO[[#This Row],[ID NOTA]]="","",INDEX([2]!NOTA[TGL_H],MATCH(KENKO[[#This Row],[ID NOTA]],[2]!NOTA[ID],0)))</f>
        <v/>
      </c>
      <c r="H46" s="9" t="str">
        <f>IF(KENKO[[#This Row],[ID NOTA]]="","",INDEX([2]!NOTA[TGL.NOTA],MATCH(KENKO[[#This Row],[ID NOTA]],[2]!NOTA[ID],0)))</f>
        <v/>
      </c>
      <c r="I46" s="16" t="str">
        <f>IF(KENKO[[#This Row],[ID NOTA]]="","",INDEX([2]!NOTA[NO.NOTA],MATCH(KENKO[[#This Row],[ID NOTA]],[2]!NOTA[ID],0)))</f>
        <v/>
      </c>
      <c r="J46" s="16" t="str">
        <f ca="1">IF(KENKO[[#This Row],[//]]="","",INDEX([4]!db[NB PAJAK],KENKO[[#This Row],[stt]]-1))</f>
        <v>CORRECTION FLUID KENKO KE-823M</v>
      </c>
      <c r="K46" s="8" t="str">
        <f>""</f>
        <v/>
      </c>
      <c r="L46" s="8">
        <f ca="1">IF(KENKO[[#This Row],[//]]="","",IF(INDEX([2]!NOTA[QTY],KENKO[//]-2)="",INDEX([2]!NOTA[C],KENKO[//]-2),INDEX([2]!NOTA[QTY],KENKO[//]-2)))</f>
        <v>1</v>
      </c>
      <c r="M46" s="8" t="str">
        <f ca="1">IF(KENKO[[#This Row],[//]]="","",IF(INDEX([2]!NOTA[STN],KENKO[//]-2)="","CTN",INDEX([2]!NOTA[STN],KENKO[//]-2)))</f>
        <v>CTN</v>
      </c>
      <c r="N46" s="17">
        <f ca="1">IF(KENKO[[#This Row],[//]]="","",IF(INDEX([2]!NOTA[HARGA/ CTN],KENKO[[#This Row],[//]]-2)="",INDEX([2]!NOTA[HARGA SATUAN],KENKO[//]-2),INDEX([2]!NOTA[HARGA/ CTN],KENKO[[#This Row],[//]]-2)))</f>
        <v>2052000</v>
      </c>
      <c r="O46" s="19" t="str">
        <f ca="1">IF(KENKO[[#This Row],[//]]="","",IF(INDEX([2]!NOTA[DISC 2],KENKO[[#This Row],[//]]-2)=0,"",INDEX([2]!NOTA[DISC 2],KENKO[[#This Row],[//]]-2)))</f>
        <v/>
      </c>
      <c r="P46" s="19"/>
      <c r="Q46" s="10">
        <f ca="1">IF(KENKO[[#This Row],[//]]="","",INDEX([2]!NOTA[JUMLAH],KENKO[[#This Row],[//]]-2)-IF(ISNUMBER(KENKO[[#This Row],[DISC 1 (%)]]),INDEX([2]!NOTA[JUMLAH],KENKO[[#This Row],[//]]-2)*KENKO[[#This Row],[DISC 1 (%)]],0))</f>
        <v>2052000</v>
      </c>
      <c r="R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16" t="str">
        <f ca="1">IF(KENKO[[#This Row],[//]]="","",INDEX([2]!NOTA[NAMA BARANG],KENKO[[#This Row],[//]]-2))</f>
        <v>KENKO CORRECTION FLUID KE-823M</v>
      </c>
      <c r="V46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46" s="8">
        <f ca="1">IF(KENKO[[#This Row],[concat]]="","",MATCH(KENKO[[#This Row],[concat]],[4]!db[NB NOTA_C],0)+1)</f>
        <v>1059</v>
      </c>
      <c r="X46" s="16" t="str">
        <f ca="1">IF(KENKO[[#This Row],[N.B.nota]]="","",ADDRESS(ROW(KENKO[QB]),COLUMN(KENKO[QB]))&amp;":"&amp;ADDRESS(ROW(),COLUMN(KENKO[QB])))</f>
        <v>$D$3:$D$46</v>
      </c>
      <c r="Y46" s="16" t="str">
        <f ca="1">IF(KENKO[[#This Row],[//]]="","",HYPERLINK("[..\\DB.xlsx]DB!e"&amp;KENKO[[#This Row],[stt]],"&gt;"))</f>
        <v>&gt;</v>
      </c>
      <c r="Z46" s="4">
        <f ca="1">IF(KENKO[[#This Row],[//]]="","",IF(KENKO[[#This Row],[ID NOTA]]="",Z45,KENKO[[#This Row],[ID NOTA]]))</f>
        <v>32</v>
      </c>
    </row>
    <row r="47" spans="1:26" ht="15" customHeight="1" x14ac:dyDescent="0.25">
      <c r="A47" s="2"/>
      <c r="B47" s="8" t="str">
        <f>IF(KENKO[[#This Row],[N_ID]]="","",INDEX(Table1[ID],MATCH(KENKO[[#This Row],[N_ID]],Table1[N_ID],0)))</f>
        <v/>
      </c>
      <c r="C47" s="8" t="str">
        <f>IF(KENKO[[#This Row],[ID NOTA]]="","",HYPERLINK("[NOTA_.xlsx]NOTA!e"&amp;INDEX([2]!PAJAK[//],MATCH(KENKO[[#This Row],[ID NOTA]],[2]!PAJAK[ID],0)),"&gt;") )</f>
        <v/>
      </c>
      <c r="D47" s="8" t="str">
        <f>IF(KENKO[[#This Row],[ID NOTA]]="","",INDEX(Table1[QB],MATCH(KENKO[[#This Row],[ID NOTA]],Table1[ID],0)))</f>
        <v/>
      </c>
      <c r="E4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159</v>
      </c>
      <c r="F47" s="8"/>
      <c r="G47" s="9" t="str">
        <f>IF(KENKO[[#This Row],[ID NOTA]]="","",INDEX([2]!NOTA[TGL_H],MATCH(KENKO[[#This Row],[ID NOTA]],[2]!NOTA[ID],0)))</f>
        <v/>
      </c>
      <c r="H47" s="9" t="str">
        <f>IF(KENKO[[#This Row],[ID NOTA]]="","",INDEX([2]!NOTA[TGL.NOTA],MATCH(KENKO[[#This Row],[ID NOTA]],[2]!NOTA[ID],0)))</f>
        <v/>
      </c>
      <c r="I47" s="16" t="str">
        <f>IF(KENKO[[#This Row],[ID NOTA]]="","",INDEX([2]!NOTA[NO.NOTA],MATCH(KENKO[[#This Row],[ID NOTA]],[2]!NOTA[ID],0)))</f>
        <v/>
      </c>
      <c r="J47" s="16" t="str">
        <f ca="1">IF(KENKO[[#This Row],[//]]="","",INDEX([4]!db[NB PAJAK],KENKO[[#This Row],[stt]]-1))</f>
        <v>CORRECTION FLUID KENKO KE-01</v>
      </c>
      <c r="K47" s="8" t="str">
        <f>""</f>
        <v/>
      </c>
      <c r="L47" s="8">
        <f ca="1">IF(KENKO[[#This Row],[//]]="","",IF(INDEX([2]!NOTA[QTY],KENKO[//]-2)="",INDEX([2]!NOTA[C],KENKO[//]-2),INDEX([2]!NOTA[QTY],KENKO[//]-2)))</f>
        <v>5</v>
      </c>
      <c r="M47" s="8" t="str">
        <f ca="1">IF(KENKO[[#This Row],[//]]="","",IF(INDEX([2]!NOTA[STN],KENKO[//]-2)="","CTN",INDEX([2]!NOTA[STN],KENKO[//]-2)))</f>
        <v>CTN</v>
      </c>
      <c r="N47" s="17">
        <f ca="1">IF(KENKO[[#This Row],[//]]="","",IF(INDEX([2]!NOTA[HARGA/ CTN],KENKO[[#This Row],[//]]-2)="",INDEX([2]!NOTA[HARGA SATUAN],KENKO[//]-2),INDEX([2]!NOTA[HARGA/ CTN],KENKO[[#This Row],[//]]-2)))</f>
        <v>1954800</v>
      </c>
      <c r="O47" s="19" t="str">
        <f ca="1">IF(KENKO[[#This Row],[//]]="","",IF(INDEX([2]!NOTA[DISC 2],KENKO[[#This Row],[//]]-2)=0,"",INDEX([2]!NOTA[DISC 2],KENKO[[#This Row],[//]]-2)))</f>
        <v/>
      </c>
      <c r="P47" s="19"/>
      <c r="Q47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16" t="str">
        <f ca="1">IF(KENKO[[#This Row],[//]]="","",INDEX([2]!NOTA[NAMA BARANG],KENKO[[#This Row],[//]]-2))</f>
        <v>KENKO CORRECTION FLUID KE-01</v>
      </c>
      <c r="V47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47" s="8">
        <f ca="1">IF(KENKO[[#This Row],[concat]]="","",MATCH(KENKO[[#This Row],[concat]],[4]!db[NB NOTA_C],0)+1)</f>
        <v>1055</v>
      </c>
      <c r="X47" s="16" t="str">
        <f ca="1">IF(KENKO[[#This Row],[N.B.nota]]="","",ADDRESS(ROW(KENKO[QB]),COLUMN(KENKO[QB]))&amp;":"&amp;ADDRESS(ROW(),COLUMN(KENKO[QB])))</f>
        <v>$D$3:$D$47</v>
      </c>
      <c r="Y47" s="16" t="str">
        <f ca="1">IF(KENKO[[#This Row],[//]]="","",HYPERLINK("[..\\DB.xlsx]DB!e"&amp;KENKO[[#This Row],[stt]],"&gt;"))</f>
        <v>&gt;</v>
      </c>
      <c r="Z47" s="4">
        <f ca="1">IF(KENKO[[#This Row],[//]]="","",IF(KENKO[[#This Row],[ID NOTA]]="",Z46,KENKO[[#This Row],[ID NOTA]]))</f>
        <v>32</v>
      </c>
    </row>
    <row r="48" spans="1:26" ht="15" customHeight="1" x14ac:dyDescent="0.25">
      <c r="A48" s="2"/>
      <c r="B48" s="8" t="str">
        <f>IF(KENKO[[#This Row],[N_ID]]="","",INDEX(Table1[ID],MATCH(KENKO[[#This Row],[N_ID]],Table1[N_ID],0)))</f>
        <v/>
      </c>
      <c r="C48" s="8" t="str">
        <f>IF(KENKO[[#This Row],[ID NOTA]]="","",HYPERLINK("[NOTA_.xlsx]NOTA!e"&amp;INDEX([2]!PAJAK[//],MATCH(KENKO[[#This Row],[ID NOTA]],[2]!PAJAK[ID],0)),"&gt;") )</f>
        <v/>
      </c>
      <c r="D48" s="8" t="str">
        <f>IF(KENKO[[#This Row],[ID NOTA]]="","",INDEX(Table1[QB],MATCH(KENKO[[#This Row],[ID NOTA]],Table1[ID],0)))</f>
        <v/>
      </c>
      <c r="E4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160</v>
      </c>
      <c r="F48" s="8"/>
      <c r="G48" s="9" t="str">
        <f>IF(KENKO[[#This Row],[ID NOTA]]="","",INDEX([2]!NOTA[TGL_H],MATCH(KENKO[[#This Row],[ID NOTA]],[2]!NOTA[ID],0)))</f>
        <v/>
      </c>
      <c r="H48" s="9" t="str">
        <f>IF(KENKO[[#This Row],[ID NOTA]]="","",INDEX([2]!NOTA[TGL.NOTA],MATCH(KENKO[[#This Row],[ID NOTA]],[2]!NOTA[ID],0)))</f>
        <v/>
      </c>
      <c r="I48" s="16" t="str">
        <f>IF(KENKO[[#This Row],[ID NOTA]]="","",INDEX([2]!NOTA[NO.NOTA],MATCH(KENKO[[#This Row],[ID NOTA]],[2]!NOTA[ID],0)))</f>
        <v/>
      </c>
      <c r="J48" s="16" t="str">
        <f ca="1">IF(KENKO[[#This Row],[//]]="","",INDEX([4]!db[NB PAJAK],KENKO[[#This Row],[stt]]-1))</f>
        <v>CORRECTION TAPE KENKO CT-634N (8M x 5MM)</v>
      </c>
      <c r="K48" s="8" t="str">
        <f>""</f>
        <v/>
      </c>
      <c r="L48" s="8">
        <f ca="1">IF(KENKO[[#This Row],[//]]="","",IF(INDEX([2]!NOTA[QTY],KENKO[//]-2)="",INDEX([2]!NOTA[C],KENKO[//]-2),INDEX([2]!NOTA[QTY],KENKO[//]-2)))</f>
        <v>1</v>
      </c>
      <c r="M48" s="8" t="str">
        <f ca="1">IF(KENKO[[#This Row],[//]]="","",IF(INDEX([2]!NOTA[STN],KENKO[//]-2)="","CTN",INDEX([2]!NOTA[STN],KENKO[//]-2)))</f>
        <v>CTN</v>
      </c>
      <c r="N48" s="17">
        <f ca="1">IF(KENKO[[#This Row],[//]]="","",IF(INDEX([2]!NOTA[HARGA/ CTN],KENKO[[#This Row],[//]]-2)="",INDEX([2]!NOTA[HARGA SATUAN],KENKO[//]-2),INDEX([2]!NOTA[HARGA/ CTN],KENKO[[#This Row],[//]]-2)))</f>
        <v>2592000</v>
      </c>
      <c r="O48" s="19" t="str">
        <f ca="1">IF(KENKO[[#This Row],[//]]="","",IF(INDEX([2]!NOTA[DISC 2],KENKO[[#This Row],[//]]-2)=0,"",INDEX([2]!NOTA[DISC 2],KENKO[[#This Row],[//]]-2)))</f>
        <v/>
      </c>
      <c r="P48" s="19"/>
      <c r="Q48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16" t="str">
        <f ca="1">IF(KENKO[[#This Row],[//]]="","",INDEX([2]!NOTA[NAMA BARANG],KENKO[[#This Row],[//]]-2))</f>
        <v>KENKO CORRECTION TAPE CT-634N (8MX5MM)</v>
      </c>
      <c r="V48" s="16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48" s="8">
        <f ca="1">IF(KENKO[[#This Row],[concat]]="","",MATCH(KENKO[[#This Row],[concat]],[4]!db[NB NOTA_C],0)+1)</f>
        <v>1071</v>
      </c>
      <c r="X48" s="16" t="str">
        <f ca="1">IF(KENKO[[#This Row],[N.B.nota]]="","",ADDRESS(ROW(KENKO[QB]),COLUMN(KENKO[QB]))&amp;":"&amp;ADDRESS(ROW(),COLUMN(KENKO[QB])))</f>
        <v>$D$3:$D$48</v>
      </c>
      <c r="Y48" s="16" t="str">
        <f ca="1">IF(KENKO[[#This Row],[//]]="","",HYPERLINK("[..\\DB.xlsx]DB!e"&amp;KENKO[[#This Row],[stt]],"&gt;"))</f>
        <v>&gt;</v>
      </c>
      <c r="Z48" s="4">
        <f ca="1">IF(KENKO[[#This Row],[//]]="","",IF(KENKO[[#This Row],[ID NOTA]]="",Z47,KENKO[[#This Row],[ID NOTA]]))</f>
        <v>32</v>
      </c>
    </row>
    <row r="49" spans="1:26" ht="15" customHeight="1" x14ac:dyDescent="0.25">
      <c r="A49" s="2"/>
      <c r="B49" s="8" t="str">
        <f>IF(KENKO[[#This Row],[N_ID]]="","",INDEX(Table1[ID],MATCH(KENKO[[#This Row],[N_ID]],Table1[N_ID],0)))</f>
        <v/>
      </c>
      <c r="C49" s="8" t="str">
        <f>IF(KENKO[[#This Row],[ID NOTA]]="","",HYPERLINK("[NOTA_.xlsx]NOTA!e"&amp;INDEX([2]!PAJAK[//],MATCH(KENKO[[#This Row],[ID NOTA]],[2]!PAJAK[ID],0)),"&gt;") )</f>
        <v/>
      </c>
      <c r="D49" s="8" t="str">
        <f>IF(KENKO[[#This Row],[ID NOTA]]="","",INDEX(Table1[QB],MATCH(KENKO[[#This Row],[ID NOTA]],Table1[ID],0)))</f>
        <v/>
      </c>
      <c r="E4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161</v>
      </c>
      <c r="F49" s="8"/>
      <c r="G49" s="9" t="str">
        <f>IF(KENKO[[#This Row],[ID NOTA]]="","",INDEX([2]!NOTA[TGL_H],MATCH(KENKO[[#This Row],[ID NOTA]],[2]!NOTA[ID],0)))</f>
        <v/>
      </c>
      <c r="H49" s="9" t="str">
        <f>IF(KENKO[[#This Row],[ID NOTA]]="","",INDEX([2]!NOTA[TGL.NOTA],MATCH(KENKO[[#This Row],[ID NOTA]],[2]!NOTA[ID],0)))</f>
        <v/>
      </c>
      <c r="I49" s="16" t="str">
        <f>IF(KENKO[[#This Row],[ID NOTA]]="","",INDEX([2]!NOTA[NO.NOTA],MATCH(KENKO[[#This Row],[ID NOTA]],[2]!NOTA[ID],0)))</f>
        <v/>
      </c>
      <c r="J49" s="16" t="str">
        <f ca="1">IF(KENKO[[#This Row],[//]]="","",INDEX([4]!db[NB PAJAK],KENKO[[#This Row],[stt]]-1))</f>
        <v>CORRECTION TAPE KENKO CT-902 (12M x 5MM)</v>
      </c>
      <c r="K49" s="8" t="str">
        <f>""</f>
        <v/>
      </c>
      <c r="L49" s="8">
        <f ca="1">IF(KENKO[[#This Row],[//]]="","",IF(INDEX([2]!NOTA[QTY],KENKO[//]-2)="",INDEX([2]!NOTA[C],KENKO[//]-2),INDEX([2]!NOTA[QTY],KENKO[//]-2)))</f>
        <v>1</v>
      </c>
      <c r="M49" s="8" t="str">
        <f ca="1">IF(KENKO[[#This Row],[//]]="","",IF(INDEX([2]!NOTA[STN],KENKO[//]-2)="","CTN",INDEX([2]!NOTA[STN],KENKO[//]-2)))</f>
        <v>CTN</v>
      </c>
      <c r="N49" s="17">
        <f ca="1">IF(KENKO[[#This Row],[//]]="","",IF(INDEX([2]!NOTA[HARGA/ CTN],KENKO[[#This Row],[//]]-2)="",INDEX([2]!NOTA[HARGA SATUAN],KENKO[//]-2),INDEX([2]!NOTA[HARGA/ CTN],KENKO[[#This Row],[//]]-2)))</f>
        <v>2880000</v>
      </c>
      <c r="O49" s="19" t="str">
        <f ca="1">IF(KENKO[[#This Row],[//]]="","",IF(INDEX([2]!NOTA[DISC 2],KENKO[[#This Row],[//]]-2)=0,"",INDEX([2]!NOTA[DISC 2],KENKO[[#This Row],[//]]-2)))</f>
        <v/>
      </c>
      <c r="P49" s="19"/>
      <c r="Q49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16" t="str">
        <f ca="1">IF(KENKO[[#This Row],[//]]="","",INDEX([2]!NOTA[NAMA BARANG],KENKO[[#This Row],[//]]-2))</f>
        <v>KENKO CORRECTION TAPE CT-902 (12MX5MM)</v>
      </c>
      <c r="V49" s="16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49" s="8">
        <f ca="1">IF(KENKO[[#This Row],[concat]]="","",MATCH(KENKO[[#This Row],[concat]],[4]!db[NB NOTA_C],0)+1)</f>
        <v>1076</v>
      </c>
      <c r="X49" s="16" t="str">
        <f ca="1">IF(KENKO[[#This Row],[N.B.nota]]="","",ADDRESS(ROW(KENKO[QB]),COLUMN(KENKO[QB]))&amp;":"&amp;ADDRESS(ROW(),COLUMN(KENKO[QB])))</f>
        <v>$D$3:$D$49</v>
      </c>
      <c r="Y49" s="16" t="str">
        <f ca="1">IF(KENKO[[#This Row],[//]]="","",HYPERLINK("[..\\DB.xlsx]DB!e"&amp;KENKO[[#This Row],[stt]],"&gt;"))</f>
        <v>&gt;</v>
      </c>
      <c r="Z49" s="4">
        <f ca="1">IF(KENKO[[#This Row],[//]]="","",IF(KENKO[[#This Row],[ID NOTA]]="",Z48,KENKO[[#This Row],[ID NOTA]]))</f>
        <v>32</v>
      </c>
    </row>
    <row r="50" spans="1:26" ht="15" customHeight="1" x14ac:dyDescent="0.25">
      <c r="A50" s="2"/>
      <c r="B50" s="8" t="str">
        <f>IF(KENKO[[#This Row],[N_ID]]="","",INDEX(Table1[ID],MATCH(KENKO[[#This Row],[N_ID]],Table1[N_ID],0)))</f>
        <v/>
      </c>
      <c r="C50" s="8" t="str">
        <f>IF(KENKO[[#This Row],[ID NOTA]]="","",HYPERLINK("[NOTA_.xlsx]NOTA!e"&amp;INDEX([2]!PAJAK[//],MATCH(KENKO[[#This Row],[ID NOTA]],[2]!PAJAK[ID],0)),"&gt;") )</f>
        <v/>
      </c>
      <c r="D50" s="8" t="str">
        <f>IF(KENKO[[#This Row],[ID NOTA]]="","",INDEX(Table1[QB],MATCH(KENKO[[#This Row],[ID NOTA]],Table1[ID],0)))</f>
        <v/>
      </c>
      <c r="E5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162</v>
      </c>
      <c r="F50" s="8"/>
      <c r="G50" s="9" t="str">
        <f>IF(KENKO[[#This Row],[ID NOTA]]="","",INDEX([2]!NOTA[TGL_H],MATCH(KENKO[[#This Row],[ID NOTA]],[2]!NOTA[ID],0)))</f>
        <v/>
      </c>
      <c r="H50" s="9" t="str">
        <f>IF(KENKO[[#This Row],[ID NOTA]]="","",INDEX([2]!NOTA[TGL.NOTA],MATCH(KENKO[[#This Row],[ID NOTA]],[2]!NOTA[ID],0)))</f>
        <v/>
      </c>
      <c r="I50" s="16" t="str">
        <f>IF(KENKO[[#This Row],[ID NOTA]]="","",INDEX([2]!NOTA[NO.NOTA],MATCH(KENKO[[#This Row],[ID NOTA]],[2]!NOTA[ID],0)))</f>
        <v/>
      </c>
      <c r="J50" s="16" t="str">
        <f ca="1">IF(KENKO[[#This Row],[//]]="","",INDEX([4]!db[NB PAJAK],KENKO[[#This Row],[stt]]-1))</f>
        <v>CORRECTION TAPE KENKO CT-902P (12M x 5MM) TRANSPARAN</v>
      </c>
      <c r="K50" s="8" t="str">
        <f>""</f>
        <v/>
      </c>
      <c r="L50" s="8">
        <f ca="1">IF(KENKO[[#This Row],[//]]="","",IF(INDEX([2]!NOTA[QTY],KENKO[//]-2)="",INDEX([2]!NOTA[C],KENKO[//]-2),INDEX([2]!NOTA[QTY],KENKO[//]-2)))</f>
        <v>1</v>
      </c>
      <c r="M50" s="8" t="str">
        <f ca="1">IF(KENKO[[#This Row],[//]]="","",IF(INDEX([2]!NOTA[STN],KENKO[//]-2)="","CTN",INDEX([2]!NOTA[STN],KENKO[//]-2)))</f>
        <v>CTN</v>
      </c>
      <c r="N50" s="17">
        <f ca="1">IF(KENKO[[#This Row],[//]]="","",IF(INDEX([2]!NOTA[HARGA/ CTN],KENKO[[#This Row],[//]]-2)="",INDEX([2]!NOTA[HARGA SATUAN],KENKO[//]-2),INDEX([2]!NOTA[HARGA/ CTN],KENKO[[#This Row],[//]]-2)))</f>
        <v>2880000</v>
      </c>
      <c r="O50" s="19" t="str">
        <f ca="1">IF(KENKO[[#This Row],[//]]="","",IF(INDEX([2]!NOTA[DISC 2],KENKO[[#This Row],[//]]-2)=0,"",INDEX([2]!NOTA[DISC 2],KENKO[[#This Row],[//]]-2)))</f>
        <v/>
      </c>
      <c r="P50" s="19"/>
      <c r="Q50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50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4113252.0000000005</v>
      </c>
      <c r="S50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20082348</v>
      </c>
      <c r="T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16" t="str">
        <f ca="1">IF(KENKO[[#This Row],[//]]="","",INDEX([2]!NOTA[NAMA BARANG],KENKO[[#This Row],[//]]-2))</f>
        <v>KENKO CORRECTION TAPE CT-902P (12M X5MM)</v>
      </c>
      <c r="V50" s="16" t="str">
        <f ca="1">LOWER(SUBSTITUTE(SUBSTITUTE(SUBSTITUTE(SUBSTITUTE(SUBSTITUTE(SUBSTITUTE(SUBSTITUTE(SUBSTITUTE(KENKO[[#This Row],[N.B.nota]]," ",""),"-",""),"(",""),")",""),".",""),",",""),"/",""),"""",""))</f>
        <v>kenkocorrectiontapect902p12mx5mm</v>
      </c>
      <c r="W50" s="8">
        <f ca="1">IF(KENKO[[#This Row],[concat]]="","",MATCH(KENKO[[#This Row],[concat]],[4]!db[NB NOTA_C],0)+1)</f>
        <v>1077</v>
      </c>
      <c r="X50" s="16" t="str">
        <f ca="1">IF(KENKO[[#This Row],[N.B.nota]]="","",ADDRESS(ROW(KENKO[QB]),COLUMN(KENKO[QB]))&amp;":"&amp;ADDRESS(ROW(),COLUMN(KENKO[QB])))</f>
        <v>$D$3:$D$50</v>
      </c>
      <c r="Y50" s="16" t="str">
        <f ca="1">IF(KENKO[[#This Row],[//]]="","",HYPERLINK("[..\\DB.xlsx]DB!e"&amp;KENKO[[#This Row],[stt]],"&gt;"))</f>
        <v>&gt;</v>
      </c>
      <c r="Z50" s="4">
        <f ca="1">IF(KENKO[[#This Row],[//]]="","",IF(KENKO[[#This Row],[ID NOTA]]="",Z49,KENKO[[#This Row],[ID NOTA]]))</f>
        <v>32</v>
      </c>
    </row>
    <row r="51" spans="1:26" ht="15" customHeight="1" x14ac:dyDescent="0.25">
      <c r="A51" s="2"/>
      <c r="B51" s="8" t="str">
        <f>IF(KENKO[[#This Row],[N_ID]]="","",INDEX(Table1[ID],MATCH(KENKO[[#This Row],[N_ID]],Table1[N_ID],0)))</f>
        <v/>
      </c>
      <c r="C51" s="8" t="str">
        <f>IF(KENKO[[#This Row],[ID NOTA]]="","",HYPERLINK("[NOTA_.xlsx]NOTA!e"&amp;INDEX([2]!PAJAK[//],MATCH(KENKO[[#This Row],[ID NOTA]],[2]!PAJAK[ID],0)),"&gt;") )</f>
        <v/>
      </c>
      <c r="D51" s="8" t="str">
        <f>IF(KENKO[[#This Row],[ID NOTA]]="","",INDEX(Table1[QB],MATCH(KENKO[[#This Row],[ID NOTA]],Table1[ID],0)))</f>
        <v/>
      </c>
      <c r="E5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" s="8"/>
      <c r="G51" s="9" t="str">
        <f>IF(KENKO[[#This Row],[ID NOTA]]="","",INDEX([2]!NOTA[TGL_H],MATCH(KENKO[[#This Row],[ID NOTA]],[2]!NOTA[ID],0)))</f>
        <v/>
      </c>
      <c r="H51" s="9" t="str">
        <f>IF(KENKO[[#This Row],[ID NOTA]]="","",INDEX([2]!NOTA[TGL.NOTA],MATCH(KENKO[[#This Row],[ID NOTA]],[2]!NOTA[ID],0)))</f>
        <v/>
      </c>
      <c r="I51" s="16" t="str">
        <f>IF(KENKO[[#This Row],[ID NOTA]]="","",INDEX([2]!NOTA[NO.NOTA],MATCH(KENKO[[#This Row],[ID NOTA]],[2]!NOTA[ID],0)))</f>
        <v/>
      </c>
      <c r="J51" s="16" t="str">
        <f ca="1">IF(KENKO[[#This Row],[//]]="","",INDEX([4]!db[NB PAJAK],KENKO[[#This Row],[stt]]-1))</f>
        <v/>
      </c>
      <c r="K51" s="8" t="str">
        <f>""</f>
        <v/>
      </c>
      <c r="L51" s="8" t="str">
        <f ca="1">IF(KENKO[[#This Row],[//]]="","",IF(INDEX([2]!NOTA[QTY],KENKO[//]-2)="",INDEX([2]!NOTA[C],KENKO[//]-2),INDEX([2]!NOTA[QTY],KENKO[//]-2)))</f>
        <v/>
      </c>
      <c r="M51" s="8" t="str">
        <f ca="1">IF(KENKO[[#This Row],[//]]="","",IF(INDEX([2]!NOTA[STN],KENKO[//]-2)="","CTN",INDEX([2]!NOTA[STN],KENKO[//]-2)))</f>
        <v/>
      </c>
      <c r="N51" s="17" t="str">
        <f ca="1">IF(KENKO[[#This Row],[//]]="","",IF(INDEX([2]!NOTA[HARGA/ CTN],KENKO[[#This Row],[//]]-2)="",INDEX([2]!NOTA[HARGA SATUAN],KENKO[//]-2),INDEX([2]!NOTA[HARGA/ CTN],KENKO[[#This Row],[//]]-2)))</f>
        <v/>
      </c>
      <c r="O51" s="19" t="str">
        <f ca="1">IF(KENKO[[#This Row],[//]]="","",IF(INDEX([2]!NOTA[DISC 2],KENKO[[#This Row],[//]]-2)=0,"",INDEX([2]!NOTA[DISC 2],KENKO[[#This Row],[//]]-2)))</f>
        <v/>
      </c>
      <c r="P51" s="19"/>
      <c r="Q5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16" t="str">
        <f ca="1">IF(KENKO[[#This Row],[//]]="","",INDEX([2]!NOTA[NAMA BARANG],KENKO[[#This Row],[//]]-2))</f>
        <v/>
      </c>
      <c r="V51" s="16" t="str">
        <f ca="1">LOWER(SUBSTITUTE(SUBSTITUTE(SUBSTITUTE(SUBSTITUTE(SUBSTITUTE(SUBSTITUTE(SUBSTITUTE(SUBSTITUTE(KENKO[[#This Row],[N.B.nota]]," ",""),"-",""),"(",""),")",""),".",""),",",""),"/",""),"""",""))</f>
        <v/>
      </c>
      <c r="W51" s="8" t="str">
        <f ca="1">IF(KENKO[[#This Row],[concat]]="","",MATCH(KENKO[[#This Row],[concat]],[4]!db[NB NOTA_C],0)+1)</f>
        <v/>
      </c>
      <c r="X51" s="16" t="str">
        <f ca="1">IF(KENKO[[#This Row],[N.B.nota]]="","",ADDRESS(ROW(KENKO[QB]),COLUMN(KENKO[QB]))&amp;":"&amp;ADDRESS(ROW(),COLUMN(KENKO[QB])))</f>
        <v/>
      </c>
      <c r="Y51" s="16" t="str">
        <f ca="1">IF(KENKO[[#This Row],[//]]="","",HYPERLINK("[..\\DB.xlsx]DB!e"&amp;KENKO[[#This Row],[stt]],"&gt;"))</f>
        <v/>
      </c>
      <c r="Z51" s="4" t="str">
        <f ca="1">IF(KENKO[[#This Row],[//]]="","",IF(KENKO[[#This Row],[ID NOTA]]="",Z50,KENKO[[#This Row],[ID NOTA]]))</f>
        <v/>
      </c>
    </row>
    <row r="52" spans="1:26" ht="15" customHeight="1" x14ac:dyDescent="0.25">
      <c r="A52" s="2" t="s">
        <v>70</v>
      </c>
      <c r="B52" s="8">
        <f ca="1">IF(KENKO[[#This Row],[N_ID]]="","",INDEX(Table1[ID],MATCH(KENKO[[#This Row],[N_ID]],Table1[N_ID],0)))</f>
        <v>35</v>
      </c>
      <c r="C52" s="8" t="str">
        <f ca="1">IF(KENKO[[#This Row],[ID NOTA]]="","",HYPERLINK("[NOTA_.xlsx]NOTA!e"&amp;INDEX([2]!PAJAK[//],MATCH(KENKO[[#This Row],[ID NOTA]],[2]!PAJAK[ID],0)),"&gt;") )</f>
        <v>&gt;</v>
      </c>
      <c r="D52" s="8">
        <f ca="1">IF(KENKO[[#This Row],[ID NOTA]]="","",INDEX(Table1[QB],MATCH(KENKO[[#This Row],[ID NOTA]],Table1[ID],0)))</f>
        <v>11</v>
      </c>
      <c r="E5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169</v>
      </c>
      <c r="F52" s="8">
        <v>9</v>
      </c>
      <c r="G52" s="9">
        <f ca="1">IF(KENKO[[#This Row],[ID NOTA]]="","",INDEX([2]!NOTA[TGL_H],MATCH(KENKO[[#This Row],[ID NOTA]],[2]!NOTA[ID],0)))</f>
        <v>44816</v>
      </c>
      <c r="H52" s="9">
        <f ca="1">IF(KENKO[[#This Row],[ID NOTA]]="","",INDEX([2]!NOTA[TGL.NOTA],MATCH(KENKO[[#This Row],[ID NOTA]],[2]!NOTA[ID],0)))</f>
        <v>44812</v>
      </c>
      <c r="I52" s="16" t="str">
        <f ca="1">IF(KENKO[[#This Row],[ID NOTA]]="","",INDEX([2]!NOTA[NO.NOTA],MATCH(KENKO[[#This Row],[ID NOTA]],[2]!NOTA[ID],0)))</f>
        <v>22090636</v>
      </c>
      <c r="J52" s="16" t="str">
        <f ca="1">IF(KENKO[[#This Row],[//]]="","",INDEX([4]!db[NB PAJAK],KENKO[[#This Row],[stt]]-1))</f>
        <v>POCKET NOTE SPIRAL KENKO PN-404</v>
      </c>
      <c r="K52" s="8" t="str">
        <f>""</f>
        <v/>
      </c>
      <c r="L52" s="8">
        <f ca="1">IF(KENKO[[#This Row],[//]]="","",IF(INDEX([2]!NOTA[QTY],KENKO[//]-2)="",INDEX([2]!NOTA[C],KENKO[//]-2),INDEX([2]!NOTA[QTY],KENKO[//]-2)))</f>
        <v>1</v>
      </c>
      <c r="M52" s="8" t="str">
        <f ca="1">IF(KENKO[[#This Row],[//]]="","",IF(INDEX([2]!NOTA[STN],KENKO[//]-2)="","CTN",INDEX([2]!NOTA[STN],KENKO[//]-2)))</f>
        <v>CTN</v>
      </c>
      <c r="N52" s="17">
        <f ca="1">IF(KENKO[[#This Row],[//]]="","",IF(INDEX([2]!NOTA[HARGA/ CTN],KENKO[[#This Row],[//]]-2)="",INDEX([2]!NOTA[HARGA SATUAN],KENKO[//]-2),INDEX([2]!NOTA[HARGA/ CTN],KENKO[[#This Row],[//]]-2)))</f>
        <v>804000</v>
      </c>
      <c r="O52" s="19" t="str">
        <f ca="1">IF(KENKO[[#This Row],[//]]="","",IF(INDEX([2]!NOTA[DISC 2],KENKO[[#This Row],[//]]-2)=0,"",INDEX([2]!NOTA[DISC 2],KENKO[[#This Row],[//]]-2)))</f>
        <v/>
      </c>
      <c r="P52" s="19"/>
      <c r="Q52" s="10">
        <f ca="1">IF(KENKO[[#This Row],[//]]="","",INDEX([2]!NOTA[JUMLAH],KENKO[[#This Row],[//]]-2)-IF(ISNUMBER(KENKO[[#This Row],[DISC 1 (%)]]),INDEX([2]!NOTA[JUMLAH],KENKO[[#This Row],[//]]-2)*KENKO[[#This Row],[DISC 1 (%)]],0))</f>
        <v>804000</v>
      </c>
      <c r="R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16" t="str">
        <f ca="1">IF(KENKO[[#This Row],[//]]="","",INDEX([2]!NOTA[NAMA BARANG],KENKO[[#This Row],[//]]-2))</f>
        <v>KENKO POCKET NOTE PN-404</v>
      </c>
      <c r="V52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52" s="8">
        <f ca="1">IF(KENKO[[#This Row],[concat]]="","",MATCH(KENKO[[#This Row],[concat]],[4]!db[NB NOTA_C],0)+1)</f>
        <v>1200</v>
      </c>
      <c r="X52" s="16" t="str">
        <f ca="1">IF(KENKO[[#This Row],[N.B.nota]]="","",ADDRESS(ROW(KENKO[QB]),COLUMN(KENKO[QB]))&amp;":"&amp;ADDRESS(ROW(),COLUMN(KENKO[QB])))</f>
        <v>$D$3:$D$52</v>
      </c>
      <c r="Y52" s="16" t="str">
        <f ca="1">IF(KENKO[[#This Row],[//]]="","",HYPERLINK("[..\\DB.xlsx]DB!e"&amp;KENKO[[#This Row],[stt]],"&gt;"))</f>
        <v>&gt;</v>
      </c>
      <c r="Z52" s="4">
        <f ca="1">IF(KENKO[[#This Row],[//]]="","",IF(KENKO[[#This Row],[ID NOTA]]="",Z51,KENKO[[#This Row],[ID NOTA]]))</f>
        <v>35</v>
      </c>
    </row>
    <row r="53" spans="1:26" ht="15" customHeight="1" x14ac:dyDescent="0.25">
      <c r="A53" s="2"/>
      <c r="B53" s="8" t="str">
        <f>IF(KENKO[[#This Row],[N_ID]]="","",INDEX(Table1[ID],MATCH(KENKO[[#This Row],[N_ID]],Table1[N_ID],0)))</f>
        <v/>
      </c>
      <c r="C53" s="8" t="str">
        <f>IF(KENKO[[#This Row],[ID NOTA]]="","",HYPERLINK("[NOTA_.xlsx]NOTA!e"&amp;INDEX([2]!PAJAK[//],MATCH(KENKO[[#This Row],[ID NOTA]],[2]!PAJAK[ID],0)),"&gt;") )</f>
        <v/>
      </c>
      <c r="D53" s="8" t="str">
        <f>IF(KENKO[[#This Row],[ID NOTA]]="","",INDEX(Table1[QB],MATCH(KENKO[[#This Row],[ID NOTA]],Table1[ID],0)))</f>
        <v/>
      </c>
      <c r="E5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170</v>
      </c>
      <c r="F53" s="8"/>
      <c r="G53" s="9" t="str">
        <f>IF(KENKO[[#This Row],[ID NOTA]]="","",INDEX([2]!NOTA[TGL_H],MATCH(KENKO[[#This Row],[ID NOTA]],[2]!NOTA[ID],0)))</f>
        <v/>
      </c>
      <c r="H53" s="9" t="str">
        <f>IF(KENKO[[#This Row],[ID NOTA]]="","",INDEX([2]!NOTA[TGL.NOTA],MATCH(KENKO[[#This Row],[ID NOTA]],[2]!NOTA[ID],0)))</f>
        <v/>
      </c>
      <c r="I53" s="16" t="str">
        <f>IF(KENKO[[#This Row],[ID NOTA]]="","",INDEX([2]!NOTA[NO.NOTA],MATCH(KENKO[[#This Row],[ID NOTA]],[2]!NOTA[ID],0)))</f>
        <v/>
      </c>
      <c r="J53" s="16" t="str">
        <f ca="1">IF(KENKO[[#This Row],[//]]="","",INDEX([4]!db[NB PAJAK],KENKO[[#This Row],[stt]]-1))</f>
        <v>STAMP PAD KENKO NO. 1</v>
      </c>
      <c r="K53" s="8" t="str">
        <f>""</f>
        <v/>
      </c>
      <c r="L53" s="8">
        <f ca="1">IF(KENKO[[#This Row],[//]]="","",IF(INDEX([2]!NOTA[QTY],KENKO[//]-2)="",INDEX([2]!NOTA[C],KENKO[//]-2),INDEX([2]!NOTA[QTY],KENKO[//]-2)))</f>
        <v>1</v>
      </c>
      <c r="M53" s="8" t="str">
        <f ca="1">IF(KENKO[[#This Row],[//]]="","",IF(INDEX([2]!NOTA[STN],KENKO[//]-2)="","CTN",INDEX([2]!NOTA[STN],KENKO[//]-2)))</f>
        <v>CTN</v>
      </c>
      <c r="N53" s="17">
        <f ca="1">IF(KENKO[[#This Row],[//]]="","",IF(INDEX([2]!NOTA[HARGA/ CTN],KENKO[[#This Row],[//]]-2)="",INDEX([2]!NOTA[HARGA SATUAN],KENKO[//]-2),INDEX([2]!NOTA[HARGA/ CTN],KENKO[[#This Row],[//]]-2)))</f>
        <v>1274400</v>
      </c>
      <c r="O53" s="19" t="str">
        <f ca="1">IF(KENKO[[#This Row],[//]]="","",IF(INDEX([2]!NOTA[DISC 2],KENKO[[#This Row],[//]]-2)=0,"",INDEX([2]!NOTA[DISC 2],KENKO[[#This Row],[//]]-2)))</f>
        <v/>
      </c>
      <c r="P53" s="19"/>
      <c r="Q53" s="10">
        <f ca="1">IF(KENKO[[#This Row],[//]]="","",INDEX([2]!NOTA[JUMLAH],KENKO[[#This Row],[//]]-2)-IF(ISNUMBER(KENKO[[#This Row],[DISC 1 (%)]]),INDEX([2]!NOTA[JUMLAH],KENKO[[#This Row],[//]]-2)*KENKO[[#This Row],[DISC 1 (%)]],0))</f>
        <v>1274400</v>
      </c>
      <c r="R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16" t="str">
        <f ca="1">IF(KENKO[[#This Row],[//]]="","",INDEX([2]!NOTA[NAMA BARANG],KENKO[[#This Row],[//]]-2))</f>
        <v>KENKO STAMP PAD NO.1</v>
      </c>
      <c r="V53" s="16" t="str">
        <f ca="1">LOWER(SUBSTITUTE(SUBSTITUTE(SUBSTITUTE(SUBSTITUTE(SUBSTITUTE(SUBSTITUTE(SUBSTITUTE(SUBSTITUTE(KENKO[[#This Row],[N.B.nota]]," ",""),"-",""),"(",""),")",""),".",""),",",""),"/",""),"""",""))</f>
        <v>kenkostamppadno1</v>
      </c>
      <c r="W53" s="8">
        <f ca="1">IF(KENKO[[#This Row],[concat]]="","",MATCH(KENKO[[#This Row],[concat]],[4]!db[NB NOTA_C],0)+1)</f>
        <v>1234</v>
      </c>
      <c r="X53" s="16" t="str">
        <f ca="1">IF(KENKO[[#This Row],[N.B.nota]]="","",ADDRESS(ROW(KENKO[QB]),COLUMN(KENKO[QB]))&amp;":"&amp;ADDRESS(ROW(),COLUMN(KENKO[QB])))</f>
        <v>$D$3:$D$53</v>
      </c>
      <c r="Y53" s="16" t="str">
        <f ca="1">IF(KENKO[[#This Row],[//]]="","",HYPERLINK("[..\\DB.xlsx]DB!e"&amp;KENKO[[#This Row],[stt]],"&gt;"))</f>
        <v>&gt;</v>
      </c>
      <c r="Z53" s="4">
        <f ca="1">IF(KENKO[[#This Row],[//]]="","",IF(KENKO[[#This Row],[ID NOTA]]="",Z52,KENKO[[#This Row],[ID NOTA]]))</f>
        <v>35</v>
      </c>
    </row>
    <row r="54" spans="1:26" ht="15" customHeight="1" x14ac:dyDescent="0.25">
      <c r="A54" s="2"/>
      <c r="B54" s="8" t="str">
        <f>IF(KENKO[[#This Row],[N_ID]]="","",INDEX(Table1[ID],MATCH(KENKO[[#This Row],[N_ID]],Table1[N_ID],0)))</f>
        <v/>
      </c>
      <c r="C54" s="8" t="str">
        <f>IF(KENKO[[#This Row],[ID NOTA]]="","",HYPERLINK("[NOTA_.xlsx]NOTA!e"&amp;INDEX([2]!PAJAK[//],MATCH(KENKO[[#This Row],[ID NOTA]],[2]!PAJAK[ID],0)),"&gt;") )</f>
        <v/>
      </c>
      <c r="D54" s="8" t="str">
        <f>IF(KENKO[[#This Row],[ID NOTA]]="","",INDEX(Table1[QB],MATCH(KENKO[[#This Row],[ID NOTA]],Table1[ID],0)))</f>
        <v/>
      </c>
      <c r="E5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171</v>
      </c>
      <c r="F54" s="8"/>
      <c r="G54" s="9" t="str">
        <f>IF(KENKO[[#This Row],[ID NOTA]]="","",INDEX([2]!NOTA[TGL_H],MATCH(KENKO[[#This Row],[ID NOTA]],[2]!NOTA[ID],0)))</f>
        <v/>
      </c>
      <c r="H54" s="9" t="str">
        <f>IF(KENKO[[#This Row],[ID NOTA]]="","",INDEX([2]!NOTA[TGL.NOTA],MATCH(KENKO[[#This Row],[ID NOTA]],[2]!NOTA[ID],0)))</f>
        <v/>
      </c>
      <c r="I54" s="16" t="str">
        <f>IF(KENKO[[#This Row],[ID NOTA]]="","",INDEX([2]!NOTA[NO.NOTA],MATCH(KENKO[[#This Row],[ID NOTA]],[2]!NOTA[ID],0)))</f>
        <v/>
      </c>
      <c r="J54" s="16" t="str">
        <f ca="1">IF(KENKO[[#This Row],[//]]="","",INDEX([4]!db[NB PAJAK],KENKO[[#This Row],[stt]]-1))</f>
        <v>LAMINATING FILM KENKO LF100-2234 (FC)</v>
      </c>
      <c r="K54" s="8" t="str">
        <f>""</f>
        <v/>
      </c>
      <c r="L54" s="8">
        <f ca="1">IF(KENKO[[#This Row],[//]]="","",IF(INDEX([2]!NOTA[QTY],KENKO[//]-2)="",INDEX([2]!NOTA[C],KENKO[//]-2),INDEX([2]!NOTA[QTY],KENKO[//]-2)))</f>
        <v>1</v>
      </c>
      <c r="M54" s="8" t="str">
        <f ca="1">IF(KENKO[[#This Row],[//]]="","",IF(INDEX([2]!NOTA[STN],KENKO[//]-2)="","CTN",INDEX([2]!NOTA[STN],KENKO[//]-2)))</f>
        <v>CTN</v>
      </c>
      <c r="N54" s="17">
        <f ca="1">IF(KENKO[[#This Row],[//]]="","",IF(INDEX([2]!NOTA[HARGA/ CTN],KENKO[[#This Row],[//]]-2)="",INDEX([2]!NOTA[HARGA SATUAN],KENKO[//]-2),INDEX([2]!NOTA[HARGA/ CTN],KENKO[[#This Row],[//]]-2)))</f>
        <v>1150000</v>
      </c>
      <c r="O54" s="19" t="str">
        <f ca="1">IF(KENKO[[#This Row],[//]]="","",IF(INDEX([2]!NOTA[DISC 2],KENKO[[#This Row],[//]]-2)=0,"",INDEX([2]!NOTA[DISC 2],KENKO[[#This Row],[//]]-2)))</f>
        <v/>
      </c>
      <c r="P54" s="19"/>
      <c r="Q54" s="10">
        <f ca="1">IF(KENKO[[#This Row],[//]]="","",INDEX([2]!NOTA[JUMLAH],KENKO[[#This Row],[//]]-2)-IF(ISNUMBER(KENKO[[#This Row],[DISC 1 (%)]]),INDEX([2]!NOTA[JUMLAH],KENKO[[#This Row],[//]]-2)*KENKO[[#This Row],[DISC 1 (%)]],0))</f>
        <v>1150000</v>
      </c>
      <c r="R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16" t="str">
        <f ca="1">IF(KENKO[[#This Row],[//]]="","",INDEX([2]!NOTA[NAMA BARANG],KENKO[[#This Row],[//]]-2))</f>
        <v>KENKO LAMINATING FILM LF100-2234 (FC) @ 100 PCS</v>
      </c>
      <c r="V54" s="16" t="str">
        <f ca="1">LOWER(SUBSTITUTE(SUBSTITUTE(SUBSTITUTE(SUBSTITUTE(SUBSTITUTE(SUBSTITUTE(SUBSTITUTE(SUBSTITUTE(KENKO[[#This Row],[N.B.nota]]," ",""),"-",""),"(",""),")",""),".",""),",",""),"/",""),"""",""))</f>
        <v>kenkolaminatingfilmlf1002234fc@100pcs</v>
      </c>
      <c r="W54" s="8">
        <f ca="1">IF(KENKO[[#This Row],[concat]]="","",MATCH(KENKO[[#This Row],[concat]],[4]!db[NB NOTA_C],0)+1)</f>
        <v>1160</v>
      </c>
      <c r="X54" s="16" t="str">
        <f ca="1">IF(KENKO[[#This Row],[N.B.nota]]="","",ADDRESS(ROW(KENKO[QB]),COLUMN(KENKO[QB]))&amp;":"&amp;ADDRESS(ROW(),COLUMN(KENKO[QB])))</f>
        <v>$D$3:$D$54</v>
      </c>
      <c r="Y54" s="16" t="str">
        <f ca="1">IF(KENKO[[#This Row],[//]]="","",HYPERLINK("[..\\DB.xlsx]DB!e"&amp;KENKO[[#This Row],[stt]],"&gt;"))</f>
        <v>&gt;</v>
      </c>
      <c r="Z54" s="4">
        <f ca="1">IF(KENKO[[#This Row],[//]]="","",IF(KENKO[[#This Row],[ID NOTA]]="",Z53,KENKO[[#This Row],[ID NOTA]]))</f>
        <v>35</v>
      </c>
    </row>
    <row r="55" spans="1:26" ht="15" customHeight="1" x14ac:dyDescent="0.25">
      <c r="A55" s="2"/>
      <c r="B55" s="8" t="str">
        <f>IF(KENKO[[#This Row],[N_ID]]="","",INDEX(Table1[ID],MATCH(KENKO[[#This Row],[N_ID]],Table1[N_ID],0)))</f>
        <v/>
      </c>
      <c r="C55" s="8" t="str">
        <f>IF(KENKO[[#This Row],[ID NOTA]]="","",HYPERLINK("[NOTA_.xlsx]NOTA!e"&amp;INDEX([2]!PAJAK[//],MATCH(KENKO[[#This Row],[ID NOTA]],[2]!PAJAK[ID],0)),"&gt;") )</f>
        <v/>
      </c>
      <c r="D55" s="8" t="str">
        <f>IF(KENKO[[#This Row],[ID NOTA]]="","",INDEX(Table1[QB],MATCH(KENKO[[#This Row],[ID NOTA]],Table1[ID],0)))</f>
        <v/>
      </c>
      <c r="E5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172</v>
      </c>
      <c r="F55" s="8"/>
      <c r="G55" s="9" t="str">
        <f>IF(KENKO[[#This Row],[ID NOTA]]="","",INDEX([2]!NOTA[TGL_H],MATCH(KENKO[[#This Row],[ID NOTA]],[2]!NOTA[ID],0)))</f>
        <v/>
      </c>
      <c r="H55" s="9" t="str">
        <f>IF(KENKO[[#This Row],[ID NOTA]]="","",INDEX([2]!NOTA[TGL.NOTA],MATCH(KENKO[[#This Row],[ID NOTA]],[2]!NOTA[ID],0)))</f>
        <v/>
      </c>
      <c r="I55" s="16" t="str">
        <f>IF(KENKO[[#This Row],[ID NOTA]]="","",INDEX([2]!NOTA[NO.NOTA],MATCH(KENKO[[#This Row],[ID NOTA]],[2]!NOTA[ID],0)))</f>
        <v/>
      </c>
      <c r="J55" s="16" t="str">
        <f ca="1">IF(KENKO[[#This Row],[//]]="","",INDEX([4]!db[NB PAJAK],KENKO[[#This Row],[stt]]-1))</f>
        <v>GEL PEN KENKO K-1 HITAM</v>
      </c>
      <c r="K55" s="8" t="str">
        <f>""</f>
        <v/>
      </c>
      <c r="L55" s="8">
        <f ca="1">IF(KENKO[[#This Row],[//]]="","",IF(INDEX([2]!NOTA[QTY],KENKO[//]-2)="",INDEX([2]!NOTA[C],KENKO[//]-2),INDEX([2]!NOTA[QTY],KENKO[//]-2)))</f>
        <v>2</v>
      </c>
      <c r="M55" s="8" t="str">
        <f ca="1">IF(KENKO[[#This Row],[//]]="","",IF(INDEX([2]!NOTA[STN],KENKO[//]-2)="","CTN",INDEX([2]!NOTA[STN],KENKO[//]-2)))</f>
        <v>CTN</v>
      </c>
      <c r="N55" s="17">
        <f ca="1">IF(KENKO[[#This Row],[//]]="","",IF(INDEX([2]!NOTA[HARGA/ CTN],KENKO[[#This Row],[//]]-2)="",INDEX([2]!NOTA[HARGA SATUAN],KENKO[//]-2),INDEX([2]!NOTA[HARGA/ CTN],KENKO[[#This Row],[//]]-2)))</f>
        <v>5702400</v>
      </c>
      <c r="O55" s="19" t="str">
        <f ca="1">IF(KENKO[[#This Row],[//]]="","",IF(INDEX([2]!NOTA[DISC 2],KENKO[[#This Row],[//]]-2)=0,"",INDEX([2]!NOTA[DISC 2],KENKO[[#This Row],[//]]-2)))</f>
        <v/>
      </c>
      <c r="P55" s="19"/>
      <c r="Q55" s="10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16" t="str">
        <f ca="1">IF(KENKO[[#This Row],[//]]="","",INDEX([2]!NOTA[NAMA BARANG],KENKO[[#This Row],[//]]-2))</f>
        <v>KENKO GEL PEN K-1 BLACK</v>
      </c>
      <c r="V55" s="16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55" s="8">
        <f ca="1">IF(KENKO[[#This Row],[concat]]="","",MATCH(KENKO[[#This Row],[concat]],[4]!db[NB NOTA_C],0)+1)</f>
        <v>1114</v>
      </c>
      <c r="X55" s="16" t="str">
        <f ca="1">IF(KENKO[[#This Row],[N.B.nota]]="","",ADDRESS(ROW(KENKO[QB]),COLUMN(KENKO[QB]))&amp;":"&amp;ADDRESS(ROW(),COLUMN(KENKO[QB])))</f>
        <v>$D$3:$D$55</v>
      </c>
      <c r="Y55" s="16" t="str">
        <f ca="1">IF(KENKO[[#This Row],[//]]="","",HYPERLINK("[..\\DB.xlsx]DB!e"&amp;KENKO[[#This Row],[stt]],"&gt;"))</f>
        <v>&gt;</v>
      </c>
      <c r="Z55" s="4">
        <f ca="1">IF(KENKO[[#This Row],[//]]="","",IF(KENKO[[#This Row],[ID NOTA]]="",Z54,KENKO[[#This Row],[ID NOTA]]))</f>
        <v>35</v>
      </c>
    </row>
    <row r="56" spans="1:26" ht="15" customHeight="1" x14ac:dyDescent="0.25">
      <c r="A56" s="2"/>
      <c r="B56" s="8" t="str">
        <f>IF(KENKO[[#This Row],[N_ID]]="","",INDEX(Table1[ID],MATCH(KENKO[[#This Row],[N_ID]],Table1[N_ID],0)))</f>
        <v/>
      </c>
      <c r="C56" s="8" t="str">
        <f>IF(KENKO[[#This Row],[ID NOTA]]="","",HYPERLINK("[NOTA_.xlsx]NOTA!e"&amp;INDEX([2]!PAJAK[//],MATCH(KENKO[[#This Row],[ID NOTA]],[2]!PAJAK[ID],0)),"&gt;") )</f>
        <v/>
      </c>
      <c r="D56" s="8" t="str">
        <f>IF(KENKO[[#This Row],[ID NOTA]]="","",INDEX(Table1[QB],MATCH(KENKO[[#This Row],[ID NOTA]],Table1[ID],0)))</f>
        <v/>
      </c>
      <c r="E5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173</v>
      </c>
      <c r="F56" s="8"/>
      <c r="G56" s="9" t="str">
        <f>IF(KENKO[[#This Row],[ID NOTA]]="","",INDEX([2]!NOTA[TGL_H],MATCH(KENKO[[#This Row],[ID NOTA]],[2]!NOTA[ID],0)))</f>
        <v/>
      </c>
      <c r="H56" s="9" t="str">
        <f>IF(KENKO[[#This Row],[ID NOTA]]="","",INDEX([2]!NOTA[TGL.NOTA],MATCH(KENKO[[#This Row],[ID NOTA]],[2]!NOTA[ID],0)))</f>
        <v/>
      </c>
      <c r="I56" s="16" t="str">
        <f>IF(KENKO[[#This Row],[ID NOTA]]="","",INDEX([2]!NOTA[NO.NOTA],MATCH(KENKO[[#This Row],[ID NOTA]],[2]!NOTA[ID],0)))</f>
        <v/>
      </c>
      <c r="J56" s="16" t="str">
        <f ca="1">IF(KENKO[[#This Row],[//]]="","",INDEX([4]!db[NB PAJAK],KENKO[[#This Row],[stt]]-1))</f>
        <v>ISI STAPLER (STAPLES) KENKO NO. 10 - 1M PREMIUM</v>
      </c>
      <c r="K56" s="8" t="str">
        <f>""</f>
        <v/>
      </c>
      <c r="L56" s="8">
        <f ca="1">IF(KENKO[[#This Row],[//]]="","",IF(INDEX([2]!NOTA[QTY],KENKO[//]-2)="",INDEX([2]!NOTA[C],KENKO[//]-2),INDEX([2]!NOTA[QTY],KENKO[//]-2)))</f>
        <v>1</v>
      </c>
      <c r="M56" s="8" t="str">
        <f ca="1">IF(KENKO[[#This Row],[//]]="","",IF(INDEX([2]!NOTA[STN],KENKO[//]-2)="","CTN",INDEX([2]!NOTA[STN],KENKO[//]-2)))</f>
        <v>CTN</v>
      </c>
      <c r="N56" s="17">
        <f ca="1">IF(KENKO[[#This Row],[//]]="","",IF(INDEX([2]!NOTA[HARGA/ CTN],KENKO[[#This Row],[//]]-2)="",INDEX([2]!NOTA[HARGA SATUAN],KENKO[//]-2),INDEX([2]!NOTA[HARGA/ CTN],KENKO[[#This Row],[//]]-2)))</f>
        <v>840000</v>
      </c>
      <c r="O56" s="19" t="str">
        <f ca="1">IF(KENKO[[#This Row],[//]]="","",IF(INDEX([2]!NOTA[DISC 2],KENKO[[#This Row],[//]]-2)=0,"",INDEX([2]!NOTA[DISC 2],KENKO[[#This Row],[//]]-2)))</f>
        <v/>
      </c>
      <c r="P56" s="19"/>
      <c r="Q56" s="10">
        <f ca="1">IF(KENKO[[#This Row],[//]]="","",INDEX([2]!NOTA[JUMLAH],KENKO[[#This Row],[//]]-2)-IF(ISNUMBER(KENKO[[#This Row],[DISC 1 (%)]]),INDEX([2]!NOTA[JUMLAH],KENKO[[#This Row],[//]]-2)*KENKO[[#This Row],[DISC 1 (%)]],0))</f>
        <v>840000</v>
      </c>
      <c r="R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16" t="str">
        <f ca="1">IF(KENKO[[#This Row],[//]]="","",INDEX([2]!NOTA[NAMA BARANG],KENKO[[#This Row],[//]]-2))</f>
        <v>KENKO STAPLES NO.10-1M</v>
      </c>
      <c r="V56" s="16" t="str">
        <f ca="1">LOWER(SUBSTITUTE(SUBSTITUTE(SUBSTITUTE(SUBSTITUTE(SUBSTITUTE(SUBSTITUTE(SUBSTITUTE(SUBSTITUTE(KENKO[[#This Row],[N.B.nota]]," ",""),"-",""),"(",""),")",""),".",""),",",""),"/",""),"""",""))</f>
        <v>kenkostaplesno101m</v>
      </c>
      <c r="W56" s="8">
        <f ca="1">IF(KENKO[[#This Row],[concat]]="","",MATCH(KENKO[[#This Row],[concat]],[4]!db[NB NOTA_C],0)+1)</f>
        <v>1249</v>
      </c>
      <c r="X56" s="16" t="str">
        <f ca="1">IF(KENKO[[#This Row],[N.B.nota]]="","",ADDRESS(ROW(KENKO[QB]),COLUMN(KENKO[QB]))&amp;":"&amp;ADDRESS(ROW(),COLUMN(KENKO[QB])))</f>
        <v>$D$3:$D$56</v>
      </c>
      <c r="Y56" s="16" t="str">
        <f ca="1">IF(KENKO[[#This Row],[//]]="","",HYPERLINK("[..\\DB.xlsx]DB!e"&amp;KENKO[[#This Row],[stt]],"&gt;"))</f>
        <v>&gt;</v>
      </c>
      <c r="Z56" s="4">
        <f ca="1">IF(KENKO[[#This Row],[//]]="","",IF(KENKO[[#This Row],[ID NOTA]]="",Z55,KENKO[[#This Row],[ID NOTA]]))</f>
        <v>35</v>
      </c>
    </row>
    <row r="57" spans="1:26" ht="15" customHeight="1" x14ac:dyDescent="0.25">
      <c r="A57" s="2"/>
      <c r="B57" s="8" t="str">
        <f>IF(KENKO[[#This Row],[N_ID]]="","",INDEX(Table1[ID],MATCH(KENKO[[#This Row],[N_ID]],Table1[N_ID],0)))</f>
        <v/>
      </c>
      <c r="C57" s="8" t="str">
        <f>IF(KENKO[[#This Row],[ID NOTA]]="","",HYPERLINK("[NOTA_.xlsx]NOTA!e"&amp;INDEX([2]!PAJAK[//],MATCH(KENKO[[#This Row],[ID NOTA]],[2]!PAJAK[ID],0)),"&gt;") )</f>
        <v/>
      </c>
      <c r="D57" s="8" t="str">
        <f>IF(KENKO[[#This Row],[ID NOTA]]="","",INDEX(Table1[QB],MATCH(KENKO[[#This Row],[ID NOTA]],Table1[ID],0)))</f>
        <v/>
      </c>
      <c r="E5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174</v>
      </c>
      <c r="F57" s="8"/>
      <c r="G57" s="9" t="str">
        <f>IF(KENKO[[#This Row],[ID NOTA]]="","",INDEX([2]!NOTA[TGL_H],MATCH(KENKO[[#This Row],[ID NOTA]],[2]!NOTA[ID],0)))</f>
        <v/>
      </c>
      <c r="H57" s="9" t="str">
        <f>IF(KENKO[[#This Row],[ID NOTA]]="","",INDEX([2]!NOTA[TGL.NOTA],MATCH(KENKO[[#This Row],[ID NOTA]],[2]!NOTA[ID],0)))</f>
        <v/>
      </c>
      <c r="I57" s="16" t="str">
        <f>IF(KENKO[[#This Row],[ID NOTA]]="","",INDEX([2]!NOTA[NO.NOTA],MATCH(KENKO[[#This Row],[ID NOTA]],[2]!NOTA[ID],0)))</f>
        <v/>
      </c>
      <c r="J57" s="16" t="str">
        <f ca="1">IF(KENKO[[#This Row],[//]]="","",INDEX([4]!db[NB PAJAK],KENKO[[#This Row],[stt]]-1))</f>
        <v>ISI STAPLER (STAPLES) KENKO 1210 PREMIUM (23/10)</v>
      </c>
      <c r="K57" s="8" t="str">
        <f>""</f>
        <v/>
      </c>
      <c r="L57" s="8">
        <f ca="1">IF(KENKO[[#This Row],[//]]="","",IF(INDEX([2]!NOTA[QTY],KENKO[//]-2)="",INDEX([2]!NOTA[C],KENKO[//]-2),INDEX([2]!NOTA[QTY],KENKO[//]-2)))</f>
        <v>1</v>
      </c>
      <c r="M57" s="8" t="str">
        <f ca="1">IF(KENKO[[#This Row],[//]]="","",IF(INDEX([2]!NOTA[STN],KENKO[//]-2)="","CTN",INDEX([2]!NOTA[STN],KENKO[//]-2)))</f>
        <v>CTN</v>
      </c>
      <c r="N57" s="17">
        <f ca="1">IF(KENKO[[#This Row],[//]]="","",IF(INDEX([2]!NOTA[HARGA/ CTN],KENKO[[#This Row],[//]]-2)="",INDEX([2]!NOTA[HARGA SATUAN],KENKO[//]-2),INDEX([2]!NOTA[HARGA/ CTN],KENKO[[#This Row],[//]]-2)))</f>
        <v>840000</v>
      </c>
      <c r="O57" s="19" t="str">
        <f ca="1">IF(KENKO[[#This Row],[//]]="","",IF(INDEX([2]!NOTA[DISC 2],KENKO[[#This Row],[//]]-2)=0,"",INDEX([2]!NOTA[DISC 2],KENKO[[#This Row],[//]]-2)))</f>
        <v/>
      </c>
      <c r="P57" s="19"/>
      <c r="Q57" s="10">
        <f ca="1">IF(KENKO[[#This Row],[//]]="","",INDEX([2]!NOTA[JUMLAH],KENKO[[#This Row],[//]]-2)-IF(ISNUMBER(KENKO[[#This Row],[DISC 1 (%)]]),INDEX([2]!NOTA[JUMLAH],KENKO[[#This Row],[//]]-2)*KENKO[[#This Row],[DISC 1 (%)]],0))</f>
        <v>840000</v>
      </c>
      <c r="R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16" t="str">
        <f ca="1">IF(KENKO[[#This Row],[//]]="","",INDEX([2]!NOTA[NAMA BARANG],KENKO[[#This Row],[//]]-2))</f>
        <v>KENKO STAPLES NO.1210 (23/10)</v>
      </c>
      <c r="V57" s="16" t="str">
        <f ca="1">LOWER(SUBSTITUTE(SUBSTITUTE(SUBSTITUTE(SUBSTITUTE(SUBSTITUTE(SUBSTITUTE(SUBSTITUTE(SUBSTITUTE(KENKO[[#This Row],[N.B.nota]]," ",""),"-",""),"(",""),")",""),".",""),",",""),"/",""),"""",""))</f>
        <v>kenkostaplesno12102310</v>
      </c>
      <c r="W57" s="8">
        <f ca="1">IF(KENKO[[#This Row],[concat]]="","",MATCH(KENKO[[#This Row],[concat]],[4]!db[NB NOTA_C],0)+1)</f>
        <v>1250</v>
      </c>
      <c r="X57" s="16" t="str">
        <f ca="1">IF(KENKO[[#This Row],[N.B.nota]]="","",ADDRESS(ROW(KENKO[QB]),COLUMN(KENKO[QB]))&amp;":"&amp;ADDRESS(ROW(),COLUMN(KENKO[QB])))</f>
        <v>$D$3:$D$57</v>
      </c>
      <c r="Y57" s="16" t="str">
        <f ca="1">IF(KENKO[[#This Row],[//]]="","",HYPERLINK("[..\\DB.xlsx]DB!e"&amp;KENKO[[#This Row],[stt]],"&gt;"))</f>
        <v>&gt;</v>
      </c>
      <c r="Z57" s="4">
        <f ca="1">IF(KENKO[[#This Row],[//]]="","",IF(KENKO[[#This Row],[ID NOTA]]="",Z56,KENKO[[#This Row],[ID NOTA]]))</f>
        <v>35</v>
      </c>
    </row>
    <row r="58" spans="1:26" ht="15" customHeight="1" x14ac:dyDescent="0.25">
      <c r="A58" s="2"/>
      <c r="B58" s="8" t="str">
        <f>IF(KENKO[[#This Row],[N_ID]]="","",INDEX(Table1[ID],MATCH(KENKO[[#This Row],[N_ID]],Table1[N_ID],0)))</f>
        <v/>
      </c>
      <c r="C58" s="8" t="str">
        <f>IF(KENKO[[#This Row],[ID NOTA]]="","",HYPERLINK("[NOTA_.xlsx]NOTA!e"&amp;INDEX([2]!PAJAK[//],MATCH(KENKO[[#This Row],[ID NOTA]],[2]!PAJAK[ID],0)),"&gt;") )</f>
        <v/>
      </c>
      <c r="D58" s="8" t="str">
        <f>IF(KENKO[[#This Row],[ID NOTA]]="","",INDEX(Table1[QB],MATCH(KENKO[[#This Row],[ID NOTA]],Table1[ID],0)))</f>
        <v/>
      </c>
      <c r="E5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175</v>
      </c>
      <c r="F58" s="8"/>
      <c r="G58" s="9" t="str">
        <f>IF(KENKO[[#This Row],[ID NOTA]]="","",INDEX([2]!NOTA[TGL_H],MATCH(KENKO[[#This Row],[ID NOTA]],[2]!NOTA[ID],0)))</f>
        <v/>
      </c>
      <c r="H58" s="9" t="str">
        <f>IF(KENKO[[#This Row],[ID NOTA]]="","",INDEX([2]!NOTA[TGL.NOTA],MATCH(KENKO[[#This Row],[ID NOTA]],[2]!NOTA[ID],0)))</f>
        <v/>
      </c>
      <c r="I58" s="16" t="str">
        <f>IF(KENKO[[#This Row],[ID NOTA]]="","",INDEX([2]!NOTA[NO.NOTA],MATCH(KENKO[[#This Row],[ID NOTA]],[2]!NOTA[ID],0)))</f>
        <v/>
      </c>
      <c r="J58" s="16" t="str">
        <f ca="1">IF(KENKO[[#This Row],[//]]="","",INDEX([4]!db[NB PAJAK],KENKO[[#This Row],[stt]]-1))</f>
        <v>STAPLER KENKO HD-10D</v>
      </c>
      <c r="K58" s="8" t="str">
        <f>""</f>
        <v/>
      </c>
      <c r="L58" s="8">
        <f ca="1">IF(KENKO[[#This Row],[//]]="","",IF(INDEX([2]!NOTA[QTY],KENKO[//]-2)="",INDEX([2]!NOTA[C],KENKO[//]-2),INDEX([2]!NOTA[QTY],KENKO[//]-2)))</f>
        <v>2</v>
      </c>
      <c r="M58" s="8" t="str">
        <f ca="1">IF(KENKO[[#This Row],[//]]="","",IF(INDEX([2]!NOTA[STN],KENKO[//]-2)="","CTN",INDEX([2]!NOTA[STN],KENKO[//]-2)))</f>
        <v>CTN</v>
      </c>
      <c r="N58" s="17">
        <f ca="1">IF(KENKO[[#This Row],[//]]="","",IF(INDEX([2]!NOTA[HARGA/ CTN],KENKO[[#This Row],[//]]-2)="",INDEX([2]!NOTA[HARGA SATUAN],KENKO[//]-2),INDEX([2]!NOTA[HARGA/ CTN],KENKO[[#This Row],[//]]-2)))</f>
        <v>2352000</v>
      </c>
      <c r="O58" s="19" t="str">
        <f ca="1">IF(KENKO[[#This Row],[//]]="","",IF(INDEX([2]!NOTA[DISC 2],KENKO[[#This Row],[//]]-2)=0,"",INDEX([2]!NOTA[DISC 2],KENKO[[#This Row],[//]]-2)))</f>
        <v/>
      </c>
      <c r="P58" s="19"/>
      <c r="Q58" s="10">
        <f ca="1">IF(KENKO[[#This Row],[//]]="","",INDEX([2]!NOTA[JUMLAH],KENKO[[#This Row],[//]]-2)-IF(ISNUMBER(KENKO[[#This Row],[DISC 1 (%)]]),INDEX([2]!NOTA[JUMLAH],KENKO[[#This Row],[//]]-2)*KENKO[[#This Row],[DISC 1 (%)]],0))</f>
        <v>4704000</v>
      </c>
      <c r="R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16" t="str">
        <f ca="1">IF(KENKO[[#This Row],[//]]="","",INDEX([2]!NOTA[NAMA BARANG],KENKO[[#This Row],[//]]-2))</f>
        <v>KENKO STAPLER HD-10D</v>
      </c>
      <c r="V58" s="16" t="str">
        <f ca="1">LOWER(SUBSTITUTE(SUBSTITUTE(SUBSTITUTE(SUBSTITUTE(SUBSTITUTE(SUBSTITUTE(SUBSTITUTE(SUBSTITUTE(KENKO[[#This Row],[N.B.nota]]," ",""),"-",""),"(",""),")",""),".",""),",",""),"/",""),"""",""))</f>
        <v>kenkostaplerhd10d</v>
      </c>
      <c r="W58" s="8">
        <f ca="1">IF(KENKO[[#This Row],[concat]]="","",MATCH(KENKO[[#This Row],[concat]],[4]!db[NB NOTA_C],0)+1)</f>
        <v>1241</v>
      </c>
      <c r="X58" s="16" t="str">
        <f ca="1">IF(KENKO[[#This Row],[N.B.nota]]="","",ADDRESS(ROW(KENKO[QB]),COLUMN(KENKO[QB]))&amp;":"&amp;ADDRESS(ROW(),COLUMN(KENKO[QB])))</f>
        <v>$D$3:$D$58</v>
      </c>
      <c r="Y58" s="16" t="str">
        <f ca="1">IF(KENKO[[#This Row],[//]]="","",HYPERLINK("[..\\DB.xlsx]DB!e"&amp;KENKO[[#This Row],[stt]],"&gt;"))</f>
        <v>&gt;</v>
      </c>
      <c r="Z58" s="4">
        <f ca="1">IF(KENKO[[#This Row],[//]]="","",IF(KENKO[[#This Row],[ID NOTA]]="",Z57,KENKO[[#This Row],[ID NOTA]]))</f>
        <v>35</v>
      </c>
    </row>
    <row r="59" spans="1:26" ht="15" customHeight="1" x14ac:dyDescent="0.25">
      <c r="A59" s="2"/>
      <c r="B59" s="8" t="str">
        <f>IF(KENKO[[#This Row],[N_ID]]="","",INDEX(Table1[ID],MATCH(KENKO[[#This Row],[N_ID]],Table1[N_ID],0)))</f>
        <v/>
      </c>
      <c r="C59" s="8" t="str">
        <f>IF(KENKO[[#This Row],[ID NOTA]]="","",HYPERLINK("[NOTA_.xlsx]NOTA!e"&amp;INDEX([2]!PAJAK[//],MATCH(KENKO[[#This Row],[ID NOTA]],[2]!PAJAK[ID],0)),"&gt;") )</f>
        <v/>
      </c>
      <c r="D59" s="8" t="str">
        <f>IF(KENKO[[#This Row],[ID NOTA]]="","",INDEX(Table1[QB],MATCH(KENKO[[#This Row],[ID NOTA]],Table1[ID],0)))</f>
        <v/>
      </c>
      <c r="E5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176</v>
      </c>
      <c r="F59" s="8"/>
      <c r="G59" s="9" t="str">
        <f>IF(KENKO[[#This Row],[ID NOTA]]="","",INDEX([2]!NOTA[TGL_H],MATCH(KENKO[[#This Row],[ID NOTA]],[2]!NOTA[ID],0)))</f>
        <v/>
      </c>
      <c r="H59" s="9" t="str">
        <f>IF(KENKO[[#This Row],[ID NOTA]]="","",INDEX([2]!NOTA[TGL.NOTA],MATCH(KENKO[[#This Row],[ID NOTA]],[2]!NOTA[ID],0)))</f>
        <v/>
      </c>
      <c r="I59" s="16" t="str">
        <f>IF(KENKO[[#This Row],[ID NOTA]]="","",INDEX([2]!NOTA[NO.NOTA],MATCH(KENKO[[#This Row],[ID NOTA]],[2]!NOTA[ID],0)))</f>
        <v/>
      </c>
      <c r="J59" s="16" t="str">
        <f ca="1">IF(KENKO[[#This Row],[//]]="","",INDEX([4]!db[NB PAJAK],KENKO[[#This Row],[stt]]-1))</f>
        <v>STAPLER KENKO HD-50</v>
      </c>
      <c r="K59" s="8" t="str">
        <f>""</f>
        <v/>
      </c>
      <c r="L59" s="8">
        <f ca="1">IF(KENKO[[#This Row],[//]]="","",IF(INDEX([2]!NOTA[QTY],KENKO[//]-2)="",INDEX([2]!NOTA[C],KENKO[//]-2),INDEX([2]!NOTA[QTY],KENKO[//]-2)))</f>
        <v>3</v>
      </c>
      <c r="M59" s="8" t="str">
        <f ca="1">IF(KENKO[[#This Row],[//]]="","",IF(INDEX([2]!NOTA[STN],KENKO[//]-2)="","CTN",INDEX([2]!NOTA[STN],KENKO[//]-2)))</f>
        <v>CTN</v>
      </c>
      <c r="N59" s="17">
        <f ca="1">IF(KENKO[[#This Row],[//]]="","",IF(INDEX([2]!NOTA[HARGA/ CTN],KENKO[[#This Row],[//]]-2)="",INDEX([2]!NOTA[HARGA SATUAN],KENKO[//]-2),INDEX([2]!NOTA[HARGA/ CTN],KENKO[[#This Row],[//]]-2)))</f>
        <v>2280000</v>
      </c>
      <c r="O59" s="19" t="str">
        <f ca="1">IF(KENKO[[#This Row],[//]]="","",IF(INDEX([2]!NOTA[DISC 2],KENKO[[#This Row],[//]]-2)=0,"",INDEX([2]!NOTA[DISC 2],KENKO[[#This Row],[//]]-2)))</f>
        <v/>
      </c>
      <c r="P59" s="19"/>
      <c r="Q59" s="10">
        <f ca="1">IF(KENKO[[#This Row],[//]]="","",INDEX([2]!NOTA[JUMLAH],KENKO[[#This Row],[//]]-2)-IF(ISNUMBER(KENKO[[#This Row],[DISC 1 (%)]]),INDEX([2]!NOTA[JUMLAH],KENKO[[#This Row],[//]]-2)*KENKO[[#This Row],[DISC 1 (%)]],0))</f>
        <v>6840000</v>
      </c>
      <c r="R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16" t="str">
        <f ca="1">IF(KENKO[[#This Row],[//]]="","",INDEX([2]!NOTA[NAMA BARANG],KENKO[[#This Row],[//]]-2))</f>
        <v>KENKO STAPLER HD-50</v>
      </c>
      <c r="V59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59" s="8">
        <f ca="1">IF(KENKO[[#This Row],[concat]]="","",MATCH(KENKO[[#This Row],[concat]],[4]!db[NB NOTA_C],0)+1)</f>
        <v>1246</v>
      </c>
      <c r="X59" s="16" t="str">
        <f ca="1">IF(KENKO[[#This Row],[N.B.nota]]="","",ADDRESS(ROW(KENKO[QB]),COLUMN(KENKO[QB]))&amp;":"&amp;ADDRESS(ROW(),COLUMN(KENKO[QB])))</f>
        <v>$D$3:$D$59</v>
      </c>
      <c r="Y59" s="16" t="str">
        <f ca="1">IF(KENKO[[#This Row],[//]]="","",HYPERLINK("[..\\DB.xlsx]DB!e"&amp;KENKO[[#This Row],[stt]],"&gt;"))</f>
        <v>&gt;</v>
      </c>
      <c r="Z59" s="4">
        <f ca="1">IF(KENKO[[#This Row],[//]]="","",IF(KENKO[[#This Row],[ID NOTA]]="",Z58,KENKO[[#This Row],[ID NOTA]]))</f>
        <v>35</v>
      </c>
    </row>
    <row r="60" spans="1:26" ht="15" customHeight="1" x14ac:dyDescent="0.25">
      <c r="A60" s="2"/>
      <c r="B60" s="8" t="str">
        <f>IF(KENKO[[#This Row],[N_ID]]="","",INDEX(Table1[ID],MATCH(KENKO[[#This Row],[N_ID]],Table1[N_ID],0)))</f>
        <v/>
      </c>
      <c r="C60" s="8" t="str">
        <f>IF(KENKO[[#This Row],[ID NOTA]]="","",HYPERLINK("[NOTA_.xlsx]NOTA!e"&amp;INDEX([2]!PAJAK[//],MATCH(KENKO[[#This Row],[ID NOTA]],[2]!PAJAK[ID],0)),"&gt;") )</f>
        <v/>
      </c>
      <c r="D60" s="8" t="str">
        <f>IF(KENKO[[#This Row],[ID NOTA]]="","",INDEX(Table1[QB],MATCH(KENKO[[#This Row],[ID NOTA]],Table1[ID],0)))</f>
        <v/>
      </c>
      <c r="E6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177</v>
      </c>
      <c r="F60" s="8"/>
      <c r="G60" s="9" t="str">
        <f>IF(KENKO[[#This Row],[ID NOTA]]="","",INDEX([2]!NOTA[TGL_H],MATCH(KENKO[[#This Row],[ID NOTA]],[2]!NOTA[ID],0)))</f>
        <v/>
      </c>
      <c r="H60" s="9" t="str">
        <f>IF(KENKO[[#This Row],[ID NOTA]]="","",INDEX([2]!NOTA[TGL.NOTA],MATCH(KENKO[[#This Row],[ID NOTA]],[2]!NOTA[ID],0)))</f>
        <v/>
      </c>
      <c r="I60" s="16" t="str">
        <f>IF(KENKO[[#This Row],[ID NOTA]]="","",INDEX([2]!NOTA[NO.NOTA],MATCH(KENKO[[#This Row],[ID NOTA]],[2]!NOTA[ID],0)))</f>
        <v/>
      </c>
      <c r="J60" s="16" t="str">
        <f ca="1">IF(KENKO[[#This Row],[//]]="","",INDEX([4]!db[NB PAJAK],KENKO[[#This Row],[stt]]-1))</f>
        <v>STAPLER HEAVY DUTY KENKO HD-12N/13</v>
      </c>
      <c r="K60" s="8" t="str">
        <f>""</f>
        <v/>
      </c>
      <c r="L60" s="8">
        <f ca="1">IF(KENKO[[#This Row],[//]]="","",IF(INDEX([2]!NOTA[QTY],KENKO[//]-2)="",INDEX([2]!NOTA[C],KENKO[//]-2),INDEX([2]!NOTA[QTY],KENKO[//]-2)))</f>
        <v>1</v>
      </c>
      <c r="M60" s="8" t="str">
        <f ca="1">IF(KENKO[[#This Row],[//]]="","",IF(INDEX([2]!NOTA[STN],KENKO[//]-2)="","CTN",INDEX([2]!NOTA[STN],KENKO[//]-2)))</f>
        <v>CTN</v>
      </c>
      <c r="N60" s="17">
        <f ca="1">IF(KENKO[[#This Row],[//]]="","",IF(INDEX([2]!NOTA[HARGA/ CTN],KENKO[[#This Row],[//]]-2)="",INDEX([2]!NOTA[HARGA SATUAN],KENKO[//]-2),INDEX([2]!NOTA[HARGA/ CTN],KENKO[[#This Row],[//]]-2)))</f>
        <v>504000</v>
      </c>
      <c r="O60" s="19" t="str">
        <f ca="1">IF(KENKO[[#This Row],[//]]="","",IF(INDEX([2]!NOTA[DISC 2],KENKO[[#This Row],[//]]-2)=0,"",INDEX([2]!NOTA[DISC 2],KENKO[[#This Row],[//]]-2)))</f>
        <v/>
      </c>
      <c r="P60" s="19"/>
      <c r="Q60" s="10">
        <f ca="1">IF(KENKO[[#This Row],[//]]="","",INDEX([2]!NOTA[JUMLAH],KENKO[[#This Row],[//]]-2)-IF(ISNUMBER(KENKO[[#This Row],[DISC 1 (%)]]),INDEX([2]!NOTA[JUMLAH],KENKO[[#This Row],[//]]-2)*KENKO[[#This Row],[DISC 1 (%)]],0))</f>
        <v>504000</v>
      </c>
      <c r="R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16" t="str">
        <f ca="1">IF(KENKO[[#This Row],[//]]="","",INDEX([2]!NOTA[NAMA BARANG],KENKO[[#This Row],[//]]-2))</f>
        <v>KENKO HEAVY DUTY STAPLER HD-12N/13</v>
      </c>
      <c r="V60" s="16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60" s="8">
        <f ca="1">IF(KENKO[[#This Row],[concat]]="","",MATCH(KENKO[[#This Row],[concat]],[4]!db[NB NOTA_C],0)+1)</f>
        <v>1145</v>
      </c>
      <c r="X60" s="16" t="str">
        <f ca="1">IF(KENKO[[#This Row],[N.B.nota]]="","",ADDRESS(ROW(KENKO[QB]),COLUMN(KENKO[QB]))&amp;":"&amp;ADDRESS(ROW(),COLUMN(KENKO[QB])))</f>
        <v>$D$3:$D$60</v>
      </c>
      <c r="Y60" s="16" t="str">
        <f ca="1">IF(KENKO[[#This Row],[//]]="","",HYPERLINK("[..\\DB.xlsx]DB!e"&amp;KENKO[[#This Row],[stt]],"&gt;"))</f>
        <v>&gt;</v>
      </c>
      <c r="Z60" s="4">
        <f ca="1">IF(KENKO[[#This Row],[//]]="","",IF(KENKO[[#This Row],[ID NOTA]]="",Z59,KENKO[[#This Row],[ID NOTA]]))</f>
        <v>35</v>
      </c>
    </row>
    <row r="61" spans="1:26" ht="15" customHeight="1" x14ac:dyDescent="0.25">
      <c r="A61" s="2"/>
      <c r="B61" s="8" t="str">
        <f>IF(KENKO[[#This Row],[N_ID]]="","",INDEX(Table1[ID],MATCH(KENKO[[#This Row],[N_ID]],Table1[N_ID],0)))</f>
        <v/>
      </c>
      <c r="C61" s="8" t="str">
        <f>IF(KENKO[[#This Row],[ID NOTA]]="","",HYPERLINK("[NOTA_.xlsx]NOTA!e"&amp;INDEX([2]!PAJAK[//],MATCH(KENKO[[#This Row],[ID NOTA]],[2]!PAJAK[ID],0)),"&gt;") )</f>
        <v/>
      </c>
      <c r="D61" s="8" t="str">
        <f>IF(KENKO[[#This Row],[ID NOTA]]="","",INDEX(Table1[QB],MATCH(KENKO[[#This Row],[ID NOTA]],Table1[ID],0)))</f>
        <v/>
      </c>
      <c r="E6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178</v>
      </c>
      <c r="F61" s="8"/>
      <c r="G61" s="9" t="str">
        <f>IF(KENKO[[#This Row],[ID NOTA]]="","",INDEX([2]!NOTA[TGL_H],MATCH(KENKO[[#This Row],[ID NOTA]],[2]!NOTA[ID],0)))</f>
        <v/>
      </c>
      <c r="H61" s="9" t="str">
        <f>IF(KENKO[[#This Row],[ID NOTA]]="","",INDEX([2]!NOTA[TGL.NOTA],MATCH(KENKO[[#This Row],[ID NOTA]],[2]!NOTA[ID],0)))</f>
        <v/>
      </c>
      <c r="I61" s="16" t="str">
        <f>IF(KENKO[[#This Row],[ID NOTA]]="","",INDEX([2]!NOTA[NO.NOTA],MATCH(KENKO[[#This Row],[ID NOTA]],[2]!NOTA[ID],0)))</f>
        <v/>
      </c>
      <c r="J61" s="16" t="str">
        <f ca="1">IF(KENKO[[#This Row],[//]]="","",INDEX([4]!db[NB PAJAK],KENKO[[#This Row],[stt]]-1))</f>
        <v>PUNCH KENKO NO. 85N</v>
      </c>
      <c r="K61" s="8" t="str">
        <f>""</f>
        <v/>
      </c>
      <c r="L61" s="8">
        <f ca="1">IF(KENKO[[#This Row],[//]]="","",IF(INDEX([2]!NOTA[QTY],KENKO[//]-2)="",INDEX([2]!NOTA[C],KENKO[//]-2),INDEX([2]!NOTA[QTY],KENKO[//]-2)))</f>
        <v>1</v>
      </c>
      <c r="M61" s="8" t="str">
        <f ca="1">IF(KENKO[[#This Row],[//]]="","",IF(INDEX([2]!NOTA[STN],KENKO[//]-2)="","CTN",INDEX([2]!NOTA[STN],KENKO[//]-2)))</f>
        <v>CTN</v>
      </c>
      <c r="N61" s="17">
        <f ca="1">IF(KENKO[[#This Row],[//]]="","",IF(INDEX([2]!NOTA[HARGA/ CTN],KENKO[[#This Row],[//]]-2)="",INDEX([2]!NOTA[HARGA SATUAN],KENKO[//]-2),INDEX([2]!NOTA[HARGA/ CTN],KENKO[[#This Row],[//]]-2)))</f>
        <v>1020000</v>
      </c>
      <c r="O61" s="19" t="str">
        <f ca="1">IF(KENKO[[#This Row],[//]]="","",IF(INDEX([2]!NOTA[DISC 2],KENKO[[#This Row],[//]]-2)=0,"",INDEX([2]!NOTA[DISC 2],KENKO[[#This Row],[//]]-2)))</f>
        <v/>
      </c>
      <c r="P61" s="19"/>
      <c r="Q61" s="10">
        <f ca="1">IF(KENKO[[#This Row],[//]]="","",INDEX([2]!NOTA[JUMLAH],KENKO[[#This Row],[//]]-2)-IF(ISNUMBER(KENKO[[#This Row],[DISC 1 (%)]]),INDEX([2]!NOTA[JUMLAH],KENKO[[#This Row],[//]]-2)*KENKO[[#This Row],[DISC 1 (%)]],0))</f>
        <v>1020000</v>
      </c>
      <c r="R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16" t="str">
        <f ca="1">IF(KENKO[[#This Row],[//]]="","",INDEX([2]!NOTA[NAMA BARANG],KENKO[[#This Row],[//]]-2))</f>
        <v>KENKO PUNCH NO.85N</v>
      </c>
      <c r="V61" s="16" t="str">
        <f ca="1">LOWER(SUBSTITUTE(SUBSTITUTE(SUBSTITUTE(SUBSTITUTE(SUBSTITUTE(SUBSTITUTE(SUBSTITUTE(SUBSTITUTE(KENKO[[#This Row],[N.B.nota]]," ",""),"-",""),"(",""),")",""),".",""),",",""),"/",""),"""",""))</f>
        <v>kenkopunchno85n</v>
      </c>
      <c r="W61" s="8">
        <f ca="1">IF(KENKO[[#This Row],[concat]]="","",MATCH(KENKO[[#This Row],[concat]],[4]!db[NB NOTA_C],0)+1)</f>
        <v>1213</v>
      </c>
      <c r="X61" s="16" t="str">
        <f ca="1">IF(KENKO[[#This Row],[N.B.nota]]="","",ADDRESS(ROW(KENKO[QB]),COLUMN(KENKO[QB]))&amp;":"&amp;ADDRESS(ROW(),COLUMN(KENKO[QB])))</f>
        <v>$D$3:$D$61</v>
      </c>
      <c r="Y61" s="16" t="str">
        <f ca="1">IF(KENKO[[#This Row],[//]]="","",HYPERLINK("[..\\DB.xlsx]DB!e"&amp;KENKO[[#This Row],[stt]],"&gt;"))</f>
        <v>&gt;</v>
      </c>
      <c r="Z61" s="4">
        <f ca="1">IF(KENKO[[#This Row],[//]]="","",IF(KENKO[[#This Row],[ID NOTA]]="",Z60,KENKO[[#This Row],[ID NOTA]]))</f>
        <v>35</v>
      </c>
    </row>
    <row r="62" spans="1:26" ht="15" customHeight="1" x14ac:dyDescent="0.25">
      <c r="A62" s="2"/>
      <c r="B62" s="8" t="str">
        <f>IF(KENKO[[#This Row],[N_ID]]="","",INDEX(Table1[ID],MATCH(KENKO[[#This Row],[N_ID]],Table1[N_ID],0)))</f>
        <v/>
      </c>
      <c r="C62" s="8" t="str">
        <f>IF(KENKO[[#This Row],[ID NOTA]]="","",HYPERLINK("[NOTA_.xlsx]NOTA!e"&amp;INDEX([2]!PAJAK[//],MATCH(KENKO[[#This Row],[ID NOTA]],[2]!PAJAK[ID],0)),"&gt;") )</f>
        <v/>
      </c>
      <c r="D62" s="8" t="str">
        <f>IF(KENKO[[#This Row],[ID NOTA]]="","",INDEX(Table1[QB],MATCH(KENKO[[#This Row],[ID NOTA]],Table1[ID],0)))</f>
        <v/>
      </c>
      <c r="E6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179</v>
      </c>
      <c r="F62" s="8"/>
      <c r="G62" s="9" t="str">
        <f>IF(KENKO[[#This Row],[ID NOTA]]="","",INDEX([2]!NOTA[TGL_H],MATCH(KENKO[[#This Row],[ID NOTA]],[2]!NOTA[ID],0)))</f>
        <v/>
      </c>
      <c r="H62" s="9" t="str">
        <f>IF(KENKO[[#This Row],[ID NOTA]]="","",INDEX([2]!NOTA[TGL.NOTA],MATCH(KENKO[[#This Row],[ID NOTA]],[2]!NOTA[ID],0)))</f>
        <v/>
      </c>
      <c r="I62" s="16" t="str">
        <f>IF(KENKO[[#This Row],[ID NOTA]]="","",INDEX([2]!NOTA[NO.NOTA],MATCH(KENKO[[#This Row],[ID NOTA]],[2]!NOTA[ID],0)))</f>
        <v/>
      </c>
      <c r="J62" s="16" t="str">
        <f ca="1">IF(KENKO[[#This Row],[//]]="","",INDEX([4]!db[NB PAJAK],KENKO[[#This Row],[stt]]-1))</f>
        <v>PUNCH KENKO NO. 85XL</v>
      </c>
      <c r="K62" s="8" t="str">
        <f>""</f>
        <v/>
      </c>
      <c r="L62" s="8">
        <f ca="1">IF(KENKO[[#This Row],[//]]="","",IF(INDEX([2]!NOTA[QTY],KENKO[//]-2)="",INDEX([2]!NOTA[C],KENKO[//]-2),INDEX([2]!NOTA[QTY],KENKO[//]-2)))</f>
        <v>1</v>
      </c>
      <c r="M62" s="8" t="str">
        <f ca="1">IF(KENKO[[#This Row],[//]]="","",IF(INDEX([2]!NOTA[STN],KENKO[//]-2)="","CTN",INDEX([2]!NOTA[STN],KENKO[//]-2)))</f>
        <v>CTN</v>
      </c>
      <c r="N62" s="17">
        <f ca="1">IF(KENKO[[#This Row],[//]]="","",IF(INDEX([2]!NOTA[HARGA/ CTN],KENKO[[#This Row],[//]]-2)="",INDEX([2]!NOTA[HARGA SATUAN],KENKO[//]-2),INDEX([2]!NOTA[HARGA/ CTN],KENKO[[#This Row],[//]]-2)))</f>
        <v>1416000</v>
      </c>
      <c r="O62" s="19" t="str">
        <f ca="1">IF(KENKO[[#This Row],[//]]="","",IF(INDEX([2]!NOTA[DISC 2],KENKO[[#This Row],[//]]-2)=0,"",INDEX([2]!NOTA[DISC 2],KENKO[[#This Row],[//]]-2)))</f>
        <v/>
      </c>
      <c r="P62" s="19"/>
      <c r="Q62" s="10">
        <f ca="1">IF(KENKO[[#This Row],[//]]="","",INDEX([2]!NOTA[JUMLAH],KENKO[[#This Row],[//]]-2)-IF(ISNUMBER(KENKO[[#This Row],[DISC 1 (%)]]),INDEX([2]!NOTA[JUMLAH],KENKO[[#This Row],[//]]-2)*KENKO[[#This Row],[DISC 1 (%)]],0))</f>
        <v>1416000</v>
      </c>
      <c r="R6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5235524</v>
      </c>
      <c r="S6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25561676</v>
      </c>
      <c r="T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16" t="str">
        <f ca="1">IF(KENKO[[#This Row],[//]]="","",INDEX([2]!NOTA[NAMA BARANG],KENKO[[#This Row],[//]]-2))</f>
        <v>KENKO PUNCH NO.85XL</v>
      </c>
      <c r="V62" s="16" t="str">
        <f ca="1">LOWER(SUBSTITUTE(SUBSTITUTE(SUBSTITUTE(SUBSTITUTE(SUBSTITUTE(SUBSTITUTE(SUBSTITUTE(SUBSTITUTE(KENKO[[#This Row],[N.B.nota]]," ",""),"-",""),"(",""),")",""),".",""),",",""),"/",""),"""",""))</f>
        <v>kenkopunchno85xl</v>
      </c>
      <c r="W62" s="8">
        <f ca="1">IF(KENKO[[#This Row],[concat]]="","",MATCH(KENKO[[#This Row],[concat]],[4]!db[NB NOTA_C],0)+1)</f>
        <v>1212</v>
      </c>
      <c r="X62" s="16" t="str">
        <f ca="1">IF(KENKO[[#This Row],[N.B.nota]]="","",ADDRESS(ROW(KENKO[QB]),COLUMN(KENKO[QB]))&amp;":"&amp;ADDRESS(ROW(),COLUMN(KENKO[QB])))</f>
        <v>$D$3:$D$62</v>
      </c>
      <c r="Y62" s="16" t="str">
        <f ca="1">IF(KENKO[[#This Row],[//]]="","",HYPERLINK("[..\\DB.xlsx]DB!e"&amp;KENKO[[#This Row],[stt]],"&gt;"))</f>
        <v>&gt;</v>
      </c>
      <c r="Z62" s="4">
        <f ca="1">IF(KENKO[[#This Row],[//]]="","",IF(KENKO[[#This Row],[ID NOTA]]="",Z61,KENKO[[#This Row],[ID NOTA]]))</f>
        <v>35</v>
      </c>
    </row>
    <row r="63" spans="1:26" ht="15" customHeight="1" x14ac:dyDescent="0.25">
      <c r="A63" s="2"/>
      <c r="B63" s="8" t="str">
        <f>IF(KENKO[[#This Row],[N_ID]]="","",INDEX(Table1[ID],MATCH(KENKO[[#This Row],[N_ID]],Table1[N_ID],0)))</f>
        <v/>
      </c>
      <c r="C63" s="8" t="str">
        <f>IF(KENKO[[#This Row],[ID NOTA]]="","",HYPERLINK("[NOTA_.xlsx]NOTA!e"&amp;INDEX([2]!PAJAK[//],MATCH(KENKO[[#This Row],[ID NOTA]],[2]!PAJAK[ID],0)),"&gt;") )</f>
        <v/>
      </c>
      <c r="D63" s="8" t="str">
        <f>IF(KENKO[[#This Row],[ID NOTA]]="","",INDEX(Table1[QB],MATCH(KENKO[[#This Row],[ID NOTA]],Table1[ID],0)))</f>
        <v/>
      </c>
      <c r="E6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" s="8"/>
      <c r="G63" s="9" t="str">
        <f>IF(KENKO[[#This Row],[ID NOTA]]="","",INDEX([2]!NOTA[TGL_H],MATCH(KENKO[[#This Row],[ID NOTA]],[2]!NOTA[ID],0)))</f>
        <v/>
      </c>
      <c r="H63" s="9" t="str">
        <f>IF(KENKO[[#This Row],[ID NOTA]]="","",INDEX([2]!NOTA[TGL.NOTA],MATCH(KENKO[[#This Row],[ID NOTA]],[2]!NOTA[ID],0)))</f>
        <v/>
      </c>
      <c r="I63" s="16" t="str">
        <f>IF(KENKO[[#This Row],[ID NOTA]]="","",INDEX([2]!NOTA[NO.NOTA],MATCH(KENKO[[#This Row],[ID NOTA]],[2]!NOTA[ID],0)))</f>
        <v/>
      </c>
      <c r="J63" s="16" t="str">
        <f ca="1">IF(KENKO[[#This Row],[//]]="","",INDEX([4]!db[NB PAJAK],KENKO[[#This Row],[stt]]-1))</f>
        <v/>
      </c>
      <c r="K63" s="8" t="str">
        <f>""</f>
        <v/>
      </c>
      <c r="L63" s="8" t="str">
        <f ca="1">IF(KENKO[[#This Row],[//]]="","",IF(INDEX([2]!NOTA[QTY],KENKO[//]-2)="",INDEX([2]!NOTA[C],KENKO[//]-2),INDEX([2]!NOTA[QTY],KENKO[//]-2)))</f>
        <v/>
      </c>
      <c r="M63" s="8" t="str">
        <f ca="1">IF(KENKO[[#This Row],[//]]="","",IF(INDEX([2]!NOTA[STN],KENKO[//]-2)="","CTN",INDEX([2]!NOTA[STN],KENKO[//]-2)))</f>
        <v/>
      </c>
      <c r="N63" s="17" t="str">
        <f ca="1">IF(KENKO[[#This Row],[//]]="","",IF(INDEX([2]!NOTA[HARGA/ CTN],KENKO[[#This Row],[//]]-2)="",INDEX([2]!NOTA[HARGA SATUAN],KENKO[//]-2),INDEX([2]!NOTA[HARGA/ CTN],KENKO[[#This Row],[//]]-2)))</f>
        <v/>
      </c>
      <c r="O63" s="19" t="str">
        <f ca="1">IF(KENKO[[#This Row],[//]]="","",IF(INDEX([2]!NOTA[DISC 2],KENKO[[#This Row],[//]]-2)=0,"",INDEX([2]!NOTA[DISC 2],KENKO[[#This Row],[//]]-2)))</f>
        <v/>
      </c>
      <c r="P63" s="19"/>
      <c r="Q6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16" t="str">
        <f ca="1">IF(KENKO[[#This Row],[//]]="","",INDEX([2]!NOTA[NAMA BARANG],KENKO[[#This Row],[//]]-2))</f>
        <v/>
      </c>
      <c r="V63" s="16" t="str">
        <f ca="1">LOWER(SUBSTITUTE(SUBSTITUTE(SUBSTITUTE(SUBSTITUTE(SUBSTITUTE(SUBSTITUTE(SUBSTITUTE(SUBSTITUTE(KENKO[[#This Row],[N.B.nota]]," ",""),"-",""),"(",""),")",""),".",""),",",""),"/",""),"""",""))</f>
        <v/>
      </c>
      <c r="W63" s="8" t="str">
        <f ca="1">IF(KENKO[[#This Row],[concat]]="","",MATCH(KENKO[[#This Row],[concat]],[4]!db[NB NOTA_C],0)+1)</f>
        <v/>
      </c>
      <c r="X63" s="16" t="str">
        <f ca="1">IF(KENKO[[#This Row],[N.B.nota]]="","",ADDRESS(ROW(KENKO[QB]),COLUMN(KENKO[QB]))&amp;":"&amp;ADDRESS(ROW(),COLUMN(KENKO[QB])))</f>
        <v/>
      </c>
      <c r="Y63" s="16" t="str">
        <f ca="1">IF(KENKO[[#This Row],[//]]="","",HYPERLINK("[..\\DB.xlsx]DB!e"&amp;KENKO[[#This Row],[stt]],"&gt;"))</f>
        <v/>
      </c>
      <c r="Z63" s="4" t="str">
        <f ca="1">IF(KENKO[[#This Row],[//]]="","",IF(KENKO[[#This Row],[ID NOTA]]="",Z62,KENKO[[#This Row],[ID NOTA]]))</f>
        <v/>
      </c>
    </row>
    <row r="64" spans="1:26" ht="15" customHeight="1" x14ac:dyDescent="0.25">
      <c r="A64" s="2" t="s">
        <v>71</v>
      </c>
      <c r="B64" s="8">
        <f ca="1">IF(KENKO[[#This Row],[N_ID]]="","",INDEX(Table1[ID],MATCH(KENKO[[#This Row],[N_ID]],Table1[N_ID],0)))</f>
        <v>36</v>
      </c>
      <c r="C64" s="8" t="str">
        <f ca="1">IF(KENKO[[#This Row],[ID NOTA]]="","",HYPERLINK("[NOTA_.xlsx]NOTA!e"&amp;INDEX([2]!PAJAK[//],MATCH(KENKO[[#This Row],[ID NOTA]],[2]!PAJAK[ID],0)),"&gt;") )</f>
        <v>&gt;</v>
      </c>
      <c r="D64" s="8">
        <f ca="1">IF(KENKO[[#This Row],[ID NOTA]]="","",INDEX(Table1[QB],MATCH(KENKO[[#This Row],[ID NOTA]],Table1[ID],0)))</f>
        <v>8</v>
      </c>
      <c r="E6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181</v>
      </c>
      <c r="F64" s="8">
        <v>10</v>
      </c>
      <c r="G64" s="9">
        <f ca="1">IF(KENKO[[#This Row],[ID NOTA]]="","",INDEX([2]!NOTA[TGL_H],MATCH(KENKO[[#This Row],[ID NOTA]],[2]!NOTA[ID],0)))</f>
        <v>44816</v>
      </c>
      <c r="H64" s="9">
        <f ca="1">IF(KENKO[[#This Row],[ID NOTA]]="","",INDEX([2]!NOTA[TGL.NOTA],MATCH(KENKO[[#This Row],[ID NOTA]],[2]!NOTA[ID],0)))</f>
        <v>44813</v>
      </c>
      <c r="I64" s="16" t="str">
        <f ca="1">IF(KENKO[[#This Row],[ID NOTA]]="","",INDEX([2]!NOTA[NO.NOTA],MATCH(KENKO[[#This Row],[ID NOTA]],[2]!NOTA[ID],0)))</f>
        <v>22090728</v>
      </c>
      <c r="J64" s="16" t="str">
        <f ca="1">IF(KENKO[[#This Row],[//]]="","",INDEX([4]!db[NB PAJAK],KENKO[[#This Row],[stt]]-1))</f>
        <v>PAPER FASTENER (ACCO) KENKO PF-508 ISI 50 PC PUTIH</v>
      </c>
      <c r="K64" s="8" t="str">
        <f>""</f>
        <v/>
      </c>
      <c r="L64" s="8">
        <f ca="1">IF(KENKO[[#This Row],[//]]="","",IF(INDEX([2]!NOTA[QTY],KENKO[//]-2)="",INDEX([2]!NOTA[C],KENKO[//]-2),INDEX([2]!NOTA[QTY],KENKO[//]-2)))</f>
        <v>1</v>
      </c>
      <c r="M64" s="8" t="str">
        <f ca="1">IF(KENKO[[#This Row],[//]]="","",IF(INDEX([2]!NOTA[STN],KENKO[//]-2)="","CTN",INDEX([2]!NOTA[STN],KENKO[//]-2)))</f>
        <v>CTN</v>
      </c>
      <c r="N64" s="17">
        <f ca="1">IF(KENKO[[#This Row],[//]]="","",IF(INDEX([2]!NOTA[HARGA/ CTN],KENKO[[#This Row],[//]]-2)="",INDEX([2]!NOTA[HARGA SATUAN],KENKO[//]-2),INDEX([2]!NOTA[HARGA/ CTN],KENKO[[#This Row],[//]]-2)))</f>
        <v>980000</v>
      </c>
      <c r="O64" s="19" t="str">
        <f ca="1">IF(KENKO[[#This Row],[//]]="","",IF(INDEX([2]!NOTA[DISC 2],KENKO[[#This Row],[//]]-2)=0,"",INDEX([2]!NOTA[DISC 2],KENKO[[#This Row],[//]]-2)))</f>
        <v/>
      </c>
      <c r="P64" s="19"/>
      <c r="Q64" s="10">
        <f ca="1">IF(KENKO[[#This Row],[//]]="","",INDEX([2]!NOTA[JUMLAH],KENKO[[#This Row],[//]]-2)-IF(ISNUMBER(KENKO[[#This Row],[DISC 1 (%)]]),INDEX([2]!NOTA[JUMLAH],KENKO[[#This Row],[//]]-2)*KENKO[[#This Row],[DISC 1 (%)]],0))</f>
        <v>980000</v>
      </c>
      <c r="R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16" t="str">
        <f ca="1">IF(KENKO[[#This Row],[//]]="","",INDEX([2]!NOTA[NAMA BARANG],KENKO[[#This Row],[//]]-2))</f>
        <v>KENKO PAPER FASTENER PF-508 WHITE</v>
      </c>
      <c r="V64" s="16" t="str">
        <f ca="1">LOWER(SUBSTITUTE(SUBSTITUTE(SUBSTITUTE(SUBSTITUTE(SUBSTITUTE(SUBSTITUTE(SUBSTITUTE(SUBSTITUTE(KENKO[[#This Row],[N.B.nota]]," ",""),"-",""),"(",""),")",""),".",""),",",""),"/",""),"""",""))</f>
        <v>kenkopaperfastenerpf508white</v>
      </c>
      <c r="W64" s="8">
        <f ca="1">IF(KENKO[[#This Row],[concat]]="","",MATCH(KENKO[[#This Row],[concat]],[4]!db[NB NOTA_C],0)+1)</f>
        <v>1174</v>
      </c>
      <c r="X64" s="16" t="str">
        <f ca="1">IF(KENKO[[#This Row],[N.B.nota]]="","",ADDRESS(ROW(KENKO[QB]),COLUMN(KENKO[QB]))&amp;":"&amp;ADDRESS(ROW(),COLUMN(KENKO[QB])))</f>
        <v>$D$3:$D$64</v>
      </c>
      <c r="Y64" s="16" t="str">
        <f ca="1">IF(KENKO[[#This Row],[//]]="","",HYPERLINK("[..\\DB.xlsx]DB!e"&amp;KENKO[[#This Row],[stt]],"&gt;"))</f>
        <v>&gt;</v>
      </c>
      <c r="Z64" s="4">
        <f ca="1">IF(KENKO[[#This Row],[//]]="","",IF(KENKO[[#This Row],[ID NOTA]]="",Z63,KENKO[[#This Row],[ID NOTA]]))</f>
        <v>36</v>
      </c>
    </row>
    <row r="65" spans="1:26" ht="15" customHeight="1" x14ac:dyDescent="0.25">
      <c r="A65" s="2"/>
      <c r="B65" s="8" t="str">
        <f>IF(KENKO[[#This Row],[N_ID]]="","",INDEX(Table1[ID],MATCH(KENKO[[#This Row],[N_ID]],Table1[N_ID],0)))</f>
        <v/>
      </c>
      <c r="C65" s="8" t="str">
        <f>IF(KENKO[[#This Row],[ID NOTA]]="","",HYPERLINK("[NOTA_.xlsx]NOTA!e"&amp;INDEX([2]!PAJAK[//],MATCH(KENKO[[#This Row],[ID NOTA]],[2]!PAJAK[ID],0)),"&gt;") )</f>
        <v/>
      </c>
      <c r="D65" s="8" t="str">
        <f>IF(KENKO[[#This Row],[ID NOTA]]="","",INDEX(Table1[QB],MATCH(KENKO[[#This Row],[ID NOTA]],Table1[ID],0)))</f>
        <v/>
      </c>
      <c r="E6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182</v>
      </c>
      <c r="F65" s="8"/>
      <c r="G65" s="9" t="str">
        <f>IF(KENKO[[#This Row],[ID NOTA]]="","",INDEX([2]!NOTA[TGL_H],MATCH(KENKO[[#This Row],[ID NOTA]],[2]!NOTA[ID],0)))</f>
        <v/>
      </c>
      <c r="H65" s="9" t="str">
        <f>IF(KENKO[[#This Row],[ID NOTA]]="","",INDEX([2]!NOTA[TGL.NOTA],MATCH(KENKO[[#This Row],[ID NOTA]],[2]!NOTA[ID],0)))</f>
        <v/>
      </c>
      <c r="I65" s="16" t="str">
        <f>IF(KENKO[[#This Row],[ID NOTA]]="","",INDEX([2]!NOTA[NO.NOTA],MATCH(KENKO[[#This Row],[ID NOTA]],[2]!NOTA[ID],0)))</f>
        <v/>
      </c>
      <c r="J65" s="16" t="str">
        <f ca="1">IF(KENKO[[#This Row],[//]]="","",INDEX([4]!db[NB PAJAK],KENKO[[#This Row],[stt]]-1))</f>
        <v>PAPER TRIGONAL CLIP KENKO NO. 3</v>
      </c>
      <c r="K65" s="8" t="str">
        <f>""</f>
        <v/>
      </c>
      <c r="L65" s="8">
        <f ca="1">IF(KENKO[[#This Row],[//]]="","",IF(INDEX([2]!NOTA[QTY],KENKO[//]-2)="",INDEX([2]!NOTA[C],KENKO[//]-2),INDEX([2]!NOTA[QTY],KENKO[//]-2)))</f>
        <v>1</v>
      </c>
      <c r="M65" s="8" t="str">
        <f ca="1">IF(KENKO[[#This Row],[//]]="","",IF(INDEX([2]!NOTA[STN],KENKO[//]-2)="","CTN",INDEX([2]!NOTA[STN],KENKO[//]-2)))</f>
        <v>CTN</v>
      </c>
      <c r="N65" s="17">
        <f ca="1">IF(KENKO[[#This Row],[//]]="","",IF(INDEX([2]!NOTA[HARGA/ CTN],KENKO[[#This Row],[//]]-2)="",INDEX([2]!NOTA[HARGA SATUAN],KENKO[//]-2),INDEX([2]!NOTA[HARGA/ CTN],KENKO[[#This Row],[//]]-2)))</f>
        <v>800000</v>
      </c>
      <c r="O65" s="19" t="str">
        <f ca="1">IF(KENKO[[#This Row],[//]]="","",IF(INDEX([2]!NOTA[DISC 2],KENKO[[#This Row],[//]]-2)=0,"",INDEX([2]!NOTA[DISC 2],KENKO[[#This Row],[//]]-2)))</f>
        <v/>
      </c>
      <c r="P65" s="19"/>
      <c r="Q65" s="10">
        <f ca="1">IF(KENKO[[#This Row],[//]]="","",INDEX([2]!NOTA[JUMLAH],KENKO[[#This Row],[//]]-2)-IF(ISNUMBER(KENKO[[#This Row],[DISC 1 (%)]]),INDEX([2]!NOTA[JUMLAH],KENKO[[#This Row],[//]]-2)*KENKO[[#This Row],[DISC 1 (%)]],0))</f>
        <v>800000</v>
      </c>
      <c r="R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16" t="str">
        <f ca="1">IF(KENKO[[#This Row],[//]]="","",INDEX([2]!NOTA[NAMA BARANG],KENKO[[#This Row],[//]]-2))</f>
        <v>KENKO TRIGONAL CLIP NO.3</v>
      </c>
      <c r="V65" s="1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65" s="8">
        <f ca="1">IF(KENKO[[#This Row],[concat]]="","",MATCH(KENKO[[#This Row],[concat]],[4]!db[NB NOTA_C],0)+1)</f>
        <v>1260</v>
      </c>
      <c r="X65" s="16" t="str">
        <f ca="1">IF(KENKO[[#This Row],[N.B.nota]]="","",ADDRESS(ROW(KENKO[QB]),COLUMN(KENKO[QB]))&amp;":"&amp;ADDRESS(ROW(),COLUMN(KENKO[QB])))</f>
        <v>$D$3:$D$65</v>
      </c>
      <c r="Y65" s="16" t="str">
        <f ca="1">IF(KENKO[[#This Row],[//]]="","",HYPERLINK("[..\\DB.xlsx]DB!e"&amp;KENKO[[#This Row],[stt]],"&gt;"))</f>
        <v>&gt;</v>
      </c>
      <c r="Z65" s="4">
        <f ca="1">IF(KENKO[[#This Row],[//]]="","",IF(KENKO[[#This Row],[ID NOTA]]="",Z64,KENKO[[#This Row],[ID NOTA]]))</f>
        <v>36</v>
      </c>
    </row>
    <row r="66" spans="1:26" ht="15" customHeight="1" x14ac:dyDescent="0.25">
      <c r="A66" s="2"/>
      <c r="B66" s="8" t="str">
        <f>IF(KENKO[[#This Row],[N_ID]]="","",INDEX(Table1[ID],MATCH(KENKO[[#This Row],[N_ID]],Table1[N_ID],0)))</f>
        <v/>
      </c>
      <c r="C66" s="8" t="str">
        <f>IF(KENKO[[#This Row],[ID NOTA]]="","",HYPERLINK("[NOTA_.xlsx]NOTA!e"&amp;INDEX([2]!PAJAK[//],MATCH(KENKO[[#This Row],[ID NOTA]],[2]!PAJAK[ID],0)),"&gt;") )</f>
        <v/>
      </c>
      <c r="D66" s="8" t="str">
        <f>IF(KENKO[[#This Row],[ID NOTA]]="","",INDEX(Table1[QB],MATCH(KENKO[[#This Row],[ID NOTA]],Table1[ID],0)))</f>
        <v/>
      </c>
      <c r="E6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183</v>
      </c>
      <c r="F66" s="8"/>
      <c r="G66" s="9" t="str">
        <f>IF(KENKO[[#This Row],[ID NOTA]]="","",INDEX([2]!NOTA[TGL_H],MATCH(KENKO[[#This Row],[ID NOTA]],[2]!NOTA[ID],0)))</f>
        <v/>
      </c>
      <c r="H66" s="9" t="str">
        <f>IF(KENKO[[#This Row],[ID NOTA]]="","",INDEX([2]!NOTA[TGL.NOTA],MATCH(KENKO[[#This Row],[ID NOTA]],[2]!NOTA[ID],0)))</f>
        <v/>
      </c>
      <c r="I66" s="16" t="str">
        <f>IF(KENKO[[#This Row],[ID NOTA]]="","",INDEX([2]!NOTA[NO.NOTA],MATCH(KENKO[[#This Row],[ID NOTA]],[2]!NOTA[ID],0)))</f>
        <v/>
      </c>
      <c r="J66" s="16" t="str">
        <f ca="1">IF(KENKO[[#This Row],[//]]="","",INDEX([4]!db[NB PAJAK],KENKO[[#This Row],[stt]]-1))</f>
        <v>STAPLER KENKO HD-10D</v>
      </c>
      <c r="K66" s="8" t="str">
        <f>""</f>
        <v/>
      </c>
      <c r="L66" s="8">
        <f ca="1">IF(KENKO[[#This Row],[//]]="","",IF(INDEX([2]!NOTA[QTY],KENKO[//]-2)="",INDEX([2]!NOTA[C],KENKO[//]-2),INDEX([2]!NOTA[QTY],KENKO[//]-2)))</f>
        <v>2</v>
      </c>
      <c r="M66" s="8" t="str">
        <f ca="1">IF(KENKO[[#This Row],[//]]="","",IF(INDEX([2]!NOTA[STN],KENKO[//]-2)="","CTN",INDEX([2]!NOTA[STN],KENKO[//]-2)))</f>
        <v>CTN</v>
      </c>
      <c r="N66" s="17">
        <f ca="1">IF(KENKO[[#This Row],[//]]="","",IF(INDEX([2]!NOTA[HARGA/ CTN],KENKO[[#This Row],[//]]-2)="",INDEX([2]!NOTA[HARGA SATUAN],KENKO[//]-2),INDEX([2]!NOTA[HARGA/ CTN],KENKO[[#This Row],[//]]-2)))</f>
        <v>2352000</v>
      </c>
      <c r="O66" s="19" t="str">
        <f ca="1">IF(KENKO[[#This Row],[//]]="","",IF(INDEX([2]!NOTA[DISC 2],KENKO[[#This Row],[//]]-2)=0,"",INDEX([2]!NOTA[DISC 2],KENKO[[#This Row],[//]]-2)))</f>
        <v/>
      </c>
      <c r="P66" s="19"/>
      <c r="Q66" s="10">
        <f ca="1">IF(KENKO[[#This Row],[//]]="","",INDEX([2]!NOTA[JUMLAH],KENKO[[#This Row],[//]]-2)-IF(ISNUMBER(KENKO[[#This Row],[DISC 1 (%)]]),INDEX([2]!NOTA[JUMLAH],KENKO[[#This Row],[//]]-2)*KENKO[[#This Row],[DISC 1 (%)]],0))</f>
        <v>4704000</v>
      </c>
      <c r="R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16" t="str">
        <f ca="1">IF(KENKO[[#This Row],[//]]="","",INDEX([2]!NOTA[NAMA BARANG],KENKO[[#This Row],[//]]-2))</f>
        <v>KENKO STAPLER HD-10D</v>
      </c>
      <c r="V66" s="16" t="str">
        <f ca="1">LOWER(SUBSTITUTE(SUBSTITUTE(SUBSTITUTE(SUBSTITUTE(SUBSTITUTE(SUBSTITUTE(SUBSTITUTE(SUBSTITUTE(KENKO[[#This Row],[N.B.nota]]," ",""),"-",""),"(",""),")",""),".",""),",",""),"/",""),"""",""))</f>
        <v>kenkostaplerhd10d</v>
      </c>
      <c r="W66" s="8">
        <f ca="1">IF(KENKO[[#This Row],[concat]]="","",MATCH(KENKO[[#This Row],[concat]],[4]!db[NB NOTA_C],0)+1)</f>
        <v>1241</v>
      </c>
      <c r="X66" s="16" t="str">
        <f ca="1">IF(KENKO[[#This Row],[N.B.nota]]="","",ADDRESS(ROW(KENKO[QB]),COLUMN(KENKO[QB]))&amp;":"&amp;ADDRESS(ROW(),COLUMN(KENKO[QB])))</f>
        <v>$D$3:$D$66</v>
      </c>
      <c r="Y66" s="16" t="str">
        <f ca="1">IF(KENKO[[#This Row],[//]]="","",HYPERLINK("[..\\DB.xlsx]DB!e"&amp;KENKO[[#This Row],[stt]],"&gt;"))</f>
        <v>&gt;</v>
      </c>
      <c r="Z66" s="4">
        <f ca="1">IF(KENKO[[#This Row],[//]]="","",IF(KENKO[[#This Row],[ID NOTA]]="",Z65,KENKO[[#This Row],[ID NOTA]]))</f>
        <v>36</v>
      </c>
    </row>
    <row r="67" spans="1:26" ht="15" customHeight="1" x14ac:dyDescent="0.25">
      <c r="A67" s="2"/>
      <c r="B67" s="8" t="str">
        <f>IF(KENKO[[#This Row],[N_ID]]="","",INDEX(Table1[ID],MATCH(KENKO[[#This Row],[N_ID]],Table1[N_ID],0)))</f>
        <v/>
      </c>
      <c r="C67" s="8" t="str">
        <f>IF(KENKO[[#This Row],[ID NOTA]]="","",HYPERLINK("[NOTA_.xlsx]NOTA!e"&amp;INDEX([2]!PAJAK[//],MATCH(KENKO[[#This Row],[ID NOTA]],[2]!PAJAK[ID],0)),"&gt;") )</f>
        <v/>
      </c>
      <c r="D67" s="8" t="str">
        <f>IF(KENKO[[#This Row],[ID NOTA]]="","",INDEX(Table1[QB],MATCH(KENKO[[#This Row],[ID NOTA]],Table1[ID],0)))</f>
        <v/>
      </c>
      <c r="E6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184</v>
      </c>
      <c r="F67" s="8"/>
      <c r="G67" s="9" t="str">
        <f>IF(KENKO[[#This Row],[ID NOTA]]="","",INDEX([2]!NOTA[TGL_H],MATCH(KENKO[[#This Row],[ID NOTA]],[2]!NOTA[ID],0)))</f>
        <v/>
      </c>
      <c r="H67" s="9" t="str">
        <f>IF(KENKO[[#This Row],[ID NOTA]]="","",INDEX([2]!NOTA[TGL.NOTA],MATCH(KENKO[[#This Row],[ID NOTA]],[2]!NOTA[ID],0)))</f>
        <v/>
      </c>
      <c r="I67" s="16" t="str">
        <f>IF(KENKO[[#This Row],[ID NOTA]]="","",INDEX([2]!NOTA[NO.NOTA],MATCH(KENKO[[#This Row],[ID NOTA]],[2]!NOTA[ID],0)))</f>
        <v/>
      </c>
      <c r="J67" s="16" t="str">
        <f ca="1">IF(KENKO[[#This Row],[//]]="","",INDEX([4]!db[NB PAJAK],KENKO[[#This Row],[stt]]-1))</f>
        <v>ISI CUTTER 18 MM KENKO L-150 (BESAR)</v>
      </c>
      <c r="K67" s="8" t="str">
        <f>""</f>
        <v/>
      </c>
      <c r="L67" s="8">
        <f ca="1">IF(KENKO[[#This Row],[//]]="","",IF(INDEX([2]!NOTA[QTY],KENKO[//]-2)="",INDEX([2]!NOTA[C],KENKO[//]-2),INDEX([2]!NOTA[QTY],KENKO[//]-2)))</f>
        <v>5</v>
      </c>
      <c r="M67" s="8" t="str">
        <f ca="1">IF(KENKO[[#This Row],[//]]="","",IF(INDEX([2]!NOTA[STN],KENKO[//]-2)="","CTN",INDEX([2]!NOTA[STN],KENKO[//]-2)))</f>
        <v>CTN</v>
      </c>
      <c r="N67" s="17">
        <f ca="1">IF(KENKO[[#This Row],[//]]="","",IF(INDEX([2]!NOTA[HARGA/ CTN],KENKO[[#This Row],[//]]-2)="",INDEX([2]!NOTA[HARGA SATUAN],KENKO[//]-2),INDEX([2]!NOTA[HARGA/ CTN],KENKO[[#This Row],[//]]-2)))</f>
        <v>3888000</v>
      </c>
      <c r="O67" s="19" t="str">
        <f ca="1">IF(KENKO[[#This Row],[//]]="","",IF(INDEX([2]!NOTA[DISC 2],KENKO[[#This Row],[//]]-2)=0,"",INDEX([2]!NOTA[DISC 2],KENKO[[#This Row],[//]]-2)))</f>
        <v/>
      </c>
      <c r="P67" s="19"/>
      <c r="Q67" s="10">
        <f ca="1">IF(KENKO[[#This Row],[//]]="","",INDEX([2]!NOTA[JUMLAH],KENKO[[#This Row],[//]]-2)-IF(ISNUMBER(KENKO[[#This Row],[DISC 1 (%)]]),INDEX([2]!NOTA[JUMLAH],KENKO[[#This Row],[//]]-2)*KENKO[[#This Row],[DISC 1 (%)]],0))</f>
        <v>19440000</v>
      </c>
      <c r="R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16" t="str">
        <f ca="1">IF(KENKO[[#This Row],[//]]="","",INDEX([2]!NOTA[NAMA BARANG],KENKO[[#This Row],[//]]-2))</f>
        <v>KENKO CUTTER BLADE L-150 (18MM)</v>
      </c>
      <c r="V67" s="16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67" s="8">
        <f ca="1">IF(KENKO[[#This Row],[concat]]="","",MATCH(KENKO[[#This Row],[concat]],[4]!db[NB NOTA_C],0)+1)</f>
        <v>1084</v>
      </c>
      <c r="X67" s="16" t="str">
        <f ca="1">IF(KENKO[[#This Row],[N.B.nota]]="","",ADDRESS(ROW(KENKO[QB]),COLUMN(KENKO[QB]))&amp;":"&amp;ADDRESS(ROW(),COLUMN(KENKO[QB])))</f>
        <v>$D$3:$D$67</v>
      </c>
      <c r="Y67" s="16" t="str">
        <f ca="1">IF(KENKO[[#This Row],[//]]="","",HYPERLINK("[..\\DB.xlsx]DB!e"&amp;KENKO[[#This Row],[stt]],"&gt;"))</f>
        <v>&gt;</v>
      </c>
      <c r="Z67" s="4">
        <f ca="1">IF(KENKO[[#This Row],[//]]="","",IF(KENKO[[#This Row],[ID NOTA]]="",Z66,KENKO[[#This Row],[ID NOTA]]))</f>
        <v>36</v>
      </c>
    </row>
    <row r="68" spans="1:26" ht="15" customHeight="1" x14ac:dyDescent="0.25">
      <c r="A68" s="2"/>
      <c r="B68" s="8" t="str">
        <f>IF(KENKO[[#This Row],[N_ID]]="","",INDEX(Table1[ID],MATCH(KENKO[[#This Row],[N_ID]],Table1[N_ID],0)))</f>
        <v/>
      </c>
      <c r="C68" s="8" t="str">
        <f>IF(KENKO[[#This Row],[ID NOTA]]="","",HYPERLINK("[NOTA_.xlsx]NOTA!e"&amp;INDEX([2]!PAJAK[//],MATCH(KENKO[[#This Row],[ID NOTA]],[2]!PAJAK[ID],0)),"&gt;") )</f>
        <v/>
      </c>
      <c r="D68" s="8" t="str">
        <f>IF(KENKO[[#This Row],[ID NOTA]]="","",INDEX(Table1[QB],MATCH(KENKO[[#This Row],[ID NOTA]],Table1[ID],0)))</f>
        <v/>
      </c>
      <c r="E6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185</v>
      </c>
      <c r="F68" s="8"/>
      <c r="G68" s="9" t="str">
        <f>IF(KENKO[[#This Row],[ID NOTA]]="","",INDEX([2]!NOTA[TGL_H],MATCH(KENKO[[#This Row],[ID NOTA]],[2]!NOTA[ID],0)))</f>
        <v/>
      </c>
      <c r="H68" s="9" t="str">
        <f>IF(KENKO[[#This Row],[ID NOTA]]="","",INDEX([2]!NOTA[TGL.NOTA],MATCH(KENKO[[#This Row],[ID NOTA]],[2]!NOTA[ID],0)))</f>
        <v/>
      </c>
      <c r="I68" s="16" t="str">
        <f>IF(KENKO[[#This Row],[ID NOTA]]="","",INDEX([2]!NOTA[NO.NOTA],MATCH(KENKO[[#This Row],[ID NOTA]],[2]!NOTA[ID],0)))</f>
        <v/>
      </c>
      <c r="J68" s="16" t="str">
        <f ca="1">IF(KENKO[[#This Row],[//]]="","",INDEX([4]!db[NB PAJAK],KENKO[[#This Row],[stt]]-1))</f>
        <v>CORRECTION FLUID KENKO KE-01</v>
      </c>
      <c r="K68" s="8" t="str">
        <f>""</f>
        <v/>
      </c>
      <c r="L68" s="8">
        <f ca="1">IF(KENKO[[#This Row],[//]]="","",IF(INDEX([2]!NOTA[QTY],KENKO[//]-2)="",INDEX([2]!NOTA[C],KENKO[//]-2),INDEX([2]!NOTA[QTY],KENKO[//]-2)))</f>
        <v>10</v>
      </c>
      <c r="M68" s="8" t="str">
        <f ca="1">IF(KENKO[[#This Row],[//]]="","",IF(INDEX([2]!NOTA[STN],KENKO[//]-2)="","CTN",INDEX([2]!NOTA[STN],KENKO[//]-2)))</f>
        <v>CTN</v>
      </c>
      <c r="N68" s="17">
        <f ca="1">IF(KENKO[[#This Row],[//]]="","",IF(INDEX([2]!NOTA[HARGA/ CTN],KENKO[[#This Row],[//]]-2)="",INDEX([2]!NOTA[HARGA SATUAN],KENKO[//]-2),INDEX([2]!NOTA[HARGA/ CTN],KENKO[[#This Row],[//]]-2)))</f>
        <v>1954800</v>
      </c>
      <c r="O68" s="19" t="str">
        <f ca="1">IF(KENKO[[#This Row],[//]]="","",IF(INDEX([2]!NOTA[DISC 2],KENKO[[#This Row],[//]]-2)=0,"",INDEX([2]!NOTA[DISC 2],KENKO[[#This Row],[//]]-2)))</f>
        <v/>
      </c>
      <c r="P68" s="19"/>
      <c r="Q68" s="10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16" t="str">
        <f ca="1">IF(KENKO[[#This Row],[//]]="","",INDEX([2]!NOTA[NAMA BARANG],KENKO[[#This Row],[//]]-2))</f>
        <v>KENKO CORRECTION FLUID KE-01</v>
      </c>
      <c r="V68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68" s="8">
        <f ca="1">IF(KENKO[[#This Row],[concat]]="","",MATCH(KENKO[[#This Row],[concat]],[4]!db[NB NOTA_C],0)+1)</f>
        <v>1055</v>
      </c>
      <c r="X68" s="16" t="str">
        <f ca="1">IF(KENKO[[#This Row],[N.B.nota]]="","",ADDRESS(ROW(KENKO[QB]),COLUMN(KENKO[QB]))&amp;":"&amp;ADDRESS(ROW(),COLUMN(KENKO[QB])))</f>
        <v>$D$3:$D$68</v>
      </c>
      <c r="Y68" s="16" t="str">
        <f ca="1">IF(KENKO[[#This Row],[//]]="","",HYPERLINK("[..\\DB.xlsx]DB!e"&amp;KENKO[[#This Row],[stt]],"&gt;"))</f>
        <v>&gt;</v>
      </c>
      <c r="Z68" s="4">
        <f ca="1">IF(KENKO[[#This Row],[//]]="","",IF(KENKO[[#This Row],[ID NOTA]]="",Z67,KENKO[[#This Row],[ID NOTA]]))</f>
        <v>36</v>
      </c>
    </row>
    <row r="69" spans="1:26" ht="15" customHeight="1" x14ac:dyDescent="0.25">
      <c r="A69" s="2"/>
      <c r="B69" s="8" t="str">
        <f>IF(KENKO[[#This Row],[N_ID]]="","",INDEX(Table1[ID],MATCH(KENKO[[#This Row],[N_ID]],Table1[N_ID],0)))</f>
        <v/>
      </c>
      <c r="C69" s="8" t="str">
        <f>IF(KENKO[[#This Row],[ID NOTA]]="","",HYPERLINK("[NOTA_.xlsx]NOTA!e"&amp;INDEX([2]!PAJAK[//],MATCH(KENKO[[#This Row],[ID NOTA]],[2]!PAJAK[ID],0)),"&gt;") )</f>
        <v/>
      </c>
      <c r="D69" s="8" t="str">
        <f>IF(KENKO[[#This Row],[ID NOTA]]="","",INDEX(Table1[QB],MATCH(KENKO[[#This Row],[ID NOTA]],Table1[ID],0)))</f>
        <v/>
      </c>
      <c r="E6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186</v>
      </c>
      <c r="F69" s="8"/>
      <c r="G69" s="9" t="str">
        <f>IF(KENKO[[#This Row],[ID NOTA]]="","",INDEX([2]!NOTA[TGL_H],MATCH(KENKO[[#This Row],[ID NOTA]],[2]!NOTA[ID],0)))</f>
        <v/>
      </c>
      <c r="H69" s="9" t="str">
        <f>IF(KENKO[[#This Row],[ID NOTA]]="","",INDEX([2]!NOTA[TGL.NOTA],MATCH(KENKO[[#This Row],[ID NOTA]],[2]!NOTA[ID],0)))</f>
        <v/>
      </c>
      <c r="I69" s="16" t="str">
        <f>IF(KENKO[[#This Row],[ID NOTA]]="","",INDEX([2]!NOTA[NO.NOTA],MATCH(KENKO[[#This Row],[ID NOTA]],[2]!NOTA[ID],0)))</f>
        <v/>
      </c>
      <c r="J69" s="16" t="str">
        <f ca="1">IF(KENKO[[#This Row],[//]]="","",INDEX([4]!db[NB PAJAK],KENKO[[#This Row],[stt]]-1))</f>
        <v>BINDER CLIP KENKO NO. 155</v>
      </c>
      <c r="K69" s="8" t="str">
        <f>""</f>
        <v/>
      </c>
      <c r="L69" s="8">
        <f ca="1">IF(KENKO[[#This Row],[//]]="","",IF(INDEX([2]!NOTA[QTY],KENKO[//]-2)="",INDEX([2]!NOTA[C],KENKO[//]-2),INDEX([2]!NOTA[QTY],KENKO[//]-2)))</f>
        <v>2</v>
      </c>
      <c r="M69" s="8" t="str">
        <f ca="1">IF(KENKO[[#This Row],[//]]="","",IF(INDEX([2]!NOTA[STN],KENKO[//]-2)="","CTN",INDEX([2]!NOTA[STN],KENKO[//]-2)))</f>
        <v>CTN</v>
      </c>
      <c r="N69" s="17">
        <f ca="1">IF(KENKO[[#This Row],[//]]="","",IF(INDEX([2]!NOTA[HARGA/ CTN],KENKO[[#This Row],[//]]-2)="",INDEX([2]!NOTA[HARGA SATUAN],KENKO[//]-2),INDEX([2]!NOTA[HARGA/ CTN],KENKO[[#This Row],[//]]-2)))</f>
        <v>1380000</v>
      </c>
      <c r="O69" s="19" t="str">
        <f ca="1">IF(KENKO[[#This Row],[//]]="","",IF(INDEX([2]!NOTA[DISC 2],KENKO[[#This Row],[//]]-2)=0,"",INDEX([2]!NOTA[DISC 2],KENKO[[#This Row],[//]]-2)))</f>
        <v/>
      </c>
      <c r="P69" s="19"/>
      <c r="Q69" s="10">
        <f ca="1">IF(KENKO[[#This Row],[//]]="","",INDEX([2]!NOTA[JUMLAH],KENKO[[#This Row],[//]]-2)-IF(ISNUMBER(KENKO[[#This Row],[DISC 1 (%)]]),INDEX([2]!NOTA[JUMLAH],KENKO[[#This Row],[//]]-2)*KENKO[[#This Row],[DISC 1 (%)]],0))</f>
        <v>2760000</v>
      </c>
      <c r="R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16" t="str">
        <f ca="1">IF(KENKO[[#This Row],[//]]="","",INDEX([2]!NOTA[NAMA BARANG],KENKO[[#This Row],[//]]-2))</f>
        <v>KENKO BINDER CLIP NO.155</v>
      </c>
      <c r="V69" s="16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69" s="8">
        <f ca="1">IF(KENKO[[#This Row],[concat]]="","",MATCH(KENKO[[#This Row],[concat]],[4]!db[NB NOTA_C],0)+1)</f>
        <v>1008</v>
      </c>
      <c r="X69" s="16" t="str">
        <f ca="1">IF(KENKO[[#This Row],[N.B.nota]]="","",ADDRESS(ROW(KENKO[QB]),COLUMN(KENKO[QB]))&amp;":"&amp;ADDRESS(ROW(),COLUMN(KENKO[QB])))</f>
        <v>$D$3:$D$69</v>
      </c>
      <c r="Y69" s="16" t="str">
        <f ca="1">IF(KENKO[[#This Row],[//]]="","",HYPERLINK("[..\\DB.xlsx]DB!e"&amp;KENKO[[#This Row],[stt]],"&gt;"))</f>
        <v>&gt;</v>
      </c>
      <c r="Z69" s="4">
        <f ca="1">IF(KENKO[[#This Row],[//]]="","",IF(KENKO[[#This Row],[ID NOTA]]="",Z68,KENKO[[#This Row],[ID NOTA]]))</f>
        <v>36</v>
      </c>
    </row>
    <row r="70" spans="1:26" ht="15" customHeight="1" x14ac:dyDescent="0.25">
      <c r="A70" s="2"/>
      <c r="B70" s="8" t="str">
        <f>IF(KENKO[[#This Row],[N_ID]]="","",INDEX(Table1[ID],MATCH(KENKO[[#This Row],[N_ID]],Table1[N_ID],0)))</f>
        <v/>
      </c>
      <c r="C70" s="8" t="str">
        <f>IF(KENKO[[#This Row],[ID NOTA]]="","",HYPERLINK("[NOTA_.xlsx]NOTA!e"&amp;INDEX([2]!PAJAK[//],MATCH(KENKO[[#This Row],[ID NOTA]],[2]!PAJAK[ID],0)),"&gt;") )</f>
        <v/>
      </c>
      <c r="D70" s="8" t="str">
        <f>IF(KENKO[[#This Row],[ID NOTA]]="","",INDEX(Table1[QB],MATCH(KENKO[[#This Row],[ID NOTA]],Table1[ID],0)))</f>
        <v/>
      </c>
      <c r="E7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187</v>
      </c>
      <c r="F70" s="8"/>
      <c r="G70" s="9" t="str">
        <f>IF(KENKO[[#This Row],[ID NOTA]]="","",INDEX([2]!NOTA[TGL_H],MATCH(KENKO[[#This Row],[ID NOTA]],[2]!NOTA[ID],0)))</f>
        <v/>
      </c>
      <c r="H70" s="9" t="str">
        <f>IF(KENKO[[#This Row],[ID NOTA]]="","",INDEX([2]!NOTA[TGL.NOTA],MATCH(KENKO[[#This Row],[ID NOTA]],[2]!NOTA[ID],0)))</f>
        <v/>
      </c>
      <c r="I70" s="16" t="str">
        <f>IF(KENKO[[#This Row],[ID NOTA]]="","",INDEX([2]!NOTA[NO.NOTA],MATCH(KENKO[[#This Row],[ID NOTA]],[2]!NOTA[ID],0)))</f>
        <v/>
      </c>
      <c r="J70" s="16" t="str">
        <f ca="1">IF(KENKO[[#This Row],[//]]="","",INDEX([4]!db[NB PAJAK],KENKO[[#This Row],[stt]]-1))</f>
        <v>STAPLER KENKO HD-10</v>
      </c>
      <c r="K70" s="8" t="str">
        <f>""</f>
        <v/>
      </c>
      <c r="L70" s="8">
        <f ca="1">IF(KENKO[[#This Row],[//]]="","",IF(INDEX([2]!NOTA[QTY],KENKO[//]-2)="",INDEX([2]!NOTA[C],KENKO[//]-2),INDEX([2]!NOTA[QTY],KENKO[//]-2)))</f>
        <v>7</v>
      </c>
      <c r="M70" s="8" t="str">
        <f ca="1">IF(KENKO[[#This Row],[//]]="","",IF(INDEX([2]!NOTA[STN],KENKO[//]-2)="","CTN",INDEX([2]!NOTA[STN],KENKO[//]-2)))</f>
        <v>CTN</v>
      </c>
      <c r="N70" s="17">
        <f ca="1">IF(KENKO[[#This Row],[//]]="","",IF(INDEX([2]!NOTA[HARGA/ CTN],KENKO[[#This Row],[//]]-2)="",INDEX([2]!NOTA[HARGA SATUAN],KENKO[//]-2),INDEX([2]!NOTA[HARGA/ CTN],KENKO[[#This Row],[//]]-2)))</f>
        <v>1740000</v>
      </c>
      <c r="O70" s="19" t="str">
        <f ca="1">IF(KENKO[[#This Row],[//]]="","",IF(INDEX([2]!NOTA[DISC 2],KENKO[[#This Row],[//]]-2)=0,"",INDEX([2]!NOTA[DISC 2],KENKO[[#This Row],[//]]-2)))</f>
        <v/>
      </c>
      <c r="P70" s="19"/>
      <c r="Q70" s="10">
        <f ca="1">IF(KENKO[[#This Row],[//]]="","",INDEX([2]!NOTA[JUMLAH],KENKO[[#This Row],[//]]-2)-IF(ISNUMBER(KENKO[[#This Row],[DISC 1 (%)]]),INDEX([2]!NOTA[JUMLAH],KENKO[[#This Row],[//]]-2)*KENKO[[#This Row],[DISC 1 (%)]],0))</f>
        <v>12180000</v>
      </c>
      <c r="R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16" t="str">
        <f ca="1">IF(KENKO[[#This Row],[//]]="","",INDEX([2]!NOTA[NAMA BARANG],KENKO[[#This Row],[//]]-2))</f>
        <v>KENKO STAPLER HD-10</v>
      </c>
      <c r="V70" s="16" t="str">
        <f ca="1">LOWER(SUBSTITUTE(SUBSTITUTE(SUBSTITUTE(SUBSTITUTE(SUBSTITUTE(SUBSTITUTE(SUBSTITUTE(SUBSTITUTE(KENKO[[#This Row],[N.B.nota]]," ",""),"-",""),"(",""),")",""),".",""),",",""),"/",""),"""",""))</f>
        <v>kenkostaplerhd10</v>
      </c>
      <c r="W70" s="8">
        <f ca="1">IF(KENKO[[#This Row],[concat]]="","",MATCH(KENKO[[#This Row],[concat]],[4]!db[NB NOTA_C],0)+1)</f>
        <v>1240</v>
      </c>
      <c r="X70" s="16" t="str">
        <f ca="1">IF(KENKO[[#This Row],[N.B.nota]]="","",ADDRESS(ROW(KENKO[QB]),COLUMN(KENKO[QB]))&amp;":"&amp;ADDRESS(ROW(),COLUMN(KENKO[QB])))</f>
        <v>$D$3:$D$70</v>
      </c>
      <c r="Y70" s="16" t="str">
        <f ca="1">IF(KENKO[[#This Row],[//]]="","",HYPERLINK("[..\\DB.xlsx]DB!e"&amp;KENKO[[#This Row],[stt]],"&gt;"))</f>
        <v>&gt;</v>
      </c>
      <c r="Z70" s="4">
        <f ca="1">IF(KENKO[[#This Row],[//]]="","",IF(KENKO[[#This Row],[ID NOTA]]="",Z69,KENKO[[#This Row],[ID NOTA]]))</f>
        <v>36</v>
      </c>
    </row>
    <row r="71" spans="1:26" ht="15" customHeight="1" x14ac:dyDescent="0.25">
      <c r="A71" s="2"/>
      <c r="B71" s="8" t="str">
        <f>IF(KENKO[[#This Row],[N_ID]]="","",INDEX(Table1[ID],MATCH(KENKO[[#This Row],[N_ID]],Table1[N_ID],0)))</f>
        <v/>
      </c>
      <c r="C71" s="8" t="str">
        <f>IF(KENKO[[#This Row],[ID NOTA]]="","",HYPERLINK("[NOTA_.xlsx]NOTA!e"&amp;INDEX([2]!PAJAK[//],MATCH(KENKO[[#This Row],[ID NOTA]],[2]!PAJAK[ID],0)),"&gt;") )</f>
        <v/>
      </c>
      <c r="D71" s="8" t="str">
        <f>IF(KENKO[[#This Row],[ID NOTA]]="","",INDEX(Table1[QB],MATCH(KENKO[[#This Row],[ID NOTA]],Table1[ID],0)))</f>
        <v/>
      </c>
      <c r="E7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188</v>
      </c>
      <c r="F71" s="8"/>
      <c r="G71" s="9" t="str">
        <f>IF(KENKO[[#This Row],[ID NOTA]]="","",INDEX([2]!NOTA[TGL_H],MATCH(KENKO[[#This Row],[ID NOTA]],[2]!NOTA[ID],0)))</f>
        <v/>
      </c>
      <c r="H71" s="9" t="str">
        <f>IF(KENKO[[#This Row],[ID NOTA]]="","",INDEX([2]!NOTA[TGL.NOTA],MATCH(KENKO[[#This Row],[ID NOTA]],[2]!NOTA[ID],0)))</f>
        <v/>
      </c>
      <c r="I71" s="16" t="str">
        <f>IF(KENKO[[#This Row],[ID NOTA]]="","",INDEX([2]!NOTA[NO.NOTA],MATCH(KENKO[[#This Row],[ID NOTA]],[2]!NOTA[ID],0)))</f>
        <v/>
      </c>
      <c r="J71" s="16" t="str">
        <f ca="1">IF(KENKO[[#This Row],[//]]="","",INDEX([4]!db[NB PAJAK],KENKO[[#This Row],[stt]]-1))</f>
        <v>LABEL HARGA KENKO 6001-2R (1 LINE) isi 10 rol</v>
      </c>
      <c r="K71" s="8" t="str">
        <f>""</f>
        <v/>
      </c>
      <c r="L71" s="8">
        <f ca="1">IF(KENKO[[#This Row],[//]]="","",IF(INDEX([2]!NOTA[QTY],KENKO[//]-2)="",INDEX([2]!NOTA[C],KENKO[//]-2),INDEX([2]!NOTA[QTY],KENKO[//]-2)))</f>
        <v>2</v>
      </c>
      <c r="M71" s="8" t="str">
        <f ca="1">IF(KENKO[[#This Row],[//]]="","",IF(INDEX([2]!NOTA[STN],KENKO[//]-2)="","CTN",INDEX([2]!NOTA[STN],KENKO[//]-2)))</f>
        <v>CTN</v>
      </c>
      <c r="N71" s="17">
        <f ca="1">IF(KENKO[[#This Row],[//]]="","",IF(INDEX([2]!NOTA[HARGA/ CTN],KENKO[[#This Row],[//]]-2)="",INDEX([2]!NOTA[HARGA SATUAN],KENKO[//]-2),INDEX([2]!NOTA[HARGA/ CTN],KENKO[[#This Row],[//]]-2)))</f>
        <v>1050000</v>
      </c>
      <c r="O71" s="19" t="str">
        <f ca="1">IF(KENKO[[#This Row],[//]]="","",IF(INDEX([2]!NOTA[DISC 2],KENKO[[#This Row],[//]]-2)=0,"",INDEX([2]!NOTA[DISC 2],KENKO[[#This Row],[//]]-2)))</f>
        <v/>
      </c>
      <c r="P71" s="19"/>
      <c r="Q71" s="10">
        <f ca="1">IF(KENKO[[#This Row],[//]]="","",INDEX([2]!NOTA[JUMLAH],KENKO[[#This Row],[//]]-2)-IF(ISNUMBER(KENKO[[#This Row],[DISC 1 (%)]]),INDEX([2]!NOTA[JUMLAH],KENKO[[#This Row],[//]]-2)*KENKO[[#This Row],[DISC 1 (%)]],0))</f>
        <v>2100000</v>
      </c>
      <c r="R7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10627040</v>
      </c>
      <c r="S7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51884960</v>
      </c>
      <c r="T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16" t="str">
        <f ca="1">IF(KENKO[[#This Row],[//]]="","",INDEX([2]!NOTA[NAMA BARANG],KENKO[[#This Row],[//]]-2))</f>
        <v>KENKO PRICE LABEL 6001-2R (1 LINE) @10ROL</v>
      </c>
      <c r="V71" s="16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71" s="8">
        <f ca="1">IF(KENKO[[#This Row],[concat]]="","",MATCH(KENKO[[#This Row],[concat]],[4]!db[NB NOTA_C],0)+1)</f>
        <v>1203</v>
      </c>
      <c r="X71" s="16" t="str">
        <f ca="1">IF(KENKO[[#This Row],[N.B.nota]]="","",ADDRESS(ROW(KENKO[QB]),COLUMN(KENKO[QB]))&amp;":"&amp;ADDRESS(ROW(),COLUMN(KENKO[QB])))</f>
        <v>$D$3:$D$71</v>
      </c>
      <c r="Y71" s="16" t="str">
        <f ca="1">IF(KENKO[[#This Row],[//]]="","",HYPERLINK("[..\\DB.xlsx]DB!e"&amp;KENKO[[#This Row],[stt]],"&gt;"))</f>
        <v>&gt;</v>
      </c>
      <c r="Z71" s="4">
        <f ca="1">IF(KENKO[[#This Row],[//]]="","",IF(KENKO[[#This Row],[ID NOTA]]="",Z70,KENKO[[#This Row],[ID NOTA]]))</f>
        <v>36</v>
      </c>
    </row>
    <row r="72" spans="1:26" ht="15" customHeight="1" x14ac:dyDescent="0.25">
      <c r="A72" s="2"/>
      <c r="B72" s="8" t="str">
        <f>IF(KENKO[[#This Row],[N_ID]]="","",INDEX(Table1[ID],MATCH(KENKO[[#This Row],[N_ID]],Table1[N_ID],0)))</f>
        <v/>
      </c>
      <c r="C72" s="8" t="str">
        <f>IF(KENKO[[#This Row],[ID NOTA]]="","",HYPERLINK("[NOTA_.xlsx]NOTA!e"&amp;INDEX([2]!PAJAK[//],MATCH(KENKO[[#This Row],[ID NOTA]],[2]!PAJAK[ID],0)),"&gt;") )</f>
        <v/>
      </c>
      <c r="D72" s="8" t="str">
        <f>IF(KENKO[[#This Row],[ID NOTA]]="","",INDEX(Table1[QB],MATCH(KENKO[[#This Row],[ID NOTA]],Table1[ID],0)))</f>
        <v/>
      </c>
      <c r="E7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2" s="8"/>
      <c r="G72" s="9" t="str">
        <f>IF(KENKO[[#This Row],[ID NOTA]]="","",INDEX([2]!NOTA[TGL_H],MATCH(KENKO[[#This Row],[ID NOTA]],[2]!NOTA[ID],0)))</f>
        <v/>
      </c>
      <c r="H72" s="9" t="str">
        <f>IF(KENKO[[#This Row],[ID NOTA]]="","",INDEX([2]!NOTA[TGL.NOTA],MATCH(KENKO[[#This Row],[ID NOTA]],[2]!NOTA[ID],0)))</f>
        <v/>
      </c>
      <c r="I72" s="16" t="str">
        <f>IF(KENKO[[#This Row],[ID NOTA]]="","",INDEX([2]!NOTA[NO.NOTA],MATCH(KENKO[[#This Row],[ID NOTA]],[2]!NOTA[ID],0)))</f>
        <v/>
      </c>
      <c r="J72" s="16" t="str">
        <f ca="1">IF(KENKO[[#This Row],[//]]="","",INDEX([4]!db[NB PAJAK],KENKO[[#This Row],[stt]]-1))</f>
        <v/>
      </c>
      <c r="K72" s="8" t="str">
        <f>""</f>
        <v/>
      </c>
      <c r="L72" s="8" t="str">
        <f ca="1">IF(KENKO[[#This Row],[//]]="","",IF(INDEX([2]!NOTA[QTY],KENKO[//]-2)="",INDEX([2]!NOTA[C],KENKO[//]-2),INDEX([2]!NOTA[QTY],KENKO[//]-2)))</f>
        <v/>
      </c>
      <c r="M72" s="8" t="str">
        <f ca="1">IF(KENKO[[#This Row],[//]]="","",IF(INDEX([2]!NOTA[STN],KENKO[//]-2)="","CTN",INDEX([2]!NOTA[STN],KENKO[//]-2)))</f>
        <v/>
      </c>
      <c r="N72" s="17" t="str">
        <f ca="1">IF(KENKO[[#This Row],[//]]="","",IF(INDEX([2]!NOTA[HARGA/ CTN],KENKO[[#This Row],[//]]-2)="",INDEX([2]!NOTA[HARGA SATUAN],KENKO[//]-2),INDEX([2]!NOTA[HARGA/ CTN],KENKO[[#This Row],[//]]-2)))</f>
        <v/>
      </c>
      <c r="O72" s="19" t="str">
        <f ca="1">IF(KENKO[[#This Row],[//]]="","",IF(INDEX([2]!NOTA[DISC 2],KENKO[[#This Row],[//]]-2)=0,"",INDEX([2]!NOTA[DISC 2],KENKO[[#This Row],[//]]-2)))</f>
        <v/>
      </c>
      <c r="P72" s="19"/>
      <c r="Q7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16" t="str">
        <f ca="1">IF(KENKO[[#This Row],[//]]="","",INDEX([2]!NOTA[NAMA BARANG],KENKO[[#This Row],[//]]-2))</f>
        <v/>
      </c>
      <c r="V72" s="16" t="str">
        <f ca="1">LOWER(SUBSTITUTE(SUBSTITUTE(SUBSTITUTE(SUBSTITUTE(SUBSTITUTE(SUBSTITUTE(SUBSTITUTE(SUBSTITUTE(KENKO[[#This Row],[N.B.nota]]," ",""),"-",""),"(",""),")",""),".",""),",",""),"/",""),"""",""))</f>
        <v/>
      </c>
      <c r="W72" s="8" t="str">
        <f ca="1">IF(KENKO[[#This Row],[concat]]="","",MATCH(KENKO[[#This Row],[concat]],[4]!db[NB NOTA_C],0)+1)</f>
        <v/>
      </c>
      <c r="X72" s="16" t="str">
        <f ca="1">IF(KENKO[[#This Row],[N.B.nota]]="","",ADDRESS(ROW(KENKO[QB]),COLUMN(KENKO[QB]))&amp;":"&amp;ADDRESS(ROW(),COLUMN(KENKO[QB])))</f>
        <v/>
      </c>
      <c r="Y72" s="16" t="str">
        <f ca="1">IF(KENKO[[#This Row],[//]]="","",HYPERLINK("[..\\DB.xlsx]DB!e"&amp;KENKO[[#This Row],[stt]],"&gt;"))</f>
        <v/>
      </c>
      <c r="Z72" s="4" t="str">
        <f ca="1">IF(KENKO[[#This Row],[//]]="","",IF(KENKO[[#This Row],[ID NOTA]]="",Z71,KENKO[[#This Row],[ID NOTA]]))</f>
        <v/>
      </c>
    </row>
    <row r="73" spans="1:26" ht="15" customHeight="1" x14ac:dyDescent="0.25">
      <c r="A73" s="2" t="s">
        <v>72</v>
      </c>
      <c r="B73" s="8">
        <f ca="1">IF(KENKO[[#This Row],[N_ID]]="","",INDEX(Table1[ID],MATCH(KENKO[[#This Row],[N_ID]],Table1[N_ID],0)))</f>
        <v>37</v>
      </c>
      <c r="C73" s="8" t="str">
        <f ca="1">IF(KENKO[[#This Row],[ID NOTA]]="","",HYPERLINK("[NOTA_.xlsx]NOTA!e"&amp;INDEX([2]!PAJAK[//],MATCH(KENKO[[#This Row],[ID NOTA]],[2]!PAJAK[ID],0)),"&gt;") )</f>
        <v>&gt;</v>
      </c>
      <c r="D73" s="8">
        <f ca="1">IF(KENKO[[#This Row],[ID NOTA]]="","",INDEX(Table1[QB],MATCH(KENKO[[#This Row],[ID NOTA]],Table1[ID],0)))</f>
        <v>6</v>
      </c>
      <c r="E7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190</v>
      </c>
      <c r="F73" s="8">
        <v>11</v>
      </c>
      <c r="G73" s="9">
        <f ca="1">IF(KENKO[[#This Row],[ID NOTA]]="","",INDEX([2]!NOTA[TGL_H],MATCH(KENKO[[#This Row],[ID NOTA]],[2]!NOTA[ID],0)))</f>
        <v>44816</v>
      </c>
      <c r="H73" s="9">
        <f ca="1">IF(KENKO[[#This Row],[ID NOTA]]="","",INDEX([2]!NOTA[TGL.NOTA],MATCH(KENKO[[#This Row],[ID NOTA]],[2]!NOTA[ID],0)))</f>
        <v>44813</v>
      </c>
      <c r="I73" s="16" t="str">
        <f ca="1">IF(KENKO[[#This Row],[ID NOTA]]="","",INDEX([2]!NOTA[NO.NOTA],MATCH(KENKO[[#This Row],[ID NOTA]],[2]!NOTA[ID],0)))</f>
        <v>22090754</v>
      </c>
      <c r="J73" s="16" t="str">
        <f ca="1">IF(KENKO[[#This Row],[//]]="","",INDEX([4]!db[NB PAJAK],KENKO[[#This Row],[stt]]-1))</f>
        <v>LABEL HARGA KENKO 6001-2R (1 LINE) isi 10 rol</v>
      </c>
      <c r="K73" s="8" t="str">
        <f>""</f>
        <v/>
      </c>
      <c r="L73" s="8">
        <f ca="1">IF(KENKO[[#This Row],[//]]="","",IF(INDEX([2]!NOTA[QTY],KENKO[//]-2)="",INDEX([2]!NOTA[C],KENKO[//]-2),INDEX([2]!NOTA[QTY],KENKO[//]-2)))</f>
        <v>1</v>
      </c>
      <c r="M73" s="8" t="str">
        <f ca="1">IF(KENKO[[#This Row],[//]]="","",IF(INDEX([2]!NOTA[STN],KENKO[//]-2)="","CTN",INDEX([2]!NOTA[STN],KENKO[//]-2)))</f>
        <v>CTN</v>
      </c>
      <c r="N73" s="17">
        <f ca="1">IF(KENKO[[#This Row],[//]]="","",IF(INDEX([2]!NOTA[HARGA/ CTN],KENKO[[#This Row],[//]]-2)="",INDEX([2]!NOTA[HARGA SATUAN],KENKO[//]-2),INDEX([2]!NOTA[HARGA/ CTN],KENKO[[#This Row],[//]]-2)))</f>
        <v>1050000</v>
      </c>
      <c r="O73" s="19" t="str">
        <f ca="1">IF(KENKO[[#This Row],[//]]="","",IF(INDEX([2]!NOTA[DISC 2],KENKO[[#This Row],[//]]-2)=0,"",INDEX([2]!NOTA[DISC 2],KENKO[[#This Row],[//]]-2)))</f>
        <v/>
      </c>
      <c r="P73" s="19"/>
      <c r="Q73" s="10">
        <f ca="1">IF(KENKO[[#This Row],[//]]="","",INDEX([2]!NOTA[JUMLAH],KENKO[[#This Row],[//]]-2)-IF(ISNUMBER(KENKO[[#This Row],[DISC 1 (%)]]),INDEX([2]!NOTA[JUMLAH],KENKO[[#This Row],[//]]-2)*KENKO[[#This Row],[DISC 1 (%)]],0))</f>
        <v>1050000</v>
      </c>
      <c r="R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16" t="str">
        <f ca="1">IF(KENKO[[#This Row],[//]]="","",INDEX([2]!NOTA[NAMA BARANG],KENKO[[#This Row],[//]]-2))</f>
        <v>KENKO PRICE LABEL 6001-2R (1 LINE) @10ROL</v>
      </c>
      <c r="V73" s="16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73" s="8">
        <f ca="1">IF(KENKO[[#This Row],[concat]]="","",MATCH(KENKO[[#This Row],[concat]],[4]!db[NB NOTA_C],0)+1)</f>
        <v>1203</v>
      </c>
      <c r="X73" s="16" t="str">
        <f ca="1">IF(KENKO[[#This Row],[N.B.nota]]="","",ADDRESS(ROW(KENKO[QB]),COLUMN(KENKO[QB]))&amp;":"&amp;ADDRESS(ROW(),COLUMN(KENKO[QB])))</f>
        <v>$D$3:$D$73</v>
      </c>
      <c r="Y73" s="16" t="str">
        <f ca="1">IF(KENKO[[#This Row],[//]]="","",HYPERLINK("[..\\DB.xlsx]DB!e"&amp;KENKO[[#This Row],[stt]],"&gt;"))</f>
        <v>&gt;</v>
      </c>
      <c r="Z73" s="4">
        <f ca="1">IF(KENKO[[#This Row],[//]]="","",IF(KENKO[[#This Row],[ID NOTA]]="",Z72,KENKO[[#This Row],[ID NOTA]]))</f>
        <v>37</v>
      </c>
    </row>
    <row r="74" spans="1:26" ht="15" customHeight="1" x14ac:dyDescent="0.25">
      <c r="A74" s="2"/>
      <c r="B74" s="8" t="str">
        <f>IF(KENKO[[#This Row],[N_ID]]="","",INDEX(Table1[ID],MATCH(KENKO[[#This Row],[N_ID]],Table1[N_ID],0)))</f>
        <v/>
      </c>
      <c r="C74" s="8" t="str">
        <f>IF(KENKO[[#This Row],[ID NOTA]]="","",HYPERLINK("[NOTA_.xlsx]NOTA!e"&amp;INDEX([2]!PAJAK[//],MATCH(KENKO[[#This Row],[ID NOTA]],[2]!PAJAK[ID],0)),"&gt;") )</f>
        <v/>
      </c>
      <c r="D74" s="8" t="str">
        <f>IF(KENKO[[#This Row],[ID NOTA]]="","",INDEX(Table1[QB],MATCH(KENKO[[#This Row],[ID NOTA]],Table1[ID],0)))</f>
        <v/>
      </c>
      <c r="E7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191</v>
      </c>
      <c r="F74" s="8"/>
      <c r="G74" s="9" t="str">
        <f>IF(KENKO[[#This Row],[ID NOTA]]="","",INDEX([2]!NOTA[TGL_H],MATCH(KENKO[[#This Row],[ID NOTA]],[2]!NOTA[ID],0)))</f>
        <v/>
      </c>
      <c r="H74" s="9" t="str">
        <f>IF(KENKO[[#This Row],[ID NOTA]]="","",INDEX([2]!NOTA[TGL.NOTA],MATCH(KENKO[[#This Row],[ID NOTA]],[2]!NOTA[ID],0)))</f>
        <v/>
      </c>
      <c r="I74" s="16" t="str">
        <f>IF(KENKO[[#This Row],[ID NOTA]]="","",INDEX([2]!NOTA[NO.NOTA],MATCH(KENKO[[#This Row],[ID NOTA]],[2]!NOTA[ID],0)))</f>
        <v/>
      </c>
      <c r="J74" s="16" t="str">
        <f ca="1">IF(KENKO[[#This Row],[//]]="","",INDEX([4]!db[NB PAJAK],KENKO[[#This Row],[stt]]-1))</f>
        <v>PENSIL KENKO 2B-6906 BATIK</v>
      </c>
      <c r="K74" s="8" t="str">
        <f>""</f>
        <v/>
      </c>
      <c r="L74" s="8">
        <f ca="1">IF(KENKO[[#This Row],[//]]="","",IF(INDEX([2]!NOTA[QTY],KENKO[//]-2)="",INDEX([2]!NOTA[C],KENKO[//]-2),INDEX([2]!NOTA[QTY],KENKO[//]-2)))</f>
        <v>3</v>
      </c>
      <c r="M74" s="8" t="str">
        <f ca="1">IF(KENKO[[#This Row],[//]]="","",IF(INDEX([2]!NOTA[STN],KENKO[//]-2)="","CTN",INDEX([2]!NOTA[STN],KENKO[//]-2)))</f>
        <v>CTN</v>
      </c>
      <c r="N74" s="17">
        <f ca="1">IF(KENKO[[#This Row],[//]]="","",IF(INDEX([2]!NOTA[HARGA/ CTN],KENKO[[#This Row],[//]]-2)="",INDEX([2]!NOTA[HARGA SATUAN],KENKO[//]-2),INDEX([2]!NOTA[HARGA/ CTN],KENKO[[#This Row],[//]]-2)))</f>
        <v>2256000</v>
      </c>
      <c r="O74" s="19" t="str">
        <f ca="1">IF(KENKO[[#This Row],[//]]="","",IF(INDEX([2]!NOTA[DISC 2],KENKO[[#This Row],[//]]-2)=0,"",INDEX([2]!NOTA[DISC 2],KENKO[[#This Row],[//]]-2)))</f>
        <v/>
      </c>
      <c r="P74" s="19"/>
      <c r="Q74" s="10">
        <f ca="1">IF(KENKO[[#This Row],[//]]="","",INDEX([2]!NOTA[JUMLAH],KENKO[[#This Row],[//]]-2)-IF(ISNUMBER(KENKO[[#This Row],[DISC 1 (%)]]),INDEX([2]!NOTA[JUMLAH],KENKO[[#This Row],[//]]-2)*KENKO[[#This Row],[DISC 1 (%)]],0))</f>
        <v>6768000</v>
      </c>
      <c r="R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16" t="str">
        <f ca="1">IF(KENKO[[#This Row],[//]]="","",INDEX([2]!NOTA[NAMA BARANG],KENKO[[#This Row],[//]]-2))</f>
        <v>KENKO PENCIL 2B-6906 BTK BATIK</v>
      </c>
      <c r="V74" s="16" t="str">
        <f ca="1">LOWER(SUBSTITUTE(SUBSTITUTE(SUBSTITUTE(SUBSTITUTE(SUBSTITUTE(SUBSTITUTE(SUBSTITUTE(SUBSTITUTE(KENKO[[#This Row],[N.B.nota]]," ",""),"-",""),"(",""),")",""),".",""),",",""),"/",""),"""",""))</f>
        <v>kenkopencil2b6906btkbatik</v>
      </c>
      <c r="W74" s="8">
        <f ca="1">IF(KENKO[[#This Row],[concat]]="","",MATCH(KENKO[[#This Row],[concat]],[4]!db[NB NOTA_C],0)+1)</f>
        <v>1192</v>
      </c>
      <c r="X74" s="16" t="str">
        <f ca="1">IF(KENKO[[#This Row],[N.B.nota]]="","",ADDRESS(ROW(KENKO[QB]),COLUMN(KENKO[QB]))&amp;":"&amp;ADDRESS(ROW(),COLUMN(KENKO[QB])))</f>
        <v>$D$3:$D$74</v>
      </c>
      <c r="Y74" s="16" t="str">
        <f ca="1">IF(KENKO[[#This Row],[//]]="","",HYPERLINK("[..\\DB.xlsx]DB!e"&amp;KENKO[[#This Row],[stt]],"&gt;"))</f>
        <v>&gt;</v>
      </c>
      <c r="Z74" s="4">
        <f ca="1">IF(KENKO[[#This Row],[//]]="","",IF(KENKO[[#This Row],[ID NOTA]]="",Z73,KENKO[[#This Row],[ID NOTA]]))</f>
        <v>37</v>
      </c>
    </row>
    <row r="75" spans="1:26" ht="15" customHeight="1" x14ac:dyDescent="0.25">
      <c r="A75" s="2"/>
      <c r="B75" s="8" t="str">
        <f>IF(KENKO[[#This Row],[N_ID]]="","",INDEX(Table1[ID],MATCH(KENKO[[#This Row],[N_ID]],Table1[N_ID],0)))</f>
        <v/>
      </c>
      <c r="C75" s="8" t="str">
        <f>IF(KENKO[[#This Row],[ID NOTA]]="","",HYPERLINK("[NOTA_.xlsx]NOTA!e"&amp;INDEX([2]!PAJAK[//],MATCH(KENKO[[#This Row],[ID NOTA]],[2]!PAJAK[ID],0)),"&gt;") )</f>
        <v/>
      </c>
      <c r="D75" s="8" t="str">
        <f>IF(KENKO[[#This Row],[ID NOTA]]="","",INDEX(Table1[QB],MATCH(KENKO[[#This Row],[ID NOTA]],Table1[ID],0)))</f>
        <v/>
      </c>
      <c r="E7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192</v>
      </c>
      <c r="F75" s="8"/>
      <c r="G75" s="9" t="str">
        <f>IF(KENKO[[#This Row],[ID NOTA]]="","",INDEX([2]!NOTA[TGL_H],MATCH(KENKO[[#This Row],[ID NOTA]],[2]!NOTA[ID],0)))</f>
        <v/>
      </c>
      <c r="H75" s="9" t="str">
        <f>IF(KENKO[[#This Row],[ID NOTA]]="","",INDEX([2]!NOTA[TGL.NOTA],MATCH(KENKO[[#This Row],[ID NOTA]],[2]!NOTA[ID],0)))</f>
        <v/>
      </c>
      <c r="I75" s="16" t="str">
        <f>IF(KENKO[[#This Row],[ID NOTA]]="","",INDEX([2]!NOTA[NO.NOTA],MATCH(KENKO[[#This Row],[ID NOTA]],[2]!NOTA[ID],0)))</f>
        <v/>
      </c>
      <c r="J75" s="16" t="str">
        <f ca="1">IF(KENKO[[#This Row],[//]]="","",INDEX([4]!db[NB PAJAK],KENKO[[#This Row],[stt]]-1))</f>
        <v>GEL PEN KENKO KE-303 T-GEL TRIANGULAR HITAM</v>
      </c>
      <c r="K75" s="8" t="str">
        <f>""</f>
        <v/>
      </c>
      <c r="L75" s="8">
        <f ca="1">IF(KENKO[[#This Row],[//]]="","",IF(INDEX([2]!NOTA[QTY],KENKO[//]-2)="",INDEX([2]!NOTA[C],KENKO[//]-2),INDEX([2]!NOTA[QTY],KENKO[//]-2)))</f>
        <v>3</v>
      </c>
      <c r="M75" s="8" t="str">
        <f ca="1">IF(KENKO[[#This Row],[//]]="","",IF(INDEX([2]!NOTA[STN],KENKO[//]-2)="","CTN",INDEX([2]!NOTA[STN],KENKO[//]-2)))</f>
        <v>CTN</v>
      </c>
      <c r="N75" s="17">
        <f ca="1">IF(KENKO[[#This Row],[//]]="","",IF(INDEX([2]!NOTA[HARGA/ CTN],KENKO[[#This Row],[//]]-2)="",INDEX([2]!NOTA[HARGA SATUAN],KENKO[//]-2),INDEX([2]!NOTA[HARGA/ CTN],KENKO[[#This Row],[//]]-2)))</f>
        <v>3110400</v>
      </c>
      <c r="O75" s="19" t="str">
        <f ca="1">IF(KENKO[[#This Row],[//]]="","",IF(INDEX([2]!NOTA[DISC 2],KENKO[[#This Row],[//]]-2)=0,"",INDEX([2]!NOTA[DISC 2],KENKO[[#This Row],[//]]-2)))</f>
        <v/>
      </c>
      <c r="P75" s="19"/>
      <c r="Q75" s="10">
        <f ca="1">IF(KENKO[[#This Row],[//]]="","",INDEX([2]!NOTA[JUMLAH],KENKO[[#This Row],[//]]-2)-IF(ISNUMBER(KENKO[[#This Row],[DISC 1 (%)]]),INDEX([2]!NOTA[JUMLAH],KENKO[[#This Row],[//]]-2)*KENKO[[#This Row],[DISC 1 (%)]],0))</f>
        <v>9331200</v>
      </c>
      <c r="R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16" t="str">
        <f ca="1">IF(KENKO[[#This Row],[//]]="","",INDEX([2]!NOTA[NAMA BARANG],KENKO[[#This Row],[//]]-2))</f>
        <v>KENKO GEL PEN KE-303 T-GEL TRIANGULAR BLACK</v>
      </c>
      <c r="V75" s="16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75" s="8">
        <f ca="1">IF(KENKO[[#This Row],[concat]]="","",MATCH(KENKO[[#This Row],[concat]],[4]!db[NB NOTA_C],0)+1)</f>
        <v>1122</v>
      </c>
      <c r="X75" s="16" t="str">
        <f ca="1">IF(KENKO[[#This Row],[N.B.nota]]="","",ADDRESS(ROW(KENKO[QB]),COLUMN(KENKO[QB]))&amp;":"&amp;ADDRESS(ROW(),COLUMN(KENKO[QB])))</f>
        <v>$D$3:$D$75</v>
      </c>
      <c r="Y75" s="16" t="str">
        <f ca="1">IF(KENKO[[#This Row],[//]]="","",HYPERLINK("[..\\DB.xlsx]DB!e"&amp;KENKO[[#This Row],[stt]],"&gt;"))</f>
        <v>&gt;</v>
      </c>
      <c r="Z75" s="4">
        <f ca="1">IF(KENKO[[#This Row],[//]]="","",IF(KENKO[[#This Row],[ID NOTA]]="",Z74,KENKO[[#This Row],[ID NOTA]]))</f>
        <v>37</v>
      </c>
    </row>
    <row r="76" spans="1:26" ht="15" customHeight="1" x14ac:dyDescent="0.25">
      <c r="A76" s="2"/>
      <c r="B76" s="8" t="str">
        <f>IF(KENKO[[#This Row],[N_ID]]="","",INDEX(Table1[ID],MATCH(KENKO[[#This Row],[N_ID]],Table1[N_ID],0)))</f>
        <v/>
      </c>
      <c r="C76" s="8" t="str">
        <f>IF(KENKO[[#This Row],[ID NOTA]]="","",HYPERLINK("[NOTA_.xlsx]NOTA!e"&amp;INDEX([2]!PAJAK[//],MATCH(KENKO[[#This Row],[ID NOTA]],[2]!PAJAK[ID],0)),"&gt;") )</f>
        <v/>
      </c>
      <c r="D76" s="8" t="str">
        <f>IF(KENKO[[#This Row],[ID NOTA]]="","",INDEX(Table1[QB],MATCH(KENKO[[#This Row],[ID NOTA]],Table1[ID],0)))</f>
        <v/>
      </c>
      <c r="E7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193</v>
      </c>
      <c r="F76" s="8"/>
      <c r="G76" s="9" t="str">
        <f>IF(KENKO[[#This Row],[ID NOTA]]="","",INDEX([2]!NOTA[TGL_H],MATCH(KENKO[[#This Row],[ID NOTA]],[2]!NOTA[ID],0)))</f>
        <v/>
      </c>
      <c r="H76" s="9" t="str">
        <f>IF(KENKO[[#This Row],[ID NOTA]]="","",INDEX([2]!NOTA[TGL.NOTA],MATCH(KENKO[[#This Row],[ID NOTA]],[2]!NOTA[ID],0)))</f>
        <v/>
      </c>
      <c r="I76" s="16" t="str">
        <f>IF(KENKO[[#This Row],[ID NOTA]]="","",INDEX([2]!NOTA[NO.NOTA],MATCH(KENKO[[#This Row],[ID NOTA]],[2]!NOTA[ID],0)))</f>
        <v/>
      </c>
      <c r="J76" s="16" t="str">
        <f ca="1">IF(KENKO[[#This Row],[//]]="","",INDEX([4]!db[NB PAJAK],KENKO[[#This Row],[stt]]-1))</f>
        <v>GEL PEN KENKO K-1 HITAM</v>
      </c>
      <c r="K76" s="8" t="str">
        <f>""</f>
        <v/>
      </c>
      <c r="L76" s="8">
        <f ca="1">IF(KENKO[[#This Row],[//]]="","",IF(INDEX([2]!NOTA[QTY],KENKO[//]-2)="",INDEX([2]!NOTA[C],KENKO[//]-2),INDEX([2]!NOTA[QTY],KENKO[//]-2)))</f>
        <v>1</v>
      </c>
      <c r="M76" s="8" t="str">
        <f ca="1">IF(KENKO[[#This Row],[//]]="","",IF(INDEX([2]!NOTA[STN],KENKO[//]-2)="","CTN",INDEX([2]!NOTA[STN],KENKO[//]-2)))</f>
        <v>CTN</v>
      </c>
      <c r="N76" s="17">
        <f ca="1">IF(KENKO[[#This Row],[//]]="","",IF(INDEX([2]!NOTA[HARGA/ CTN],KENKO[[#This Row],[//]]-2)="",INDEX([2]!NOTA[HARGA SATUAN],KENKO[//]-2),INDEX([2]!NOTA[HARGA/ CTN],KENKO[[#This Row],[//]]-2)))</f>
        <v>5702400</v>
      </c>
      <c r="O76" s="19" t="str">
        <f ca="1">IF(KENKO[[#This Row],[//]]="","",IF(INDEX([2]!NOTA[DISC 2],KENKO[[#This Row],[//]]-2)=0,"",INDEX([2]!NOTA[DISC 2],KENKO[[#This Row],[//]]-2)))</f>
        <v/>
      </c>
      <c r="P76" s="19"/>
      <c r="Q76" s="10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16" t="str">
        <f ca="1">IF(KENKO[[#This Row],[//]]="","",INDEX([2]!NOTA[NAMA BARANG],KENKO[[#This Row],[//]]-2))</f>
        <v>KENKO GEL PEN K-1 BLACK</v>
      </c>
      <c r="V76" s="16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76" s="8">
        <f ca="1">IF(KENKO[[#This Row],[concat]]="","",MATCH(KENKO[[#This Row],[concat]],[4]!db[NB NOTA_C],0)+1)</f>
        <v>1114</v>
      </c>
      <c r="X76" s="16" t="str">
        <f ca="1">IF(KENKO[[#This Row],[N.B.nota]]="","",ADDRESS(ROW(KENKO[QB]),COLUMN(KENKO[QB]))&amp;":"&amp;ADDRESS(ROW(),COLUMN(KENKO[QB])))</f>
        <v>$D$3:$D$76</v>
      </c>
      <c r="Y76" s="16" t="str">
        <f ca="1">IF(KENKO[[#This Row],[//]]="","",HYPERLINK("[..\\DB.xlsx]DB!e"&amp;KENKO[[#This Row],[stt]],"&gt;"))</f>
        <v>&gt;</v>
      </c>
      <c r="Z76" s="4">
        <f ca="1">IF(KENKO[[#This Row],[//]]="","",IF(KENKO[[#This Row],[ID NOTA]]="",Z75,KENKO[[#This Row],[ID NOTA]]))</f>
        <v>37</v>
      </c>
    </row>
    <row r="77" spans="1:26" ht="15" customHeight="1" x14ac:dyDescent="0.25">
      <c r="A77" s="2"/>
      <c r="B77" s="8" t="str">
        <f>IF(KENKO[[#This Row],[N_ID]]="","",INDEX(Table1[ID],MATCH(KENKO[[#This Row],[N_ID]],Table1[N_ID],0)))</f>
        <v/>
      </c>
      <c r="C77" s="8" t="str">
        <f>IF(KENKO[[#This Row],[ID NOTA]]="","",HYPERLINK("[NOTA_.xlsx]NOTA!e"&amp;INDEX([2]!PAJAK[//],MATCH(KENKO[[#This Row],[ID NOTA]],[2]!PAJAK[ID],0)),"&gt;") )</f>
        <v/>
      </c>
      <c r="D77" s="8" t="str">
        <f>IF(KENKO[[#This Row],[ID NOTA]]="","",INDEX(Table1[QB],MATCH(KENKO[[#This Row],[ID NOTA]],Table1[ID],0)))</f>
        <v/>
      </c>
      <c r="E7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194</v>
      </c>
      <c r="F77" s="8"/>
      <c r="G77" s="9" t="str">
        <f>IF(KENKO[[#This Row],[ID NOTA]]="","",INDEX([2]!NOTA[TGL_H],MATCH(KENKO[[#This Row],[ID NOTA]],[2]!NOTA[ID],0)))</f>
        <v/>
      </c>
      <c r="H77" s="9" t="str">
        <f>IF(KENKO[[#This Row],[ID NOTA]]="","",INDEX([2]!NOTA[TGL.NOTA],MATCH(KENKO[[#This Row],[ID NOTA]],[2]!NOTA[ID],0)))</f>
        <v/>
      </c>
      <c r="I77" s="16" t="str">
        <f>IF(KENKO[[#This Row],[ID NOTA]]="","",INDEX([2]!NOTA[NO.NOTA],MATCH(KENKO[[#This Row],[ID NOTA]],[2]!NOTA[ID],0)))</f>
        <v/>
      </c>
      <c r="J77" s="16" t="str">
        <f ca="1">IF(KENKO[[#This Row],[//]]="","",INDEX([4]!db[NB PAJAK],KENKO[[#This Row],[stt]]-1))</f>
        <v>CUTTER 9 MM KENKO A-300 (KECIL)</v>
      </c>
      <c r="K77" s="8" t="str">
        <f>""</f>
        <v/>
      </c>
      <c r="L77" s="8">
        <f ca="1">IF(KENKO[[#This Row],[//]]="","",IF(INDEX([2]!NOTA[QTY],KENKO[//]-2)="",INDEX([2]!NOTA[C],KENKO[//]-2),INDEX([2]!NOTA[QTY],KENKO[//]-2)))</f>
        <v>2</v>
      </c>
      <c r="M77" s="8" t="str">
        <f ca="1">IF(KENKO[[#This Row],[//]]="","",IF(INDEX([2]!NOTA[STN],KENKO[//]-2)="","CTN",INDEX([2]!NOTA[STN],KENKO[//]-2)))</f>
        <v>CTN</v>
      </c>
      <c r="N77" s="17">
        <f ca="1">IF(KENKO[[#This Row],[//]]="","",IF(INDEX([2]!NOTA[HARGA/ CTN],KENKO[[#This Row],[//]]-2)="",INDEX([2]!NOTA[HARGA SATUAN],KENKO[//]-2),INDEX([2]!NOTA[HARGA/ CTN],KENKO[[#This Row],[//]]-2)))</f>
        <v>1710000</v>
      </c>
      <c r="O77" s="19" t="str">
        <f ca="1">IF(KENKO[[#This Row],[//]]="","",IF(INDEX([2]!NOTA[DISC 2],KENKO[[#This Row],[//]]-2)=0,"",INDEX([2]!NOTA[DISC 2],KENKO[[#This Row],[//]]-2)))</f>
        <v/>
      </c>
      <c r="P77" s="19"/>
      <c r="Q77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16" t="str">
        <f ca="1">IF(KENKO[[#This Row],[//]]="","",INDEX([2]!NOTA[NAMA BARANG],KENKO[[#This Row],[//]]-2))</f>
        <v>KENKO CUTTER A-300 (9MM BLADE)</v>
      </c>
      <c r="V77" s="16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77" s="8">
        <f ca="1">IF(KENKO[[#This Row],[concat]]="","",MATCH(KENKO[[#This Row],[concat]],[4]!db[NB NOTA_C],0)+1)</f>
        <v>1082</v>
      </c>
      <c r="X77" s="16" t="str">
        <f ca="1">IF(KENKO[[#This Row],[N.B.nota]]="","",ADDRESS(ROW(KENKO[QB]),COLUMN(KENKO[QB]))&amp;":"&amp;ADDRESS(ROW(),COLUMN(KENKO[QB])))</f>
        <v>$D$3:$D$77</v>
      </c>
      <c r="Y77" s="16" t="str">
        <f ca="1">IF(KENKO[[#This Row],[//]]="","",HYPERLINK("[..\\DB.xlsx]DB!e"&amp;KENKO[[#This Row],[stt]],"&gt;"))</f>
        <v>&gt;</v>
      </c>
      <c r="Z77" s="4">
        <f ca="1">IF(KENKO[[#This Row],[//]]="","",IF(KENKO[[#This Row],[ID NOTA]]="",Z76,KENKO[[#This Row],[ID NOTA]]))</f>
        <v>37</v>
      </c>
    </row>
    <row r="78" spans="1:26" ht="15" customHeight="1" x14ac:dyDescent="0.25">
      <c r="A78" s="2"/>
      <c r="B78" s="8" t="str">
        <f>IF(KENKO[[#This Row],[N_ID]]="","",INDEX(Table1[ID],MATCH(KENKO[[#This Row],[N_ID]],Table1[N_ID],0)))</f>
        <v/>
      </c>
      <c r="C78" s="8" t="str">
        <f>IF(KENKO[[#This Row],[ID NOTA]]="","",HYPERLINK("[NOTA_.xlsx]NOTA!e"&amp;INDEX([2]!PAJAK[//],MATCH(KENKO[[#This Row],[ID NOTA]],[2]!PAJAK[ID],0)),"&gt;") )</f>
        <v/>
      </c>
      <c r="D78" s="8" t="str">
        <f>IF(KENKO[[#This Row],[ID NOTA]]="","",INDEX(Table1[QB],MATCH(KENKO[[#This Row],[ID NOTA]],Table1[ID],0)))</f>
        <v/>
      </c>
      <c r="E7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195</v>
      </c>
      <c r="F78" s="8"/>
      <c r="G78" s="9" t="str">
        <f>IF(KENKO[[#This Row],[ID NOTA]]="","",INDEX([2]!NOTA[TGL_H],MATCH(KENKO[[#This Row],[ID NOTA]],[2]!NOTA[ID],0)))</f>
        <v/>
      </c>
      <c r="H78" s="9" t="str">
        <f>IF(KENKO[[#This Row],[ID NOTA]]="","",INDEX([2]!NOTA[TGL.NOTA],MATCH(KENKO[[#This Row],[ID NOTA]],[2]!NOTA[ID],0)))</f>
        <v/>
      </c>
      <c r="I78" s="16" t="str">
        <f>IF(KENKO[[#This Row],[ID NOTA]]="","",INDEX([2]!NOTA[NO.NOTA],MATCH(KENKO[[#This Row],[ID NOTA]],[2]!NOTA[ID],0)))</f>
        <v/>
      </c>
      <c r="J78" s="16" t="str">
        <f ca="1">IF(KENKO[[#This Row],[//]]="","",INDEX([4]!db[NB PAJAK],KENKO[[#This Row],[stt]]-1))</f>
        <v>PAPER TRIGONAL CLIP KENKO NO. 3</v>
      </c>
      <c r="K78" s="8" t="str">
        <f>""</f>
        <v/>
      </c>
      <c r="L78" s="8">
        <f ca="1">IF(KENKO[[#This Row],[//]]="","",IF(INDEX([2]!NOTA[QTY],KENKO[//]-2)="",INDEX([2]!NOTA[C],KENKO[//]-2),INDEX([2]!NOTA[QTY],KENKO[//]-2)))</f>
        <v>2</v>
      </c>
      <c r="M78" s="8" t="str">
        <f ca="1">IF(KENKO[[#This Row],[//]]="","",IF(INDEX([2]!NOTA[STN],KENKO[//]-2)="","CTN",INDEX([2]!NOTA[STN],KENKO[//]-2)))</f>
        <v>CTN</v>
      </c>
      <c r="N78" s="17">
        <f ca="1">IF(KENKO[[#This Row],[//]]="","",IF(INDEX([2]!NOTA[HARGA/ CTN],KENKO[[#This Row],[//]]-2)="",INDEX([2]!NOTA[HARGA SATUAN],KENKO[//]-2),INDEX([2]!NOTA[HARGA/ CTN],KENKO[[#This Row],[//]]-2)))</f>
        <v>800000</v>
      </c>
      <c r="O78" s="19" t="str">
        <f ca="1">IF(KENKO[[#This Row],[//]]="","",IF(INDEX([2]!NOTA[DISC 2],KENKO[[#This Row],[//]]-2)=0,"",INDEX([2]!NOTA[DISC 2],KENKO[[#This Row],[//]]-2)))</f>
        <v/>
      </c>
      <c r="P78" s="19"/>
      <c r="Q78" s="10">
        <f ca="1">IF(KENKO[[#This Row],[//]]="","",INDEX([2]!NOTA[JUMLAH],KENKO[[#This Row],[//]]-2)-IF(ISNUMBER(KENKO[[#This Row],[DISC 1 (%)]]),INDEX([2]!NOTA[JUMLAH],KENKO[[#This Row],[//]]-2)*KENKO[[#This Row],[DISC 1 (%)]],0))</f>
        <v>1600000</v>
      </c>
      <c r="R7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4738172</v>
      </c>
      <c r="S7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23133428</v>
      </c>
      <c r="T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16" t="str">
        <f ca="1">IF(KENKO[[#This Row],[//]]="","",INDEX([2]!NOTA[NAMA BARANG],KENKO[[#This Row],[//]]-2))</f>
        <v>KENKO TRIGONAL CLIP NO.3</v>
      </c>
      <c r="V78" s="1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78" s="8">
        <f ca="1">IF(KENKO[[#This Row],[concat]]="","",MATCH(KENKO[[#This Row],[concat]],[4]!db[NB NOTA_C],0)+1)</f>
        <v>1260</v>
      </c>
      <c r="X78" s="16" t="str">
        <f ca="1">IF(KENKO[[#This Row],[N.B.nota]]="","",ADDRESS(ROW(KENKO[QB]),COLUMN(KENKO[QB]))&amp;":"&amp;ADDRESS(ROW(),COLUMN(KENKO[QB])))</f>
        <v>$D$3:$D$78</v>
      </c>
      <c r="Y78" s="16" t="str">
        <f ca="1">IF(KENKO[[#This Row],[//]]="","",HYPERLINK("[..\\DB.xlsx]DB!e"&amp;KENKO[[#This Row],[stt]],"&gt;"))</f>
        <v>&gt;</v>
      </c>
      <c r="Z78" s="4">
        <f ca="1">IF(KENKO[[#This Row],[//]]="","",IF(KENKO[[#This Row],[ID NOTA]]="",Z77,KENKO[[#This Row],[ID NOTA]]))</f>
        <v>37</v>
      </c>
    </row>
    <row r="79" spans="1:26" ht="15" customHeight="1" x14ac:dyDescent="0.25">
      <c r="A79" s="2"/>
      <c r="B79" s="8" t="str">
        <f>IF(KENKO[[#This Row],[N_ID]]="","",INDEX(Table1[ID],MATCH(KENKO[[#This Row],[N_ID]],Table1[N_ID],0)))</f>
        <v/>
      </c>
      <c r="C79" s="8" t="str">
        <f>IF(KENKO[[#This Row],[ID NOTA]]="","",HYPERLINK("[NOTA_.xlsx]NOTA!e"&amp;INDEX([2]!PAJAK[//],MATCH(KENKO[[#This Row],[ID NOTA]],[2]!PAJAK[ID],0)),"&gt;") )</f>
        <v/>
      </c>
      <c r="D79" s="8" t="str">
        <f>IF(KENKO[[#This Row],[ID NOTA]]="","",INDEX(Table1[QB],MATCH(KENKO[[#This Row],[ID NOTA]],Table1[ID],0)))</f>
        <v/>
      </c>
      <c r="E7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9" s="8"/>
      <c r="G79" s="9" t="str">
        <f>IF(KENKO[[#This Row],[ID NOTA]]="","",INDEX([2]!NOTA[TGL_H],MATCH(KENKO[[#This Row],[ID NOTA]],[2]!NOTA[ID],0)))</f>
        <v/>
      </c>
      <c r="H79" s="9" t="str">
        <f>IF(KENKO[[#This Row],[ID NOTA]]="","",INDEX([2]!NOTA[TGL.NOTA],MATCH(KENKO[[#This Row],[ID NOTA]],[2]!NOTA[ID],0)))</f>
        <v/>
      </c>
      <c r="I79" s="16" t="str">
        <f>IF(KENKO[[#This Row],[ID NOTA]]="","",INDEX([2]!NOTA[NO.NOTA],MATCH(KENKO[[#This Row],[ID NOTA]],[2]!NOTA[ID],0)))</f>
        <v/>
      </c>
      <c r="J79" s="16" t="str">
        <f ca="1">IF(KENKO[[#This Row],[//]]="","",INDEX([4]!db[NB PAJAK],KENKO[[#This Row],[stt]]-1))</f>
        <v/>
      </c>
      <c r="K79" s="8" t="str">
        <f>""</f>
        <v/>
      </c>
      <c r="L79" s="8" t="str">
        <f ca="1">IF(KENKO[[#This Row],[//]]="","",IF(INDEX([2]!NOTA[QTY],KENKO[//]-2)="",INDEX([2]!NOTA[C],KENKO[//]-2),INDEX([2]!NOTA[QTY],KENKO[//]-2)))</f>
        <v/>
      </c>
      <c r="M79" s="8" t="str">
        <f ca="1">IF(KENKO[[#This Row],[//]]="","",IF(INDEX([2]!NOTA[STN],KENKO[//]-2)="","CTN",INDEX([2]!NOTA[STN],KENKO[//]-2)))</f>
        <v/>
      </c>
      <c r="N79" s="17" t="str">
        <f ca="1">IF(KENKO[[#This Row],[//]]="","",IF(INDEX([2]!NOTA[HARGA/ CTN],KENKO[[#This Row],[//]]-2)="",INDEX([2]!NOTA[HARGA SATUAN],KENKO[//]-2),INDEX([2]!NOTA[HARGA/ CTN],KENKO[[#This Row],[//]]-2)))</f>
        <v/>
      </c>
      <c r="O79" s="19" t="str">
        <f ca="1">IF(KENKO[[#This Row],[//]]="","",IF(INDEX([2]!NOTA[DISC 2],KENKO[[#This Row],[//]]-2)=0,"",INDEX([2]!NOTA[DISC 2],KENKO[[#This Row],[//]]-2)))</f>
        <v/>
      </c>
      <c r="P79" s="19"/>
      <c r="Q7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16" t="str">
        <f ca="1">IF(KENKO[[#This Row],[//]]="","",INDEX([2]!NOTA[NAMA BARANG],KENKO[[#This Row],[//]]-2))</f>
        <v/>
      </c>
      <c r="V79" s="16" t="str">
        <f ca="1">LOWER(SUBSTITUTE(SUBSTITUTE(SUBSTITUTE(SUBSTITUTE(SUBSTITUTE(SUBSTITUTE(SUBSTITUTE(SUBSTITUTE(KENKO[[#This Row],[N.B.nota]]," ",""),"-",""),"(",""),")",""),".",""),",",""),"/",""),"""",""))</f>
        <v/>
      </c>
      <c r="W79" s="8" t="str">
        <f ca="1">IF(KENKO[[#This Row],[concat]]="","",MATCH(KENKO[[#This Row],[concat]],[4]!db[NB NOTA_C],0)+1)</f>
        <v/>
      </c>
      <c r="X79" s="16" t="str">
        <f ca="1">IF(KENKO[[#This Row],[N.B.nota]]="","",ADDRESS(ROW(KENKO[QB]),COLUMN(KENKO[QB]))&amp;":"&amp;ADDRESS(ROW(),COLUMN(KENKO[QB])))</f>
        <v/>
      </c>
      <c r="Y79" s="16" t="str">
        <f ca="1">IF(KENKO[[#This Row],[//]]="","",HYPERLINK("[..\\DB.xlsx]DB!e"&amp;KENKO[[#This Row],[stt]],"&gt;"))</f>
        <v/>
      </c>
      <c r="Z79" s="4" t="str">
        <f ca="1">IF(KENKO[[#This Row],[//]]="","",IF(KENKO[[#This Row],[ID NOTA]]="",Z78,KENKO[[#This Row],[ID NOTA]]))</f>
        <v/>
      </c>
    </row>
    <row r="80" spans="1:26" ht="15" customHeight="1" x14ac:dyDescent="0.25">
      <c r="A80" s="2" t="s">
        <v>81</v>
      </c>
      <c r="B80" s="8">
        <f ca="1">IF(KENKO[[#This Row],[N_ID]]="","",INDEX(Table1[ID],MATCH(KENKO[[#This Row],[N_ID]],Table1[N_ID],0)))</f>
        <v>56</v>
      </c>
      <c r="C80" s="8" t="str">
        <f ca="1">IF(KENKO[[#This Row],[ID NOTA]]="","",HYPERLINK("[NOTA_.xlsx]NOTA!e"&amp;INDEX([2]!PAJAK[//],MATCH(KENKO[[#This Row],[ID NOTA]],[2]!PAJAK[ID],0)),"&gt;") )</f>
        <v>&gt;</v>
      </c>
      <c r="D80" s="8">
        <f ca="1">IF(KENKO[[#This Row],[ID NOTA]]="","",INDEX(Table1[QB],MATCH(KENKO[[#This Row],[ID NOTA]],Table1[ID],0)))</f>
        <v>3</v>
      </c>
      <c r="E8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294</v>
      </c>
      <c r="F80" s="8">
        <v>12</v>
      </c>
      <c r="G80" s="9">
        <f ca="1">IF(KENKO[[#This Row],[ID NOTA]]="","",INDEX([2]!NOTA[TGL_H],MATCH(KENKO[[#This Row],[ID NOTA]],[2]!NOTA[ID],0)))</f>
        <v>44819</v>
      </c>
      <c r="H80" s="9">
        <f ca="1">IF(KENKO[[#This Row],[ID NOTA]]="","",INDEX([2]!NOTA[TGL.NOTA],MATCH(KENKO[[#This Row],[ID NOTA]],[2]!NOTA[ID],0)))</f>
        <v>44814</v>
      </c>
      <c r="I80" s="16" t="str">
        <f ca="1">IF(KENKO[[#This Row],[ID NOTA]]="","",INDEX([2]!NOTA[NO.NOTA],MATCH(KENKO[[#This Row],[ID NOTA]],[2]!NOTA[ID],0)))</f>
        <v>22090830</v>
      </c>
      <c r="J80" s="16" t="str">
        <f ca="1">IF(KENKO[[#This Row],[//]]="","",INDEX([4]!db[NB PAJAK],KENKO[[#This Row],[stt]]-1))</f>
        <v>CORRECTION FLUID KENKO KE-823M</v>
      </c>
      <c r="K80" s="8" t="str">
        <f>""</f>
        <v/>
      </c>
      <c r="L80" s="8">
        <f ca="1">IF(KENKO[[#This Row],[//]]="","",IF(INDEX([2]!NOTA[QTY],KENKO[//]-2)="",INDEX([2]!NOTA[C],KENKO[//]-2),INDEX([2]!NOTA[QTY],KENKO[//]-2)))</f>
        <v>2</v>
      </c>
      <c r="M80" s="8" t="str">
        <f ca="1">IF(KENKO[[#This Row],[//]]="","",IF(INDEX([2]!NOTA[STN],KENKO[//]-2)="","CTN",INDEX([2]!NOTA[STN],KENKO[//]-2)))</f>
        <v>CTN</v>
      </c>
      <c r="N80" s="17">
        <f ca="1">IF(KENKO[[#This Row],[//]]="","",IF(INDEX([2]!NOTA[HARGA/ CTN],KENKO[[#This Row],[//]]-2)="",INDEX([2]!NOTA[HARGA SATUAN],KENKO[//]-2),INDEX([2]!NOTA[HARGA/ CTN],KENKO[[#This Row],[//]]-2)))</f>
        <v>2052000</v>
      </c>
      <c r="O80" s="19" t="str">
        <f ca="1">IF(KENKO[[#This Row],[//]]="","",IF(INDEX([2]!NOTA[DISC 2],KENKO[[#This Row],[//]]-2)=0,"",INDEX([2]!NOTA[DISC 2],KENKO[[#This Row],[//]]-2)))</f>
        <v/>
      </c>
      <c r="P80" s="19"/>
      <c r="Q80" s="10">
        <f ca="1">IF(KENKO[[#This Row],[//]]="","",INDEX([2]!NOTA[JUMLAH],KENKO[[#This Row],[//]]-2)-IF(ISNUMBER(KENKO[[#This Row],[DISC 1 (%)]]),INDEX([2]!NOTA[JUMLAH],KENKO[[#This Row],[//]]-2)*KENKO[[#This Row],[DISC 1 (%)]],0))</f>
        <v>4104000</v>
      </c>
      <c r="R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16" t="str">
        <f ca="1">IF(KENKO[[#This Row],[//]]="","",INDEX([2]!NOTA[NAMA BARANG],KENKO[[#This Row],[//]]-2))</f>
        <v>KENKO CORRECTION FLUID KE-823 M</v>
      </c>
      <c r="V80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80" s="8">
        <f ca="1">IF(KENKO[[#This Row],[concat]]="","",MATCH(KENKO[[#This Row],[concat]],[4]!db[NB NOTA_C],0)+1)</f>
        <v>1059</v>
      </c>
      <c r="X80" s="16" t="str">
        <f ca="1">IF(KENKO[[#This Row],[N.B.nota]]="","",ADDRESS(ROW(KENKO[QB]),COLUMN(KENKO[QB]))&amp;":"&amp;ADDRESS(ROW(),COLUMN(KENKO[QB])))</f>
        <v>$D$3:$D$80</v>
      </c>
      <c r="Y80" s="16" t="str">
        <f ca="1">IF(KENKO[[#This Row],[//]]="","",HYPERLINK("[..\\DB.xlsx]DB!e"&amp;KENKO[[#This Row],[stt]],"&gt;"))</f>
        <v>&gt;</v>
      </c>
      <c r="Z80" s="4">
        <f ca="1">IF(KENKO[[#This Row],[//]]="","",IF(KENKO[[#This Row],[ID NOTA]]="",Z79,KENKO[[#This Row],[ID NOTA]]))</f>
        <v>56</v>
      </c>
    </row>
    <row r="81" spans="1:26" ht="15" customHeight="1" x14ac:dyDescent="0.25">
      <c r="A81" s="2"/>
      <c r="B81" s="8" t="str">
        <f>IF(KENKO[[#This Row],[N_ID]]="","",INDEX(Table1[ID],MATCH(KENKO[[#This Row],[N_ID]],Table1[N_ID],0)))</f>
        <v/>
      </c>
      <c r="C81" s="8" t="str">
        <f>IF(KENKO[[#This Row],[ID NOTA]]="","",HYPERLINK("[NOTA_.xlsx]NOTA!e"&amp;INDEX([2]!PAJAK[//],MATCH(KENKO[[#This Row],[ID NOTA]],[2]!PAJAK[ID],0)),"&gt;") )</f>
        <v/>
      </c>
      <c r="D81" s="8" t="str">
        <f>IF(KENKO[[#This Row],[ID NOTA]]="","",INDEX(Table1[QB],MATCH(KENKO[[#This Row],[ID NOTA]],Table1[ID],0)))</f>
        <v/>
      </c>
      <c r="E8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295</v>
      </c>
      <c r="F81" s="8"/>
      <c r="G81" s="9" t="str">
        <f>IF(KENKO[[#This Row],[ID NOTA]]="","",INDEX([2]!NOTA[TGL_H],MATCH(KENKO[[#This Row],[ID NOTA]],[2]!NOTA[ID],0)))</f>
        <v/>
      </c>
      <c r="H81" s="9" t="str">
        <f>IF(KENKO[[#This Row],[ID NOTA]]="","",INDEX([2]!NOTA[TGL.NOTA],MATCH(KENKO[[#This Row],[ID NOTA]],[2]!NOTA[ID],0)))</f>
        <v/>
      </c>
      <c r="I81" s="16" t="str">
        <f>IF(KENKO[[#This Row],[ID NOTA]]="","",INDEX([2]!NOTA[NO.NOTA],MATCH(KENKO[[#This Row],[ID NOTA]],[2]!NOTA[ID],0)))</f>
        <v/>
      </c>
      <c r="J81" s="16" t="str">
        <f ca="1">IF(KENKO[[#This Row],[//]]="","",INDEX([4]!db[NB PAJAK],KENKO[[#This Row],[stt]]-1))</f>
        <v>BINDER CLIP KENKO NO. 200</v>
      </c>
      <c r="K81" s="8" t="str">
        <f>""</f>
        <v/>
      </c>
      <c r="L81" s="8">
        <f ca="1">IF(KENKO[[#This Row],[//]]="","",IF(INDEX([2]!NOTA[QTY],KENKO[//]-2)="",INDEX([2]!NOTA[C],KENKO[//]-2),INDEX([2]!NOTA[QTY],KENKO[//]-2)))</f>
        <v>2</v>
      </c>
      <c r="M81" s="8" t="str">
        <f ca="1">IF(KENKO[[#This Row],[//]]="","",IF(INDEX([2]!NOTA[STN],KENKO[//]-2)="","CTN",INDEX([2]!NOTA[STN],KENKO[//]-2)))</f>
        <v>CTN</v>
      </c>
      <c r="N81" s="17">
        <f ca="1">IF(KENKO[[#This Row],[//]]="","",IF(INDEX([2]!NOTA[HARGA/ CTN],KENKO[[#This Row],[//]]-2)="",INDEX([2]!NOTA[HARGA SATUAN],KENKO[//]-2),INDEX([2]!NOTA[HARGA/ CTN],KENKO[[#This Row],[//]]-2)))</f>
        <v>1200000</v>
      </c>
      <c r="O81" s="19" t="str">
        <f ca="1">IF(KENKO[[#This Row],[//]]="","",IF(INDEX([2]!NOTA[DISC 2],KENKO[[#This Row],[//]]-2)=0,"",INDEX([2]!NOTA[DISC 2],KENKO[[#This Row],[//]]-2)))</f>
        <v/>
      </c>
      <c r="P81" s="19"/>
      <c r="Q81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16" t="str">
        <f ca="1">IF(KENKO[[#This Row],[//]]="","",INDEX([2]!NOTA[NAMA BARANG],KENKO[[#This Row],[//]]-2))</f>
        <v>KENKO BINDER CLIP NO.200</v>
      </c>
      <c r="V81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81" s="8">
        <f ca="1">IF(KENKO[[#This Row],[concat]]="","",MATCH(KENKO[[#This Row],[concat]],[4]!db[NB NOTA_C],0)+1)</f>
        <v>1009</v>
      </c>
      <c r="X81" s="16" t="str">
        <f ca="1">IF(KENKO[[#This Row],[N.B.nota]]="","",ADDRESS(ROW(KENKO[QB]),COLUMN(KENKO[QB]))&amp;":"&amp;ADDRESS(ROW(),COLUMN(KENKO[QB])))</f>
        <v>$D$3:$D$81</v>
      </c>
      <c r="Y81" s="16" t="str">
        <f ca="1">IF(KENKO[[#This Row],[//]]="","",HYPERLINK("[..\\DB.xlsx]DB!e"&amp;KENKO[[#This Row],[stt]],"&gt;"))</f>
        <v>&gt;</v>
      </c>
      <c r="Z81" s="4">
        <f ca="1">IF(KENKO[[#This Row],[//]]="","",IF(KENKO[[#This Row],[ID NOTA]]="",Z80,KENKO[[#This Row],[ID NOTA]]))</f>
        <v>56</v>
      </c>
    </row>
    <row r="82" spans="1:26" ht="15" customHeight="1" x14ac:dyDescent="0.25">
      <c r="A82" s="2"/>
      <c r="B82" s="8" t="str">
        <f>IF(KENKO[[#This Row],[N_ID]]="","",INDEX(Table1[ID],MATCH(KENKO[[#This Row],[N_ID]],Table1[N_ID],0)))</f>
        <v/>
      </c>
      <c r="C82" s="8" t="str">
        <f>IF(KENKO[[#This Row],[ID NOTA]]="","",HYPERLINK("[NOTA_.xlsx]NOTA!e"&amp;INDEX([2]!PAJAK[//],MATCH(KENKO[[#This Row],[ID NOTA]],[2]!PAJAK[ID],0)),"&gt;") )</f>
        <v/>
      </c>
      <c r="D82" s="8" t="str">
        <f>IF(KENKO[[#This Row],[ID NOTA]]="","",INDEX(Table1[QB],MATCH(KENKO[[#This Row],[ID NOTA]],Table1[ID],0)))</f>
        <v/>
      </c>
      <c r="E8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296</v>
      </c>
      <c r="F82" s="8"/>
      <c r="G82" s="9" t="str">
        <f>IF(KENKO[[#This Row],[ID NOTA]]="","",INDEX([2]!NOTA[TGL_H],MATCH(KENKO[[#This Row],[ID NOTA]],[2]!NOTA[ID],0)))</f>
        <v/>
      </c>
      <c r="H82" s="9" t="str">
        <f>IF(KENKO[[#This Row],[ID NOTA]]="","",INDEX([2]!NOTA[TGL.NOTA],MATCH(KENKO[[#This Row],[ID NOTA]],[2]!NOTA[ID],0)))</f>
        <v/>
      </c>
      <c r="I82" s="16" t="str">
        <f>IF(KENKO[[#This Row],[ID NOTA]]="","",INDEX([2]!NOTA[NO.NOTA],MATCH(KENKO[[#This Row],[ID NOTA]],[2]!NOTA[ID],0)))</f>
        <v/>
      </c>
      <c r="J82" s="16" t="str">
        <f ca="1">IF(KENKO[[#This Row],[//]]="","",INDEX([4]!db[NB PAJAK],KENKO[[#This Row],[stt]]-1))</f>
        <v>LOOSE LEAF KENKO B5-LL 100-2670</v>
      </c>
      <c r="K82" s="8" t="str">
        <f>""</f>
        <v/>
      </c>
      <c r="L82" s="8">
        <f ca="1">IF(KENKO[[#This Row],[//]]="","",IF(INDEX([2]!NOTA[QTY],KENKO[//]-2)="",INDEX([2]!NOTA[C],KENKO[//]-2),INDEX([2]!NOTA[QTY],KENKO[//]-2)))</f>
        <v>1</v>
      </c>
      <c r="M82" s="8" t="str">
        <f ca="1">IF(KENKO[[#This Row],[//]]="","",IF(INDEX([2]!NOTA[STN],KENKO[//]-2)="","CTN",INDEX([2]!NOTA[STN],KENKO[//]-2)))</f>
        <v>CTN</v>
      </c>
      <c r="N82" s="17">
        <f ca="1">IF(KENKO[[#This Row],[//]]="","",IF(INDEX([2]!NOTA[HARGA/ CTN],KENKO[[#This Row],[//]]-2)="",INDEX([2]!NOTA[HARGA SATUAN],KENKO[//]-2),INDEX([2]!NOTA[HARGA/ CTN],KENKO[[#This Row],[//]]-2)))</f>
        <v>1040000</v>
      </c>
      <c r="O82" s="19" t="str">
        <f ca="1">IF(KENKO[[#This Row],[//]]="","",IF(INDEX([2]!NOTA[DISC 2],KENKO[[#This Row],[//]]-2)=0,"",INDEX([2]!NOTA[DISC 2],KENKO[[#This Row],[//]]-2)))</f>
        <v/>
      </c>
      <c r="P82" s="19"/>
      <c r="Q82" s="10">
        <f ca="1">IF(KENKO[[#This Row],[//]]="","",INDEX([2]!NOTA[JUMLAH],KENKO[[#This Row],[//]]-2)-IF(ISNUMBER(KENKO[[#This Row],[DISC 1 (%)]]),INDEX([2]!NOTA[JUMLAH],KENKO[[#This Row],[//]]-2)*KENKO[[#This Row],[DISC 1 (%)]],0))</f>
        <v>1040000</v>
      </c>
      <c r="R8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1282480</v>
      </c>
      <c r="S8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6261520</v>
      </c>
      <c r="T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16" t="str">
        <f ca="1">IF(KENKO[[#This Row],[//]]="","",INDEX([2]!NOTA[NAMA BARANG],KENKO[[#This Row],[//]]-2))</f>
        <v>KENKO LOOSE LEAF B5-LL 100-2670</v>
      </c>
      <c r="V82" s="16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82" s="8">
        <f ca="1">IF(KENKO[[#This Row],[concat]]="","",MATCH(KENKO[[#This Row],[concat]],[4]!db[NB NOTA_C],0)+1)</f>
        <v>1165</v>
      </c>
      <c r="X82" s="16" t="str">
        <f ca="1">IF(KENKO[[#This Row],[N.B.nota]]="","",ADDRESS(ROW(KENKO[QB]),COLUMN(KENKO[QB]))&amp;":"&amp;ADDRESS(ROW(),COLUMN(KENKO[QB])))</f>
        <v>$D$3:$D$82</v>
      </c>
      <c r="Y82" s="16" t="str">
        <f ca="1">IF(KENKO[[#This Row],[//]]="","",HYPERLINK("[..\\DB.xlsx]DB!e"&amp;KENKO[[#This Row],[stt]],"&gt;"))</f>
        <v>&gt;</v>
      </c>
      <c r="Z82" s="4">
        <f ca="1">IF(KENKO[[#This Row],[//]]="","",IF(KENKO[[#This Row],[ID NOTA]]="",Z81,KENKO[[#This Row],[ID NOTA]]))</f>
        <v>56</v>
      </c>
    </row>
    <row r="83" spans="1:26" ht="15" customHeight="1" x14ac:dyDescent="0.25">
      <c r="A83" s="2"/>
      <c r="B83" s="8" t="str">
        <f>IF(KENKO[[#This Row],[N_ID]]="","",INDEX(Table1[ID],MATCH(KENKO[[#This Row],[N_ID]],Table1[N_ID],0)))</f>
        <v/>
      </c>
      <c r="C83" s="8" t="str">
        <f>IF(KENKO[[#This Row],[ID NOTA]]="","",HYPERLINK("[NOTA_.xlsx]NOTA!e"&amp;INDEX([2]!PAJAK[//],MATCH(KENKO[[#This Row],[ID NOTA]],[2]!PAJAK[ID],0)),"&gt;") )</f>
        <v/>
      </c>
      <c r="D83" s="8" t="str">
        <f>IF(KENKO[[#This Row],[ID NOTA]]="","",INDEX(Table1[QB],MATCH(KENKO[[#This Row],[ID NOTA]],Table1[ID],0)))</f>
        <v/>
      </c>
      <c r="E8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3" s="8"/>
      <c r="G83" s="9" t="str">
        <f>IF(KENKO[[#This Row],[ID NOTA]]="","",INDEX([2]!NOTA[TGL_H],MATCH(KENKO[[#This Row],[ID NOTA]],[2]!NOTA[ID],0)))</f>
        <v/>
      </c>
      <c r="H83" s="9" t="str">
        <f>IF(KENKO[[#This Row],[ID NOTA]]="","",INDEX([2]!NOTA[TGL.NOTA],MATCH(KENKO[[#This Row],[ID NOTA]],[2]!NOTA[ID],0)))</f>
        <v/>
      </c>
      <c r="I83" s="16" t="str">
        <f>IF(KENKO[[#This Row],[ID NOTA]]="","",INDEX([2]!NOTA[NO.NOTA],MATCH(KENKO[[#This Row],[ID NOTA]],[2]!NOTA[ID],0)))</f>
        <v/>
      </c>
      <c r="J83" s="16" t="str">
        <f ca="1">IF(KENKO[[#This Row],[//]]="","",INDEX([4]!db[NB PAJAK],KENKO[[#This Row],[stt]]-1))</f>
        <v/>
      </c>
      <c r="K83" s="8" t="str">
        <f>""</f>
        <v/>
      </c>
      <c r="L83" s="8" t="str">
        <f ca="1">IF(KENKO[[#This Row],[//]]="","",IF(INDEX([2]!NOTA[QTY],KENKO[//]-2)="",INDEX([2]!NOTA[C],KENKO[//]-2),INDEX([2]!NOTA[QTY],KENKO[//]-2)))</f>
        <v/>
      </c>
      <c r="M83" s="8" t="str">
        <f ca="1">IF(KENKO[[#This Row],[//]]="","",IF(INDEX([2]!NOTA[STN],KENKO[//]-2)="","CTN",INDEX([2]!NOTA[STN],KENKO[//]-2)))</f>
        <v/>
      </c>
      <c r="N83" s="17" t="str">
        <f ca="1">IF(KENKO[[#This Row],[//]]="","",IF(INDEX([2]!NOTA[HARGA/ CTN],KENKO[[#This Row],[//]]-2)="",INDEX([2]!NOTA[HARGA SATUAN],KENKO[//]-2),INDEX([2]!NOTA[HARGA/ CTN],KENKO[[#This Row],[//]]-2)))</f>
        <v/>
      </c>
      <c r="O83" s="19" t="str">
        <f ca="1">IF(KENKO[[#This Row],[//]]="","",IF(INDEX([2]!NOTA[DISC 2],KENKO[[#This Row],[//]]-2)=0,"",INDEX([2]!NOTA[DISC 2],KENKO[[#This Row],[//]]-2)))</f>
        <v/>
      </c>
      <c r="P83" s="19"/>
      <c r="Q8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16" t="str">
        <f ca="1">IF(KENKO[[#This Row],[//]]="","",INDEX([2]!NOTA[NAMA BARANG],KENKO[[#This Row],[//]]-2))</f>
        <v/>
      </c>
      <c r="V83" s="16" t="str">
        <f ca="1">LOWER(SUBSTITUTE(SUBSTITUTE(SUBSTITUTE(SUBSTITUTE(SUBSTITUTE(SUBSTITUTE(SUBSTITUTE(SUBSTITUTE(KENKO[[#This Row],[N.B.nota]]," ",""),"-",""),"(",""),")",""),".",""),",",""),"/",""),"""",""))</f>
        <v/>
      </c>
      <c r="W83" s="8" t="str">
        <f ca="1">IF(KENKO[[#This Row],[concat]]="","",MATCH(KENKO[[#This Row],[concat]],[4]!db[NB NOTA_C],0)+1)</f>
        <v/>
      </c>
      <c r="X83" s="16" t="str">
        <f ca="1">IF(KENKO[[#This Row],[N.B.nota]]="","",ADDRESS(ROW(KENKO[QB]),COLUMN(KENKO[QB]))&amp;":"&amp;ADDRESS(ROW(),COLUMN(KENKO[QB])))</f>
        <v/>
      </c>
      <c r="Y83" s="16" t="str">
        <f ca="1">IF(KENKO[[#This Row],[//]]="","",HYPERLINK("[..\\DB.xlsx]DB!e"&amp;KENKO[[#This Row],[stt]],"&gt;"))</f>
        <v/>
      </c>
      <c r="Z83" s="4" t="str">
        <f ca="1">IF(KENKO[[#This Row],[//]]="","",IF(KENKO[[#This Row],[ID NOTA]]="",Z82,KENKO[[#This Row],[ID NOTA]]))</f>
        <v/>
      </c>
    </row>
    <row r="84" spans="1:26" ht="15" customHeight="1" x14ac:dyDescent="0.25">
      <c r="A84" s="2" t="s">
        <v>119</v>
      </c>
      <c r="B84" s="8">
        <f ca="1">IF(KENKO[[#This Row],[N_ID]]="","",INDEX(Table1[ID],MATCH(KENKO[[#This Row],[N_ID]],Table1[N_ID],0)))</f>
        <v>57</v>
      </c>
      <c r="C84" s="8" t="str">
        <f ca="1">IF(KENKO[[#This Row],[ID NOTA]]="","",HYPERLINK("[NOTA_.xlsx]NOTA!e"&amp;INDEX([2]!PAJAK[//],MATCH(KENKO[[#This Row],[ID NOTA]],[2]!PAJAK[ID],0)),"&gt;") )</f>
        <v>&gt;</v>
      </c>
      <c r="D84" s="8">
        <f ca="1">IF(KENKO[[#This Row],[ID NOTA]]="","",INDEX(Table1[QB],MATCH(KENKO[[#This Row],[ID NOTA]],Table1[ID],0)))</f>
        <v>5</v>
      </c>
      <c r="E8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298</v>
      </c>
      <c r="F84" s="8">
        <v>13</v>
      </c>
      <c r="G84" s="9">
        <f ca="1">IF(KENKO[[#This Row],[ID NOTA]]="","",INDEX([2]!NOTA[TGL_H],MATCH(KENKO[[#This Row],[ID NOTA]],[2]!NOTA[ID],0)))</f>
        <v>44819</v>
      </c>
      <c r="H84" s="9">
        <f ca="1">IF(KENKO[[#This Row],[ID NOTA]]="","",INDEX([2]!NOTA[TGL.NOTA],MATCH(KENKO[[#This Row],[ID NOTA]],[2]!NOTA[ID],0)))</f>
        <v>44816</v>
      </c>
      <c r="I84" s="16" t="str">
        <f ca="1">IF(KENKO[[#This Row],[ID NOTA]]="","",INDEX([2]!NOTA[NO.NOTA],MATCH(KENKO[[#This Row],[ID NOTA]],[2]!NOTA[ID],0)))</f>
        <v>22090926</v>
      </c>
      <c r="J84" s="16" t="str">
        <f ca="1">IF(KENKO[[#This Row],[//]]="","",INDEX([4]!db[NB PAJAK],KENKO[[#This Row],[stt]]-1))</f>
        <v>GEL PEN KENKO KE-100</v>
      </c>
      <c r="K84" s="8" t="str">
        <f>""</f>
        <v/>
      </c>
      <c r="L84" s="8">
        <f ca="1">IF(KENKO[[#This Row],[//]]="","",IF(INDEX([2]!NOTA[QTY],KENKO[//]-2)="",INDEX([2]!NOTA[C],KENKO[//]-2),INDEX([2]!NOTA[QTY],KENKO[//]-2)))</f>
        <v>1</v>
      </c>
      <c r="M84" s="8" t="str">
        <f ca="1">IF(KENKO[[#This Row],[//]]="","",IF(INDEX([2]!NOTA[STN],KENKO[//]-2)="","CTN",INDEX([2]!NOTA[STN],KENKO[//]-2)))</f>
        <v>CTN</v>
      </c>
      <c r="N84" s="17">
        <f ca="1">IF(KENKO[[#This Row],[//]]="","",IF(INDEX([2]!NOTA[HARGA/ CTN],KENKO[[#This Row],[//]]-2)="",INDEX([2]!NOTA[HARGA SATUAN],KENKO[//]-2),INDEX([2]!NOTA[HARGA/ CTN],KENKO[[#This Row],[//]]-2)))</f>
        <v>2764800</v>
      </c>
      <c r="O84" s="19" t="str">
        <f ca="1">IF(KENKO[[#This Row],[//]]="","",IF(INDEX([2]!NOTA[DISC 2],KENKO[[#This Row],[//]]-2)=0,"",INDEX([2]!NOTA[DISC 2],KENKO[[#This Row],[//]]-2)))</f>
        <v/>
      </c>
      <c r="P84" s="19"/>
      <c r="Q84" s="10">
        <f ca="1">IF(KENKO[[#This Row],[//]]="","",INDEX([2]!NOTA[JUMLAH],KENKO[[#This Row],[//]]-2)-IF(ISNUMBER(KENKO[[#This Row],[DISC 1 (%)]]),INDEX([2]!NOTA[JUMLAH],KENKO[[#This Row],[//]]-2)*KENKO[[#This Row],[DISC 1 (%)]],0))</f>
        <v>2764800</v>
      </c>
      <c r="R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16" t="str">
        <f ca="1">IF(KENKO[[#This Row],[//]]="","",INDEX([2]!NOTA[NAMA BARANG],KENKO[[#This Row],[//]]-2))</f>
        <v>KENKO GEL PEN KE-100 BLACK</v>
      </c>
      <c r="V84" s="16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84" s="8">
        <f ca="1">IF(KENKO[[#This Row],[concat]]="","",MATCH(KENKO[[#This Row],[concat]],[4]!db[NB NOTA_C],0)+1)</f>
        <v>1118</v>
      </c>
      <c r="X84" s="16" t="str">
        <f ca="1">IF(KENKO[[#This Row],[N.B.nota]]="","",ADDRESS(ROW(KENKO[QB]),COLUMN(KENKO[QB]))&amp;":"&amp;ADDRESS(ROW(),COLUMN(KENKO[QB])))</f>
        <v>$D$3:$D$84</v>
      </c>
      <c r="Y84" s="16" t="str">
        <f ca="1">IF(KENKO[[#This Row],[//]]="","",HYPERLINK("[..\\DB.xlsx]DB!e"&amp;KENKO[[#This Row],[stt]],"&gt;"))</f>
        <v>&gt;</v>
      </c>
      <c r="Z84" s="4">
        <f ca="1">IF(KENKO[[#This Row],[//]]="","",IF(KENKO[[#This Row],[ID NOTA]]="",Z83,KENKO[[#This Row],[ID NOTA]]))</f>
        <v>57</v>
      </c>
    </row>
    <row r="85" spans="1:26" ht="15" customHeight="1" x14ac:dyDescent="0.25">
      <c r="A85" s="2"/>
      <c r="B85" s="8" t="str">
        <f>IF(KENKO[[#This Row],[N_ID]]="","",INDEX(Table1[ID],MATCH(KENKO[[#This Row],[N_ID]],Table1[N_ID],0)))</f>
        <v/>
      </c>
      <c r="C85" s="8" t="str">
        <f>IF(KENKO[[#This Row],[ID NOTA]]="","",HYPERLINK("[NOTA_.xlsx]NOTA!e"&amp;INDEX([2]!PAJAK[//],MATCH(KENKO[[#This Row],[ID NOTA]],[2]!PAJAK[ID],0)),"&gt;") )</f>
        <v/>
      </c>
      <c r="D85" s="8" t="str">
        <f>IF(KENKO[[#This Row],[ID NOTA]]="","",INDEX(Table1[QB],MATCH(KENKO[[#This Row],[ID NOTA]],Table1[ID],0)))</f>
        <v/>
      </c>
      <c r="E8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299</v>
      </c>
      <c r="F85" s="8"/>
      <c r="G85" s="9" t="str">
        <f>IF(KENKO[[#This Row],[ID NOTA]]="","",INDEX([2]!NOTA[TGL_H],MATCH(KENKO[[#This Row],[ID NOTA]],[2]!NOTA[ID],0)))</f>
        <v/>
      </c>
      <c r="H85" s="9" t="str">
        <f>IF(KENKO[[#This Row],[ID NOTA]]="","",INDEX([2]!NOTA[TGL.NOTA],MATCH(KENKO[[#This Row],[ID NOTA]],[2]!NOTA[ID],0)))</f>
        <v/>
      </c>
      <c r="I85" s="16" t="str">
        <f>IF(KENKO[[#This Row],[ID NOTA]]="","",INDEX([2]!NOTA[NO.NOTA],MATCH(KENKO[[#This Row],[ID NOTA]],[2]!NOTA[ID],0)))</f>
        <v/>
      </c>
      <c r="J85" s="16" t="str">
        <f ca="1">IF(KENKO[[#This Row],[//]]="","",INDEX([4]!db[NB PAJAK],KENKO[[#This Row],[stt]]-1))</f>
        <v>CORRECTION FLUID KENKO KE-823M</v>
      </c>
      <c r="K85" s="8" t="str">
        <f>""</f>
        <v/>
      </c>
      <c r="L85" s="8">
        <f ca="1">IF(KENKO[[#This Row],[//]]="","",IF(INDEX([2]!NOTA[QTY],KENKO[//]-2)="",INDEX([2]!NOTA[C],KENKO[//]-2),INDEX([2]!NOTA[QTY],KENKO[//]-2)))</f>
        <v>1</v>
      </c>
      <c r="M85" s="8" t="str">
        <f ca="1">IF(KENKO[[#This Row],[//]]="","",IF(INDEX([2]!NOTA[STN],KENKO[//]-2)="","CTN",INDEX([2]!NOTA[STN],KENKO[//]-2)))</f>
        <v>CTN</v>
      </c>
      <c r="N85" s="17">
        <f ca="1">IF(KENKO[[#This Row],[//]]="","",IF(INDEX([2]!NOTA[HARGA/ CTN],KENKO[[#This Row],[//]]-2)="",INDEX([2]!NOTA[HARGA SATUAN],KENKO[//]-2),INDEX([2]!NOTA[HARGA/ CTN],KENKO[[#This Row],[//]]-2)))</f>
        <v>2052000</v>
      </c>
      <c r="O85" s="19" t="str">
        <f ca="1">IF(KENKO[[#This Row],[//]]="","",IF(INDEX([2]!NOTA[DISC 2],KENKO[[#This Row],[//]]-2)=0,"",INDEX([2]!NOTA[DISC 2],KENKO[[#This Row],[//]]-2)))</f>
        <v/>
      </c>
      <c r="P85" s="19"/>
      <c r="Q85" s="10">
        <f ca="1">IF(KENKO[[#This Row],[//]]="","",INDEX([2]!NOTA[JUMLAH],KENKO[[#This Row],[//]]-2)-IF(ISNUMBER(KENKO[[#This Row],[DISC 1 (%)]]),INDEX([2]!NOTA[JUMLAH],KENKO[[#This Row],[//]]-2)*KENKO[[#This Row],[DISC 1 (%)]],0))</f>
        <v>2052000</v>
      </c>
      <c r="R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16" t="str">
        <f ca="1">IF(KENKO[[#This Row],[//]]="","",INDEX([2]!NOTA[NAMA BARANG],KENKO[[#This Row],[//]]-2))</f>
        <v>KENKO CORRECTION FLUID KE-823 M</v>
      </c>
      <c r="V85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85" s="8">
        <f ca="1">IF(KENKO[[#This Row],[concat]]="","",MATCH(KENKO[[#This Row],[concat]],[4]!db[NB NOTA_C],0)+1)</f>
        <v>1059</v>
      </c>
      <c r="X85" s="16" t="str">
        <f ca="1">IF(KENKO[[#This Row],[N.B.nota]]="","",ADDRESS(ROW(KENKO[QB]),COLUMN(KENKO[QB]))&amp;":"&amp;ADDRESS(ROW(),COLUMN(KENKO[QB])))</f>
        <v>$D$3:$D$85</v>
      </c>
      <c r="Y85" s="16" t="str">
        <f ca="1">IF(KENKO[[#This Row],[//]]="","",HYPERLINK("[..\\DB.xlsx]DB!e"&amp;KENKO[[#This Row],[stt]],"&gt;"))</f>
        <v>&gt;</v>
      </c>
      <c r="Z85" s="4">
        <f ca="1">IF(KENKO[[#This Row],[//]]="","",IF(KENKO[[#This Row],[ID NOTA]]="",Z84,KENKO[[#This Row],[ID NOTA]]))</f>
        <v>57</v>
      </c>
    </row>
    <row r="86" spans="1:26" ht="15" customHeight="1" x14ac:dyDescent="0.25">
      <c r="A86" s="2"/>
      <c r="B86" s="8" t="str">
        <f>IF(KENKO[[#This Row],[N_ID]]="","",INDEX(Table1[ID],MATCH(KENKO[[#This Row],[N_ID]],Table1[N_ID],0)))</f>
        <v/>
      </c>
      <c r="C86" s="8" t="str">
        <f>IF(KENKO[[#This Row],[ID NOTA]]="","",HYPERLINK("[NOTA_.xlsx]NOTA!e"&amp;INDEX([2]!PAJAK[//],MATCH(KENKO[[#This Row],[ID NOTA]],[2]!PAJAK[ID],0)),"&gt;") )</f>
        <v/>
      </c>
      <c r="D86" s="8" t="str">
        <f>IF(KENKO[[#This Row],[ID NOTA]]="","",INDEX(Table1[QB],MATCH(KENKO[[#This Row],[ID NOTA]],Table1[ID],0)))</f>
        <v/>
      </c>
      <c r="E8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300</v>
      </c>
      <c r="F86" s="8"/>
      <c r="G86" s="9" t="str">
        <f>IF(KENKO[[#This Row],[ID NOTA]]="","",INDEX([2]!NOTA[TGL_H],MATCH(KENKO[[#This Row],[ID NOTA]],[2]!NOTA[ID],0)))</f>
        <v/>
      </c>
      <c r="H86" s="9" t="str">
        <f>IF(KENKO[[#This Row],[ID NOTA]]="","",INDEX([2]!NOTA[TGL.NOTA],MATCH(KENKO[[#This Row],[ID NOTA]],[2]!NOTA[ID],0)))</f>
        <v/>
      </c>
      <c r="I86" s="16" t="str">
        <f>IF(KENKO[[#This Row],[ID NOTA]]="","",INDEX([2]!NOTA[NO.NOTA],MATCH(KENKO[[#This Row],[ID NOTA]],[2]!NOTA[ID],0)))</f>
        <v/>
      </c>
      <c r="J86" s="16" t="str">
        <f ca="1">IF(KENKO[[#This Row],[//]]="","",INDEX([4]!db[NB PAJAK],KENKO[[#This Row],[stt]]-1))</f>
        <v>STAPLER KENKO HD-10</v>
      </c>
      <c r="K86" s="8" t="str">
        <f>""</f>
        <v/>
      </c>
      <c r="L86" s="8">
        <f ca="1">IF(KENKO[[#This Row],[//]]="","",IF(INDEX([2]!NOTA[QTY],KENKO[//]-2)="",INDEX([2]!NOTA[C],KENKO[//]-2),INDEX([2]!NOTA[QTY],KENKO[//]-2)))</f>
        <v>5</v>
      </c>
      <c r="M86" s="8" t="str">
        <f ca="1">IF(KENKO[[#This Row],[//]]="","",IF(INDEX([2]!NOTA[STN],KENKO[//]-2)="","CTN",INDEX([2]!NOTA[STN],KENKO[//]-2)))</f>
        <v>CTN</v>
      </c>
      <c r="N86" s="17">
        <f ca="1">IF(KENKO[[#This Row],[//]]="","",IF(INDEX([2]!NOTA[HARGA/ CTN],KENKO[[#This Row],[//]]-2)="",INDEX([2]!NOTA[HARGA SATUAN],KENKO[//]-2),INDEX([2]!NOTA[HARGA/ CTN],KENKO[[#This Row],[//]]-2)))</f>
        <v>1740000</v>
      </c>
      <c r="O86" s="19" t="str">
        <f ca="1">IF(KENKO[[#This Row],[//]]="","",IF(INDEX([2]!NOTA[DISC 2],KENKO[[#This Row],[//]]-2)=0,"",INDEX([2]!NOTA[DISC 2],KENKO[[#This Row],[//]]-2)))</f>
        <v/>
      </c>
      <c r="P86" s="19"/>
      <c r="Q86" s="10">
        <f ca="1">IF(KENKO[[#This Row],[//]]="","",INDEX([2]!NOTA[JUMLAH],KENKO[[#This Row],[//]]-2)-IF(ISNUMBER(KENKO[[#This Row],[DISC 1 (%)]]),INDEX([2]!NOTA[JUMLAH],KENKO[[#This Row],[//]]-2)*KENKO[[#This Row],[DISC 1 (%)]],0))</f>
        <v>8700000</v>
      </c>
      <c r="R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16" t="str">
        <f ca="1">IF(KENKO[[#This Row],[//]]="","",INDEX([2]!NOTA[NAMA BARANG],KENKO[[#This Row],[//]]-2))</f>
        <v>KENKO STAPLER HD-10</v>
      </c>
      <c r="V86" s="16" t="str">
        <f ca="1">LOWER(SUBSTITUTE(SUBSTITUTE(SUBSTITUTE(SUBSTITUTE(SUBSTITUTE(SUBSTITUTE(SUBSTITUTE(SUBSTITUTE(KENKO[[#This Row],[N.B.nota]]," ",""),"-",""),"(",""),")",""),".",""),",",""),"/",""),"""",""))</f>
        <v>kenkostaplerhd10</v>
      </c>
      <c r="W86" s="8">
        <f ca="1">IF(KENKO[[#This Row],[concat]]="","",MATCH(KENKO[[#This Row],[concat]],[4]!db[NB NOTA_C],0)+1)</f>
        <v>1240</v>
      </c>
      <c r="X86" s="16" t="str">
        <f ca="1">IF(KENKO[[#This Row],[N.B.nota]]="","",ADDRESS(ROW(KENKO[QB]),COLUMN(KENKO[QB]))&amp;":"&amp;ADDRESS(ROW(),COLUMN(KENKO[QB])))</f>
        <v>$D$3:$D$86</v>
      </c>
      <c r="Y86" s="16" t="str">
        <f ca="1">IF(KENKO[[#This Row],[//]]="","",HYPERLINK("[..\\DB.xlsx]DB!e"&amp;KENKO[[#This Row],[stt]],"&gt;"))</f>
        <v>&gt;</v>
      </c>
      <c r="Z86" s="4">
        <f ca="1">IF(KENKO[[#This Row],[//]]="","",IF(KENKO[[#This Row],[ID NOTA]]="",Z85,KENKO[[#This Row],[ID NOTA]]))</f>
        <v>57</v>
      </c>
    </row>
    <row r="87" spans="1:26" ht="15" customHeight="1" x14ac:dyDescent="0.25">
      <c r="A87" s="2"/>
      <c r="B87" s="8" t="str">
        <f>IF(KENKO[[#This Row],[N_ID]]="","",INDEX(Table1[ID],MATCH(KENKO[[#This Row],[N_ID]],Table1[N_ID],0)))</f>
        <v/>
      </c>
      <c r="C87" s="8" t="str">
        <f>IF(KENKO[[#This Row],[ID NOTA]]="","",HYPERLINK("[NOTA_.xlsx]NOTA!e"&amp;INDEX([2]!PAJAK[//],MATCH(KENKO[[#This Row],[ID NOTA]],[2]!PAJAK[ID],0)),"&gt;") )</f>
        <v/>
      </c>
      <c r="D87" s="8" t="str">
        <f>IF(KENKO[[#This Row],[ID NOTA]]="","",INDEX(Table1[QB],MATCH(KENKO[[#This Row],[ID NOTA]],Table1[ID],0)))</f>
        <v/>
      </c>
      <c r="E8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301</v>
      </c>
      <c r="F87" s="8"/>
      <c r="G87" s="9" t="str">
        <f>IF(KENKO[[#This Row],[ID NOTA]]="","",INDEX([2]!NOTA[TGL_H],MATCH(KENKO[[#This Row],[ID NOTA]],[2]!NOTA[ID],0)))</f>
        <v/>
      </c>
      <c r="H87" s="9" t="str">
        <f>IF(KENKO[[#This Row],[ID NOTA]]="","",INDEX([2]!NOTA[TGL.NOTA],MATCH(KENKO[[#This Row],[ID NOTA]],[2]!NOTA[ID],0)))</f>
        <v/>
      </c>
      <c r="I87" s="16" t="str">
        <f>IF(KENKO[[#This Row],[ID NOTA]]="","",INDEX([2]!NOTA[NO.NOTA],MATCH(KENKO[[#This Row],[ID NOTA]],[2]!NOTA[ID],0)))</f>
        <v/>
      </c>
      <c r="J87" s="66" t="str">
        <f ca="1">IF(KENKO[[#This Row],[//]]="","",INDEX([4]!db[NB PAJAK],KENKO[[#This Row],[stt]]-1))</f>
        <v>GEL PEN KENKO 0.28MM MICROTEC HITAM</v>
      </c>
      <c r="K87" s="8" t="str">
        <f>""</f>
        <v/>
      </c>
      <c r="L87" s="8">
        <f ca="1">IF(KENKO[[#This Row],[//]]="","",IF(INDEX([2]!NOTA[QTY],KENKO[//]-2)="",INDEX([2]!NOTA[C],KENKO[//]-2),INDEX([2]!NOTA[QTY],KENKO[//]-2)))</f>
        <v>1</v>
      </c>
      <c r="M87" s="8" t="str">
        <f ca="1">IF(KENKO[[#This Row],[//]]="","",IF(INDEX([2]!NOTA[STN],KENKO[//]-2)="","CTN",INDEX([2]!NOTA[STN],KENKO[//]-2)))</f>
        <v>CTN</v>
      </c>
      <c r="N87" s="17">
        <f ca="1">IF(KENKO[[#This Row],[//]]="","",IF(INDEX([2]!NOTA[HARGA/ CTN],KENKO[[#This Row],[//]]-2)="",INDEX([2]!NOTA[HARGA SATUAN],KENKO[//]-2),INDEX([2]!NOTA[HARGA/ CTN],KENKO[[#This Row],[//]]-2)))</f>
        <v>5702400</v>
      </c>
      <c r="O87" s="19" t="str">
        <f ca="1">IF(KENKO[[#This Row],[//]]="","",IF(INDEX([2]!NOTA[DISC 2],KENKO[[#This Row],[//]]-2)=0,"",INDEX([2]!NOTA[DISC 2],KENKO[[#This Row],[//]]-2)))</f>
        <v/>
      </c>
      <c r="P87" s="19"/>
      <c r="Q87" s="10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16" t="str">
        <f ca="1">IF(KENKO[[#This Row],[//]]="","",INDEX([2]!NOTA[NAMA BARANG],KENKO[[#This Row],[//]]-2))</f>
        <v>KENKO GEL PEN MICROTEC 0.28MM BLACK</v>
      </c>
      <c r="V87" s="16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87" s="8">
        <f ca="1">IF(KENKO[[#This Row],[concat]]="","",MATCH(KENKO[[#This Row],[concat]],[4]!db[NB NOTA_C],0)+1)</f>
        <v>1125</v>
      </c>
      <c r="X87" s="16" t="str">
        <f ca="1">IF(KENKO[[#This Row],[N.B.nota]]="","",ADDRESS(ROW(KENKO[QB]),COLUMN(KENKO[QB]))&amp;":"&amp;ADDRESS(ROW(),COLUMN(KENKO[QB])))</f>
        <v>$D$3:$D$87</v>
      </c>
      <c r="Y87" s="16" t="str">
        <f ca="1">IF(KENKO[[#This Row],[//]]="","",HYPERLINK("[..\\DB.xlsx]DB!e"&amp;KENKO[[#This Row],[stt]],"&gt;"))</f>
        <v>&gt;</v>
      </c>
      <c r="Z87" s="4">
        <f ca="1">IF(KENKO[[#This Row],[//]]="","",IF(KENKO[[#This Row],[ID NOTA]]="",Z86,KENKO[[#This Row],[ID NOTA]]))</f>
        <v>57</v>
      </c>
    </row>
    <row r="88" spans="1:26" ht="15" customHeight="1" x14ac:dyDescent="0.25">
      <c r="A88" s="2"/>
      <c r="B88" s="8" t="str">
        <f>IF(KENKO[[#This Row],[N_ID]]="","",INDEX(Table1[ID],MATCH(KENKO[[#This Row],[N_ID]],Table1[N_ID],0)))</f>
        <v/>
      </c>
      <c r="C88" s="8" t="str">
        <f>IF(KENKO[[#This Row],[ID NOTA]]="","",HYPERLINK("[NOTA_.xlsx]NOTA!e"&amp;INDEX([2]!PAJAK[//],MATCH(KENKO[[#This Row],[ID NOTA]],[2]!PAJAK[ID],0)),"&gt;") )</f>
        <v/>
      </c>
      <c r="D88" s="8" t="str">
        <f>IF(KENKO[[#This Row],[ID NOTA]]="","",INDEX(Table1[QB],MATCH(KENKO[[#This Row],[ID NOTA]],Table1[ID],0)))</f>
        <v/>
      </c>
      <c r="E8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302</v>
      </c>
      <c r="F88" s="8"/>
      <c r="G88" s="9" t="str">
        <f>IF(KENKO[[#This Row],[ID NOTA]]="","",INDEX([2]!NOTA[TGL_H],MATCH(KENKO[[#This Row],[ID NOTA]],[2]!NOTA[ID],0)))</f>
        <v/>
      </c>
      <c r="H88" s="9" t="str">
        <f>IF(KENKO[[#This Row],[ID NOTA]]="","",INDEX([2]!NOTA[TGL.NOTA],MATCH(KENKO[[#This Row],[ID NOTA]],[2]!NOTA[ID],0)))</f>
        <v/>
      </c>
      <c r="I88" s="16" t="str">
        <f>IF(KENKO[[#This Row],[ID NOTA]]="","",INDEX([2]!NOTA[NO.NOTA],MATCH(KENKO[[#This Row],[ID NOTA]],[2]!NOTA[ID],0)))</f>
        <v/>
      </c>
      <c r="J88" s="66" t="str">
        <f ca="1">IF(KENKO[[#This Row],[//]]="","",INDEX([4]!db[NB PAJAK],KENKO[[#This Row],[stt]]-1))</f>
        <v>GEL PEN KENKO 0.4MM MICROTEC HITAM</v>
      </c>
      <c r="K88" s="8" t="str">
        <f>""</f>
        <v/>
      </c>
      <c r="L88" s="8">
        <f ca="1">IF(KENKO[[#This Row],[//]]="","",IF(INDEX([2]!NOTA[QTY],KENKO[//]-2)="",INDEX([2]!NOTA[C],KENKO[//]-2),INDEX([2]!NOTA[QTY],KENKO[//]-2)))</f>
        <v>1</v>
      </c>
      <c r="M88" s="8" t="str">
        <f ca="1">IF(KENKO[[#This Row],[//]]="","",IF(INDEX([2]!NOTA[STN],KENKO[//]-2)="","CTN",INDEX([2]!NOTA[STN],KENKO[//]-2)))</f>
        <v>CTN</v>
      </c>
      <c r="N88" s="17">
        <f ca="1">IF(KENKO[[#This Row],[//]]="","",IF(INDEX([2]!NOTA[HARGA/ CTN],KENKO[[#This Row],[//]]-2)="",INDEX([2]!NOTA[HARGA SATUAN],KENKO[//]-2),INDEX([2]!NOTA[HARGA/ CTN],KENKO[[#This Row],[//]]-2)))</f>
        <v>5702400</v>
      </c>
      <c r="O88" s="19" t="str">
        <f ca="1">IF(KENKO[[#This Row],[//]]="","",IF(INDEX([2]!NOTA[DISC 2],KENKO[[#This Row],[//]]-2)=0,"",INDEX([2]!NOTA[DISC 2],KENKO[[#This Row],[//]]-2)))</f>
        <v/>
      </c>
      <c r="P88" s="19"/>
      <c r="Q88" s="10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8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4236672</v>
      </c>
      <c r="S8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20684928</v>
      </c>
      <c r="T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16" t="str">
        <f ca="1">IF(KENKO[[#This Row],[//]]="","",INDEX([2]!NOTA[NAMA BARANG],KENKO[[#This Row],[//]]-2))</f>
        <v>KENKO GEL PEN MICROTEC 0.4MM BLACK</v>
      </c>
      <c r="V88" s="16" t="str">
        <f ca="1">LOWER(SUBSTITUTE(SUBSTITUTE(SUBSTITUTE(SUBSTITUTE(SUBSTITUTE(SUBSTITUTE(SUBSTITUTE(SUBSTITUTE(KENKO[[#This Row],[N.B.nota]]," ",""),"-",""),"(",""),")",""),".",""),",",""),"/",""),"""",""))</f>
        <v>kenkogelpenmicrotec04mmblack</v>
      </c>
      <c r="W88" s="8">
        <f ca="1">IF(KENKO[[#This Row],[concat]]="","",MATCH(KENKO[[#This Row],[concat]],[4]!db[NB NOTA_C],0)+1)</f>
        <v>1126</v>
      </c>
      <c r="X88" s="16" t="str">
        <f ca="1">IF(KENKO[[#This Row],[N.B.nota]]="","",ADDRESS(ROW(KENKO[QB]),COLUMN(KENKO[QB]))&amp;":"&amp;ADDRESS(ROW(),COLUMN(KENKO[QB])))</f>
        <v>$D$3:$D$88</v>
      </c>
      <c r="Y88" s="16" t="str">
        <f ca="1">IF(KENKO[[#This Row],[//]]="","",HYPERLINK("[..\\DB.xlsx]DB!e"&amp;KENKO[[#This Row],[stt]],"&gt;"))</f>
        <v>&gt;</v>
      </c>
      <c r="Z88" s="4">
        <f ca="1">IF(KENKO[[#This Row],[//]]="","",IF(KENKO[[#This Row],[ID NOTA]]="",Z87,KENKO[[#This Row],[ID NOTA]]))</f>
        <v>57</v>
      </c>
    </row>
    <row r="89" spans="1:26" ht="15" customHeight="1" x14ac:dyDescent="0.25">
      <c r="A89" s="2"/>
      <c r="B89" s="8" t="str">
        <f>IF(KENKO[[#This Row],[N_ID]]="","",INDEX(Table1[ID],MATCH(KENKO[[#This Row],[N_ID]],Table1[N_ID],0)))</f>
        <v/>
      </c>
      <c r="C89" s="8" t="str">
        <f>IF(KENKO[[#This Row],[ID NOTA]]="","",HYPERLINK("[NOTA_.xlsx]NOTA!e"&amp;INDEX([2]!PAJAK[//],MATCH(KENKO[[#This Row],[ID NOTA]],[2]!PAJAK[ID],0)),"&gt;") )</f>
        <v/>
      </c>
      <c r="D89" s="8" t="str">
        <f>IF(KENKO[[#This Row],[ID NOTA]]="","",INDEX(Table1[QB],MATCH(KENKO[[#This Row],[ID NOTA]],Table1[ID],0)))</f>
        <v/>
      </c>
      <c r="E8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9" s="8"/>
      <c r="G89" s="9" t="str">
        <f>IF(KENKO[[#This Row],[ID NOTA]]="","",INDEX([2]!NOTA[TGL_H],MATCH(KENKO[[#This Row],[ID NOTA]],[2]!NOTA[ID],0)))</f>
        <v/>
      </c>
      <c r="H89" s="9" t="str">
        <f>IF(KENKO[[#This Row],[ID NOTA]]="","",INDEX([2]!NOTA[TGL.NOTA],MATCH(KENKO[[#This Row],[ID NOTA]],[2]!NOTA[ID],0)))</f>
        <v/>
      </c>
      <c r="I89" s="16" t="str">
        <f>IF(KENKO[[#This Row],[ID NOTA]]="","",INDEX([2]!NOTA[NO.NOTA],MATCH(KENKO[[#This Row],[ID NOTA]],[2]!NOTA[ID],0)))</f>
        <v/>
      </c>
      <c r="J89" s="16" t="str">
        <f ca="1">IF(KENKO[[#This Row],[//]]="","",INDEX([4]!db[NB PAJAK],KENKO[[#This Row],[stt]]-1))</f>
        <v/>
      </c>
      <c r="K89" s="8" t="str">
        <f>""</f>
        <v/>
      </c>
      <c r="L89" s="8" t="str">
        <f ca="1">IF(KENKO[[#This Row],[//]]="","",IF(INDEX([2]!NOTA[QTY],KENKO[//]-2)="",INDEX([2]!NOTA[C],KENKO[//]-2),INDEX([2]!NOTA[QTY],KENKO[//]-2)))</f>
        <v/>
      </c>
      <c r="M89" s="8" t="str">
        <f ca="1">IF(KENKO[[#This Row],[//]]="","",IF(INDEX([2]!NOTA[STN],KENKO[//]-2)="","CTN",INDEX([2]!NOTA[STN],KENKO[//]-2)))</f>
        <v/>
      </c>
      <c r="N89" s="17" t="str">
        <f ca="1">IF(KENKO[[#This Row],[//]]="","",IF(INDEX([2]!NOTA[HARGA/ CTN],KENKO[[#This Row],[//]]-2)="",INDEX([2]!NOTA[HARGA SATUAN],KENKO[//]-2),INDEX([2]!NOTA[HARGA/ CTN],KENKO[[#This Row],[//]]-2)))</f>
        <v/>
      </c>
      <c r="O89" s="19" t="str">
        <f ca="1">IF(KENKO[[#This Row],[//]]="","",IF(INDEX([2]!NOTA[DISC 2],KENKO[[#This Row],[//]]-2)=0,"",INDEX([2]!NOTA[DISC 2],KENKO[[#This Row],[//]]-2)))</f>
        <v/>
      </c>
      <c r="P89" s="19"/>
      <c r="Q8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16" t="str">
        <f ca="1">IF(KENKO[[#This Row],[//]]="","",INDEX([2]!NOTA[NAMA BARANG],KENKO[[#This Row],[//]]-2))</f>
        <v/>
      </c>
      <c r="V89" s="16" t="str">
        <f ca="1">LOWER(SUBSTITUTE(SUBSTITUTE(SUBSTITUTE(SUBSTITUTE(SUBSTITUTE(SUBSTITUTE(SUBSTITUTE(SUBSTITUTE(KENKO[[#This Row],[N.B.nota]]," ",""),"-",""),"(",""),")",""),".",""),",",""),"/",""),"""",""))</f>
        <v/>
      </c>
      <c r="W89" s="8" t="str">
        <f ca="1">IF(KENKO[[#This Row],[concat]]="","",MATCH(KENKO[[#This Row],[concat]],[4]!db[NB NOTA_C],0)+1)</f>
        <v/>
      </c>
      <c r="X89" s="16" t="str">
        <f ca="1">IF(KENKO[[#This Row],[N.B.nota]]="","",ADDRESS(ROW(KENKO[QB]),COLUMN(KENKO[QB]))&amp;":"&amp;ADDRESS(ROW(),COLUMN(KENKO[QB])))</f>
        <v/>
      </c>
      <c r="Y89" s="16" t="str">
        <f ca="1">IF(KENKO[[#This Row],[//]]="","",HYPERLINK("[..\\DB.xlsx]DB!e"&amp;KENKO[[#This Row],[stt]],"&gt;"))</f>
        <v/>
      </c>
      <c r="Z89" s="4" t="str">
        <f ca="1">IF(KENKO[[#This Row],[//]]="","",IF(KENKO[[#This Row],[ID NOTA]]="",Z88,KENKO[[#This Row],[ID NOTA]]))</f>
        <v/>
      </c>
    </row>
    <row r="90" spans="1:26" ht="15" customHeight="1" x14ac:dyDescent="0.25">
      <c r="A90" s="2" t="s">
        <v>82</v>
      </c>
      <c r="B90" s="8">
        <f ca="1">IF(KENKO[[#This Row],[N_ID]]="","",INDEX(Table1[ID],MATCH(KENKO[[#This Row],[N_ID]],Table1[N_ID],0)))</f>
        <v>65</v>
      </c>
      <c r="C90" s="8" t="str">
        <f ca="1">IF(KENKO[[#This Row],[ID NOTA]]="","",HYPERLINK("[NOTA_.xlsx]NOTA!e"&amp;INDEX([2]!PAJAK[//],MATCH(KENKO[[#This Row],[ID NOTA]],[2]!PAJAK[ID],0)),"&gt;") )</f>
        <v>&gt;</v>
      </c>
      <c r="D90" s="8">
        <f ca="1">IF(KENKO[[#This Row],[ID NOTA]]="","",INDEX(Table1[QB],MATCH(KENKO[[#This Row],[ID NOTA]],Table1[ID],0)))</f>
        <v>2</v>
      </c>
      <c r="E9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347</v>
      </c>
      <c r="F90" s="8">
        <v>14</v>
      </c>
      <c r="G90" s="9">
        <f ca="1">IF(KENKO[[#This Row],[ID NOTA]]="","",INDEX([2]!NOTA[TGL_H],MATCH(KENKO[[#This Row],[ID NOTA]],[2]!NOTA[ID],0)))</f>
        <v>44820</v>
      </c>
      <c r="H90" s="9">
        <f ca="1">IF(KENKO[[#This Row],[ID NOTA]]="","",INDEX([2]!NOTA[TGL.NOTA],MATCH(KENKO[[#This Row],[ID NOTA]],[2]!NOTA[ID],0)))</f>
        <v>44818</v>
      </c>
      <c r="I90" s="16" t="str">
        <f ca="1">IF(KENKO[[#This Row],[ID NOTA]]="","",INDEX([2]!NOTA[NO.NOTA],MATCH(KENKO[[#This Row],[ID NOTA]],[2]!NOTA[ID],0)))</f>
        <v>22091090</v>
      </c>
      <c r="J90" s="16" t="str">
        <f ca="1">IF(KENKO[[#This Row],[//]]="","",INDEX([4]!db[NB PAJAK],KENKO[[#This Row],[stt]]-1))</f>
        <v>CORRECTION FLUID KENKO KE-823M</v>
      </c>
      <c r="K90" s="8" t="str">
        <f>""</f>
        <v/>
      </c>
      <c r="L90" s="8">
        <f ca="1">IF(KENKO[[#This Row],[//]]="","",IF(INDEX([2]!NOTA[QTY],KENKO[//]-2)="",INDEX([2]!NOTA[C],KENKO[//]-2),INDEX([2]!NOTA[QTY],KENKO[//]-2)))</f>
        <v>4</v>
      </c>
      <c r="M90" s="8" t="str">
        <f ca="1">IF(KENKO[[#This Row],[//]]="","",IF(INDEX([2]!NOTA[STN],KENKO[//]-2)="","CTN",INDEX([2]!NOTA[STN],KENKO[//]-2)))</f>
        <v>CTN</v>
      </c>
      <c r="N90" s="17">
        <f ca="1">IF(KENKO[[#This Row],[//]]="","",IF(INDEX([2]!NOTA[HARGA/ CTN],KENKO[[#This Row],[//]]-2)="",INDEX([2]!NOTA[HARGA SATUAN],KENKO[//]-2),INDEX([2]!NOTA[HARGA/ CTN],KENKO[[#This Row],[//]]-2)))</f>
        <v>2052000</v>
      </c>
      <c r="O90" s="19" t="str">
        <f ca="1">IF(KENKO[[#This Row],[//]]="","",IF(INDEX([2]!NOTA[DISC 2],KENKO[[#This Row],[//]]-2)=0,"",INDEX([2]!NOTA[DISC 2],KENKO[[#This Row],[//]]-2)))</f>
        <v/>
      </c>
      <c r="P90" s="19"/>
      <c r="Q90" s="10">
        <f ca="1">IF(KENKO[[#This Row],[//]]="","",INDEX([2]!NOTA[JUMLAH],KENKO[[#This Row],[//]]-2)-IF(ISNUMBER(KENKO[[#This Row],[DISC 1 (%)]]),INDEX([2]!NOTA[JUMLAH],KENKO[[#This Row],[//]]-2)*KENKO[[#This Row],[DISC 1 (%)]],0))</f>
        <v>8208000</v>
      </c>
      <c r="R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16" t="str">
        <f ca="1">IF(KENKO[[#This Row],[//]]="","",INDEX([2]!NOTA[NAMA BARANG],KENKO[[#This Row],[//]]-2))</f>
        <v>KENKO CORRECTION FLUID KE-823M</v>
      </c>
      <c r="V90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90" s="8">
        <f ca="1">IF(KENKO[[#This Row],[concat]]="","",MATCH(KENKO[[#This Row],[concat]],[4]!db[NB NOTA_C],0)+1)</f>
        <v>1059</v>
      </c>
      <c r="X90" s="16" t="str">
        <f ca="1">IF(KENKO[[#This Row],[N.B.nota]]="","",ADDRESS(ROW(KENKO[QB]),COLUMN(KENKO[QB]))&amp;":"&amp;ADDRESS(ROW(),COLUMN(KENKO[QB])))</f>
        <v>$D$3:$D$90</v>
      </c>
      <c r="Y90" s="16" t="str">
        <f ca="1">IF(KENKO[[#This Row],[//]]="","",HYPERLINK("[..\\DB.xlsx]DB!e"&amp;KENKO[[#This Row],[stt]],"&gt;"))</f>
        <v>&gt;</v>
      </c>
      <c r="Z90" s="4">
        <f ca="1">IF(KENKO[[#This Row],[//]]="","",IF(KENKO[[#This Row],[ID NOTA]]="",Z89,KENKO[[#This Row],[ID NOTA]]))</f>
        <v>65</v>
      </c>
    </row>
    <row r="91" spans="1:26" ht="15" customHeight="1" x14ac:dyDescent="0.25">
      <c r="A91" s="2"/>
      <c r="B91" s="8" t="str">
        <f>IF(KENKO[[#This Row],[N_ID]]="","",INDEX(Table1[ID],MATCH(KENKO[[#This Row],[N_ID]],Table1[N_ID],0)))</f>
        <v/>
      </c>
      <c r="C91" s="8" t="str">
        <f>IF(KENKO[[#This Row],[ID NOTA]]="","",HYPERLINK("[NOTA_.xlsx]NOTA!e"&amp;INDEX([2]!PAJAK[//],MATCH(KENKO[[#This Row],[ID NOTA]],[2]!PAJAK[ID],0)),"&gt;") )</f>
        <v/>
      </c>
      <c r="D91" s="8" t="str">
        <f>IF(KENKO[[#This Row],[ID NOTA]]="","",INDEX(Table1[QB],MATCH(KENKO[[#This Row],[ID NOTA]],Table1[ID],0)))</f>
        <v/>
      </c>
      <c r="E9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348</v>
      </c>
      <c r="F91" s="8"/>
      <c r="G91" s="9" t="str">
        <f>IF(KENKO[[#This Row],[ID NOTA]]="","",INDEX([2]!NOTA[TGL_H],MATCH(KENKO[[#This Row],[ID NOTA]],[2]!NOTA[ID],0)))</f>
        <v/>
      </c>
      <c r="H91" s="9" t="str">
        <f>IF(KENKO[[#This Row],[ID NOTA]]="","",INDEX([2]!NOTA[TGL.NOTA],MATCH(KENKO[[#This Row],[ID NOTA]],[2]!NOTA[ID],0)))</f>
        <v/>
      </c>
      <c r="I91" s="16" t="str">
        <f>IF(KENKO[[#This Row],[ID NOTA]]="","",INDEX([2]!NOTA[NO.NOTA],MATCH(KENKO[[#This Row],[ID NOTA]],[2]!NOTA[ID],0)))</f>
        <v/>
      </c>
      <c r="J91" s="16" t="str">
        <f ca="1">IF(KENKO[[#This Row],[//]]="","",INDEX([4]!db[NB PAJAK],KENKO[[#This Row],[stt]]-1))</f>
        <v>GEL PEN KENKO 0.28MM MICROTEC HITAM</v>
      </c>
      <c r="K91" s="8" t="str">
        <f>""</f>
        <v/>
      </c>
      <c r="L91" s="8">
        <f ca="1">IF(KENKO[[#This Row],[//]]="","",IF(INDEX([2]!NOTA[QTY],KENKO[//]-2)="",INDEX([2]!NOTA[C],KENKO[//]-2),INDEX([2]!NOTA[QTY],KENKO[//]-2)))</f>
        <v>1</v>
      </c>
      <c r="M91" s="8" t="str">
        <f ca="1">IF(KENKO[[#This Row],[//]]="","",IF(INDEX([2]!NOTA[STN],KENKO[//]-2)="","CTN",INDEX([2]!NOTA[STN],KENKO[//]-2)))</f>
        <v>CTN</v>
      </c>
      <c r="N91" s="17">
        <f ca="1">IF(KENKO[[#This Row],[//]]="","",IF(INDEX([2]!NOTA[HARGA/ CTN],KENKO[[#This Row],[//]]-2)="",INDEX([2]!NOTA[HARGA SATUAN],KENKO[//]-2),INDEX([2]!NOTA[HARGA/ CTN],KENKO[[#This Row],[//]]-2)))</f>
        <v>5702400</v>
      </c>
      <c r="O91" s="19" t="str">
        <f ca="1">IF(KENKO[[#This Row],[//]]="","",IF(INDEX([2]!NOTA[DISC 2],KENKO[[#This Row],[//]]-2)=0,"",INDEX([2]!NOTA[DISC 2],KENKO[[#This Row],[//]]-2)))</f>
        <v/>
      </c>
      <c r="P91" s="19"/>
      <c r="Q91" s="10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9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2364768</v>
      </c>
      <c r="S9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11545632</v>
      </c>
      <c r="T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16" t="str">
        <f ca="1">IF(KENKO[[#This Row],[//]]="","",INDEX([2]!NOTA[NAMA BARANG],KENKO[[#This Row],[//]]-2))</f>
        <v>KENKO GEL PEN MICROTEC 0.28MM BLACK</v>
      </c>
      <c r="V91" s="16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91" s="8">
        <f ca="1">IF(KENKO[[#This Row],[concat]]="","",MATCH(KENKO[[#This Row],[concat]],[4]!db[NB NOTA_C],0)+1)</f>
        <v>1125</v>
      </c>
      <c r="X91" s="16" t="str">
        <f ca="1">IF(KENKO[[#This Row],[N.B.nota]]="","",ADDRESS(ROW(KENKO[QB]),COLUMN(KENKO[QB]))&amp;":"&amp;ADDRESS(ROW(),COLUMN(KENKO[QB])))</f>
        <v>$D$3:$D$91</v>
      </c>
      <c r="Y91" s="16" t="str">
        <f ca="1">IF(KENKO[[#This Row],[//]]="","",HYPERLINK("[..\\DB.xlsx]DB!e"&amp;KENKO[[#This Row],[stt]],"&gt;"))</f>
        <v>&gt;</v>
      </c>
      <c r="Z91" s="4">
        <f ca="1">IF(KENKO[[#This Row],[//]]="","",IF(KENKO[[#This Row],[ID NOTA]]="",Z90,KENKO[[#This Row],[ID NOTA]]))</f>
        <v>65</v>
      </c>
    </row>
    <row r="92" spans="1:26" ht="15" customHeight="1" x14ac:dyDescent="0.25">
      <c r="A92" s="2"/>
      <c r="B92" s="8" t="str">
        <f>IF(KENKO[[#This Row],[N_ID]]="","",INDEX(Table1[ID],MATCH(KENKO[[#This Row],[N_ID]],Table1[N_ID],0)))</f>
        <v/>
      </c>
      <c r="C92" s="8" t="str">
        <f>IF(KENKO[[#This Row],[ID NOTA]]="","",HYPERLINK("[NOTA_.xlsx]NOTA!e"&amp;INDEX([2]!PAJAK[//],MATCH(KENKO[[#This Row],[ID NOTA]],[2]!PAJAK[ID],0)),"&gt;") )</f>
        <v/>
      </c>
      <c r="D92" s="8" t="str">
        <f>IF(KENKO[[#This Row],[ID NOTA]]="","",INDEX(Table1[QB],MATCH(KENKO[[#This Row],[ID NOTA]],Table1[ID],0)))</f>
        <v/>
      </c>
      <c r="E9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2" s="8"/>
      <c r="G92" s="9" t="str">
        <f>IF(KENKO[[#This Row],[ID NOTA]]="","",INDEX([2]!NOTA[TGL_H],MATCH(KENKO[[#This Row],[ID NOTA]],[2]!NOTA[ID],0)))</f>
        <v/>
      </c>
      <c r="H92" s="9" t="str">
        <f>IF(KENKO[[#This Row],[ID NOTA]]="","",INDEX([2]!NOTA[TGL.NOTA],MATCH(KENKO[[#This Row],[ID NOTA]],[2]!NOTA[ID],0)))</f>
        <v/>
      </c>
      <c r="I92" s="16" t="str">
        <f>IF(KENKO[[#This Row],[ID NOTA]]="","",INDEX([2]!NOTA[NO.NOTA],MATCH(KENKO[[#This Row],[ID NOTA]],[2]!NOTA[ID],0)))</f>
        <v/>
      </c>
      <c r="J92" s="16" t="str">
        <f ca="1">IF(KENKO[[#This Row],[//]]="","",INDEX([4]!db[NB PAJAK],KENKO[[#This Row],[stt]]-1))</f>
        <v/>
      </c>
      <c r="K92" s="8" t="str">
        <f>""</f>
        <v/>
      </c>
      <c r="L92" s="8" t="str">
        <f ca="1">IF(KENKO[[#This Row],[//]]="","",IF(INDEX([2]!NOTA[QTY],KENKO[//]-2)="",INDEX([2]!NOTA[C],KENKO[//]-2),INDEX([2]!NOTA[QTY],KENKO[//]-2)))</f>
        <v/>
      </c>
      <c r="M92" s="8" t="str">
        <f ca="1">IF(KENKO[[#This Row],[//]]="","",IF(INDEX([2]!NOTA[STN],KENKO[//]-2)="","CTN",INDEX([2]!NOTA[STN],KENKO[//]-2)))</f>
        <v/>
      </c>
      <c r="N92" s="17" t="str">
        <f ca="1">IF(KENKO[[#This Row],[//]]="","",IF(INDEX([2]!NOTA[HARGA/ CTN],KENKO[[#This Row],[//]]-2)="",INDEX([2]!NOTA[HARGA SATUAN],KENKO[//]-2),INDEX([2]!NOTA[HARGA/ CTN],KENKO[[#This Row],[//]]-2)))</f>
        <v/>
      </c>
      <c r="O92" s="19" t="str">
        <f ca="1">IF(KENKO[[#This Row],[//]]="","",IF(INDEX([2]!NOTA[DISC 2],KENKO[[#This Row],[//]]-2)=0,"",INDEX([2]!NOTA[DISC 2],KENKO[[#This Row],[//]]-2)))</f>
        <v/>
      </c>
      <c r="P92" s="19"/>
      <c r="Q9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16" t="str">
        <f ca="1">IF(KENKO[[#This Row],[//]]="","",INDEX([2]!NOTA[NAMA BARANG],KENKO[[#This Row],[//]]-2))</f>
        <v/>
      </c>
      <c r="V92" s="16" t="str">
        <f ca="1">LOWER(SUBSTITUTE(SUBSTITUTE(SUBSTITUTE(SUBSTITUTE(SUBSTITUTE(SUBSTITUTE(SUBSTITUTE(SUBSTITUTE(KENKO[[#This Row],[N.B.nota]]," ",""),"-",""),"(",""),")",""),".",""),",",""),"/",""),"""",""))</f>
        <v/>
      </c>
      <c r="W92" s="8" t="str">
        <f ca="1">IF(KENKO[[#This Row],[concat]]="","",MATCH(KENKO[[#This Row],[concat]],[4]!db[NB NOTA_C],0)+1)</f>
        <v/>
      </c>
      <c r="X92" s="16" t="str">
        <f ca="1">IF(KENKO[[#This Row],[N.B.nota]]="","",ADDRESS(ROW(KENKO[QB]),COLUMN(KENKO[QB]))&amp;":"&amp;ADDRESS(ROW(),COLUMN(KENKO[QB])))</f>
        <v/>
      </c>
      <c r="Y92" s="16" t="str">
        <f ca="1">IF(KENKO[[#This Row],[//]]="","",HYPERLINK("[..\\DB.xlsx]DB!e"&amp;KENKO[[#This Row],[stt]],"&gt;"))</f>
        <v/>
      </c>
      <c r="Z92" s="4" t="str">
        <f ca="1">IF(KENKO[[#This Row],[//]]="","",IF(KENKO[[#This Row],[ID NOTA]]="",Z91,KENKO[[#This Row],[ID NOTA]]))</f>
        <v/>
      </c>
    </row>
    <row r="93" spans="1:26" ht="15" customHeight="1" x14ac:dyDescent="0.25">
      <c r="A93" s="2" t="s">
        <v>83</v>
      </c>
      <c r="B93" s="8">
        <f ca="1">IF(KENKO[[#This Row],[N_ID]]="","",INDEX(Table1[ID],MATCH(KENKO[[#This Row],[N_ID]],Table1[N_ID],0)))</f>
        <v>64</v>
      </c>
      <c r="C93" s="8" t="str">
        <f ca="1">IF(KENKO[[#This Row],[ID NOTA]]="","",HYPERLINK("[NOTA_.xlsx]NOTA!e"&amp;INDEX([2]!PAJAK[//],MATCH(KENKO[[#This Row],[ID NOTA]],[2]!PAJAK[ID],0)),"&gt;") )</f>
        <v>&gt;</v>
      </c>
      <c r="D93" s="8">
        <f ca="1">IF(KENKO[[#This Row],[ID NOTA]]="","",INDEX(Table1[QB],MATCH(KENKO[[#This Row],[ID NOTA]],Table1[ID],0)))</f>
        <v>10</v>
      </c>
      <c r="E9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336</v>
      </c>
      <c r="F93" s="8">
        <v>15</v>
      </c>
      <c r="G93" s="9">
        <f ca="1">IF(KENKO[[#This Row],[ID NOTA]]="","",INDEX([2]!NOTA[TGL_H],MATCH(KENKO[[#This Row],[ID NOTA]],[2]!NOTA[ID],0)))</f>
        <v>44820</v>
      </c>
      <c r="H93" s="9">
        <f ca="1">IF(KENKO[[#This Row],[ID NOTA]]="","",INDEX([2]!NOTA[TGL.NOTA],MATCH(KENKO[[#This Row],[ID NOTA]],[2]!NOTA[ID],0)))</f>
        <v>44818</v>
      </c>
      <c r="I93" s="16" t="str">
        <f ca="1">IF(KENKO[[#This Row],[ID NOTA]]="","",INDEX([2]!NOTA[NO.NOTA],MATCH(KENKO[[#This Row],[ID NOTA]],[2]!NOTA[ID],0)))</f>
        <v>22091098</v>
      </c>
      <c r="J93" s="16" t="str">
        <f ca="1">IF(KENKO[[#This Row],[//]]="","",INDEX([4]!db[NB PAJAK],KENKO[[#This Row],[stt]]-1))</f>
        <v>PAPER FASTENER (ACCO) KENKO PF-508 ISI 50 PC WARNA</v>
      </c>
      <c r="K93" s="8" t="str">
        <f>""</f>
        <v/>
      </c>
      <c r="L93" s="8">
        <f ca="1">IF(KENKO[[#This Row],[//]]="","",IF(INDEX([2]!NOTA[QTY],KENKO[//]-2)="",INDEX([2]!NOTA[C],KENKO[//]-2),INDEX([2]!NOTA[QTY],KENKO[//]-2)))</f>
        <v>1</v>
      </c>
      <c r="M93" s="8" t="str">
        <f ca="1">IF(KENKO[[#This Row],[//]]="","",IF(INDEX([2]!NOTA[STN],KENKO[//]-2)="","CTN",INDEX([2]!NOTA[STN],KENKO[//]-2)))</f>
        <v>CTN</v>
      </c>
      <c r="N93" s="17">
        <f ca="1">IF(KENKO[[#This Row],[//]]="","",IF(INDEX([2]!NOTA[HARGA/ CTN],KENKO[[#This Row],[//]]-2)="",INDEX([2]!NOTA[HARGA SATUAN],KENKO[//]-2),INDEX([2]!NOTA[HARGA/ CTN],KENKO[[#This Row],[//]]-2)))</f>
        <v>980000</v>
      </c>
      <c r="O93" s="19" t="str">
        <f ca="1">IF(KENKO[[#This Row],[//]]="","",IF(INDEX([2]!NOTA[DISC 2],KENKO[[#This Row],[//]]-2)=0,"",INDEX([2]!NOTA[DISC 2],KENKO[[#This Row],[//]]-2)))</f>
        <v/>
      </c>
      <c r="P93" s="19"/>
      <c r="Q93" s="10">
        <f ca="1">IF(KENKO[[#This Row],[//]]="","",INDEX([2]!NOTA[JUMLAH],KENKO[[#This Row],[//]]-2)-IF(ISNUMBER(KENKO[[#This Row],[DISC 1 (%)]]),INDEX([2]!NOTA[JUMLAH],KENKO[[#This Row],[//]]-2)*KENKO[[#This Row],[DISC 1 (%)]],0))</f>
        <v>980000</v>
      </c>
      <c r="R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16" t="str">
        <f ca="1">IF(KENKO[[#This Row],[//]]="","",INDEX([2]!NOTA[NAMA BARANG],KENKO[[#This Row],[//]]-2))</f>
        <v>KENKO PAPER FASTENER PF-508 MIX COLOR</v>
      </c>
      <c r="V93" s="16" t="str">
        <f ca="1">LOWER(SUBSTITUTE(SUBSTITUTE(SUBSTITUTE(SUBSTITUTE(SUBSTITUTE(SUBSTITUTE(SUBSTITUTE(SUBSTITUTE(KENKO[[#This Row],[N.B.nota]]," ",""),"-",""),"(",""),")",""),".",""),",",""),"/",""),"""",""))</f>
        <v>kenkopaperfastenerpf508mixcolor</v>
      </c>
      <c r="W93" s="8">
        <f ca="1">IF(KENKO[[#This Row],[concat]]="","",MATCH(KENKO[[#This Row],[concat]],[4]!db[NB NOTA_C],0)+1)</f>
        <v>1173</v>
      </c>
      <c r="X93" s="16" t="str">
        <f ca="1">IF(KENKO[[#This Row],[N.B.nota]]="","",ADDRESS(ROW(KENKO[QB]),COLUMN(KENKO[QB]))&amp;":"&amp;ADDRESS(ROW(),COLUMN(KENKO[QB])))</f>
        <v>$D$3:$D$93</v>
      </c>
      <c r="Y93" s="16" t="str">
        <f ca="1">IF(KENKO[[#This Row],[//]]="","",HYPERLINK("[..\\DB.xlsx]DB!e"&amp;KENKO[[#This Row],[stt]],"&gt;"))</f>
        <v>&gt;</v>
      </c>
      <c r="Z93" s="4">
        <f ca="1">IF(KENKO[[#This Row],[//]]="","",IF(KENKO[[#This Row],[ID NOTA]]="",Z92,KENKO[[#This Row],[ID NOTA]]))</f>
        <v>64</v>
      </c>
    </row>
    <row r="94" spans="1:26" ht="15" customHeight="1" x14ac:dyDescent="0.25">
      <c r="A94" s="2"/>
      <c r="B94" s="8" t="str">
        <f>IF(KENKO[[#This Row],[N_ID]]="","",INDEX(Table1[ID],MATCH(KENKO[[#This Row],[N_ID]],Table1[N_ID],0)))</f>
        <v/>
      </c>
      <c r="C94" s="8" t="str">
        <f>IF(KENKO[[#This Row],[ID NOTA]]="","",HYPERLINK("[NOTA_.xlsx]NOTA!e"&amp;INDEX([2]!PAJAK[//],MATCH(KENKO[[#This Row],[ID NOTA]],[2]!PAJAK[ID],0)),"&gt;") )</f>
        <v/>
      </c>
      <c r="D94" s="8" t="str">
        <f>IF(KENKO[[#This Row],[ID NOTA]]="","",INDEX(Table1[QB],MATCH(KENKO[[#This Row],[ID NOTA]],Table1[ID],0)))</f>
        <v/>
      </c>
      <c r="E9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337</v>
      </c>
      <c r="F94" s="8"/>
      <c r="G94" s="9" t="str">
        <f>IF(KENKO[[#This Row],[ID NOTA]]="","",INDEX([2]!NOTA[TGL_H],MATCH(KENKO[[#This Row],[ID NOTA]],[2]!NOTA[ID],0)))</f>
        <v/>
      </c>
      <c r="H94" s="9" t="str">
        <f>IF(KENKO[[#This Row],[ID NOTA]]="","",INDEX([2]!NOTA[TGL.NOTA],MATCH(KENKO[[#This Row],[ID NOTA]],[2]!NOTA[ID],0)))</f>
        <v/>
      </c>
      <c r="I94" s="16" t="str">
        <f>IF(KENKO[[#This Row],[ID NOTA]]="","",INDEX([2]!NOTA[NO.NOTA],MATCH(KENKO[[#This Row],[ID NOTA]],[2]!NOTA[ID],0)))</f>
        <v/>
      </c>
      <c r="J94" s="16" t="str">
        <f ca="1">IF(KENKO[[#This Row],[//]]="","",INDEX([4]!db[NB PAJAK],KENKO[[#This Row],[stt]]-1))</f>
        <v>TAPE DISPENSER KENKO TD-323 (1" &amp; 3" CORE)</v>
      </c>
      <c r="K94" s="8" t="str">
        <f>""</f>
        <v/>
      </c>
      <c r="L94" s="8">
        <f ca="1">IF(KENKO[[#This Row],[//]]="","",IF(INDEX([2]!NOTA[QTY],KENKO[//]-2)="",INDEX([2]!NOTA[C],KENKO[//]-2),INDEX([2]!NOTA[QTY],KENKO[//]-2)))</f>
        <v>4</v>
      </c>
      <c r="M94" s="8" t="str">
        <f ca="1">IF(KENKO[[#This Row],[//]]="","",IF(INDEX([2]!NOTA[STN],KENKO[//]-2)="","CTN",INDEX([2]!NOTA[STN],KENKO[//]-2)))</f>
        <v>CTN</v>
      </c>
      <c r="N94" s="17">
        <f ca="1">IF(KENKO[[#This Row],[//]]="","",IF(INDEX([2]!NOTA[HARGA/ CTN],KENKO[[#This Row],[//]]-2)="",INDEX([2]!NOTA[HARGA SATUAN],KENKO[//]-2),INDEX([2]!NOTA[HARGA/ CTN],KENKO[[#This Row],[//]]-2)))</f>
        <v>462000</v>
      </c>
      <c r="O94" s="19" t="str">
        <f ca="1">IF(KENKO[[#This Row],[//]]="","",IF(INDEX([2]!NOTA[DISC 2],KENKO[[#This Row],[//]]-2)=0,"",INDEX([2]!NOTA[DISC 2],KENKO[[#This Row],[//]]-2)))</f>
        <v/>
      </c>
      <c r="P94" s="19"/>
      <c r="Q94" s="10">
        <f ca="1">IF(KENKO[[#This Row],[//]]="","",INDEX([2]!NOTA[JUMLAH],KENKO[[#This Row],[//]]-2)-IF(ISNUMBER(KENKO[[#This Row],[DISC 1 (%)]]),INDEX([2]!NOTA[JUMLAH],KENKO[[#This Row],[//]]-2)*KENKO[[#This Row],[DISC 1 (%)]],0))</f>
        <v>1848000</v>
      </c>
      <c r="R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16" t="str">
        <f ca="1">IF(KENKO[[#This Row],[//]]="","",INDEX([2]!NOTA[NAMA BARANG],KENKO[[#This Row],[//]]-2))</f>
        <v>KENKO TAPE DISPENSER TD-323 (1" &amp; 3 " CORE)</v>
      </c>
      <c r="V94" s="16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94" s="8">
        <f ca="1">IF(KENKO[[#This Row],[concat]]="","",MATCH(KENKO[[#This Row],[concat]],[4]!db[NB NOTA_C],0)+1)</f>
        <v>1255</v>
      </c>
      <c r="X94" s="16" t="str">
        <f ca="1">IF(KENKO[[#This Row],[N.B.nota]]="","",ADDRESS(ROW(KENKO[QB]),COLUMN(KENKO[QB]))&amp;":"&amp;ADDRESS(ROW(),COLUMN(KENKO[QB])))</f>
        <v>$D$3:$D$94</v>
      </c>
      <c r="Y94" s="16" t="str">
        <f ca="1">IF(KENKO[[#This Row],[//]]="","",HYPERLINK("[..\\DB.xlsx]DB!e"&amp;KENKO[[#This Row],[stt]],"&gt;"))</f>
        <v>&gt;</v>
      </c>
      <c r="Z94" s="4">
        <f ca="1">IF(KENKO[[#This Row],[//]]="","",IF(KENKO[[#This Row],[ID NOTA]]="",Z93,KENKO[[#This Row],[ID NOTA]]))</f>
        <v>64</v>
      </c>
    </row>
    <row r="95" spans="1:26" ht="15" customHeight="1" x14ac:dyDescent="0.25">
      <c r="A95" s="4"/>
      <c r="B95" s="6" t="str">
        <f>IF(KENKO[[#This Row],[N_ID]]="","",INDEX(Table1[ID],MATCH(KENKO[[#This Row],[N_ID]],Table1[N_ID],0)))</f>
        <v/>
      </c>
      <c r="C95" s="6" t="str">
        <f>IF(KENKO[[#This Row],[ID NOTA]]="","",HYPERLINK("[NOTA_.xlsx]NOTA!e"&amp;INDEX([2]!PAJAK[//],MATCH(KENKO[[#This Row],[ID NOTA]],[2]!PAJAK[ID],0)),"&gt;") )</f>
        <v/>
      </c>
      <c r="D95" s="6" t="str">
        <f>IF(KENKO[[#This Row],[ID NOTA]]="","",INDEX(Table1[QB],MATCH(KENKO[[#This Row],[ID NOTA]],Table1[ID],0)))</f>
        <v/>
      </c>
      <c r="E9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338</v>
      </c>
      <c r="F95" s="6"/>
      <c r="G95" s="3" t="str">
        <f>IF(KENKO[[#This Row],[ID NOTA]]="","",INDEX([2]!NOTA[TGL_H],MATCH(KENKO[[#This Row],[ID NOTA]],[2]!NOTA[ID],0)))</f>
        <v/>
      </c>
      <c r="H95" s="3" t="str">
        <f>IF(KENKO[[#This Row],[ID NOTA]]="","",INDEX([2]!NOTA[TGL.NOTA],MATCH(KENKO[[#This Row],[ID NOTA]],[2]!NOTA[ID],0)))</f>
        <v/>
      </c>
      <c r="I95" s="18" t="str">
        <f>IF(KENKO[[#This Row],[ID NOTA]]="","",INDEX([2]!NOTA[NO.NOTA],MATCH(KENKO[[#This Row],[ID NOTA]],[2]!NOTA[ID],0)))</f>
        <v/>
      </c>
      <c r="J95" s="4" t="str">
        <f ca="1">IF(KENKO[[#This Row],[//]]="","",INDEX([4]!db[NB PAJAK],KENKO[[#This Row],[stt]]-1))</f>
        <v>STAMP PAD KENKO NO. 0</v>
      </c>
      <c r="K95" s="6" t="str">
        <f>""</f>
        <v/>
      </c>
      <c r="L95" s="6">
        <f ca="1">IF(KENKO[[#This Row],[//]]="","",IF(INDEX([2]!NOTA[QTY],KENKO[//]-2)="",INDEX([2]!NOTA[C],KENKO[//]-2),INDEX([2]!NOTA[QTY],KENKO[//]-2)))</f>
        <v>2</v>
      </c>
      <c r="M95" s="6" t="str">
        <f ca="1">IF(KENKO[[#This Row],[//]]="","",IF(INDEX([2]!NOTA[STN],KENKO[//]-2)="","CTN",INDEX([2]!NOTA[STN],KENKO[//]-2)))</f>
        <v>CTN</v>
      </c>
      <c r="N95" s="5">
        <f ca="1">IF(KENKO[[#This Row],[//]]="","",IF(INDEX([2]!NOTA[HARGA/ CTN],KENKO[[#This Row],[//]]-2)="",INDEX([2]!NOTA[HARGA SATUAN],KENKO[//]-2),INDEX([2]!NOTA[HARGA/ CTN],KENKO[[#This Row],[//]]-2)))</f>
        <v>1069200</v>
      </c>
      <c r="O95" s="7" t="str">
        <f ca="1">IF(KENKO[[#This Row],[//]]="","",IF(INDEX([2]!NOTA[DISC 2],KENKO[[#This Row],[//]]-2)=0,"",INDEX([2]!NOTA[DISC 2],KENKO[[#This Row],[//]]-2)))</f>
        <v/>
      </c>
      <c r="P95" s="7"/>
      <c r="Q95" s="10">
        <f ca="1">IF(KENKO[[#This Row],[//]]="","",INDEX([2]!NOTA[JUMLAH],KENKO[[#This Row],[//]]-2)-IF(ISNUMBER(KENKO[[#This Row],[DISC 1 (%)]]),INDEX([2]!NOTA[JUMLAH],KENKO[[#This Row],[//]]-2)*KENKO[[#This Row],[DISC 1 (%)]],0))</f>
        <v>2138400</v>
      </c>
      <c r="R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4" t="str">
        <f ca="1">IF(KENKO[[#This Row],[//]]="","",INDEX([2]!NOTA[NAMA BARANG],KENKO[[#This Row],[//]]-2))</f>
        <v>KENKO STAMP PAD NO.0</v>
      </c>
      <c r="V95" s="4" t="str">
        <f ca="1">LOWER(SUBSTITUTE(SUBSTITUTE(SUBSTITUTE(SUBSTITUTE(SUBSTITUTE(SUBSTITUTE(SUBSTITUTE(SUBSTITUTE(KENKO[[#This Row],[N.B.nota]]," ",""),"-",""),"(",""),")",""),".",""),",",""),"/",""),"""",""))</f>
        <v>kenkostamppadno0</v>
      </c>
      <c r="W95" s="6">
        <f ca="1">IF(KENKO[[#This Row],[concat]]="","",MATCH(KENKO[[#This Row],[concat]],[4]!db[NB NOTA_C],0)+1)</f>
        <v>1235</v>
      </c>
      <c r="X95" s="4" t="str">
        <f ca="1">IF(KENKO[[#This Row],[N.B.nota]]="","",ADDRESS(ROW(KENKO[QB]),COLUMN(KENKO[QB]))&amp;":"&amp;ADDRESS(ROW(),COLUMN(KENKO[QB])))</f>
        <v>$D$3:$D$95</v>
      </c>
      <c r="Y95" s="13" t="str">
        <f ca="1">IF(KENKO[[#This Row],[//]]="","",HYPERLINK("[..\\DB.xlsx]DB!e"&amp;KENKO[[#This Row],[stt]],"&gt;"))</f>
        <v>&gt;</v>
      </c>
      <c r="Z95" s="4">
        <f ca="1">IF(KENKO[[#This Row],[//]]="","",IF(KENKO[[#This Row],[ID NOTA]]="",Z94,KENKO[[#This Row],[ID NOTA]]))</f>
        <v>64</v>
      </c>
    </row>
    <row r="96" spans="1:26" ht="15" customHeight="1" x14ac:dyDescent="0.25">
      <c r="A96" s="4"/>
      <c r="B96" s="6" t="str">
        <f>IF(KENKO[[#This Row],[N_ID]]="","",INDEX(Table1[ID],MATCH(KENKO[[#This Row],[N_ID]],Table1[N_ID],0)))</f>
        <v/>
      </c>
      <c r="C96" s="6" t="str">
        <f>IF(KENKO[[#This Row],[ID NOTA]]="","",HYPERLINK("[NOTA_.xlsx]NOTA!e"&amp;INDEX([2]!PAJAK[//],MATCH(KENKO[[#This Row],[ID NOTA]],[2]!PAJAK[ID],0)),"&gt;") )</f>
        <v/>
      </c>
      <c r="D96" s="6" t="str">
        <f>IF(KENKO[[#This Row],[ID NOTA]]="","",INDEX(Table1[QB],MATCH(KENKO[[#This Row],[ID NOTA]],Table1[ID],0)))</f>
        <v/>
      </c>
      <c r="E9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339</v>
      </c>
      <c r="F96" s="6"/>
      <c r="G96" s="3" t="str">
        <f>IF(KENKO[[#This Row],[ID NOTA]]="","",INDEX([2]!NOTA[TGL_H],MATCH(KENKO[[#This Row],[ID NOTA]],[2]!NOTA[ID],0)))</f>
        <v/>
      </c>
      <c r="H96" s="3" t="str">
        <f>IF(KENKO[[#This Row],[ID NOTA]]="","",INDEX([2]!NOTA[TGL.NOTA],MATCH(KENKO[[#This Row],[ID NOTA]],[2]!NOTA[ID],0)))</f>
        <v/>
      </c>
      <c r="I96" s="18" t="str">
        <f>IF(KENKO[[#This Row],[ID NOTA]]="","",INDEX([2]!NOTA[NO.NOTA],MATCH(KENKO[[#This Row],[ID NOTA]],[2]!NOTA[ID],0)))</f>
        <v/>
      </c>
      <c r="J96" s="4" t="str">
        <f ca="1">IF(KENKO[[#This Row],[//]]="","",INDEX([4]!db[NB PAJAK],KENKO[[#This Row],[stt]]-1))</f>
        <v>DATE STAMP KENKO D-3 (Cap Tanggal 5 Mm)</v>
      </c>
      <c r="K96" s="6" t="str">
        <f>""</f>
        <v/>
      </c>
      <c r="L96" s="6">
        <f ca="1">IF(KENKO[[#This Row],[//]]="","",IF(INDEX([2]!NOTA[QTY],KENKO[//]-2)="",INDEX([2]!NOTA[C],KENKO[//]-2),INDEX([2]!NOTA[QTY],KENKO[//]-2)))</f>
        <v>1</v>
      </c>
      <c r="M96" s="6" t="str">
        <f ca="1">IF(KENKO[[#This Row],[//]]="","",IF(INDEX([2]!NOTA[STN],KENKO[//]-2)="","CTN",INDEX([2]!NOTA[STN],KENKO[//]-2)))</f>
        <v>CTN</v>
      </c>
      <c r="N96" s="5">
        <f ca="1">IF(KENKO[[#This Row],[//]]="","",IF(INDEX([2]!NOTA[HARGA/ CTN],KENKO[[#This Row],[//]]-2)="",INDEX([2]!NOTA[HARGA SATUAN],KENKO[//]-2),INDEX([2]!NOTA[HARGA/ CTN],KENKO[[#This Row],[//]]-2)))</f>
        <v>3096000</v>
      </c>
      <c r="O96" s="7" t="str">
        <f ca="1">IF(KENKO[[#This Row],[//]]="","",IF(INDEX([2]!NOTA[DISC 2],KENKO[[#This Row],[//]]-2)=0,"",INDEX([2]!NOTA[DISC 2],KENKO[[#This Row],[//]]-2)))</f>
        <v/>
      </c>
      <c r="P96" s="7"/>
      <c r="Q96" s="10">
        <f ca="1">IF(KENKO[[#This Row],[//]]="","",INDEX([2]!NOTA[JUMLAH],KENKO[[#This Row],[//]]-2)-IF(ISNUMBER(KENKO[[#This Row],[DISC 1 (%)]]),INDEX([2]!NOTA[JUMLAH],KENKO[[#This Row],[//]]-2)*KENKO[[#This Row],[DISC 1 (%)]],0))</f>
        <v>3096000</v>
      </c>
      <c r="R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4" t="str">
        <f ca="1">IF(KENKO[[#This Row],[//]]="","",INDEX([2]!NOTA[NAMA BARANG],KENKO[[#This Row],[//]]-2))</f>
        <v>KENKO DATE STAMP D-3 (5 MM)</v>
      </c>
      <c r="V96" s="4" t="str">
        <f ca="1">LOWER(SUBSTITUTE(SUBSTITUTE(SUBSTITUTE(SUBSTITUTE(SUBSTITUTE(SUBSTITUTE(SUBSTITUTE(SUBSTITUTE(KENKO[[#This Row],[N.B.nota]]," ",""),"-",""),"(",""),")",""),".",""),",",""),"/",""),"""",""))</f>
        <v>kenkodatestampd35mm</v>
      </c>
      <c r="W96" s="6">
        <f ca="1">IF(KENKO[[#This Row],[concat]]="","",MATCH(KENKO[[#This Row],[concat]],[4]!db[NB NOTA_C],0)+1)</f>
        <v>1088</v>
      </c>
      <c r="X96" s="4" t="str">
        <f ca="1">IF(KENKO[[#This Row],[N.B.nota]]="","",ADDRESS(ROW(KENKO[QB]),COLUMN(KENKO[QB]))&amp;":"&amp;ADDRESS(ROW(),COLUMN(KENKO[QB])))</f>
        <v>$D$3:$D$96</v>
      </c>
      <c r="Y96" s="13" t="str">
        <f ca="1">IF(KENKO[[#This Row],[//]]="","",HYPERLINK("[..\\DB.xlsx]DB!e"&amp;KENKO[[#This Row],[stt]],"&gt;"))</f>
        <v>&gt;</v>
      </c>
      <c r="Z96" s="4">
        <f ca="1">IF(KENKO[[#This Row],[//]]="","",IF(KENKO[[#This Row],[ID NOTA]]="",Z95,KENKO[[#This Row],[ID NOTA]]))</f>
        <v>64</v>
      </c>
    </row>
    <row r="97" spans="1:26" ht="15" customHeight="1" x14ac:dyDescent="0.25">
      <c r="A97" s="4"/>
      <c r="B97" s="6" t="str">
        <f>IF(KENKO[[#This Row],[N_ID]]="","",INDEX(Table1[ID],MATCH(KENKO[[#This Row],[N_ID]],Table1[N_ID],0)))</f>
        <v/>
      </c>
      <c r="C97" s="6" t="str">
        <f>IF(KENKO[[#This Row],[ID NOTA]]="","",HYPERLINK("[NOTA_.xlsx]NOTA!e"&amp;INDEX([2]!PAJAK[//],MATCH(KENKO[[#This Row],[ID NOTA]],[2]!PAJAK[ID],0)),"&gt;") )</f>
        <v/>
      </c>
      <c r="D97" s="6" t="str">
        <f>IF(KENKO[[#This Row],[ID NOTA]]="","",INDEX(Table1[QB],MATCH(KENKO[[#This Row],[ID NOTA]],Table1[ID],0)))</f>
        <v/>
      </c>
      <c r="E9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340</v>
      </c>
      <c r="F97" s="6"/>
      <c r="G97" s="3" t="str">
        <f>IF(KENKO[[#This Row],[ID NOTA]]="","",INDEX([2]!NOTA[TGL_H],MATCH(KENKO[[#This Row],[ID NOTA]],[2]!NOTA[ID],0)))</f>
        <v/>
      </c>
      <c r="H97" s="3" t="str">
        <f>IF(KENKO[[#This Row],[ID NOTA]]="","",INDEX([2]!NOTA[TGL.NOTA],MATCH(KENKO[[#This Row],[ID NOTA]],[2]!NOTA[ID],0)))</f>
        <v/>
      </c>
      <c r="I97" s="18" t="str">
        <f>IF(KENKO[[#This Row],[ID NOTA]]="","",INDEX([2]!NOTA[NO.NOTA],MATCH(KENKO[[#This Row],[ID NOTA]],[2]!NOTA[ID],0)))</f>
        <v/>
      </c>
      <c r="J97" s="4" t="str">
        <f ca="1">IF(KENKO[[#This Row],[//]]="","",INDEX([4]!db[NB PAJAK],KENKO[[#This Row],[stt]]-1))</f>
        <v>DATE STAMP KENKO D-4 (Cap Tanggal 4 Mm)</v>
      </c>
      <c r="K97" s="6" t="str">
        <f>""</f>
        <v/>
      </c>
      <c r="L97" s="6">
        <f ca="1">IF(KENKO[[#This Row],[//]]="","",IF(INDEX([2]!NOTA[QTY],KENKO[//]-2)="",INDEX([2]!NOTA[C],KENKO[//]-2),INDEX([2]!NOTA[QTY],KENKO[//]-2)))</f>
        <v>1</v>
      </c>
      <c r="M97" s="6" t="str">
        <f ca="1">IF(KENKO[[#This Row],[//]]="","",IF(INDEX([2]!NOTA[STN],KENKO[//]-2)="","CTN",INDEX([2]!NOTA[STN],KENKO[//]-2)))</f>
        <v>CTN</v>
      </c>
      <c r="N97" s="5">
        <f ca="1">IF(KENKO[[#This Row],[//]]="","",IF(INDEX([2]!NOTA[HARGA/ CTN],KENKO[[#This Row],[//]]-2)="",INDEX([2]!NOTA[HARGA SATUAN],KENKO[//]-2),INDEX([2]!NOTA[HARGA/ CTN],KENKO[[#This Row],[//]]-2)))</f>
        <v>2976000</v>
      </c>
      <c r="O97" s="7" t="str">
        <f ca="1">IF(KENKO[[#This Row],[//]]="","",IF(INDEX([2]!NOTA[DISC 2],KENKO[[#This Row],[//]]-2)=0,"",INDEX([2]!NOTA[DISC 2],KENKO[[#This Row],[//]]-2)))</f>
        <v/>
      </c>
      <c r="P97" s="7"/>
      <c r="Q97" s="10">
        <f ca="1">IF(KENKO[[#This Row],[//]]="","",INDEX([2]!NOTA[JUMLAH],KENKO[[#This Row],[//]]-2)-IF(ISNUMBER(KENKO[[#This Row],[DISC 1 (%)]]),INDEX([2]!NOTA[JUMLAH],KENKO[[#This Row],[//]]-2)*KENKO[[#This Row],[DISC 1 (%)]],0))</f>
        <v>2976000</v>
      </c>
      <c r="R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4" t="str">
        <f ca="1">IF(KENKO[[#This Row],[//]]="","",INDEX([2]!NOTA[NAMA BARANG],KENKO[[#This Row],[//]]-2))</f>
        <v>KENKO DATE STAMP D-4 (4 MM)</v>
      </c>
      <c r="V97" s="4" t="str">
        <f ca="1">LOWER(SUBSTITUTE(SUBSTITUTE(SUBSTITUTE(SUBSTITUTE(SUBSTITUTE(SUBSTITUTE(SUBSTITUTE(SUBSTITUTE(KENKO[[#This Row],[N.B.nota]]," ",""),"-",""),"(",""),")",""),".",""),",",""),"/",""),"""",""))</f>
        <v>kenkodatestampd44mm</v>
      </c>
      <c r="W97" s="6">
        <f ca="1">IF(KENKO[[#This Row],[concat]]="","",MATCH(KENKO[[#This Row],[concat]],[4]!db[NB NOTA_C],0)+1)</f>
        <v>1089</v>
      </c>
      <c r="X97" s="4" t="str">
        <f ca="1">IF(KENKO[[#This Row],[N.B.nota]]="","",ADDRESS(ROW(KENKO[QB]),COLUMN(KENKO[QB]))&amp;":"&amp;ADDRESS(ROW(),COLUMN(KENKO[QB])))</f>
        <v>$D$3:$D$97</v>
      </c>
      <c r="Y97" s="13" t="str">
        <f ca="1">IF(KENKO[[#This Row],[//]]="","",HYPERLINK("[..\\DB.xlsx]DB!e"&amp;KENKO[[#This Row],[stt]],"&gt;"))</f>
        <v>&gt;</v>
      </c>
      <c r="Z97" s="4">
        <f ca="1">IF(KENKO[[#This Row],[//]]="","",IF(KENKO[[#This Row],[ID NOTA]]="",Z96,KENKO[[#This Row],[ID NOTA]]))</f>
        <v>64</v>
      </c>
    </row>
    <row r="98" spans="1:26" ht="15" customHeight="1" x14ac:dyDescent="0.25">
      <c r="A98" s="4"/>
      <c r="B98" s="6" t="str">
        <f>IF(KENKO[[#This Row],[N_ID]]="","",INDEX(Table1[ID],MATCH(KENKO[[#This Row],[N_ID]],Table1[N_ID],0)))</f>
        <v/>
      </c>
      <c r="C98" s="6" t="str">
        <f>IF(KENKO[[#This Row],[ID NOTA]]="","",HYPERLINK("[NOTA_.xlsx]NOTA!e"&amp;INDEX([2]!PAJAK[//],MATCH(KENKO[[#This Row],[ID NOTA]],[2]!PAJAK[ID],0)),"&gt;") )</f>
        <v/>
      </c>
      <c r="D98" s="6" t="str">
        <f>IF(KENKO[[#This Row],[ID NOTA]]="","",INDEX(Table1[QB],MATCH(KENKO[[#This Row],[ID NOTA]],Table1[ID],0)))</f>
        <v/>
      </c>
      <c r="E9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341</v>
      </c>
      <c r="F98" s="6"/>
      <c r="G98" s="3" t="str">
        <f>IF(KENKO[[#This Row],[ID NOTA]]="","",INDEX([2]!NOTA[TGL_H],MATCH(KENKO[[#This Row],[ID NOTA]],[2]!NOTA[ID],0)))</f>
        <v/>
      </c>
      <c r="H98" s="3" t="str">
        <f>IF(KENKO[[#This Row],[ID NOTA]]="","",INDEX([2]!NOTA[TGL.NOTA],MATCH(KENKO[[#This Row],[ID NOTA]],[2]!NOTA[ID],0)))</f>
        <v/>
      </c>
      <c r="I98" s="18" t="str">
        <f>IF(KENKO[[#This Row],[ID NOTA]]="","",INDEX([2]!NOTA[NO.NOTA],MATCH(KENKO[[#This Row],[ID NOTA]],[2]!NOTA[ID],0)))</f>
        <v/>
      </c>
      <c r="J98" s="4" t="str">
        <f ca="1">IF(KENKO[[#This Row],[//]]="","",INDEX([4]!db[NB PAJAK],KENKO[[#This Row],[stt]]-1))</f>
        <v>GARISAN BESI (STAINLESS STEEL) KENKO 20 CM</v>
      </c>
      <c r="K98" s="6" t="str">
        <f>""</f>
        <v/>
      </c>
      <c r="L98" s="6">
        <f ca="1">IF(KENKO[[#This Row],[//]]="","",IF(INDEX([2]!NOTA[QTY],KENKO[//]-2)="",INDEX([2]!NOTA[C],KENKO[//]-2),INDEX([2]!NOTA[QTY],KENKO[//]-2)))</f>
        <v>1</v>
      </c>
      <c r="M98" s="6" t="str">
        <f ca="1">IF(KENKO[[#This Row],[//]]="","",IF(INDEX([2]!NOTA[STN],KENKO[//]-2)="","CTN",INDEX([2]!NOTA[STN],KENKO[//]-2)))</f>
        <v>CTN</v>
      </c>
      <c r="N98" s="5">
        <f ca="1">IF(KENKO[[#This Row],[//]]="","",IF(INDEX([2]!NOTA[HARGA/ CTN],KENKO[[#This Row],[//]]-2)="",INDEX([2]!NOTA[HARGA SATUAN],KENKO[//]-2),INDEX([2]!NOTA[HARGA/ CTN],KENKO[[#This Row],[//]]-2)))</f>
        <v>1672500</v>
      </c>
      <c r="O98" s="7" t="str">
        <f ca="1">IF(KENKO[[#This Row],[//]]="","",IF(INDEX([2]!NOTA[DISC 2],KENKO[[#This Row],[//]]-2)=0,"",INDEX([2]!NOTA[DISC 2],KENKO[[#This Row],[//]]-2)))</f>
        <v/>
      </c>
      <c r="P98" s="7"/>
      <c r="Q98" s="10">
        <f ca="1">IF(KENKO[[#This Row],[//]]="","",INDEX([2]!NOTA[JUMLAH],KENKO[[#This Row],[//]]-2)-IF(ISNUMBER(KENKO[[#This Row],[DISC 1 (%)]]),INDEX([2]!NOTA[JUMLAH],KENKO[[#This Row],[//]]-2)*KENKO[[#This Row],[DISC 1 (%)]],0))</f>
        <v>1672500</v>
      </c>
      <c r="R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4" t="str">
        <f ca="1">IF(KENKO[[#This Row],[//]]="","",INDEX([2]!NOTA[NAMA BARANG],KENKO[[#This Row],[//]]-2))</f>
        <v>KENKO STAINLESS STEEL RULER 20 CM</v>
      </c>
      <c r="V98" s="4" t="str">
        <f ca="1">LOWER(SUBSTITUTE(SUBSTITUTE(SUBSTITUTE(SUBSTITUTE(SUBSTITUTE(SUBSTITUTE(SUBSTITUTE(SUBSTITUTE(KENKO[[#This Row],[N.B.nota]]," ",""),"-",""),"(",""),")",""),".",""),",",""),"/",""),"""",""))</f>
        <v>kenkostainlesssteelruler20cm</v>
      </c>
      <c r="W98" s="6">
        <f ca="1">IF(KENKO[[#This Row],[concat]]="","",MATCH(KENKO[[#This Row],[concat]],[4]!db[NB NOTA_C],0)+1)</f>
        <v>1228</v>
      </c>
      <c r="X98" s="4" t="str">
        <f ca="1">IF(KENKO[[#This Row],[N.B.nota]]="","",ADDRESS(ROW(KENKO[QB]),COLUMN(KENKO[QB]))&amp;":"&amp;ADDRESS(ROW(),COLUMN(KENKO[QB])))</f>
        <v>$D$3:$D$98</v>
      </c>
      <c r="Y98" s="13" t="str">
        <f ca="1">IF(KENKO[[#This Row],[//]]="","",HYPERLINK("[..\\DB.xlsx]DB!e"&amp;KENKO[[#This Row],[stt]],"&gt;"))</f>
        <v>&gt;</v>
      </c>
      <c r="Z98" s="4">
        <f ca="1">IF(KENKO[[#This Row],[//]]="","",IF(KENKO[[#This Row],[ID NOTA]]="",Z97,KENKO[[#This Row],[ID NOTA]]))</f>
        <v>64</v>
      </c>
    </row>
    <row r="99" spans="1:26" ht="15" customHeight="1" x14ac:dyDescent="0.25">
      <c r="A99" s="4"/>
      <c r="B99" s="6" t="str">
        <f>IF(KENKO[[#This Row],[N_ID]]="","",INDEX(Table1[ID],MATCH(KENKO[[#This Row],[N_ID]],Table1[N_ID],0)))</f>
        <v/>
      </c>
      <c r="C99" s="6" t="str">
        <f>IF(KENKO[[#This Row],[ID NOTA]]="","",HYPERLINK("[NOTA_.xlsx]NOTA!e"&amp;INDEX([2]!PAJAK[//],MATCH(KENKO[[#This Row],[ID NOTA]],[2]!PAJAK[ID],0)),"&gt;") )</f>
        <v/>
      </c>
      <c r="D99" s="6" t="str">
        <f>IF(KENKO[[#This Row],[ID NOTA]]="","",INDEX(Table1[QB],MATCH(KENKO[[#This Row],[ID NOTA]],Table1[ID],0)))</f>
        <v/>
      </c>
      <c r="E9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342</v>
      </c>
      <c r="F99" s="6"/>
      <c r="G99" s="3" t="str">
        <f>IF(KENKO[[#This Row],[ID NOTA]]="","",INDEX([2]!NOTA[TGL_H],MATCH(KENKO[[#This Row],[ID NOTA]],[2]!NOTA[ID],0)))</f>
        <v/>
      </c>
      <c r="H99" s="3" t="str">
        <f>IF(KENKO[[#This Row],[ID NOTA]]="","",INDEX([2]!NOTA[TGL.NOTA],MATCH(KENKO[[#This Row],[ID NOTA]],[2]!NOTA[ID],0)))</f>
        <v/>
      </c>
      <c r="I99" s="18" t="str">
        <f>IF(KENKO[[#This Row],[ID NOTA]]="","",INDEX([2]!NOTA[NO.NOTA],MATCH(KENKO[[#This Row],[ID NOTA]],[2]!NOTA[ID],0)))</f>
        <v/>
      </c>
      <c r="J99" s="4" t="str">
        <f ca="1">IF(KENKO[[#This Row],[//]]="","",INDEX([4]!db[NB PAJAK],KENKO[[#This Row],[stt]]-1))</f>
        <v>GARISAN BESI (STAINLESS STEEL) KENKO 30 CM</v>
      </c>
      <c r="K99" s="6" t="str">
        <f>""</f>
        <v/>
      </c>
      <c r="L99" s="6">
        <f ca="1">IF(KENKO[[#This Row],[//]]="","",IF(INDEX([2]!NOTA[QTY],KENKO[//]-2)="",INDEX([2]!NOTA[C],KENKO[//]-2),INDEX([2]!NOTA[QTY],KENKO[//]-2)))</f>
        <v>3</v>
      </c>
      <c r="M99" s="6" t="str">
        <f ca="1">IF(KENKO[[#This Row],[//]]="","",IF(INDEX([2]!NOTA[STN],KENKO[//]-2)="","CTN",INDEX([2]!NOTA[STN],KENKO[//]-2)))</f>
        <v>CTN</v>
      </c>
      <c r="N99" s="5">
        <f ca="1">IF(KENKO[[#This Row],[//]]="","",IF(INDEX([2]!NOTA[HARGA/ CTN],KENKO[[#This Row],[//]]-2)="",INDEX([2]!NOTA[HARGA SATUAN],KENKO[//]-2),INDEX([2]!NOTA[HARGA/ CTN],KENKO[[#This Row],[//]]-2)))</f>
        <v>1995000</v>
      </c>
      <c r="O99" s="7" t="str">
        <f ca="1">IF(KENKO[[#This Row],[//]]="","",IF(INDEX([2]!NOTA[DISC 2],KENKO[[#This Row],[//]]-2)=0,"",INDEX([2]!NOTA[DISC 2],KENKO[[#This Row],[//]]-2)))</f>
        <v/>
      </c>
      <c r="P99" s="7"/>
      <c r="Q99" s="10">
        <f ca="1">IF(KENKO[[#This Row],[//]]="","",INDEX([2]!NOTA[JUMLAH],KENKO[[#This Row],[//]]-2)-IF(ISNUMBER(KENKO[[#This Row],[DISC 1 (%)]]),INDEX([2]!NOTA[JUMLAH],KENKO[[#This Row],[//]]-2)*KENKO[[#This Row],[DISC 1 (%)]],0))</f>
        <v>5985000</v>
      </c>
      <c r="R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4" t="str">
        <f ca="1">IF(KENKO[[#This Row],[//]]="","",INDEX([2]!NOTA[NAMA BARANG],KENKO[[#This Row],[//]]-2))</f>
        <v>KENKO STAINLESS STEEL RULER 30 CM</v>
      </c>
      <c r="V99" s="4" t="str">
        <f ca="1">LOWER(SUBSTITUTE(SUBSTITUTE(SUBSTITUTE(SUBSTITUTE(SUBSTITUTE(SUBSTITUTE(SUBSTITUTE(SUBSTITUTE(KENKO[[#This Row],[N.B.nota]]," ",""),"-",""),"(",""),")",""),".",""),",",""),"/",""),"""",""))</f>
        <v>kenkostainlesssteelruler30cm</v>
      </c>
      <c r="W99" s="6">
        <f ca="1">IF(KENKO[[#This Row],[concat]]="","",MATCH(KENKO[[#This Row],[concat]],[4]!db[NB NOTA_C],0)+1)</f>
        <v>1229</v>
      </c>
      <c r="X99" s="4" t="str">
        <f ca="1">IF(KENKO[[#This Row],[N.B.nota]]="","",ADDRESS(ROW(KENKO[QB]),COLUMN(KENKO[QB]))&amp;":"&amp;ADDRESS(ROW(),COLUMN(KENKO[QB])))</f>
        <v>$D$3:$D$99</v>
      </c>
      <c r="Y99" s="13" t="str">
        <f ca="1">IF(KENKO[[#This Row],[//]]="","",HYPERLINK("[..\\DB.xlsx]DB!e"&amp;KENKO[[#This Row],[stt]],"&gt;"))</f>
        <v>&gt;</v>
      </c>
      <c r="Z99" s="4">
        <f ca="1">IF(KENKO[[#This Row],[//]]="","",IF(KENKO[[#This Row],[ID NOTA]]="",Z98,KENKO[[#This Row],[ID NOTA]]))</f>
        <v>64</v>
      </c>
    </row>
    <row r="100" spans="1:26" ht="15" customHeight="1" x14ac:dyDescent="0.25">
      <c r="A100" s="4"/>
      <c r="B100" s="6" t="str">
        <f>IF(KENKO[[#This Row],[N_ID]]="","",INDEX(Table1[ID],MATCH(KENKO[[#This Row],[N_ID]],Table1[N_ID],0)))</f>
        <v/>
      </c>
      <c r="C100" s="6" t="str">
        <f>IF(KENKO[[#This Row],[ID NOTA]]="","",HYPERLINK("[NOTA_.xlsx]NOTA!e"&amp;INDEX([2]!PAJAK[//],MATCH(KENKO[[#This Row],[ID NOTA]],[2]!PAJAK[ID],0)),"&gt;") )</f>
        <v/>
      </c>
      <c r="D100" s="6" t="str">
        <f>IF(KENKO[[#This Row],[ID NOTA]]="","",INDEX(Table1[QB],MATCH(KENKO[[#This Row],[ID NOTA]],Table1[ID],0)))</f>
        <v/>
      </c>
      <c r="E10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343</v>
      </c>
      <c r="F100" s="6"/>
      <c r="G100" s="3" t="str">
        <f>IF(KENKO[[#This Row],[ID NOTA]]="","",INDEX([2]!NOTA[TGL_H],MATCH(KENKO[[#This Row],[ID NOTA]],[2]!NOTA[ID],0)))</f>
        <v/>
      </c>
      <c r="H100" s="3" t="str">
        <f>IF(KENKO[[#This Row],[ID NOTA]]="","",INDEX([2]!NOTA[TGL.NOTA],MATCH(KENKO[[#This Row],[ID NOTA]],[2]!NOTA[ID],0)))</f>
        <v/>
      </c>
      <c r="I100" s="18" t="str">
        <f>IF(KENKO[[#This Row],[ID NOTA]]="","",INDEX([2]!NOTA[NO.NOTA],MATCH(KENKO[[#This Row],[ID NOTA]],[2]!NOTA[ID],0)))</f>
        <v/>
      </c>
      <c r="J100" s="4" t="str">
        <f ca="1">IF(KENKO[[#This Row],[//]]="","",INDEX([4]!db[NB PAJAK],KENKO[[#This Row],[stt]]-1))</f>
        <v>GARISAN BESI (STAINLESS STEEL) KENKO 40 CM</v>
      </c>
      <c r="K100" s="6" t="str">
        <f>""</f>
        <v/>
      </c>
      <c r="L100" s="6">
        <f ca="1">IF(KENKO[[#This Row],[//]]="","",IF(INDEX([2]!NOTA[QTY],KENKO[//]-2)="",INDEX([2]!NOTA[C],KENKO[//]-2),INDEX([2]!NOTA[QTY],KENKO[//]-2)))</f>
        <v>1</v>
      </c>
      <c r="M100" s="6" t="str">
        <f ca="1">IF(KENKO[[#This Row],[//]]="","",IF(INDEX([2]!NOTA[STN],KENKO[//]-2)="","CTN",INDEX([2]!NOTA[STN],KENKO[//]-2)))</f>
        <v>CTN</v>
      </c>
      <c r="N100" s="5">
        <f ca="1">IF(KENKO[[#This Row],[//]]="","",IF(INDEX([2]!NOTA[HARGA/ CTN],KENKO[[#This Row],[//]]-2)="",INDEX([2]!NOTA[HARGA SATUAN],KENKO[//]-2),INDEX([2]!NOTA[HARGA/ CTN],KENKO[[#This Row],[//]]-2)))</f>
        <v>1530000</v>
      </c>
      <c r="O100" s="7" t="str">
        <f ca="1">IF(KENKO[[#This Row],[//]]="","",IF(INDEX([2]!NOTA[DISC 2],KENKO[[#This Row],[//]]-2)=0,"",INDEX([2]!NOTA[DISC 2],KENKO[[#This Row],[//]]-2)))</f>
        <v/>
      </c>
      <c r="P100" s="7"/>
      <c r="Q100" s="10">
        <f ca="1">IF(KENKO[[#This Row],[//]]="","",INDEX([2]!NOTA[JUMLAH],KENKO[[#This Row],[//]]-2)-IF(ISNUMBER(KENKO[[#This Row],[DISC 1 (%)]]),INDEX([2]!NOTA[JUMLAH],KENKO[[#This Row],[//]]-2)*KENKO[[#This Row],[DISC 1 (%)]],0))</f>
        <v>1530000</v>
      </c>
      <c r="R1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4" t="str">
        <f ca="1">IF(KENKO[[#This Row],[//]]="","",INDEX([2]!NOTA[NAMA BARANG],KENKO[[#This Row],[//]]-2))</f>
        <v>KENKO STAINLESS STEEL RULER 40 CM</v>
      </c>
      <c r="V100" s="4" t="str">
        <f ca="1">LOWER(SUBSTITUTE(SUBSTITUTE(SUBSTITUTE(SUBSTITUTE(SUBSTITUTE(SUBSTITUTE(SUBSTITUTE(SUBSTITUTE(KENKO[[#This Row],[N.B.nota]]," ",""),"-",""),"(",""),")",""),".",""),",",""),"/",""),"""",""))</f>
        <v>kenkostainlesssteelruler40cm</v>
      </c>
      <c r="W100" s="6">
        <f ca="1">IF(KENKO[[#This Row],[concat]]="","",MATCH(KENKO[[#This Row],[concat]],[4]!db[NB NOTA_C],0)+1)</f>
        <v>1230</v>
      </c>
      <c r="X100" s="4" t="str">
        <f ca="1">IF(KENKO[[#This Row],[N.B.nota]]="","",ADDRESS(ROW(KENKO[QB]),COLUMN(KENKO[QB]))&amp;":"&amp;ADDRESS(ROW(),COLUMN(KENKO[QB])))</f>
        <v>$D$3:$D$100</v>
      </c>
      <c r="Y100" s="13" t="str">
        <f ca="1">IF(KENKO[[#This Row],[//]]="","",HYPERLINK("[..\\DB.xlsx]DB!e"&amp;KENKO[[#This Row],[stt]],"&gt;"))</f>
        <v>&gt;</v>
      </c>
      <c r="Z100" s="4">
        <f ca="1">IF(KENKO[[#This Row],[//]]="","",IF(KENKO[[#This Row],[ID NOTA]]="",Z99,KENKO[[#This Row],[ID NOTA]]))</f>
        <v>64</v>
      </c>
    </row>
    <row r="101" spans="1:26" ht="15" customHeight="1" x14ac:dyDescent="0.25">
      <c r="A101" s="4"/>
      <c r="B101" s="6" t="str">
        <f>IF(KENKO[[#This Row],[N_ID]]="","",INDEX(Table1[ID],MATCH(KENKO[[#This Row],[N_ID]],Table1[N_ID],0)))</f>
        <v/>
      </c>
      <c r="C101" s="6" t="str">
        <f>IF(KENKO[[#This Row],[ID NOTA]]="","",HYPERLINK("[NOTA_.xlsx]NOTA!e"&amp;INDEX([2]!PAJAK[//],MATCH(KENKO[[#This Row],[ID NOTA]],[2]!PAJAK[ID],0)),"&gt;") )</f>
        <v/>
      </c>
      <c r="D101" s="6" t="str">
        <f>IF(KENKO[[#This Row],[ID NOTA]]="","",INDEX(Table1[QB],MATCH(KENKO[[#This Row],[ID NOTA]],Table1[ID],0)))</f>
        <v/>
      </c>
      <c r="E10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344</v>
      </c>
      <c r="F101" s="6"/>
      <c r="G101" s="3" t="str">
        <f>IF(KENKO[[#This Row],[ID NOTA]]="","",INDEX([2]!NOTA[TGL_H],MATCH(KENKO[[#This Row],[ID NOTA]],[2]!NOTA[ID],0)))</f>
        <v/>
      </c>
      <c r="H101" s="3" t="str">
        <f>IF(KENKO[[#This Row],[ID NOTA]]="","",INDEX([2]!NOTA[TGL.NOTA],MATCH(KENKO[[#This Row],[ID NOTA]],[2]!NOTA[ID],0)))</f>
        <v/>
      </c>
      <c r="I101" s="18" t="str">
        <f>IF(KENKO[[#This Row],[ID NOTA]]="","",INDEX([2]!NOTA[NO.NOTA],MATCH(KENKO[[#This Row],[ID NOTA]],[2]!NOTA[ID],0)))</f>
        <v/>
      </c>
      <c r="J101" s="4" t="str">
        <f ca="1">IF(KENKO[[#This Row],[//]]="","",INDEX([4]!db[NB PAJAK],KENKO[[#This Row],[stt]]-1))</f>
        <v>GARISAN BESI (STAINLESS STEEL) KENKO 50 CM</v>
      </c>
      <c r="K101" s="6" t="str">
        <f>""</f>
        <v/>
      </c>
      <c r="L101" s="6">
        <f ca="1">IF(KENKO[[#This Row],[//]]="","",IF(INDEX([2]!NOTA[QTY],KENKO[//]-2)="",INDEX([2]!NOTA[C],KENKO[//]-2),INDEX([2]!NOTA[QTY],KENKO[//]-2)))</f>
        <v>1</v>
      </c>
      <c r="M101" s="6" t="str">
        <f ca="1">IF(KENKO[[#This Row],[//]]="","",IF(INDEX([2]!NOTA[STN],KENKO[//]-2)="","CTN",INDEX([2]!NOTA[STN],KENKO[//]-2)))</f>
        <v>CTN</v>
      </c>
      <c r="N101" s="5">
        <f ca="1">IF(KENKO[[#This Row],[//]]="","",IF(INDEX([2]!NOTA[HARGA/ CTN],KENKO[[#This Row],[//]]-2)="",INDEX([2]!NOTA[HARGA SATUAN],KENKO[//]-2),INDEX([2]!NOTA[HARGA/ CTN],KENKO[[#This Row],[//]]-2)))</f>
        <v>2028000</v>
      </c>
      <c r="O101" s="7" t="str">
        <f ca="1">IF(KENKO[[#This Row],[//]]="","",IF(INDEX([2]!NOTA[DISC 2],KENKO[[#This Row],[//]]-2)=0,"",INDEX([2]!NOTA[DISC 2],KENKO[[#This Row],[//]]-2)))</f>
        <v/>
      </c>
      <c r="P101" s="7"/>
      <c r="Q101" s="10">
        <f ca="1">IF(KENKO[[#This Row],[//]]="","",INDEX([2]!NOTA[JUMLAH],KENKO[[#This Row],[//]]-2)-IF(ISNUMBER(KENKO[[#This Row],[DISC 1 (%)]]),INDEX([2]!NOTA[JUMLAH],KENKO[[#This Row],[//]]-2)*KENKO[[#This Row],[DISC 1 (%)]],0))</f>
        <v>2028000</v>
      </c>
      <c r="R1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4" t="str">
        <f ca="1">IF(KENKO[[#This Row],[//]]="","",INDEX([2]!NOTA[NAMA BARANG],KENKO[[#This Row],[//]]-2))</f>
        <v>KENKO STAINLESS STEEL RULER 50 CM</v>
      </c>
      <c r="V101" s="4" t="str">
        <f ca="1">LOWER(SUBSTITUTE(SUBSTITUTE(SUBSTITUTE(SUBSTITUTE(SUBSTITUTE(SUBSTITUTE(SUBSTITUTE(SUBSTITUTE(KENKO[[#This Row],[N.B.nota]]," ",""),"-",""),"(",""),")",""),".",""),",",""),"/",""),"""",""))</f>
        <v>kenkostainlesssteelruler50cm</v>
      </c>
      <c r="W101" s="6">
        <f ca="1">IF(KENKO[[#This Row],[concat]]="","",MATCH(KENKO[[#This Row],[concat]],[4]!db[NB NOTA_C],0)+1)</f>
        <v>1231</v>
      </c>
      <c r="X101" s="4" t="str">
        <f ca="1">IF(KENKO[[#This Row],[N.B.nota]]="","",ADDRESS(ROW(KENKO[QB]),COLUMN(KENKO[QB]))&amp;":"&amp;ADDRESS(ROW(),COLUMN(KENKO[QB])))</f>
        <v>$D$3:$D$101</v>
      </c>
      <c r="Y101" s="13" t="str">
        <f ca="1">IF(KENKO[[#This Row],[//]]="","",HYPERLINK("[..\\DB.xlsx]DB!e"&amp;KENKO[[#This Row],[stt]],"&gt;"))</f>
        <v>&gt;</v>
      </c>
      <c r="Z101" s="4">
        <f ca="1">IF(KENKO[[#This Row],[//]]="","",IF(KENKO[[#This Row],[ID NOTA]]="",Z100,KENKO[[#This Row],[ID NOTA]]))</f>
        <v>64</v>
      </c>
    </row>
    <row r="102" spans="1:26" ht="15" customHeight="1" x14ac:dyDescent="0.25">
      <c r="A102" s="4"/>
      <c r="B102" s="6" t="str">
        <f>IF(KENKO[[#This Row],[N_ID]]="","",INDEX(Table1[ID],MATCH(KENKO[[#This Row],[N_ID]],Table1[N_ID],0)))</f>
        <v/>
      </c>
      <c r="C102" s="6" t="str">
        <f>IF(KENKO[[#This Row],[ID NOTA]]="","",HYPERLINK("[NOTA_.xlsx]NOTA!e"&amp;INDEX([2]!PAJAK[//],MATCH(KENKO[[#This Row],[ID NOTA]],[2]!PAJAK[ID],0)),"&gt;") )</f>
        <v/>
      </c>
      <c r="D102" s="6" t="str">
        <f>IF(KENKO[[#This Row],[ID NOTA]]="","",INDEX(Table1[QB],MATCH(KENKO[[#This Row],[ID NOTA]],Table1[ID],0)))</f>
        <v/>
      </c>
      <c r="E10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345</v>
      </c>
      <c r="F102" s="6"/>
      <c r="G102" s="3" t="str">
        <f>IF(KENKO[[#This Row],[ID NOTA]]="","",INDEX([2]!NOTA[TGL_H],MATCH(KENKO[[#This Row],[ID NOTA]],[2]!NOTA[ID],0)))</f>
        <v/>
      </c>
      <c r="H102" s="3" t="str">
        <f>IF(KENKO[[#This Row],[ID NOTA]]="","",INDEX([2]!NOTA[TGL.NOTA],MATCH(KENKO[[#This Row],[ID NOTA]],[2]!NOTA[ID],0)))</f>
        <v/>
      </c>
      <c r="I102" s="18" t="str">
        <f>IF(KENKO[[#This Row],[ID NOTA]]="","",INDEX([2]!NOTA[NO.NOTA],MATCH(KENKO[[#This Row],[ID NOTA]],[2]!NOTA[ID],0)))</f>
        <v/>
      </c>
      <c r="J102" s="4" t="str">
        <f ca="1">IF(KENKO[[#This Row],[//]]="","",INDEX([4]!db[NB PAJAK],KENKO[[#This Row],[stt]]-1))</f>
        <v>GARISAN BESI (STAINLESS STEEL) KENKO 60 CM</v>
      </c>
      <c r="K102" s="6" t="str">
        <f>""</f>
        <v/>
      </c>
      <c r="L102" s="6">
        <f ca="1">IF(KENKO[[#This Row],[//]]="","",IF(INDEX([2]!NOTA[QTY],KENKO[//]-2)="",INDEX([2]!NOTA[C],KENKO[//]-2),INDEX([2]!NOTA[QTY],KENKO[//]-2)))</f>
        <v>1</v>
      </c>
      <c r="M102" s="6" t="str">
        <f ca="1">IF(KENKO[[#This Row],[//]]="","",IF(INDEX([2]!NOTA[STN],KENKO[//]-2)="","CTN",INDEX([2]!NOTA[STN],KENKO[//]-2)))</f>
        <v>CTN</v>
      </c>
      <c r="N102" s="5">
        <f ca="1">IF(KENKO[[#This Row],[//]]="","",IF(INDEX([2]!NOTA[HARGA/ CTN],KENKO[[#This Row],[//]]-2)="",INDEX([2]!NOTA[HARGA SATUAN],KENKO[//]-2),INDEX([2]!NOTA[HARGA/ CTN],KENKO[[#This Row],[//]]-2)))</f>
        <v>2340000</v>
      </c>
      <c r="O102" s="7" t="str">
        <f ca="1">IF(KENKO[[#This Row],[//]]="","",IF(INDEX([2]!NOTA[DISC 2],KENKO[[#This Row],[//]]-2)=0,"",INDEX([2]!NOTA[DISC 2],KENKO[[#This Row],[//]]-2)))</f>
        <v/>
      </c>
      <c r="P102" s="7"/>
      <c r="Q102" s="10">
        <f ca="1">IF(KENKO[[#This Row],[//]]="","",INDEX([2]!NOTA[JUMLAH],KENKO[[#This Row],[//]]-2)-IF(ISNUMBER(KENKO[[#This Row],[DISC 1 (%)]]),INDEX([2]!NOTA[JUMLAH],KENKO[[#This Row],[//]]-2)*KENKO[[#This Row],[DISC 1 (%)]],0))</f>
        <v>2340000</v>
      </c>
      <c r="R102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4180963.0000000005</v>
      </c>
      <c r="S102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20412937</v>
      </c>
      <c r="T1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4" t="str">
        <f ca="1">IF(KENKO[[#This Row],[//]]="","",INDEX([2]!NOTA[NAMA BARANG],KENKO[[#This Row],[//]]-2))</f>
        <v>KENKO STAINLESS STEEL RULER 60 CM</v>
      </c>
      <c r="V102" s="4" t="str">
        <f ca="1">LOWER(SUBSTITUTE(SUBSTITUTE(SUBSTITUTE(SUBSTITUTE(SUBSTITUTE(SUBSTITUTE(SUBSTITUTE(SUBSTITUTE(KENKO[[#This Row],[N.B.nota]]," ",""),"-",""),"(",""),")",""),".",""),",",""),"/",""),"""",""))</f>
        <v>kenkostainlesssteelruler60cm</v>
      </c>
      <c r="W102" s="6">
        <f ca="1">IF(KENKO[[#This Row],[concat]]="","",MATCH(KENKO[[#This Row],[concat]],[4]!db[NB NOTA_C],0)+1)</f>
        <v>1232</v>
      </c>
      <c r="X102" s="4" t="str">
        <f ca="1">IF(KENKO[[#This Row],[N.B.nota]]="","",ADDRESS(ROW(KENKO[QB]),COLUMN(KENKO[QB]))&amp;":"&amp;ADDRESS(ROW(),COLUMN(KENKO[QB])))</f>
        <v>$D$3:$D$102</v>
      </c>
      <c r="Y102" s="13" t="str">
        <f ca="1">IF(KENKO[[#This Row],[//]]="","",HYPERLINK("[..\\DB.xlsx]DB!e"&amp;KENKO[[#This Row],[stt]],"&gt;"))</f>
        <v>&gt;</v>
      </c>
      <c r="Z102" s="4">
        <f ca="1">IF(KENKO[[#This Row],[//]]="","",IF(KENKO[[#This Row],[ID NOTA]]="",Z101,KENKO[[#This Row],[ID NOTA]]))</f>
        <v>64</v>
      </c>
    </row>
    <row r="103" spans="1:26" ht="15" customHeight="1" x14ac:dyDescent="0.25">
      <c r="A103" s="4"/>
      <c r="B103" s="6" t="str">
        <f>IF(KENKO[[#This Row],[N_ID]]="","",INDEX(Table1[ID],MATCH(KENKO[[#This Row],[N_ID]],Table1[N_ID],0)))</f>
        <v/>
      </c>
      <c r="C103" s="6" t="str">
        <f>IF(KENKO[[#This Row],[ID NOTA]]="","",HYPERLINK("[NOTA_.xlsx]NOTA!e"&amp;INDEX([2]!PAJAK[//],MATCH(KENKO[[#This Row],[ID NOTA]],[2]!PAJAK[ID],0)),"&gt;") )</f>
        <v/>
      </c>
      <c r="D103" s="6" t="str">
        <f>IF(KENKO[[#This Row],[ID NOTA]]="","",INDEX(Table1[QB],MATCH(KENKO[[#This Row],[ID NOTA]],Table1[ID],0)))</f>
        <v/>
      </c>
      <c r="E10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03" s="6"/>
      <c r="G103" s="3" t="str">
        <f>IF(KENKO[[#This Row],[ID NOTA]]="","",INDEX([2]!NOTA[TGL_H],MATCH(KENKO[[#This Row],[ID NOTA]],[2]!NOTA[ID],0)))</f>
        <v/>
      </c>
      <c r="H103" s="3" t="str">
        <f>IF(KENKO[[#This Row],[ID NOTA]]="","",INDEX([2]!NOTA[TGL.NOTA],MATCH(KENKO[[#This Row],[ID NOTA]],[2]!NOTA[ID],0)))</f>
        <v/>
      </c>
      <c r="I103" s="18" t="str">
        <f>IF(KENKO[[#This Row],[ID NOTA]]="","",INDEX([2]!NOTA[NO.NOTA],MATCH(KENKO[[#This Row],[ID NOTA]],[2]!NOTA[ID],0)))</f>
        <v/>
      </c>
      <c r="J103" s="4" t="str">
        <f ca="1">IF(KENKO[[#This Row],[//]]="","",INDEX([4]!db[NB PAJAK],KENKO[[#This Row],[stt]]-1))</f>
        <v/>
      </c>
      <c r="K103" s="6" t="str">
        <f>""</f>
        <v/>
      </c>
      <c r="L103" s="6" t="str">
        <f ca="1">IF(KENKO[[#This Row],[//]]="","",IF(INDEX([2]!NOTA[QTY],KENKO[//]-2)="",INDEX([2]!NOTA[C],KENKO[//]-2),INDEX([2]!NOTA[QTY],KENKO[//]-2)))</f>
        <v/>
      </c>
      <c r="M103" s="6" t="str">
        <f ca="1">IF(KENKO[[#This Row],[//]]="","",IF(INDEX([2]!NOTA[STN],KENKO[//]-2)="","CTN",INDEX([2]!NOTA[STN],KENKO[//]-2)))</f>
        <v/>
      </c>
      <c r="N103" s="5" t="str">
        <f ca="1">IF(KENKO[[#This Row],[//]]="","",IF(INDEX([2]!NOTA[HARGA/ CTN],KENKO[[#This Row],[//]]-2)="",INDEX([2]!NOTA[HARGA SATUAN],KENKO[//]-2),INDEX([2]!NOTA[HARGA/ CTN],KENKO[[#This Row],[//]]-2)))</f>
        <v/>
      </c>
      <c r="O103" s="7" t="str">
        <f ca="1">IF(KENKO[[#This Row],[//]]="","",IF(INDEX([2]!NOTA[DISC 2],KENKO[[#This Row],[//]]-2)=0,"",INDEX([2]!NOTA[DISC 2],KENKO[[#This Row],[//]]-2)))</f>
        <v/>
      </c>
      <c r="P103" s="7"/>
      <c r="Q10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4" t="str">
        <f ca="1">IF(KENKO[[#This Row],[//]]="","",INDEX([2]!NOTA[NAMA BARANG],KENKO[[#This Row],[//]]-2))</f>
        <v/>
      </c>
      <c r="V103" s="4" t="str">
        <f ca="1">LOWER(SUBSTITUTE(SUBSTITUTE(SUBSTITUTE(SUBSTITUTE(SUBSTITUTE(SUBSTITUTE(SUBSTITUTE(SUBSTITUTE(KENKO[[#This Row],[N.B.nota]]," ",""),"-",""),"(",""),")",""),".",""),",",""),"/",""),"""",""))</f>
        <v/>
      </c>
      <c r="W103" s="6" t="str">
        <f ca="1">IF(KENKO[[#This Row],[concat]]="","",MATCH(KENKO[[#This Row],[concat]],[4]!db[NB NOTA_C],0)+1)</f>
        <v/>
      </c>
      <c r="X103" s="4" t="str">
        <f ca="1">IF(KENKO[[#This Row],[N.B.nota]]="","",ADDRESS(ROW(KENKO[QB]),COLUMN(KENKO[QB]))&amp;":"&amp;ADDRESS(ROW(),COLUMN(KENKO[QB])))</f>
        <v/>
      </c>
      <c r="Y103" s="13" t="str">
        <f ca="1">IF(KENKO[[#This Row],[//]]="","",HYPERLINK("[..\\DB.xlsx]DB!e"&amp;KENKO[[#This Row],[stt]],"&gt;"))</f>
        <v/>
      </c>
      <c r="Z103" s="4" t="str">
        <f ca="1">IF(KENKO[[#This Row],[//]]="","",IF(KENKO[[#This Row],[ID NOTA]]="",Z102,KENKO[[#This Row],[ID NOTA]]))</f>
        <v/>
      </c>
    </row>
    <row r="104" spans="1:26" ht="15" customHeight="1" x14ac:dyDescent="0.25">
      <c r="A104" s="4" t="s">
        <v>88</v>
      </c>
      <c r="B104" s="6">
        <f ca="1">IF(KENKO[[#This Row],[N_ID]]="","",INDEX(Table1[ID],MATCH(KENKO[[#This Row],[N_ID]],Table1[N_ID],0)))</f>
        <v>74</v>
      </c>
      <c r="C104" s="6" t="str">
        <f ca="1">IF(KENKO[[#This Row],[ID NOTA]]="","",HYPERLINK("[NOTA_.xlsx]NOTA!e"&amp;INDEX([2]!PAJAK[//],MATCH(KENKO[[#This Row],[ID NOTA]],[2]!PAJAK[ID],0)),"&gt;") )</f>
        <v>&gt;</v>
      </c>
      <c r="D104" s="6">
        <f ca="1">IF(KENKO[[#This Row],[ID NOTA]]="","",INDEX(Table1[QB],MATCH(KENKO[[#This Row],[ID NOTA]],Table1[ID],0)))</f>
        <v>10</v>
      </c>
      <c r="E10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415</v>
      </c>
      <c r="F104" s="6">
        <v>16</v>
      </c>
      <c r="G104" s="3">
        <f ca="1">IF(KENKO[[#This Row],[ID NOTA]]="","",INDEX([2]!NOTA[TGL_H],MATCH(KENKO[[#This Row],[ID NOTA]],[2]!NOTA[ID],0)))</f>
        <v>44821</v>
      </c>
      <c r="H104" s="3">
        <f ca="1">IF(KENKO[[#This Row],[ID NOTA]]="","",INDEX([2]!NOTA[TGL.NOTA],MATCH(KENKO[[#This Row],[ID NOTA]],[2]!NOTA[ID],0)))</f>
        <v>44819</v>
      </c>
      <c r="I104" s="18" t="str">
        <f ca="1">IF(KENKO[[#This Row],[ID NOTA]]="","",INDEX([2]!NOTA[NO.NOTA],MATCH(KENKO[[#This Row],[ID NOTA]],[2]!NOTA[ID],0)))</f>
        <v>22091198</v>
      </c>
      <c r="J104" s="4" t="str">
        <f ca="1">IF(KENKO[[#This Row],[//]]="","",INDEX([4]!db[NB PAJAK],KENKO[[#This Row],[stt]]-1))</f>
        <v>GEL PEN KENKO 0.4MM MICROTEC HITAM</v>
      </c>
      <c r="K104" s="6" t="str">
        <f>""</f>
        <v/>
      </c>
      <c r="L104" s="6">
        <f ca="1">IF(KENKO[[#This Row],[//]]="","",IF(INDEX([2]!NOTA[QTY],KENKO[//]-2)="",INDEX([2]!NOTA[C],KENKO[//]-2),INDEX([2]!NOTA[QTY],KENKO[//]-2)))</f>
        <v>1</v>
      </c>
      <c r="M104" s="6" t="str">
        <f ca="1">IF(KENKO[[#This Row],[//]]="","",IF(INDEX([2]!NOTA[STN],KENKO[//]-2)="","CTN",INDEX([2]!NOTA[STN],KENKO[//]-2)))</f>
        <v>CTN</v>
      </c>
      <c r="N104" s="5">
        <f ca="1">IF(KENKO[[#This Row],[//]]="","",IF(INDEX([2]!NOTA[HARGA/ CTN],KENKO[[#This Row],[//]]-2)="",INDEX([2]!NOTA[HARGA SATUAN],KENKO[//]-2),INDEX([2]!NOTA[HARGA/ CTN],KENKO[[#This Row],[//]]-2)))</f>
        <v>5702400</v>
      </c>
      <c r="O104" s="7" t="str">
        <f ca="1">IF(KENKO[[#This Row],[//]]="","",IF(INDEX([2]!NOTA[DISC 2],KENKO[[#This Row],[//]]-2)=0,"",INDEX([2]!NOTA[DISC 2],KENKO[[#This Row],[//]]-2)))</f>
        <v/>
      </c>
      <c r="P104" s="7"/>
      <c r="Q104" s="5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1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4" t="str">
        <f ca="1">IF(KENKO[[#This Row],[//]]="","",INDEX([2]!NOTA[NAMA BARANG],KENKO[[#This Row],[//]]-2))</f>
        <v>KENKO GEL PEN MICROTEC 0.4MM BLACK</v>
      </c>
      <c r="V104" s="4" t="str">
        <f ca="1">LOWER(SUBSTITUTE(SUBSTITUTE(SUBSTITUTE(SUBSTITUTE(SUBSTITUTE(SUBSTITUTE(SUBSTITUTE(SUBSTITUTE(KENKO[[#This Row],[N.B.nota]]," ",""),"-",""),"(",""),")",""),".",""),",",""),"/",""),"""",""))</f>
        <v>kenkogelpenmicrotec04mmblack</v>
      </c>
      <c r="W104" s="6">
        <f ca="1">IF(KENKO[[#This Row],[concat]]="","",MATCH(KENKO[[#This Row],[concat]],[4]!db[NB NOTA_C],0)+1)</f>
        <v>1126</v>
      </c>
      <c r="X104" s="4" t="str">
        <f ca="1">IF(KENKO[[#This Row],[N.B.nota]]="","",ADDRESS(ROW(KENKO[QB]),COLUMN(KENKO[QB]))&amp;":"&amp;ADDRESS(ROW(),COLUMN(KENKO[QB])))</f>
        <v>$D$3:$D$104</v>
      </c>
      <c r="Y104" s="13" t="str">
        <f ca="1">IF(KENKO[[#This Row],[//]]="","",HYPERLINK("[..\\DB.xlsx]DB!e"&amp;KENKO[[#This Row],[stt]],"&gt;"))</f>
        <v>&gt;</v>
      </c>
      <c r="Z104" s="4">
        <f ca="1">IF(KENKO[[#This Row],[//]]="","",IF(KENKO[[#This Row],[ID NOTA]]="",Z103,KENKO[[#This Row],[ID NOTA]]))</f>
        <v>74</v>
      </c>
    </row>
    <row r="105" spans="1:26" ht="15" customHeight="1" x14ac:dyDescent="0.25">
      <c r="A105" s="4"/>
      <c r="B105" s="6" t="str">
        <f>IF(KENKO[[#This Row],[N_ID]]="","",INDEX(Table1[ID],MATCH(KENKO[[#This Row],[N_ID]],Table1[N_ID],0)))</f>
        <v/>
      </c>
      <c r="C105" s="6" t="str">
        <f>IF(KENKO[[#This Row],[ID NOTA]]="","",HYPERLINK("[NOTA_.xlsx]NOTA!e"&amp;INDEX([2]!PAJAK[//],MATCH(KENKO[[#This Row],[ID NOTA]],[2]!PAJAK[ID],0)),"&gt;") )</f>
        <v/>
      </c>
      <c r="D105" s="6" t="str">
        <f>IF(KENKO[[#This Row],[ID NOTA]]="","",INDEX(Table1[QB],MATCH(KENKO[[#This Row],[ID NOTA]],Table1[ID],0)))</f>
        <v/>
      </c>
      <c r="E10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416</v>
      </c>
      <c r="F105" s="6"/>
      <c r="G105" s="3" t="str">
        <f>IF(KENKO[[#This Row],[ID NOTA]]="","",INDEX([2]!NOTA[TGL_H],MATCH(KENKO[[#This Row],[ID NOTA]],[2]!NOTA[ID],0)))</f>
        <v/>
      </c>
      <c r="H105" s="3" t="str">
        <f>IF(KENKO[[#This Row],[ID NOTA]]="","",INDEX([2]!NOTA[TGL.NOTA],MATCH(KENKO[[#This Row],[ID NOTA]],[2]!NOTA[ID],0)))</f>
        <v/>
      </c>
      <c r="I105" s="18" t="str">
        <f>IF(KENKO[[#This Row],[ID NOTA]]="","",INDEX([2]!NOTA[NO.NOTA],MATCH(KENKO[[#This Row],[ID NOTA]],[2]!NOTA[ID],0)))</f>
        <v/>
      </c>
      <c r="J105" s="4" t="str">
        <f ca="1">IF(KENKO[[#This Row],[//]]="","",INDEX([4]!db[NB PAJAK],KENKO[[#This Row],[stt]]-1))</f>
        <v>LOOSE LEAF KENKO B5-LL 100-2670</v>
      </c>
      <c r="K105" s="6" t="str">
        <f>""</f>
        <v/>
      </c>
      <c r="L105" s="6">
        <f ca="1">IF(KENKO[[#This Row],[//]]="","",IF(INDEX([2]!NOTA[QTY],KENKO[//]-2)="",INDEX([2]!NOTA[C],KENKO[//]-2),INDEX([2]!NOTA[QTY],KENKO[//]-2)))</f>
        <v>1</v>
      </c>
      <c r="M105" s="6" t="str">
        <f ca="1">IF(KENKO[[#This Row],[//]]="","",IF(INDEX([2]!NOTA[STN],KENKO[//]-2)="","CTN",INDEX([2]!NOTA[STN],KENKO[//]-2)))</f>
        <v>CTN</v>
      </c>
      <c r="N105" s="5">
        <f ca="1">IF(KENKO[[#This Row],[//]]="","",IF(INDEX([2]!NOTA[HARGA/ CTN],KENKO[[#This Row],[//]]-2)="",INDEX([2]!NOTA[HARGA SATUAN],KENKO[//]-2),INDEX([2]!NOTA[HARGA/ CTN],KENKO[[#This Row],[//]]-2)))</f>
        <v>1040000</v>
      </c>
      <c r="O105" s="7" t="str">
        <f ca="1">IF(KENKO[[#This Row],[//]]="","",IF(INDEX([2]!NOTA[DISC 2],KENKO[[#This Row],[//]]-2)=0,"",INDEX([2]!NOTA[DISC 2],KENKO[[#This Row],[//]]-2)))</f>
        <v/>
      </c>
      <c r="P105" s="7"/>
      <c r="Q105" s="5">
        <f ca="1">IF(KENKO[[#This Row],[//]]="","",INDEX([2]!NOTA[JUMLAH],KENKO[[#This Row],[//]]-2)-IF(ISNUMBER(KENKO[[#This Row],[DISC 1 (%)]]),INDEX([2]!NOTA[JUMLAH],KENKO[[#This Row],[//]]-2)*KENKO[[#This Row],[DISC 1 (%)]],0))</f>
        <v>1040000</v>
      </c>
      <c r="R1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4" t="str">
        <f ca="1">IF(KENKO[[#This Row],[//]]="","",INDEX([2]!NOTA[NAMA BARANG],KENKO[[#This Row],[//]]-2))</f>
        <v>KENKO LOOSE LEAF B5-LL 100-2670</v>
      </c>
      <c r="V105" s="4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105" s="6">
        <f ca="1">IF(KENKO[[#This Row],[concat]]="","",MATCH(KENKO[[#This Row],[concat]],[4]!db[NB NOTA_C],0)+1)</f>
        <v>1165</v>
      </c>
      <c r="X105" s="4" t="str">
        <f ca="1">IF(KENKO[[#This Row],[N.B.nota]]="","",ADDRESS(ROW(KENKO[QB]),COLUMN(KENKO[QB]))&amp;":"&amp;ADDRESS(ROW(),COLUMN(KENKO[QB])))</f>
        <v>$D$3:$D$105</v>
      </c>
      <c r="Y105" s="13" t="str">
        <f ca="1">IF(KENKO[[#This Row],[//]]="","",HYPERLINK("[..\\DB.xlsx]DB!e"&amp;KENKO[[#This Row],[stt]],"&gt;"))</f>
        <v>&gt;</v>
      </c>
      <c r="Z105" s="4">
        <f ca="1">IF(KENKO[[#This Row],[//]]="","",IF(KENKO[[#This Row],[ID NOTA]]="",Z104,KENKO[[#This Row],[ID NOTA]]))</f>
        <v>74</v>
      </c>
    </row>
    <row r="106" spans="1:26" ht="15" customHeight="1" x14ac:dyDescent="0.25">
      <c r="A106" s="4"/>
      <c r="B106" s="6" t="str">
        <f>IF(KENKO[[#This Row],[N_ID]]="","",INDEX(Table1[ID],MATCH(KENKO[[#This Row],[N_ID]],Table1[N_ID],0)))</f>
        <v/>
      </c>
      <c r="C106" s="6" t="str">
        <f>IF(KENKO[[#This Row],[ID NOTA]]="","",HYPERLINK("[NOTA_.xlsx]NOTA!e"&amp;INDEX([2]!PAJAK[//],MATCH(KENKO[[#This Row],[ID NOTA]],[2]!PAJAK[ID],0)),"&gt;") )</f>
        <v/>
      </c>
      <c r="D106" s="6" t="str">
        <f>IF(KENKO[[#This Row],[ID NOTA]]="","",INDEX(Table1[QB],MATCH(KENKO[[#This Row],[ID NOTA]],Table1[ID],0)))</f>
        <v/>
      </c>
      <c r="E10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417</v>
      </c>
      <c r="F106" s="6"/>
      <c r="G106" s="3" t="str">
        <f>IF(KENKO[[#This Row],[ID NOTA]]="","",INDEX([2]!NOTA[TGL_H],MATCH(KENKO[[#This Row],[ID NOTA]],[2]!NOTA[ID],0)))</f>
        <v/>
      </c>
      <c r="H106" s="3" t="str">
        <f>IF(KENKO[[#This Row],[ID NOTA]]="","",INDEX([2]!NOTA[TGL.NOTA],MATCH(KENKO[[#This Row],[ID NOTA]],[2]!NOTA[ID],0)))</f>
        <v/>
      </c>
      <c r="I106" s="18" t="str">
        <f>IF(KENKO[[#This Row],[ID NOTA]]="","",INDEX([2]!NOTA[NO.NOTA],MATCH(KENKO[[#This Row],[ID NOTA]],[2]!NOTA[ID],0)))</f>
        <v/>
      </c>
      <c r="J106" s="4" t="str">
        <f ca="1">IF(KENKO[[#This Row],[//]]="","",INDEX([4]!db[NB PAJAK],KENKO[[#This Row],[stt]]-1))</f>
        <v>CORRECTION FLUID KENKO KE-823M</v>
      </c>
      <c r="K106" s="6" t="str">
        <f>""</f>
        <v/>
      </c>
      <c r="L106" s="6">
        <f ca="1">IF(KENKO[[#This Row],[//]]="","",IF(INDEX([2]!NOTA[QTY],KENKO[//]-2)="",INDEX([2]!NOTA[C],KENKO[//]-2),INDEX([2]!NOTA[QTY],KENKO[//]-2)))</f>
        <v>2</v>
      </c>
      <c r="M106" s="6" t="str">
        <f ca="1">IF(KENKO[[#This Row],[//]]="","",IF(INDEX([2]!NOTA[STN],KENKO[//]-2)="","CTN",INDEX([2]!NOTA[STN],KENKO[//]-2)))</f>
        <v>CTN</v>
      </c>
      <c r="N106" s="5">
        <f ca="1">IF(KENKO[[#This Row],[//]]="","",IF(INDEX([2]!NOTA[HARGA/ CTN],KENKO[[#This Row],[//]]-2)="",INDEX([2]!NOTA[HARGA SATUAN],KENKO[//]-2),INDEX([2]!NOTA[HARGA/ CTN],KENKO[[#This Row],[//]]-2)))</f>
        <v>2052000</v>
      </c>
      <c r="O106" s="7" t="str">
        <f ca="1">IF(KENKO[[#This Row],[//]]="","",IF(INDEX([2]!NOTA[DISC 2],KENKO[[#This Row],[//]]-2)=0,"",INDEX([2]!NOTA[DISC 2],KENKO[[#This Row],[//]]-2)))</f>
        <v/>
      </c>
      <c r="P106" s="7"/>
      <c r="Q106" s="5">
        <f ca="1">IF(KENKO[[#This Row],[//]]="","",INDEX([2]!NOTA[JUMLAH],KENKO[[#This Row],[//]]-2)-IF(ISNUMBER(KENKO[[#This Row],[DISC 1 (%)]]),INDEX([2]!NOTA[JUMLAH],KENKO[[#This Row],[//]]-2)*KENKO[[#This Row],[DISC 1 (%)]],0))</f>
        <v>4104000</v>
      </c>
      <c r="R1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4" t="str">
        <f ca="1">IF(KENKO[[#This Row],[//]]="","",INDEX([2]!NOTA[NAMA BARANG],KENKO[[#This Row],[//]]-2))</f>
        <v>KENKO CORRECTION FLUID KE-823M</v>
      </c>
      <c r="V106" s="4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06" s="6">
        <f ca="1">IF(KENKO[[#This Row],[concat]]="","",MATCH(KENKO[[#This Row],[concat]],[4]!db[NB NOTA_C],0)+1)</f>
        <v>1059</v>
      </c>
      <c r="X106" s="4" t="str">
        <f ca="1">IF(KENKO[[#This Row],[N.B.nota]]="","",ADDRESS(ROW(KENKO[QB]),COLUMN(KENKO[QB]))&amp;":"&amp;ADDRESS(ROW(),COLUMN(KENKO[QB])))</f>
        <v>$D$3:$D$106</v>
      </c>
      <c r="Y106" s="13" t="str">
        <f ca="1">IF(KENKO[[#This Row],[//]]="","",HYPERLINK("[..\\DB.xlsx]DB!e"&amp;KENKO[[#This Row],[stt]],"&gt;"))</f>
        <v>&gt;</v>
      </c>
      <c r="Z106" s="4">
        <f ca="1">IF(KENKO[[#This Row],[//]]="","",IF(KENKO[[#This Row],[ID NOTA]]="",Z105,KENKO[[#This Row],[ID NOTA]]))</f>
        <v>74</v>
      </c>
    </row>
    <row r="107" spans="1:26" ht="15" customHeight="1" x14ac:dyDescent="0.25">
      <c r="A107" s="4"/>
      <c r="B107" s="6" t="str">
        <f>IF(KENKO[[#This Row],[N_ID]]="","",INDEX(Table1[ID],MATCH(KENKO[[#This Row],[N_ID]],Table1[N_ID],0)))</f>
        <v/>
      </c>
      <c r="C107" s="6" t="str">
        <f>IF(KENKO[[#This Row],[ID NOTA]]="","",HYPERLINK("[NOTA_.xlsx]NOTA!e"&amp;INDEX([2]!PAJAK[//],MATCH(KENKO[[#This Row],[ID NOTA]],[2]!PAJAK[ID],0)),"&gt;") )</f>
        <v/>
      </c>
      <c r="D107" s="6" t="str">
        <f>IF(KENKO[[#This Row],[ID NOTA]]="","",INDEX(Table1[QB],MATCH(KENKO[[#This Row],[ID NOTA]],Table1[ID],0)))</f>
        <v/>
      </c>
      <c r="E10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418</v>
      </c>
      <c r="F107" s="6"/>
      <c r="G107" s="3" t="str">
        <f>IF(KENKO[[#This Row],[ID NOTA]]="","",INDEX([2]!NOTA[TGL_H],MATCH(KENKO[[#This Row],[ID NOTA]],[2]!NOTA[ID],0)))</f>
        <v/>
      </c>
      <c r="H107" s="3" t="str">
        <f>IF(KENKO[[#This Row],[ID NOTA]]="","",INDEX([2]!NOTA[TGL.NOTA],MATCH(KENKO[[#This Row],[ID NOTA]],[2]!NOTA[ID],0)))</f>
        <v/>
      </c>
      <c r="I107" s="18" t="str">
        <f>IF(KENKO[[#This Row],[ID NOTA]]="","",INDEX([2]!NOTA[NO.NOTA],MATCH(KENKO[[#This Row],[ID NOTA]],[2]!NOTA[ID],0)))</f>
        <v/>
      </c>
      <c r="J107" s="4" t="str">
        <f ca="1">IF(KENKO[[#This Row],[//]]="","",INDEX([4]!db[NB PAJAK],KENKO[[#This Row],[stt]]-1))</f>
        <v>STAPLER KENKO HD-10</v>
      </c>
      <c r="K107" s="6" t="str">
        <f>""</f>
        <v/>
      </c>
      <c r="L107" s="6">
        <f ca="1">IF(KENKO[[#This Row],[//]]="","",IF(INDEX([2]!NOTA[QTY],KENKO[//]-2)="",INDEX([2]!NOTA[C],KENKO[//]-2),INDEX([2]!NOTA[QTY],KENKO[//]-2)))</f>
        <v>5</v>
      </c>
      <c r="M107" s="6" t="str">
        <f ca="1">IF(KENKO[[#This Row],[//]]="","",IF(INDEX([2]!NOTA[STN],KENKO[//]-2)="","CTN",INDEX([2]!NOTA[STN],KENKO[//]-2)))</f>
        <v>CTN</v>
      </c>
      <c r="N107" s="5">
        <f ca="1">IF(KENKO[[#This Row],[//]]="","",IF(INDEX([2]!NOTA[HARGA/ CTN],KENKO[[#This Row],[//]]-2)="",INDEX([2]!NOTA[HARGA SATUAN],KENKO[//]-2),INDEX([2]!NOTA[HARGA/ CTN],KENKO[[#This Row],[//]]-2)))</f>
        <v>1740000</v>
      </c>
      <c r="O107" s="7" t="str">
        <f ca="1">IF(KENKO[[#This Row],[//]]="","",IF(INDEX([2]!NOTA[DISC 2],KENKO[[#This Row],[//]]-2)=0,"",INDEX([2]!NOTA[DISC 2],KENKO[[#This Row],[//]]-2)))</f>
        <v/>
      </c>
      <c r="P107" s="7"/>
      <c r="Q107" s="5">
        <f ca="1">IF(KENKO[[#This Row],[//]]="","",INDEX([2]!NOTA[JUMLAH],KENKO[[#This Row],[//]]-2)-IF(ISNUMBER(KENKO[[#This Row],[DISC 1 (%)]]),INDEX([2]!NOTA[JUMLAH],KENKO[[#This Row],[//]]-2)*KENKO[[#This Row],[DISC 1 (%)]],0))</f>
        <v>8700000</v>
      </c>
      <c r="R1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4" t="str">
        <f ca="1">IF(KENKO[[#This Row],[//]]="","",INDEX([2]!NOTA[NAMA BARANG],KENKO[[#This Row],[//]]-2))</f>
        <v>KENKO STAPLER HD-10</v>
      </c>
      <c r="V107" s="4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07" s="6">
        <f ca="1">IF(KENKO[[#This Row],[concat]]="","",MATCH(KENKO[[#This Row],[concat]],[4]!db[NB NOTA_C],0)+1)</f>
        <v>1240</v>
      </c>
      <c r="X107" s="4" t="str">
        <f ca="1">IF(KENKO[[#This Row],[N.B.nota]]="","",ADDRESS(ROW(KENKO[QB]),COLUMN(KENKO[QB]))&amp;":"&amp;ADDRESS(ROW(),COLUMN(KENKO[QB])))</f>
        <v>$D$3:$D$107</v>
      </c>
      <c r="Y107" s="13" t="str">
        <f ca="1">IF(KENKO[[#This Row],[//]]="","",HYPERLINK("[..\\DB.xlsx]DB!e"&amp;KENKO[[#This Row],[stt]],"&gt;"))</f>
        <v>&gt;</v>
      </c>
      <c r="Z107" s="4">
        <f ca="1">IF(KENKO[[#This Row],[//]]="","",IF(KENKO[[#This Row],[ID NOTA]]="",Z106,KENKO[[#This Row],[ID NOTA]]))</f>
        <v>74</v>
      </c>
    </row>
    <row r="108" spans="1:26" ht="15" customHeight="1" x14ac:dyDescent="0.25">
      <c r="A108" s="4"/>
      <c r="B108" s="6" t="str">
        <f>IF(KENKO[[#This Row],[N_ID]]="","",INDEX(Table1[ID],MATCH(KENKO[[#This Row],[N_ID]],Table1[N_ID],0)))</f>
        <v/>
      </c>
      <c r="C108" s="6" t="str">
        <f>IF(KENKO[[#This Row],[ID NOTA]]="","",HYPERLINK("[NOTA_.xlsx]NOTA!e"&amp;INDEX([2]!PAJAK[//],MATCH(KENKO[[#This Row],[ID NOTA]],[2]!PAJAK[ID],0)),"&gt;") )</f>
        <v/>
      </c>
      <c r="D108" s="6" t="str">
        <f>IF(KENKO[[#This Row],[ID NOTA]]="","",INDEX(Table1[QB],MATCH(KENKO[[#This Row],[ID NOTA]],Table1[ID],0)))</f>
        <v/>
      </c>
      <c r="E10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419</v>
      </c>
      <c r="F108" s="6"/>
      <c r="G108" s="3" t="str">
        <f>IF(KENKO[[#This Row],[ID NOTA]]="","",INDEX([2]!NOTA[TGL_H],MATCH(KENKO[[#This Row],[ID NOTA]],[2]!NOTA[ID],0)))</f>
        <v/>
      </c>
      <c r="H108" s="3" t="str">
        <f>IF(KENKO[[#This Row],[ID NOTA]]="","",INDEX([2]!NOTA[TGL.NOTA],MATCH(KENKO[[#This Row],[ID NOTA]],[2]!NOTA[ID],0)))</f>
        <v/>
      </c>
      <c r="I108" s="18" t="str">
        <f>IF(KENKO[[#This Row],[ID NOTA]]="","",INDEX([2]!NOTA[NO.NOTA],MATCH(KENKO[[#This Row],[ID NOTA]],[2]!NOTA[ID],0)))</f>
        <v/>
      </c>
      <c r="J108" s="4" t="str">
        <f ca="1">IF(KENKO[[#This Row],[//]]="","",INDEX([4]!db[NB PAJAK],KENKO[[#This Row],[stt]]-1))</f>
        <v>STAPLER KENKO HD-50</v>
      </c>
      <c r="K108" s="6" t="str">
        <f>""</f>
        <v/>
      </c>
      <c r="L108" s="6">
        <f ca="1">IF(KENKO[[#This Row],[//]]="","",IF(INDEX([2]!NOTA[QTY],KENKO[//]-2)="",INDEX([2]!NOTA[C],KENKO[//]-2),INDEX([2]!NOTA[QTY],KENKO[//]-2)))</f>
        <v>2</v>
      </c>
      <c r="M108" s="6" t="str">
        <f ca="1">IF(KENKO[[#This Row],[//]]="","",IF(INDEX([2]!NOTA[STN],KENKO[//]-2)="","CTN",INDEX([2]!NOTA[STN],KENKO[//]-2)))</f>
        <v>CTN</v>
      </c>
      <c r="N108" s="5">
        <f ca="1">IF(KENKO[[#This Row],[//]]="","",IF(INDEX([2]!NOTA[HARGA/ CTN],KENKO[[#This Row],[//]]-2)="",INDEX([2]!NOTA[HARGA SATUAN],KENKO[//]-2),INDEX([2]!NOTA[HARGA/ CTN],KENKO[[#This Row],[//]]-2)))</f>
        <v>2280000</v>
      </c>
      <c r="O108" s="7" t="str">
        <f ca="1">IF(KENKO[[#This Row],[//]]="","",IF(INDEX([2]!NOTA[DISC 2],KENKO[[#This Row],[//]]-2)=0,"",INDEX([2]!NOTA[DISC 2],KENKO[[#This Row],[//]]-2)))</f>
        <v/>
      </c>
      <c r="P108" s="7"/>
      <c r="Q108" s="5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1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4" t="str">
        <f ca="1">IF(KENKO[[#This Row],[//]]="","",INDEX([2]!NOTA[NAMA BARANG],KENKO[[#This Row],[//]]-2))</f>
        <v>KENKO STAPLER HD-50</v>
      </c>
      <c r="V108" s="4" t="str">
        <f ca="1">LOWER(SUBSTITUTE(SUBSTITUTE(SUBSTITUTE(SUBSTITUTE(SUBSTITUTE(SUBSTITUTE(SUBSTITUTE(SUBSTITUTE(KENKO[[#This Row],[N.B.nota]]," ",""),"-",""),"(",""),")",""),".",""),",",""),"/",""),"""",""))</f>
        <v>kenkostaplerhd50</v>
      </c>
      <c r="W108" s="6">
        <f ca="1">IF(KENKO[[#This Row],[concat]]="","",MATCH(KENKO[[#This Row],[concat]],[4]!db[NB NOTA_C],0)+1)</f>
        <v>1246</v>
      </c>
      <c r="X108" s="4" t="str">
        <f ca="1">IF(KENKO[[#This Row],[N.B.nota]]="","",ADDRESS(ROW(KENKO[QB]),COLUMN(KENKO[QB]))&amp;":"&amp;ADDRESS(ROW(),COLUMN(KENKO[QB])))</f>
        <v>$D$3:$D$108</v>
      </c>
      <c r="Y108" s="13" t="str">
        <f ca="1">IF(KENKO[[#This Row],[//]]="","",HYPERLINK("[..\\DB.xlsx]DB!e"&amp;KENKO[[#This Row],[stt]],"&gt;"))</f>
        <v>&gt;</v>
      </c>
      <c r="Z108" s="4">
        <f ca="1">IF(KENKO[[#This Row],[//]]="","",IF(KENKO[[#This Row],[ID NOTA]]="",Z107,KENKO[[#This Row],[ID NOTA]]))</f>
        <v>74</v>
      </c>
    </row>
    <row r="109" spans="1:26" ht="15" customHeight="1" x14ac:dyDescent="0.25">
      <c r="A109" s="4"/>
      <c r="B109" s="6" t="str">
        <f>IF(KENKO[[#This Row],[N_ID]]="","",INDEX(Table1[ID],MATCH(KENKO[[#This Row],[N_ID]],Table1[N_ID],0)))</f>
        <v/>
      </c>
      <c r="C109" s="6" t="str">
        <f>IF(KENKO[[#This Row],[ID NOTA]]="","",HYPERLINK("[NOTA_.xlsx]NOTA!e"&amp;INDEX([2]!PAJAK[//],MATCH(KENKO[[#This Row],[ID NOTA]],[2]!PAJAK[ID],0)),"&gt;") )</f>
        <v/>
      </c>
      <c r="D109" s="6" t="str">
        <f>IF(KENKO[[#This Row],[ID NOTA]]="","",INDEX(Table1[QB],MATCH(KENKO[[#This Row],[ID NOTA]],Table1[ID],0)))</f>
        <v/>
      </c>
      <c r="E10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420</v>
      </c>
      <c r="F109" s="6"/>
      <c r="G109" s="3" t="str">
        <f>IF(KENKO[[#This Row],[ID NOTA]]="","",INDEX([2]!NOTA[TGL_H],MATCH(KENKO[[#This Row],[ID NOTA]],[2]!NOTA[ID],0)))</f>
        <v/>
      </c>
      <c r="H109" s="3" t="str">
        <f>IF(KENKO[[#This Row],[ID NOTA]]="","",INDEX([2]!NOTA[TGL.NOTA],MATCH(KENKO[[#This Row],[ID NOTA]],[2]!NOTA[ID],0)))</f>
        <v/>
      </c>
      <c r="I109" s="18" t="str">
        <f>IF(KENKO[[#This Row],[ID NOTA]]="","",INDEX([2]!NOTA[NO.NOTA],MATCH(KENKO[[#This Row],[ID NOTA]],[2]!NOTA[ID],0)))</f>
        <v/>
      </c>
      <c r="J109" s="4" t="str">
        <f ca="1">IF(KENKO[[#This Row],[//]]="","",INDEX([4]!db[NB PAJAK],KENKO[[#This Row],[stt]]-1))</f>
        <v>BINDER CLIP KENKO NO. 111</v>
      </c>
      <c r="K109" s="6" t="str">
        <f>""</f>
        <v/>
      </c>
      <c r="L109" s="6">
        <f ca="1">IF(KENKO[[#This Row],[//]]="","",IF(INDEX([2]!NOTA[QTY],KENKO[//]-2)="",INDEX([2]!NOTA[C],KENKO[//]-2),INDEX([2]!NOTA[QTY],KENKO[//]-2)))</f>
        <v>2</v>
      </c>
      <c r="M109" s="6" t="str">
        <f ca="1">IF(KENKO[[#This Row],[//]]="","",IF(INDEX([2]!NOTA[STN],KENKO[//]-2)="","CTN",INDEX([2]!NOTA[STN],KENKO[//]-2)))</f>
        <v>CTN</v>
      </c>
      <c r="N109" s="5">
        <f ca="1">IF(KENKO[[#This Row],[//]]="","",IF(INDEX([2]!NOTA[HARGA/ CTN],KENKO[[#This Row],[//]]-2)="",INDEX([2]!NOTA[HARGA SATUAN],KENKO[//]-2),INDEX([2]!NOTA[HARGA/ CTN],KENKO[[#This Row],[//]]-2)))</f>
        <v>1476000</v>
      </c>
      <c r="O109" s="7" t="str">
        <f ca="1">IF(KENKO[[#This Row],[//]]="","",IF(INDEX([2]!NOTA[DISC 2],KENKO[[#This Row],[//]]-2)=0,"",INDEX([2]!NOTA[DISC 2],KENKO[[#This Row],[//]]-2)))</f>
        <v/>
      </c>
      <c r="P109" s="7"/>
      <c r="Q109" s="5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1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4" t="str">
        <f ca="1">IF(KENKO[[#This Row],[//]]="","",INDEX([2]!NOTA[NAMA BARANG],KENKO[[#This Row],[//]]-2))</f>
        <v>KENKO BINDER CLIP NO.111</v>
      </c>
      <c r="V109" s="4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09" s="6">
        <f ca="1">IF(KENKO[[#This Row],[concat]]="","",MATCH(KENKO[[#This Row],[concat]],[4]!db[NB NOTA_C],0)+1)</f>
        <v>1007</v>
      </c>
      <c r="X109" s="4" t="str">
        <f ca="1">IF(KENKO[[#This Row],[N.B.nota]]="","",ADDRESS(ROW(KENKO[QB]),COLUMN(KENKO[QB]))&amp;":"&amp;ADDRESS(ROW(),COLUMN(KENKO[QB])))</f>
        <v>$D$3:$D$109</v>
      </c>
      <c r="Y109" s="13" t="str">
        <f ca="1">IF(KENKO[[#This Row],[//]]="","",HYPERLINK("[..\\DB.xlsx]DB!e"&amp;KENKO[[#This Row],[stt]],"&gt;"))</f>
        <v>&gt;</v>
      </c>
      <c r="Z109" s="4">
        <f ca="1">IF(KENKO[[#This Row],[//]]="","",IF(KENKO[[#This Row],[ID NOTA]]="",Z108,KENKO[[#This Row],[ID NOTA]]))</f>
        <v>74</v>
      </c>
    </row>
    <row r="110" spans="1:26" ht="15" customHeight="1" x14ac:dyDescent="0.25">
      <c r="A110" s="4"/>
      <c r="B110" s="6" t="str">
        <f>IF(KENKO[[#This Row],[N_ID]]="","",INDEX(Table1[ID],MATCH(KENKO[[#This Row],[N_ID]],Table1[N_ID],0)))</f>
        <v/>
      </c>
      <c r="C110" s="6" t="str">
        <f>IF(KENKO[[#This Row],[ID NOTA]]="","",HYPERLINK("[NOTA_.xlsx]NOTA!e"&amp;INDEX([2]!PAJAK[//],MATCH(KENKO[[#This Row],[ID NOTA]],[2]!PAJAK[ID],0)),"&gt;") )</f>
        <v/>
      </c>
      <c r="D110" s="6" t="str">
        <f>IF(KENKO[[#This Row],[ID NOTA]]="","",INDEX(Table1[QB],MATCH(KENKO[[#This Row],[ID NOTA]],Table1[ID],0)))</f>
        <v/>
      </c>
      <c r="E11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421</v>
      </c>
      <c r="F110" s="6"/>
      <c r="G110" s="3" t="str">
        <f>IF(KENKO[[#This Row],[ID NOTA]]="","",INDEX([2]!NOTA[TGL_H],MATCH(KENKO[[#This Row],[ID NOTA]],[2]!NOTA[ID],0)))</f>
        <v/>
      </c>
      <c r="H110" s="3" t="str">
        <f>IF(KENKO[[#This Row],[ID NOTA]]="","",INDEX([2]!NOTA[TGL.NOTA],MATCH(KENKO[[#This Row],[ID NOTA]],[2]!NOTA[ID],0)))</f>
        <v/>
      </c>
      <c r="I110" s="18" t="str">
        <f>IF(KENKO[[#This Row],[ID NOTA]]="","",INDEX([2]!NOTA[NO.NOTA],MATCH(KENKO[[#This Row],[ID NOTA]],[2]!NOTA[ID],0)))</f>
        <v/>
      </c>
      <c r="J110" s="4" t="str">
        <f ca="1">IF(KENKO[[#This Row],[//]]="","",INDEX([4]!db[NB PAJAK],KENKO[[#This Row],[stt]]-1))</f>
        <v>BINDER CLIP KENKO NO. 155</v>
      </c>
      <c r="K110" s="6" t="str">
        <f>""</f>
        <v/>
      </c>
      <c r="L110" s="6">
        <f ca="1">IF(KENKO[[#This Row],[//]]="","",IF(INDEX([2]!NOTA[QTY],KENKO[//]-2)="",INDEX([2]!NOTA[C],KENKO[//]-2),INDEX([2]!NOTA[QTY],KENKO[//]-2)))</f>
        <v>1</v>
      </c>
      <c r="M110" s="6" t="str">
        <f ca="1">IF(KENKO[[#This Row],[//]]="","",IF(INDEX([2]!NOTA[STN],KENKO[//]-2)="","CTN",INDEX([2]!NOTA[STN],KENKO[//]-2)))</f>
        <v>CTN</v>
      </c>
      <c r="N110" s="5">
        <f ca="1">IF(KENKO[[#This Row],[//]]="","",IF(INDEX([2]!NOTA[HARGA/ CTN],KENKO[[#This Row],[//]]-2)="",INDEX([2]!NOTA[HARGA SATUAN],KENKO[//]-2),INDEX([2]!NOTA[HARGA/ CTN],KENKO[[#This Row],[//]]-2)))</f>
        <v>1380000</v>
      </c>
      <c r="O110" s="7" t="str">
        <f ca="1">IF(KENKO[[#This Row],[//]]="","",IF(INDEX([2]!NOTA[DISC 2],KENKO[[#This Row],[//]]-2)=0,"",INDEX([2]!NOTA[DISC 2],KENKO[[#This Row],[//]]-2)))</f>
        <v/>
      </c>
      <c r="P110" s="7"/>
      <c r="Q110" s="5">
        <f ca="1">IF(KENKO[[#This Row],[//]]="","",INDEX([2]!NOTA[JUMLAH],KENKO[[#This Row],[//]]-2)-IF(ISNUMBER(KENKO[[#This Row],[DISC 1 (%)]]),INDEX([2]!NOTA[JUMLAH],KENKO[[#This Row],[//]]-2)*KENKO[[#This Row],[DISC 1 (%)]],0))</f>
        <v>1380000</v>
      </c>
      <c r="R1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4" t="str">
        <f ca="1">IF(KENKO[[#This Row],[//]]="","",INDEX([2]!NOTA[NAMA BARANG],KENKO[[#This Row],[//]]-2))</f>
        <v>KENKO BINDER CLIP NO.155</v>
      </c>
      <c r="V110" s="4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110" s="6">
        <f ca="1">IF(KENKO[[#This Row],[concat]]="","",MATCH(KENKO[[#This Row],[concat]],[4]!db[NB NOTA_C],0)+1)</f>
        <v>1008</v>
      </c>
      <c r="X110" s="4" t="str">
        <f ca="1">IF(KENKO[[#This Row],[N.B.nota]]="","",ADDRESS(ROW(KENKO[QB]),COLUMN(KENKO[QB]))&amp;":"&amp;ADDRESS(ROW(),COLUMN(KENKO[QB])))</f>
        <v>$D$3:$D$110</v>
      </c>
      <c r="Y110" s="13" t="str">
        <f ca="1">IF(KENKO[[#This Row],[//]]="","",HYPERLINK("[..\\DB.xlsx]DB!e"&amp;KENKO[[#This Row],[stt]],"&gt;"))</f>
        <v>&gt;</v>
      </c>
      <c r="Z110" s="4">
        <f ca="1">IF(KENKO[[#This Row],[//]]="","",IF(KENKO[[#This Row],[ID NOTA]]="",Z109,KENKO[[#This Row],[ID NOTA]]))</f>
        <v>74</v>
      </c>
    </row>
    <row r="111" spans="1:26" ht="15" customHeight="1" x14ac:dyDescent="0.25">
      <c r="A111" s="4"/>
      <c r="B111" s="6" t="str">
        <f>IF(KENKO[[#This Row],[N_ID]]="","",INDEX(Table1[ID],MATCH(KENKO[[#This Row],[N_ID]],Table1[N_ID],0)))</f>
        <v/>
      </c>
      <c r="C111" s="6" t="str">
        <f>IF(KENKO[[#This Row],[ID NOTA]]="","",HYPERLINK("[NOTA_.xlsx]NOTA!e"&amp;INDEX([2]!PAJAK[//],MATCH(KENKO[[#This Row],[ID NOTA]],[2]!PAJAK[ID],0)),"&gt;") )</f>
        <v/>
      </c>
      <c r="D111" s="6" t="str">
        <f>IF(KENKO[[#This Row],[ID NOTA]]="","",INDEX(Table1[QB],MATCH(KENKO[[#This Row],[ID NOTA]],Table1[ID],0)))</f>
        <v/>
      </c>
      <c r="E11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422</v>
      </c>
      <c r="F111" s="6"/>
      <c r="G111" s="3" t="str">
        <f>IF(KENKO[[#This Row],[ID NOTA]]="","",INDEX([2]!NOTA[TGL_H],MATCH(KENKO[[#This Row],[ID NOTA]],[2]!NOTA[ID],0)))</f>
        <v/>
      </c>
      <c r="H111" s="3" t="str">
        <f>IF(KENKO[[#This Row],[ID NOTA]]="","",INDEX([2]!NOTA[TGL.NOTA],MATCH(KENKO[[#This Row],[ID NOTA]],[2]!NOTA[ID],0)))</f>
        <v/>
      </c>
      <c r="I111" s="18" t="str">
        <f>IF(KENKO[[#This Row],[ID NOTA]]="","",INDEX([2]!NOTA[NO.NOTA],MATCH(KENKO[[#This Row],[ID NOTA]],[2]!NOTA[ID],0)))</f>
        <v/>
      </c>
      <c r="J111" s="4" t="str">
        <f ca="1">IF(KENKO[[#This Row],[//]]="","",INDEX([4]!db[NB PAJAK],KENKO[[#This Row],[stt]]-1))</f>
        <v>BINDER CLIP KENKO NO. 200</v>
      </c>
      <c r="K111" s="6" t="str">
        <f>""</f>
        <v/>
      </c>
      <c r="L111" s="6">
        <f ca="1">IF(KENKO[[#This Row],[//]]="","",IF(INDEX([2]!NOTA[QTY],KENKO[//]-2)="",INDEX([2]!NOTA[C],KENKO[//]-2),INDEX([2]!NOTA[QTY],KENKO[//]-2)))</f>
        <v>1</v>
      </c>
      <c r="M111" s="6" t="str">
        <f ca="1">IF(KENKO[[#This Row],[//]]="","",IF(INDEX([2]!NOTA[STN],KENKO[//]-2)="","CTN",INDEX([2]!NOTA[STN],KENKO[//]-2)))</f>
        <v>CTN</v>
      </c>
      <c r="N111" s="5">
        <f ca="1">IF(KENKO[[#This Row],[//]]="","",IF(INDEX([2]!NOTA[HARGA/ CTN],KENKO[[#This Row],[//]]-2)="",INDEX([2]!NOTA[HARGA SATUAN],KENKO[//]-2),INDEX([2]!NOTA[HARGA/ CTN],KENKO[[#This Row],[//]]-2)))</f>
        <v>1200000</v>
      </c>
      <c r="O111" s="7" t="str">
        <f ca="1">IF(KENKO[[#This Row],[//]]="","",IF(INDEX([2]!NOTA[DISC 2],KENKO[[#This Row],[//]]-2)=0,"",INDEX([2]!NOTA[DISC 2],KENKO[[#This Row],[//]]-2)))</f>
        <v/>
      </c>
      <c r="P111" s="7"/>
      <c r="Q111" s="5">
        <f ca="1">IF(KENKO[[#This Row],[//]]="","",INDEX([2]!NOTA[JUMLAH],KENKO[[#This Row],[//]]-2)-IF(ISNUMBER(KENKO[[#This Row],[DISC 1 (%)]]),INDEX([2]!NOTA[JUMLAH],KENKO[[#This Row],[//]]-2)*KENKO[[#This Row],[DISC 1 (%)]],0))</f>
        <v>1200000</v>
      </c>
      <c r="R1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4" t="str">
        <f ca="1">IF(KENKO[[#This Row],[//]]="","",INDEX([2]!NOTA[NAMA BARANG],KENKO[[#This Row],[//]]-2))</f>
        <v>KENKO BINDER CLIP NO.200</v>
      </c>
      <c r="V111" s="4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111" s="6">
        <f ca="1">IF(KENKO[[#This Row],[concat]]="","",MATCH(KENKO[[#This Row],[concat]],[4]!db[NB NOTA_C],0)+1)</f>
        <v>1009</v>
      </c>
      <c r="X111" s="4" t="str">
        <f ca="1">IF(KENKO[[#This Row],[N.B.nota]]="","",ADDRESS(ROW(KENKO[QB]),COLUMN(KENKO[QB]))&amp;":"&amp;ADDRESS(ROW(),COLUMN(KENKO[QB])))</f>
        <v>$D$3:$D$111</v>
      </c>
      <c r="Y111" s="13" t="str">
        <f ca="1">IF(KENKO[[#This Row],[//]]="","",HYPERLINK("[..\\DB.xlsx]DB!e"&amp;KENKO[[#This Row],[stt]],"&gt;"))</f>
        <v>&gt;</v>
      </c>
      <c r="Z111" s="4">
        <f ca="1">IF(KENKO[[#This Row],[//]]="","",IF(KENKO[[#This Row],[ID NOTA]]="",Z110,KENKO[[#This Row],[ID NOTA]]))</f>
        <v>74</v>
      </c>
    </row>
    <row r="112" spans="1:26" ht="15" customHeight="1" x14ac:dyDescent="0.25">
      <c r="A112" s="4"/>
      <c r="B112" s="6" t="str">
        <f>IF(KENKO[[#This Row],[N_ID]]="","",INDEX(Table1[ID],MATCH(KENKO[[#This Row],[N_ID]],Table1[N_ID],0)))</f>
        <v/>
      </c>
      <c r="C112" s="6" t="str">
        <f>IF(KENKO[[#This Row],[ID NOTA]]="","",HYPERLINK("[NOTA_.xlsx]NOTA!e"&amp;INDEX([2]!PAJAK[//],MATCH(KENKO[[#This Row],[ID NOTA]],[2]!PAJAK[ID],0)),"&gt;") )</f>
        <v/>
      </c>
      <c r="D112" s="6" t="str">
        <f>IF(KENKO[[#This Row],[ID NOTA]]="","",INDEX(Table1[QB],MATCH(KENKO[[#This Row],[ID NOTA]],Table1[ID],0)))</f>
        <v/>
      </c>
      <c r="E11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423</v>
      </c>
      <c r="F112" s="6"/>
      <c r="G112" s="3" t="str">
        <f>IF(KENKO[[#This Row],[ID NOTA]]="","",INDEX([2]!NOTA[TGL_H],MATCH(KENKO[[#This Row],[ID NOTA]],[2]!NOTA[ID],0)))</f>
        <v/>
      </c>
      <c r="H112" s="3" t="str">
        <f>IF(KENKO[[#This Row],[ID NOTA]]="","",INDEX([2]!NOTA[TGL.NOTA],MATCH(KENKO[[#This Row],[ID NOTA]],[2]!NOTA[ID],0)))</f>
        <v/>
      </c>
      <c r="I112" s="18" t="str">
        <f>IF(KENKO[[#This Row],[ID NOTA]]="","",INDEX([2]!NOTA[NO.NOTA],MATCH(KENKO[[#This Row],[ID NOTA]],[2]!NOTA[ID],0)))</f>
        <v/>
      </c>
      <c r="J112" s="4" t="str">
        <f ca="1">IF(KENKO[[#This Row],[//]]="","",INDEX([4]!db[NB PAJAK],KENKO[[#This Row],[stt]]-1))</f>
        <v>BINDER CLIP KENKO NO. 260</v>
      </c>
      <c r="K112" s="6" t="str">
        <f>""</f>
        <v/>
      </c>
      <c r="L112" s="6">
        <f ca="1">IF(KENKO[[#This Row],[//]]="","",IF(INDEX([2]!NOTA[QTY],KENKO[//]-2)="",INDEX([2]!NOTA[C],KENKO[//]-2),INDEX([2]!NOTA[QTY],KENKO[//]-2)))</f>
        <v>1</v>
      </c>
      <c r="M112" s="6" t="str">
        <f ca="1">IF(KENKO[[#This Row],[//]]="","",IF(INDEX([2]!NOTA[STN],KENKO[//]-2)="","CTN",INDEX([2]!NOTA[STN],KENKO[//]-2)))</f>
        <v>CTN</v>
      </c>
      <c r="N112" s="5">
        <f ca="1">IF(KENKO[[#This Row],[//]]="","",IF(INDEX([2]!NOTA[HARGA/ CTN],KENKO[[#This Row],[//]]-2)="",INDEX([2]!NOTA[HARGA SATUAN],KENKO[//]-2),INDEX([2]!NOTA[HARGA/ CTN],KENKO[[#This Row],[//]]-2)))</f>
        <v>900000</v>
      </c>
      <c r="O112" s="7" t="str">
        <f ca="1">IF(KENKO[[#This Row],[//]]="","",IF(INDEX([2]!NOTA[DISC 2],KENKO[[#This Row],[//]]-2)=0,"",INDEX([2]!NOTA[DISC 2],KENKO[[#This Row],[//]]-2)))</f>
        <v/>
      </c>
      <c r="P112" s="7"/>
      <c r="Q112" s="5">
        <f ca="1">IF(KENKO[[#This Row],[//]]="","",INDEX([2]!NOTA[JUMLAH],KENKO[[#This Row],[//]]-2)-IF(ISNUMBER(KENKO[[#This Row],[DISC 1 (%)]]),INDEX([2]!NOTA[JUMLAH],KENKO[[#This Row],[//]]-2)*KENKO[[#This Row],[DISC 1 (%)]],0))</f>
        <v>900000</v>
      </c>
      <c r="R1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4" t="str">
        <f ca="1">IF(KENKO[[#This Row],[//]]="","",INDEX([2]!NOTA[NAMA BARANG],KENKO[[#This Row],[//]]-2))</f>
        <v>KENKO BINDER CLIP NO.260</v>
      </c>
      <c r="V112" s="4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12" s="6">
        <f ca="1">IF(KENKO[[#This Row],[concat]]="","",MATCH(KENKO[[#This Row],[concat]],[4]!db[NB NOTA_C],0)+1)</f>
        <v>1010</v>
      </c>
      <c r="X112" s="4" t="str">
        <f ca="1">IF(KENKO[[#This Row],[N.B.nota]]="","",ADDRESS(ROW(KENKO[QB]),COLUMN(KENKO[QB]))&amp;":"&amp;ADDRESS(ROW(),COLUMN(KENKO[QB])))</f>
        <v>$D$3:$D$112</v>
      </c>
      <c r="Y112" s="13" t="str">
        <f ca="1">IF(KENKO[[#This Row],[//]]="","",HYPERLINK("[..\\DB.xlsx]DB!e"&amp;KENKO[[#This Row],[stt]],"&gt;"))</f>
        <v>&gt;</v>
      </c>
      <c r="Z112" s="4">
        <f ca="1">IF(KENKO[[#This Row],[//]]="","",IF(KENKO[[#This Row],[ID NOTA]]="",Z111,KENKO[[#This Row],[ID NOTA]]))</f>
        <v>74</v>
      </c>
    </row>
    <row r="113" spans="1:26" ht="15" customHeight="1" x14ac:dyDescent="0.25">
      <c r="A113" s="4"/>
      <c r="B113" s="6" t="str">
        <f>IF(KENKO[[#This Row],[N_ID]]="","",INDEX(Table1[ID],MATCH(KENKO[[#This Row],[N_ID]],Table1[N_ID],0)))</f>
        <v/>
      </c>
      <c r="C113" s="6" t="str">
        <f>IF(KENKO[[#This Row],[ID NOTA]]="","",HYPERLINK("[NOTA_.xlsx]NOTA!e"&amp;INDEX([2]!PAJAK[//],MATCH(KENKO[[#This Row],[ID NOTA]],[2]!PAJAK[ID],0)),"&gt;") )</f>
        <v/>
      </c>
      <c r="D113" s="6" t="str">
        <f>IF(KENKO[[#This Row],[ID NOTA]]="","",INDEX(Table1[QB],MATCH(KENKO[[#This Row],[ID NOTA]],Table1[ID],0)))</f>
        <v/>
      </c>
      <c r="E11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424</v>
      </c>
      <c r="F113" s="6"/>
      <c r="G113" s="3" t="str">
        <f>IF(KENKO[[#This Row],[ID NOTA]]="","",INDEX([2]!NOTA[TGL_H],MATCH(KENKO[[#This Row],[ID NOTA]],[2]!NOTA[ID],0)))</f>
        <v/>
      </c>
      <c r="H113" s="3" t="str">
        <f>IF(KENKO[[#This Row],[ID NOTA]]="","",INDEX([2]!NOTA[TGL.NOTA],MATCH(KENKO[[#This Row],[ID NOTA]],[2]!NOTA[ID],0)))</f>
        <v/>
      </c>
      <c r="I113" s="18" t="str">
        <f>IF(KENKO[[#This Row],[ID NOTA]]="","",INDEX([2]!NOTA[NO.NOTA],MATCH(KENKO[[#This Row],[ID NOTA]],[2]!NOTA[ID],0)))</f>
        <v/>
      </c>
      <c r="J113" s="4" t="str">
        <f ca="1">IF(KENKO[[#This Row],[//]]="","",INDEX([4]!db[NB PAJAK],KENKO[[#This Row],[stt]]-1))</f>
        <v>BINDER CLIP KENKO NO.280 (6 PCS / BOX)</v>
      </c>
      <c r="K113" s="6" t="str">
        <f>""</f>
        <v/>
      </c>
      <c r="L113" s="6">
        <f ca="1">IF(KENKO[[#This Row],[//]]="","",IF(INDEX([2]!NOTA[QTY],KENKO[//]-2)="",INDEX([2]!NOTA[C],KENKO[//]-2),INDEX([2]!NOTA[QTY],KENKO[//]-2)))</f>
        <v>1</v>
      </c>
      <c r="M113" s="6" t="str">
        <f ca="1">IF(KENKO[[#This Row],[//]]="","",IF(INDEX([2]!NOTA[STN],KENKO[//]-2)="","CTN",INDEX([2]!NOTA[STN],KENKO[//]-2)))</f>
        <v>CTN</v>
      </c>
      <c r="N113" s="5">
        <f ca="1">IF(KENKO[[#This Row],[//]]="","",IF(INDEX([2]!NOTA[HARGA/ CTN],KENKO[[#This Row],[//]]-2)="",INDEX([2]!NOTA[HARGA SATUAN],KENKO[//]-2),INDEX([2]!NOTA[HARGA/ CTN],KENKO[[#This Row],[//]]-2)))</f>
        <v>1548000</v>
      </c>
      <c r="O113" s="7" t="str">
        <f ca="1">IF(KENKO[[#This Row],[//]]="","",IF(INDEX([2]!NOTA[DISC 2],KENKO[[#This Row],[//]]-2)=0,"",INDEX([2]!NOTA[DISC 2],KENKO[[#This Row],[//]]-2)))</f>
        <v/>
      </c>
      <c r="P113" s="7"/>
      <c r="Q113" s="5">
        <f ca="1">IF(KENKO[[#This Row],[//]]="","",INDEX([2]!NOTA[JUMLAH],KENKO[[#This Row],[//]]-2)-IF(ISNUMBER(KENKO[[#This Row],[DISC 1 (%)]]),INDEX([2]!NOTA[JUMLAH],KENKO[[#This Row],[//]]-2)*KENKO[[#This Row],[DISC 1 (%)]],0))</f>
        <v>1548000</v>
      </c>
      <c r="R113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5454688</v>
      </c>
      <c r="S113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26631712</v>
      </c>
      <c r="T1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4" t="str">
        <f ca="1">IF(KENKO[[#This Row],[//]]="","",INDEX([2]!NOTA[NAMA BARANG],KENKO[[#This Row],[//]]-2))</f>
        <v>KENKO BINDER CLIP NO.280 (6PCS/ BOX)</v>
      </c>
      <c r="V113" s="4" t="str">
        <f ca="1">LOWER(SUBSTITUTE(SUBSTITUTE(SUBSTITUTE(SUBSTITUTE(SUBSTITUTE(SUBSTITUTE(SUBSTITUTE(SUBSTITUTE(KENKO[[#This Row],[N.B.nota]]," ",""),"-",""),"(",""),")",""),".",""),",",""),"/",""),"""",""))</f>
        <v>kenkobinderclipno2806pcsbox</v>
      </c>
      <c r="W113" s="6">
        <f ca="1">IF(KENKO[[#This Row],[concat]]="","",MATCH(KENKO[[#This Row],[concat]],[4]!db[NB NOTA_C],0)+1)</f>
        <v>1012</v>
      </c>
      <c r="X113" s="4" t="str">
        <f ca="1">IF(KENKO[[#This Row],[N.B.nota]]="","",ADDRESS(ROW(KENKO[QB]),COLUMN(KENKO[QB]))&amp;":"&amp;ADDRESS(ROW(),COLUMN(KENKO[QB])))</f>
        <v>$D$3:$D$113</v>
      </c>
      <c r="Y113" s="13" t="str">
        <f ca="1">IF(KENKO[[#This Row],[//]]="","",HYPERLINK("[..\\DB.xlsx]DB!e"&amp;KENKO[[#This Row],[stt]],"&gt;"))</f>
        <v>&gt;</v>
      </c>
      <c r="Z113" s="4">
        <f ca="1">IF(KENKO[[#This Row],[//]]="","",IF(KENKO[[#This Row],[ID NOTA]]="",Z112,KENKO[[#This Row],[ID NOTA]]))</f>
        <v>74</v>
      </c>
    </row>
    <row r="114" spans="1:26" ht="15" customHeight="1" x14ac:dyDescent="0.25">
      <c r="A114" s="4"/>
      <c r="B114" s="6" t="str">
        <f>IF(KENKO[[#This Row],[N_ID]]="","",INDEX(Table1[ID],MATCH(KENKO[[#This Row],[N_ID]],Table1[N_ID],0)))</f>
        <v/>
      </c>
      <c r="C114" s="6" t="str">
        <f>IF(KENKO[[#This Row],[ID NOTA]]="","",HYPERLINK("[NOTA_.xlsx]NOTA!e"&amp;INDEX([2]!PAJAK[//],MATCH(KENKO[[#This Row],[ID NOTA]],[2]!PAJAK[ID],0)),"&gt;") )</f>
        <v/>
      </c>
      <c r="D114" s="6" t="str">
        <f>IF(KENKO[[#This Row],[ID NOTA]]="","",INDEX(Table1[QB],MATCH(KENKO[[#This Row],[ID NOTA]],Table1[ID],0)))</f>
        <v/>
      </c>
      <c r="E11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14" s="6"/>
      <c r="G114" s="3" t="str">
        <f>IF(KENKO[[#This Row],[ID NOTA]]="","",INDEX([2]!NOTA[TGL_H],MATCH(KENKO[[#This Row],[ID NOTA]],[2]!NOTA[ID],0)))</f>
        <v/>
      </c>
      <c r="H114" s="3" t="str">
        <f>IF(KENKO[[#This Row],[ID NOTA]]="","",INDEX([2]!NOTA[TGL.NOTA],MATCH(KENKO[[#This Row],[ID NOTA]],[2]!NOTA[ID],0)))</f>
        <v/>
      </c>
      <c r="I114" s="18" t="str">
        <f>IF(KENKO[[#This Row],[ID NOTA]]="","",INDEX([2]!NOTA[NO.NOTA],MATCH(KENKO[[#This Row],[ID NOTA]],[2]!NOTA[ID],0)))</f>
        <v/>
      </c>
      <c r="J114" s="4" t="str">
        <f ca="1">IF(KENKO[[#This Row],[//]]="","",INDEX([4]!db[NB PAJAK],KENKO[[#This Row],[stt]]-1))</f>
        <v/>
      </c>
      <c r="K114" s="6" t="str">
        <f>""</f>
        <v/>
      </c>
      <c r="L114" s="6" t="str">
        <f ca="1">IF(KENKO[[#This Row],[//]]="","",IF(INDEX([2]!NOTA[QTY],KENKO[//]-2)="",INDEX([2]!NOTA[C],KENKO[//]-2),INDEX([2]!NOTA[QTY],KENKO[//]-2)))</f>
        <v/>
      </c>
      <c r="M114" s="6" t="str">
        <f ca="1">IF(KENKO[[#This Row],[//]]="","",IF(INDEX([2]!NOTA[STN],KENKO[//]-2)="","CTN",INDEX([2]!NOTA[STN],KENKO[//]-2)))</f>
        <v/>
      </c>
      <c r="N114" s="5" t="str">
        <f ca="1">IF(KENKO[[#This Row],[//]]="","",IF(INDEX([2]!NOTA[HARGA/ CTN],KENKO[[#This Row],[//]]-2)="",INDEX([2]!NOTA[HARGA SATUAN],KENKO[//]-2),INDEX([2]!NOTA[HARGA/ CTN],KENKO[[#This Row],[//]]-2)))</f>
        <v/>
      </c>
      <c r="O114" s="7" t="str">
        <f ca="1">IF(KENKO[[#This Row],[//]]="","",IF(INDEX([2]!NOTA[DISC 2],KENKO[[#This Row],[//]]-2)=0,"",INDEX([2]!NOTA[DISC 2],KENKO[[#This Row],[//]]-2)))</f>
        <v/>
      </c>
      <c r="P114" s="7"/>
      <c r="Q11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4" t="str">
        <f ca="1">IF(KENKO[[#This Row],[//]]="","",INDEX([2]!NOTA[NAMA BARANG],KENKO[[#This Row],[//]]-2))</f>
        <v/>
      </c>
      <c r="V114" s="4" t="str">
        <f ca="1">LOWER(SUBSTITUTE(SUBSTITUTE(SUBSTITUTE(SUBSTITUTE(SUBSTITUTE(SUBSTITUTE(SUBSTITUTE(SUBSTITUTE(KENKO[[#This Row],[N.B.nota]]," ",""),"-",""),"(",""),")",""),".",""),",",""),"/",""),"""",""))</f>
        <v/>
      </c>
      <c r="W114" s="6" t="str">
        <f ca="1">IF(KENKO[[#This Row],[concat]]="","",MATCH(KENKO[[#This Row],[concat]],[4]!db[NB NOTA_C],0)+1)</f>
        <v/>
      </c>
      <c r="X114" s="4" t="str">
        <f ca="1">IF(KENKO[[#This Row],[N.B.nota]]="","",ADDRESS(ROW(KENKO[QB]),COLUMN(KENKO[QB]))&amp;":"&amp;ADDRESS(ROW(),COLUMN(KENKO[QB])))</f>
        <v/>
      </c>
      <c r="Y114" s="13" t="str">
        <f ca="1">IF(KENKO[[#This Row],[//]]="","",HYPERLINK("[..\\DB.xlsx]DB!e"&amp;KENKO[[#This Row],[stt]],"&gt;"))</f>
        <v/>
      </c>
      <c r="Z114" s="4" t="str">
        <f ca="1">IF(KENKO[[#This Row],[//]]="","",IF(KENKO[[#This Row],[ID NOTA]]="",Z113,KENKO[[#This Row],[ID NOTA]]))</f>
        <v/>
      </c>
    </row>
    <row r="115" spans="1:26" ht="15" customHeight="1" x14ac:dyDescent="0.25">
      <c r="A115" s="4" t="s">
        <v>89</v>
      </c>
      <c r="B115" s="6">
        <f ca="1">IF(KENKO[[#This Row],[N_ID]]="","",INDEX(Table1[ID],MATCH(KENKO[[#This Row],[N_ID]],Table1[N_ID],0)))</f>
        <v>75</v>
      </c>
      <c r="C115" s="6" t="str">
        <f ca="1">IF(KENKO[[#This Row],[ID NOTA]]="","",HYPERLINK("[NOTA_.xlsx]NOTA!e"&amp;INDEX([2]!PAJAK[//],MATCH(KENKO[[#This Row],[ID NOTA]],[2]!PAJAK[ID],0)),"&gt;") )</f>
        <v>&gt;</v>
      </c>
      <c r="D115" s="6">
        <f ca="1">IF(KENKO[[#This Row],[ID NOTA]]="","",INDEX(Table1[QB],MATCH(KENKO[[#This Row],[ID NOTA]],Table1[ID],0)))</f>
        <v>8</v>
      </c>
      <c r="E11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426</v>
      </c>
      <c r="F115" s="6">
        <v>17</v>
      </c>
      <c r="G115" s="3">
        <f ca="1">IF(KENKO[[#This Row],[ID NOTA]]="","",INDEX([2]!NOTA[TGL_H],MATCH(KENKO[[#This Row],[ID NOTA]],[2]!NOTA[ID],0)))</f>
        <v>44821</v>
      </c>
      <c r="H115" s="3">
        <f ca="1">IF(KENKO[[#This Row],[ID NOTA]]="","",INDEX([2]!NOTA[TGL.NOTA],MATCH(KENKO[[#This Row],[ID NOTA]],[2]!NOTA[ID],0)))</f>
        <v>44819</v>
      </c>
      <c r="I115" s="18" t="str">
        <f ca="1">IF(KENKO[[#This Row],[ID NOTA]]="","",INDEX([2]!NOTA[NO.NOTA],MATCH(KENKO[[#This Row],[ID NOTA]],[2]!NOTA[ID],0)))</f>
        <v>22091209</v>
      </c>
      <c r="J115" s="4" t="str">
        <f ca="1">IF(KENKO[[#This Row],[//]]="","",INDEX([4]!db[NB PAJAK],KENKO[[#This Row],[stt]]-1))</f>
        <v>GUNTING KENKO SC-828</v>
      </c>
      <c r="K115" s="6" t="str">
        <f>""</f>
        <v/>
      </c>
      <c r="L115" s="6">
        <f ca="1">IF(KENKO[[#This Row],[//]]="","",IF(INDEX([2]!NOTA[QTY],KENKO[//]-2)="",INDEX([2]!NOTA[C],KENKO[//]-2),INDEX([2]!NOTA[QTY],KENKO[//]-2)))</f>
        <v>2</v>
      </c>
      <c r="M115" s="6" t="str">
        <f ca="1">IF(KENKO[[#This Row],[//]]="","",IF(INDEX([2]!NOTA[STN],KENKO[//]-2)="","CTN",INDEX([2]!NOTA[STN],KENKO[//]-2)))</f>
        <v>CTN</v>
      </c>
      <c r="N115" s="5">
        <f ca="1">IF(KENKO[[#This Row],[//]]="","",IF(INDEX([2]!NOTA[HARGA/ CTN],KENKO[[#This Row],[//]]-2)="",INDEX([2]!NOTA[HARGA SATUAN],KENKO[//]-2),INDEX([2]!NOTA[HARGA/ CTN],KENKO[[#This Row],[//]]-2)))</f>
        <v>1245000</v>
      </c>
      <c r="O115" s="7" t="str">
        <f ca="1">IF(KENKO[[#This Row],[//]]="","",IF(INDEX([2]!NOTA[DISC 2],KENKO[[#This Row],[//]]-2)=0,"",INDEX([2]!NOTA[DISC 2],KENKO[[#This Row],[//]]-2)))</f>
        <v/>
      </c>
      <c r="P115" s="7"/>
      <c r="Q115" s="5">
        <f ca="1">IF(KENKO[[#This Row],[//]]="","",INDEX([2]!NOTA[JUMLAH],KENKO[[#This Row],[//]]-2)-IF(ISNUMBER(KENKO[[#This Row],[DISC 1 (%)]]),INDEX([2]!NOTA[JUMLAH],KENKO[[#This Row],[//]]-2)*KENKO[[#This Row],[DISC 1 (%)]],0))</f>
        <v>2490000</v>
      </c>
      <c r="R1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4" t="str">
        <f ca="1">IF(KENKO[[#This Row],[//]]="","",INDEX([2]!NOTA[NAMA BARANG],KENKO[[#This Row],[//]]-2))</f>
        <v>KENKO SCISSOR SC-828</v>
      </c>
      <c r="V115" s="4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115" s="6">
        <f ca="1">IF(KENKO[[#This Row],[concat]]="","",MATCH(KENKO[[#This Row],[concat]],[4]!db[NB NOTA_C],0)+1)</f>
        <v>1216</v>
      </c>
      <c r="X115" s="4" t="str">
        <f ca="1">IF(KENKO[[#This Row],[N.B.nota]]="","",ADDRESS(ROW(KENKO[QB]),COLUMN(KENKO[QB]))&amp;":"&amp;ADDRESS(ROW(),COLUMN(KENKO[QB])))</f>
        <v>$D$3:$D$115</v>
      </c>
      <c r="Y115" s="13" t="str">
        <f ca="1">IF(KENKO[[#This Row],[//]]="","",HYPERLINK("[..\\DB.xlsx]DB!e"&amp;KENKO[[#This Row],[stt]],"&gt;"))</f>
        <v>&gt;</v>
      </c>
      <c r="Z115" s="4">
        <f ca="1">IF(KENKO[[#This Row],[//]]="","",IF(KENKO[[#This Row],[ID NOTA]]="",Z114,KENKO[[#This Row],[ID NOTA]]))</f>
        <v>75</v>
      </c>
    </row>
    <row r="116" spans="1:26" ht="15" customHeight="1" x14ac:dyDescent="0.25">
      <c r="A116" s="4"/>
      <c r="B116" s="6" t="str">
        <f>IF(KENKO[[#This Row],[N_ID]]="","",INDEX(Table1[ID],MATCH(KENKO[[#This Row],[N_ID]],Table1[N_ID],0)))</f>
        <v/>
      </c>
      <c r="C116" s="6" t="str">
        <f>IF(KENKO[[#This Row],[ID NOTA]]="","",HYPERLINK("[NOTA_.xlsx]NOTA!e"&amp;INDEX([2]!PAJAK[//],MATCH(KENKO[[#This Row],[ID NOTA]],[2]!PAJAK[ID],0)),"&gt;") )</f>
        <v/>
      </c>
      <c r="D116" s="6" t="str">
        <f>IF(KENKO[[#This Row],[ID NOTA]]="","",INDEX(Table1[QB],MATCH(KENKO[[#This Row],[ID NOTA]],Table1[ID],0)))</f>
        <v/>
      </c>
      <c r="E11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427</v>
      </c>
      <c r="F116" s="6"/>
      <c r="G116" s="3" t="str">
        <f>IF(KENKO[[#This Row],[ID NOTA]]="","",INDEX([2]!NOTA[TGL_H],MATCH(KENKO[[#This Row],[ID NOTA]],[2]!NOTA[ID],0)))</f>
        <v/>
      </c>
      <c r="H116" s="3" t="str">
        <f>IF(KENKO[[#This Row],[ID NOTA]]="","",INDEX([2]!NOTA[TGL.NOTA],MATCH(KENKO[[#This Row],[ID NOTA]],[2]!NOTA[ID],0)))</f>
        <v/>
      </c>
      <c r="I116" s="18" t="str">
        <f>IF(KENKO[[#This Row],[ID NOTA]]="","",INDEX([2]!NOTA[NO.NOTA],MATCH(KENKO[[#This Row],[ID NOTA]],[2]!NOTA[ID],0)))</f>
        <v/>
      </c>
      <c r="J116" s="4" t="str">
        <f ca="1">IF(KENKO[[#This Row],[//]]="","",INDEX([4]!db[NB PAJAK],KENKO[[#This Row],[stt]]-1))</f>
        <v>GUNTING KENKO SC-848N</v>
      </c>
      <c r="K116" s="6" t="str">
        <f>""</f>
        <v/>
      </c>
      <c r="L116" s="6">
        <f ca="1">IF(KENKO[[#This Row],[//]]="","",IF(INDEX([2]!NOTA[QTY],KENKO[//]-2)="",INDEX([2]!NOTA[C],KENKO[//]-2),INDEX([2]!NOTA[QTY],KENKO[//]-2)))</f>
        <v>1</v>
      </c>
      <c r="M116" s="6" t="str">
        <f ca="1">IF(KENKO[[#This Row],[//]]="","",IF(INDEX([2]!NOTA[STN],KENKO[//]-2)="","CTN",INDEX([2]!NOTA[STN],KENKO[//]-2)))</f>
        <v>CTN</v>
      </c>
      <c r="N116" s="5">
        <f ca="1">IF(KENKO[[#This Row],[//]]="","",IF(INDEX([2]!NOTA[HARGA/ CTN],KENKO[[#This Row],[//]]-2)="",INDEX([2]!NOTA[HARGA SATUAN],KENKO[//]-2),INDEX([2]!NOTA[HARGA/ CTN],KENKO[[#This Row],[//]]-2)))</f>
        <v>1122000</v>
      </c>
      <c r="O116" s="7" t="str">
        <f ca="1">IF(KENKO[[#This Row],[//]]="","",IF(INDEX([2]!NOTA[DISC 2],KENKO[[#This Row],[//]]-2)=0,"",INDEX([2]!NOTA[DISC 2],KENKO[[#This Row],[//]]-2)))</f>
        <v/>
      </c>
      <c r="P116" s="7"/>
      <c r="Q116" s="5">
        <f ca="1">IF(KENKO[[#This Row],[//]]="","",INDEX([2]!NOTA[JUMLAH],KENKO[[#This Row],[//]]-2)-IF(ISNUMBER(KENKO[[#This Row],[DISC 1 (%)]]),INDEX([2]!NOTA[JUMLAH],KENKO[[#This Row],[//]]-2)*KENKO[[#This Row],[DISC 1 (%)]],0))</f>
        <v>1122000</v>
      </c>
      <c r="R1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4" t="str">
        <f ca="1">IF(KENKO[[#This Row],[//]]="","",INDEX([2]!NOTA[NAMA BARANG],KENKO[[#This Row],[//]]-2))</f>
        <v>KENKO SCISSOR SC-848N</v>
      </c>
      <c r="V116" s="4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16" s="6">
        <f ca="1">IF(KENKO[[#This Row],[concat]]="","",MATCH(KENKO[[#This Row],[concat]],[4]!db[NB NOTA_C],0)+1)</f>
        <v>1219</v>
      </c>
      <c r="X116" s="4" t="str">
        <f ca="1">IF(KENKO[[#This Row],[N.B.nota]]="","",ADDRESS(ROW(KENKO[QB]),COLUMN(KENKO[QB]))&amp;":"&amp;ADDRESS(ROW(),COLUMN(KENKO[QB])))</f>
        <v>$D$3:$D$116</v>
      </c>
      <c r="Y116" s="13" t="str">
        <f ca="1">IF(KENKO[[#This Row],[//]]="","",HYPERLINK("[..\\DB.xlsx]DB!e"&amp;KENKO[[#This Row],[stt]],"&gt;"))</f>
        <v>&gt;</v>
      </c>
      <c r="Z116" s="4">
        <f ca="1">IF(KENKO[[#This Row],[//]]="","",IF(KENKO[[#This Row],[ID NOTA]]="",Z115,KENKO[[#This Row],[ID NOTA]]))</f>
        <v>75</v>
      </c>
    </row>
    <row r="117" spans="1:26" ht="15" customHeight="1" x14ac:dyDescent="0.25">
      <c r="A117" s="4"/>
      <c r="B117" s="6" t="str">
        <f>IF(KENKO[[#This Row],[N_ID]]="","",INDEX(Table1[ID],MATCH(KENKO[[#This Row],[N_ID]],Table1[N_ID],0)))</f>
        <v/>
      </c>
      <c r="C117" s="6" t="str">
        <f>IF(KENKO[[#This Row],[ID NOTA]]="","",HYPERLINK("[NOTA_.xlsx]NOTA!e"&amp;INDEX([2]!PAJAK[//],MATCH(KENKO[[#This Row],[ID NOTA]],[2]!PAJAK[ID],0)),"&gt;") )</f>
        <v/>
      </c>
      <c r="D117" s="6" t="str">
        <f>IF(KENKO[[#This Row],[ID NOTA]]="","",INDEX(Table1[QB],MATCH(KENKO[[#This Row],[ID NOTA]],Table1[ID],0)))</f>
        <v/>
      </c>
      <c r="E11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428</v>
      </c>
      <c r="F117" s="6"/>
      <c r="G117" s="3" t="str">
        <f>IF(KENKO[[#This Row],[ID NOTA]]="","",INDEX([2]!NOTA[TGL_H],MATCH(KENKO[[#This Row],[ID NOTA]],[2]!NOTA[ID],0)))</f>
        <v/>
      </c>
      <c r="H117" s="3" t="str">
        <f>IF(KENKO[[#This Row],[ID NOTA]]="","",INDEX([2]!NOTA[TGL.NOTA],MATCH(KENKO[[#This Row],[ID NOTA]],[2]!NOTA[ID],0)))</f>
        <v/>
      </c>
      <c r="I117" s="18" t="str">
        <f>IF(KENKO[[#This Row],[ID NOTA]]="","",INDEX([2]!NOTA[NO.NOTA],MATCH(KENKO[[#This Row],[ID NOTA]],[2]!NOTA[ID],0)))</f>
        <v/>
      </c>
      <c r="J117" s="4" t="str">
        <f ca="1">IF(KENKO[[#This Row],[//]]="","",INDEX([4]!db[NB PAJAK],KENKO[[#This Row],[stt]]-1))</f>
        <v>CORRECTION TAPE KENKO CT-634N (8M x 5MM)</v>
      </c>
      <c r="K117" s="6" t="str">
        <f>""</f>
        <v/>
      </c>
      <c r="L117" s="6">
        <f ca="1">IF(KENKO[[#This Row],[//]]="","",IF(INDEX([2]!NOTA[QTY],KENKO[//]-2)="",INDEX([2]!NOTA[C],KENKO[//]-2),INDEX([2]!NOTA[QTY],KENKO[//]-2)))</f>
        <v>1</v>
      </c>
      <c r="M117" s="6" t="str">
        <f ca="1">IF(KENKO[[#This Row],[//]]="","",IF(INDEX([2]!NOTA[STN],KENKO[//]-2)="","CTN",INDEX([2]!NOTA[STN],KENKO[//]-2)))</f>
        <v>CTN</v>
      </c>
      <c r="N117" s="5">
        <f ca="1">IF(KENKO[[#This Row],[//]]="","",IF(INDEX([2]!NOTA[HARGA/ CTN],KENKO[[#This Row],[//]]-2)="",INDEX([2]!NOTA[HARGA SATUAN],KENKO[//]-2),INDEX([2]!NOTA[HARGA/ CTN],KENKO[[#This Row],[//]]-2)))</f>
        <v>2592000</v>
      </c>
      <c r="O117" s="7" t="str">
        <f ca="1">IF(KENKO[[#This Row],[//]]="","",IF(INDEX([2]!NOTA[DISC 2],KENKO[[#This Row],[//]]-2)=0,"",INDEX([2]!NOTA[DISC 2],KENKO[[#This Row],[//]]-2)))</f>
        <v/>
      </c>
      <c r="P117" s="7"/>
      <c r="Q117" s="5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4" t="str">
        <f ca="1">IF(KENKO[[#This Row],[//]]="","",INDEX([2]!NOTA[NAMA BARANG],KENKO[[#This Row],[//]]-2))</f>
        <v>KENKO CORRECTION TAPE CT-634N (8MX5MM)</v>
      </c>
      <c r="V117" s="4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117" s="6">
        <f ca="1">IF(KENKO[[#This Row],[concat]]="","",MATCH(KENKO[[#This Row],[concat]],[4]!db[NB NOTA_C],0)+1)</f>
        <v>1071</v>
      </c>
      <c r="X117" s="4" t="str">
        <f ca="1">IF(KENKO[[#This Row],[N.B.nota]]="","",ADDRESS(ROW(KENKO[QB]),COLUMN(KENKO[QB]))&amp;":"&amp;ADDRESS(ROW(),COLUMN(KENKO[QB])))</f>
        <v>$D$3:$D$117</v>
      </c>
      <c r="Y117" s="13" t="str">
        <f ca="1">IF(KENKO[[#This Row],[//]]="","",HYPERLINK("[..\\DB.xlsx]DB!e"&amp;KENKO[[#This Row],[stt]],"&gt;"))</f>
        <v>&gt;</v>
      </c>
      <c r="Z117" s="4">
        <f ca="1">IF(KENKO[[#This Row],[//]]="","",IF(KENKO[[#This Row],[ID NOTA]]="",Z116,KENKO[[#This Row],[ID NOTA]]))</f>
        <v>75</v>
      </c>
    </row>
    <row r="118" spans="1:26" ht="15" customHeight="1" x14ac:dyDescent="0.25">
      <c r="A118" s="4"/>
      <c r="B118" s="6" t="str">
        <f>IF(KENKO[[#This Row],[N_ID]]="","",INDEX(Table1[ID],MATCH(KENKO[[#This Row],[N_ID]],Table1[N_ID],0)))</f>
        <v/>
      </c>
      <c r="C118" s="6" t="str">
        <f>IF(KENKO[[#This Row],[ID NOTA]]="","",HYPERLINK("[NOTA_.xlsx]NOTA!e"&amp;INDEX([2]!PAJAK[//],MATCH(KENKO[[#This Row],[ID NOTA]],[2]!PAJAK[ID],0)),"&gt;") )</f>
        <v/>
      </c>
      <c r="D118" s="6" t="str">
        <f>IF(KENKO[[#This Row],[ID NOTA]]="","",INDEX(Table1[QB],MATCH(KENKO[[#This Row],[ID NOTA]],Table1[ID],0)))</f>
        <v/>
      </c>
      <c r="E11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429</v>
      </c>
      <c r="F118" s="6"/>
      <c r="G118" s="3" t="str">
        <f>IF(KENKO[[#This Row],[ID NOTA]]="","",INDEX([2]!NOTA[TGL_H],MATCH(KENKO[[#This Row],[ID NOTA]],[2]!NOTA[ID],0)))</f>
        <v/>
      </c>
      <c r="H118" s="3" t="str">
        <f>IF(KENKO[[#This Row],[ID NOTA]]="","",INDEX([2]!NOTA[TGL.NOTA],MATCH(KENKO[[#This Row],[ID NOTA]],[2]!NOTA[ID],0)))</f>
        <v/>
      </c>
      <c r="I118" s="18" t="str">
        <f>IF(KENKO[[#This Row],[ID NOTA]]="","",INDEX([2]!NOTA[NO.NOTA],MATCH(KENKO[[#This Row],[ID NOTA]],[2]!NOTA[ID],0)))</f>
        <v/>
      </c>
      <c r="J118" s="4" t="str">
        <f ca="1">IF(KENKO[[#This Row],[//]]="","",INDEX([4]!db[NB PAJAK],KENKO[[#This Row],[stt]]-1))</f>
        <v>CORRECTION TAPE KENKO CT-802N (8M x 5MM)</v>
      </c>
      <c r="K118" s="6" t="str">
        <f>""</f>
        <v/>
      </c>
      <c r="L118" s="6">
        <f ca="1">IF(KENKO[[#This Row],[//]]="","",IF(INDEX([2]!NOTA[QTY],KENKO[//]-2)="",INDEX([2]!NOTA[C],KENKO[//]-2),INDEX([2]!NOTA[QTY],KENKO[//]-2)))</f>
        <v>1</v>
      </c>
      <c r="M118" s="6" t="str">
        <f ca="1">IF(KENKO[[#This Row],[//]]="","",IF(INDEX([2]!NOTA[STN],KENKO[//]-2)="","CTN",INDEX([2]!NOTA[STN],KENKO[//]-2)))</f>
        <v>CTN</v>
      </c>
      <c r="N118" s="5">
        <f ca="1">IF(KENKO[[#This Row],[//]]="","",IF(INDEX([2]!NOTA[HARGA/ CTN],KENKO[[#This Row],[//]]-2)="",INDEX([2]!NOTA[HARGA SATUAN],KENKO[//]-2),INDEX([2]!NOTA[HARGA/ CTN],KENKO[[#This Row],[//]]-2)))</f>
        <v>2448000</v>
      </c>
      <c r="O118" s="7" t="str">
        <f ca="1">IF(KENKO[[#This Row],[//]]="","",IF(INDEX([2]!NOTA[DISC 2],KENKO[[#This Row],[//]]-2)=0,"",INDEX([2]!NOTA[DISC 2],KENKO[[#This Row],[//]]-2)))</f>
        <v/>
      </c>
      <c r="P118" s="7"/>
      <c r="Q118" s="5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1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4" t="str">
        <f ca="1">IF(KENKO[[#This Row],[//]]="","",INDEX([2]!NOTA[NAMA BARANG],KENKO[[#This Row],[//]]-2))</f>
        <v>KENKO CORRECTION TAPE CT-802N (8MX5MM)</v>
      </c>
      <c r="V118" s="4" t="str">
        <f ca="1">LOWER(SUBSTITUTE(SUBSTITUTE(SUBSTITUTE(SUBSTITUTE(SUBSTITUTE(SUBSTITUTE(SUBSTITUTE(SUBSTITUTE(KENKO[[#This Row],[N.B.nota]]," ",""),"-",""),"(",""),")",""),".",""),",",""),"/",""),"""",""))</f>
        <v>kenkocorrectiontapect802n8mx5mm</v>
      </c>
      <c r="W118" s="6">
        <f ca="1">IF(KENKO[[#This Row],[concat]]="","",MATCH(KENKO[[#This Row],[concat]],[4]!db[NB NOTA_C],0)+1)</f>
        <v>1072</v>
      </c>
      <c r="X118" s="4" t="str">
        <f ca="1">IF(KENKO[[#This Row],[N.B.nota]]="","",ADDRESS(ROW(KENKO[QB]),COLUMN(KENKO[QB]))&amp;":"&amp;ADDRESS(ROW(),COLUMN(KENKO[QB])))</f>
        <v>$D$3:$D$118</v>
      </c>
      <c r="Y118" s="13" t="str">
        <f ca="1">IF(KENKO[[#This Row],[//]]="","",HYPERLINK("[..\\DB.xlsx]DB!e"&amp;KENKO[[#This Row],[stt]],"&gt;"))</f>
        <v>&gt;</v>
      </c>
      <c r="Z118" s="4">
        <f ca="1">IF(KENKO[[#This Row],[//]]="","",IF(KENKO[[#This Row],[ID NOTA]]="",Z117,KENKO[[#This Row],[ID NOTA]]))</f>
        <v>75</v>
      </c>
    </row>
    <row r="119" spans="1:26" ht="15" customHeight="1" x14ac:dyDescent="0.25">
      <c r="A119" s="4"/>
      <c r="B119" s="6" t="str">
        <f>IF(KENKO[[#This Row],[N_ID]]="","",INDEX(Table1[ID],MATCH(KENKO[[#This Row],[N_ID]],Table1[N_ID],0)))</f>
        <v/>
      </c>
      <c r="C119" s="6" t="str">
        <f>IF(KENKO[[#This Row],[ID NOTA]]="","",HYPERLINK("[NOTA_.xlsx]NOTA!e"&amp;INDEX([2]!PAJAK[//],MATCH(KENKO[[#This Row],[ID NOTA]],[2]!PAJAK[ID],0)),"&gt;") )</f>
        <v/>
      </c>
      <c r="D119" s="6" t="str">
        <f>IF(KENKO[[#This Row],[ID NOTA]]="","",INDEX(Table1[QB],MATCH(KENKO[[#This Row],[ID NOTA]],Table1[ID],0)))</f>
        <v/>
      </c>
      <c r="E11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430</v>
      </c>
      <c r="F119" s="6"/>
      <c r="G119" s="3" t="str">
        <f>IF(KENKO[[#This Row],[ID NOTA]]="","",INDEX([2]!NOTA[TGL_H],MATCH(KENKO[[#This Row],[ID NOTA]],[2]!NOTA[ID],0)))</f>
        <v/>
      </c>
      <c r="H119" s="3" t="str">
        <f>IF(KENKO[[#This Row],[ID NOTA]]="","",INDEX([2]!NOTA[TGL.NOTA],MATCH(KENKO[[#This Row],[ID NOTA]],[2]!NOTA[ID],0)))</f>
        <v/>
      </c>
      <c r="I119" s="18" t="str">
        <f>IF(KENKO[[#This Row],[ID NOTA]]="","",INDEX([2]!NOTA[NO.NOTA],MATCH(KENKO[[#This Row],[ID NOTA]],[2]!NOTA[ID],0)))</f>
        <v/>
      </c>
      <c r="J119" s="4" t="str">
        <f ca="1">IF(KENKO[[#This Row],[//]]="","",INDEX([4]!db[NB PAJAK],KENKO[[#This Row],[stt]]-1))</f>
        <v>CORRECTION TAPE KENKO CT-902 (12M x 5MM)</v>
      </c>
      <c r="K119" s="6" t="str">
        <f>""</f>
        <v/>
      </c>
      <c r="L119" s="6">
        <f ca="1">IF(KENKO[[#This Row],[//]]="","",IF(INDEX([2]!NOTA[QTY],KENKO[//]-2)="",INDEX([2]!NOTA[C],KENKO[//]-2),INDEX([2]!NOTA[QTY],KENKO[//]-2)))</f>
        <v>1</v>
      </c>
      <c r="M119" s="6" t="str">
        <f ca="1">IF(KENKO[[#This Row],[//]]="","",IF(INDEX([2]!NOTA[STN],KENKO[//]-2)="","CTN",INDEX([2]!NOTA[STN],KENKO[//]-2)))</f>
        <v>CTN</v>
      </c>
      <c r="N119" s="5">
        <f ca="1">IF(KENKO[[#This Row],[//]]="","",IF(INDEX([2]!NOTA[HARGA/ CTN],KENKO[[#This Row],[//]]-2)="",INDEX([2]!NOTA[HARGA SATUAN],KENKO[//]-2),INDEX([2]!NOTA[HARGA/ CTN],KENKO[[#This Row],[//]]-2)))</f>
        <v>2880000</v>
      </c>
      <c r="O119" s="7" t="str">
        <f ca="1">IF(KENKO[[#This Row],[//]]="","",IF(INDEX([2]!NOTA[DISC 2],KENKO[[#This Row],[//]]-2)=0,"",INDEX([2]!NOTA[DISC 2],KENKO[[#This Row],[//]]-2)))</f>
        <v/>
      </c>
      <c r="P119" s="7"/>
      <c r="Q119" s="5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4" t="str">
        <f ca="1">IF(KENKO[[#This Row],[//]]="","",INDEX([2]!NOTA[NAMA BARANG],KENKO[[#This Row],[//]]-2))</f>
        <v>KENKO CORRECTION TAPE CT-902 (12MX5MM)</v>
      </c>
      <c r="V119" s="4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19" s="6">
        <f ca="1">IF(KENKO[[#This Row],[concat]]="","",MATCH(KENKO[[#This Row],[concat]],[4]!db[NB NOTA_C],0)+1)</f>
        <v>1076</v>
      </c>
      <c r="X119" s="4" t="str">
        <f ca="1">IF(KENKO[[#This Row],[N.B.nota]]="","",ADDRESS(ROW(KENKO[QB]),COLUMN(KENKO[QB]))&amp;":"&amp;ADDRESS(ROW(),COLUMN(KENKO[QB])))</f>
        <v>$D$3:$D$119</v>
      </c>
      <c r="Y119" s="13" t="str">
        <f ca="1">IF(KENKO[[#This Row],[//]]="","",HYPERLINK("[..\\DB.xlsx]DB!e"&amp;KENKO[[#This Row],[stt]],"&gt;"))</f>
        <v>&gt;</v>
      </c>
      <c r="Z119" s="4">
        <f ca="1">IF(KENKO[[#This Row],[//]]="","",IF(KENKO[[#This Row],[ID NOTA]]="",Z118,KENKO[[#This Row],[ID NOTA]]))</f>
        <v>75</v>
      </c>
    </row>
    <row r="120" spans="1:26" ht="15" customHeight="1" x14ac:dyDescent="0.25">
      <c r="A120" s="4"/>
      <c r="B120" s="6" t="str">
        <f>IF(KENKO[[#This Row],[N_ID]]="","",INDEX(Table1[ID],MATCH(KENKO[[#This Row],[N_ID]],Table1[N_ID],0)))</f>
        <v/>
      </c>
      <c r="C120" s="6" t="str">
        <f>IF(KENKO[[#This Row],[ID NOTA]]="","",HYPERLINK("[NOTA_.xlsx]NOTA!e"&amp;INDEX([2]!PAJAK[//],MATCH(KENKO[[#This Row],[ID NOTA]],[2]!PAJAK[ID],0)),"&gt;") )</f>
        <v/>
      </c>
      <c r="D120" s="6" t="str">
        <f>IF(KENKO[[#This Row],[ID NOTA]]="","",INDEX(Table1[QB],MATCH(KENKO[[#This Row],[ID NOTA]],Table1[ID],0)))</f>
        <v/>
      </c>
      <c r="E12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431</v>
      </c>
      <c r="F120" s="6"/>
      <c r="G120" s="3" t="str">
        <f>IF(KENKO[[#This Row],[ID NOTA]]="","",INDEX([2]!NOTA[TGL_H],MATCH(KENKO[[#This Row],[ID NOTA]],[2]!NOTA[ID],0)))</f>
        <v/>
      </c>
      <c r="H120" s="3" t="str">
        <f>IF(KENKO[[#This Row],[ID NOTA]]="","",INDEX([2]!NOTA[TGL.NOTA],MATCH(KENKO[[#This Row],[ID NOTA]],[2]!NOTA[ID],0)))</f>
        <v/>
      </c>
      <c r="I120" s="18" t="str">
        <f>IF(KENKO[[#This Row],[ID NOTA]]="","",INDEX([2]!NOTA[NO.NOTA],MATCH(KENKO[[#This Row],[ID NOTA]],[2]!NOTA[ID],0)))</f>
        <v/>
      </c>
      <c r="J120" s="4" t="str">
        <f ca="1">IF(KENKO[[#This Row],[//]]="","",INDEX([4]!db[NB PAJAK],KENKO[[#This Row],[stt]]-1))</f>
        <v>CORRECTION TAPE KENKO CT-902P (12M x 5MM) TRANSPARAN</v>
      </c>
      <c r="K120" s="6" t="str">
        <f>""</f>
        <v/>
      </c>
      <c r="L120" s="6">
        <f ca="1">IF(KENKO[[#This Row],[//]]="","",IF(INDEX([2]!NOTA[QTY],KENKO[//]-2)="",INDEX([2]!NOTA[C],KENKO[//]-2),INDEX([2]!NOTA[QTY],KENKO[//]-2)))</f>
        <v>1</v>
      </c>
      <c r="M120" s="6" t="str">
        <f ca="1">IF(KENKO[[#This Row],[//]]="","",IF(INDEX([2]!NOTA[STN],KENKO[//]-2)="","CTN",INDEX([2]!NOTA[STN],KENKO[//]-2)))</f>
        <v>CTN</v>
      </c>
      <c r="N120" s="5">
        <f ca="1">IF(KENKO[[#This Row],[//]]="","",IF(INDEX([2]!NOTA[HARGA/ CTN],KENKO[[#This Row],[//]]-2)="",INDEX([2]!NOTA[HARGA SATUAN],KENKO[//]-2),INDEX([2]!NOTA[HARGA/ CTN],KENKO[[#This Row],[//]]-2)))</f>
        <v>2880000</v>
      </c>
      <c r="O120" s="7" t="str">
        <f ca="1">IF(KENKO[[#This Row],[//]]="","",IF(INDEX([2]!NOTA[DISC 2],KENKO[[#This Row],[//]]-2)=0,"",INDEX([2]!NOTA[DISC 2],KENKO[[#This Row],[//]]-2)))</f>
        <v/>
      </c>
      <c r="P120" s="7"/>
      <c r="Q120" s="5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4" t="str">
        <f ca="1">IF(KENKO[[#This Row],[//]]="","",INDEX([2]!NOTA[NAMA BARANG],KENKO[[#This Row],[//]]-2))</f>
        <v>KENKO CORRECTION TAPE CT-902P (12M X5MM)</v>
      </c>
      <c r="V120" s="4" t="str">
        <f ca="1">LOWER(SUBSTITUTE(SUBSTITUTE(SUBSTITUTE(SUBSTITUTE(SUBSTITUTE(SUBSTITUTE(SUBSTITUTE(SUBSTITUTE(KENKO[[#This Row],[N.B.nota]]," ",""),"-",""),"(",""),")",""),".",""),",",""),"/",""),"""",""))</f>
        <v>kenkocorrectiontapect902p12mx5mm</v>
      </c>
      <c r="W120" s="6">
        <f ca="1">IF(KENKO[[#This Row],[concat]]="","",MATCH(KENKO[[#This Row],[concat]],[4]!db[NB NOTA_C],0)+1)</f>
        <v>1077</v>
      </c>
      <c r="X120" s="4" t="str">
        <f ca="1">IF(KENKO[[#This Row],[N.B.nota]]="","",ADDRESS(ROW(KENKO[QB]),COLUMN(KENKO[QB]))&amp;":"&amp;ADDRESS(ROW(),COLUMN(KENKO[QB])))</f>
        <v>$D$3:$D$120</v>
      </c>
      <c r="Y120" s="13" t="str">
        <f ca="1">IF(KENKO[[#This Row],[//]]="","",HYPERLINK("[..\\DB.xlsx]DB!e"&amp;KENKO[[#This Row],[stt]],"&gt;"))</f>
        <v>&gt;</v>
      </c>
      <c r="Z120" s="4">
        <f ca="1">IF(KENKO[[#This Row],[//]]="","",IF(KENKO[[#This Row],[ID NOTA]]="",Z119,KENKO[[#This Row],[ID NOTA]]))</f>
        <v>75</v>
      </c>
    </row>
    <row r="121" spans="1:26" ht="15" customHeight="1" x14ac:dyDescent="0.25">
      <c r="A121" s="4"/>
      <c r="B121" s="6" t="str">
        <f>IF(KENKO[[#This Row],[N_ID]]="","",INDEX(Table1[ID],MATCH(KENKO[[#This Row],[N_ID]],Table1[N_ID],0)))</f>
        <v/>
      </c>
      <c r="C121" s="6" t="str">
        <f>IF(KENKO[[#This Row],[ID NOTA]]="","",HYPERLINK("[NOTA_.xlsx]NOTA!e"&amp;INDEX([2]!PAJAK[//],MATCH(KENKO[[#This Row],[ID NOTA]],[2]!PAJAK[ID],0)),"&gt;") )</f>
        <v/>
      </c>
      <c r="D121" s="6" t="str">
        <f>IF(KENKO[[#This Row],[ID NOTA]]="","",INDEX(Table1[QB],MATCH(KENKO[[#This Row],[ID NOTA]],Table1[ID],0)))</f>
        <v/>
      </c>
      <c r="E12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432</v>
      </c>
      <c r="F121" s="6"/>
      <c r="G121" s="3" t="str">
        <f>IF(KENKO[[#This Row],[ID NOTA]]="","",INDEX([2]!NOTA[TGL_H],MATCH(KENKO[[#This Row],[ID NOTA]],[2]!NOTA[ID],0)))</f>
        <v/>
      </c>
      <c r="H121" s="3" t="str">
        <f>IF(KENKO[[#This Row],[ID NOTA]]="","",INDEX([2]!NOTA[TGL.NOTA],MATCH(KENKO[[#This Row],[ID NOTA]],[2]!NOTA[ID],0)))</f>
        <v/>
      </c>
      <c r="I121" s="18" t="str">
        <f>IF(KENKO[[#This Row],[ID NOTA]]="","",INDEX([2]!NOTA[NO.NOTA],MATCH(KENKO[[#This Row],[ID NOTA]],[2]!NOTA[ID],0)))</f>
        <v/>
      </c>
      <c r="J121" s="4" t="str">
        <f ca="1">IF(KENKO[[#This Row],[//]]="","",INDEX([4]!db[NB PAJAK],KENKO[[#This Row],[stt]]-1))</f>
        <v>DOUBLE TAPE KENKO 12 MM - BLUE CORE (1/2")</v>
      </c>
      <c r="K121" s="6" t="str">
        <f>""</f>
        <v/>
      </c>
      <c r="L121" s="6">
        <f ca="1">IF(KENKO[[#This Row],[//]]="","",IF(INDEX([2]!NOTA[QTY],KENKO[//]-2)="",INDEX([2]!NOTA[C],KENKO[//]-2),INDEX([2]!NOTA[QTY],KENKO[//]-2)))</f>
        <v>2</v>
      </c>
      <c r="M121" s="6" t="str">
        <f ca="1">IF(KENKO[[#This Row],[//]]="","",IF(INDEX([2]!NOTA[STN],KENKO[//]-2)="","CTN",INDEX([2]!NOTA[STN],KENKO[//]-2)))</f>
        <v>CTN</v>
      </c>
      <c r="N121" s="5">
        <f ca="1">IF(KENKO[[#This Row],[//]]="","",IF(INDEX([2]!NOTA[HARGA/ CTN],KENKO[[#This Row],[//]]-2)="",INDEX([2]!NOTA[HARGA SATUAN],KENKO[//]-2),INDEX([2]!NOTA[HARGA/ CTN],KENKO[[#This Row],[//]]-2)))</f>
        <v>588000</v>
      </c>
      <c r="O121" s="7" t="str">
        <f ca="1">IF(KENKO[[#This Row],[//]]="","",IF(INDEX([2]!NOTA[DISC 2],KENKO[[#This Row],[//]]-2)=0,"",INDEX([2]!NOTA[DISC 2],KENKO[[#This Row],[//]]-2)))</f>
        <v/>
      </c>
      <c r="P121" s="7"/>
      <c r="Q121" s="5">
        <f ca="1">IF(KENKO[[#This Row],[//]]="","",INDEX([2]!NOTA[JUMLAH],KENKO[[#This Row],[//]]-2)-IF(ISNUMBER(KENKO[[#This Row],[DISC 1 (%)]]),INDEX([2]!NOTA[JUMLAH],KENKO[[#This Row],[//]]-2)*KENKO[[#This Row],[DISC 1 (%)]],0))</f>
        <v>1176000</v>
      </c>
      <c r="R1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4" t="str">
        <f ca="1">IF(KENKO[[#This Row],[//]]="","",INDEX([2]!NOTA[NAMA BARANG],KENKO[[#This Row],[//]]-2))</f>
        <v>KENKO DOUBLE TAPE 12MM HG-BLUE CORE</v>
      </c>
      <c r="V121" s="4" t="str">
        <f ca="1">LOWER(SUBSTITUTE(SUBSTITUTE(SUBSTITUTE(SUBSTITUTE(SUBSTITUTE(SUBSTITUTE(SUBSTITUTE(SUBSTITUTE(KENKO[[#This Row],[N.B.nota]]," ",""),"-",""),"(",""),")",""),".",""),",",""),"/",""),"""",""))</f>
        <v>kenkodoubletape12mmhgbluecore</v>
      </c>
      <c r="W121" s="6">
        <f ca="1">IF(KENKO[[#This Row],[concat]]="","",MATCH(KENKO[[#This Row],[concat]],[4]!db[NB NOTA_C],0)+1)</f>
        <v>1091</v>
      </c>
      <c r="X121" s="4" t="str">
        <f ca="1">IF(KENKO[[#This Row],[N.B.nota]]="","",ADDRESS(ROW(KENKO[QB]),COLUMN(KENKO[QB]))&amp;":"&amp;ADDRESS(ROW(),COLUMN(KENKO[QB])))</f>
        <v>$D$3:$D$121</v>
      </c>
      <c r="Y121" s="13" t="str">
        <f ca="1">IF(KENKO[[#This Row],[//]]="","",HYPERLINK("[..\\DB.xlsx]DB!e"&amp;KENKO[[#This Row],[stt]],"&gt;"))</f>
        <v>&gt;</v>
      </c>
      <c r="Z121" s="4">
        <f ca="1">IF(KENKO[[#This Row],[//]]="","",IF(KENKO[[#This Row],[ID NOTA]]="",Z120,KENKO[[#This Row],[ID NOTA]]))</f>
        <v>75</v>
      </c>
    </row>
    <row r="122" spans="1:26" ht="15" customHeight="1" x14ac:dyDescent="0.25">
      <c r="A122" s="4"/>
      <c r="B122" s="6" t="str">
        <f>IF(KENKO[[#This Row],[N_ID]]="","",INDEX(Table1[ID],MATCH(KENKO[[#This Row],[N_ID]],Table1[N_ID],0)))</f>
        <v/>
      </c>
      <c r="C122" s="6" t="str">
        <f>IF(KENKO[[#This Row],[ID NOTA]]="","",HYPERLINK("[NOTA_.xlsx]NOTA!e"&amp;INDEX([2]!PAJAK[//],MATCH(KENKO[[#This Row],[ID NOTA]],[2]!PAJAK[ID],0)),"&gt;") )</f>
        <v/>
      </c>
      <c r="D122" s="6" t="str">
        <f>IF(KENKO[[#This Row],[ID NOTA]]="","",INDEX(Table1[QB],MATCH(KENKO[[#This Row],[ID NOTA]],Table1[ID],0)))</f>
        <v/>
      </c>
      <c r="E12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433</v>
      </c>
      <c r="F122" s="6"/>
      <c r="G122" s="3" t="str">
        <f>IF(KENKO[[#This Row],[ID NOTA]]="","",INDEX([2]!NOTA[TGL_H],MATCH(KENKO[[#This Row],[ID NOTA]],[2]!NOTA[ID],0)))</f>
        <v/>
      </c>
      <c r="H122" s="3" t="str">
        <f>IF(KENKO[[#This Row],[ID NOTA]]="","",INDEX([2]!NOTA[TGL.NOTA],MATCH(KENKO[[#This Row],[ID NOTA]],[2]!NOTA[ID],0)))</f>
        <v/>
      </c>
      <c r="I122" s="18" t="str">
        <f>IF(KENKO[[#This Row],[ID NOTA]]="","",INDEX([2]!NOTA[NO.NOTA],MATCH(KENKO[[#This Row],[ID NOTA]],[2]!NOTA[ID],0)))</f>
        <v/>
      </c>
      <c r="J122" s="4" t="str">
        <f ca="1">IF(KENKO[[#This Row],[//]]="","",INDEX([4]!db[NB PAJAK],KENKO[[#This Row],[stt]]-1))</f>
        <v>GEL PEN KENKO 0.28MM MICROTEC HITAM</v>
      </c>
      <c r="K122" s="6" t="str">
        <f>""</f>
        <v/>
      </c>
      <c r="L122" s="6">
        <f ca="1">IF(KENKO[[#This Row],[//]]="","",IF(INDEX([2]!NOTA[QTY],KENKO[//]-2)="",INDEX([2]!NOTA[C],KENKO[//]-2),INDEX([2]!NOTA[QTY],KENKO[//]-2)))</f>
        <v>2</v>
      </c>
      <c r="M122" s="6" t="str">
        <f ca="1">IF(KENKO[[#This Row],[//]]="","",IF(INDEX([2]!NOTA[STN],KENKO[//]-2)="","CTN",INDEX([2]!NOTA[STN],KENKO[//]-2)))</f>
        <v>CTN</v>
      </c>
      <c r="N122" s="5">
        <f ca="1">IF(KENKO[[#This Row],[//]]="","",IF(INDEX([2]!NOTA[HARGA/ CTN],KENKO[[#This Row],[//]]-2)="",INDEX([2]!NOTA[HARGA SATUAN],KENKO[//]-2),INDEX([2]!NOTA[HARGA/ CTN],KENKO[[#This Row],[//]]-2)))</f>
        <v>5702400</v>
      </c>
      <c r="O122" s="7" t="str">
        <f ca="1">IF(KENKO[[#This Row],[//]]="","",IF(INDEX([2]!NOTA[DISC 2],KENKO[[#This Row],[//]]-2)=0,"",INDEX([2]!NOTA[DISC 2],KENKO[[#This Row],[//]]-2)))</f>
        <v/>
      </c>
      <c r="P122" s="7"/>
      <c r="Q122" s="5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122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4588776</v>
      </c>
      <c r="S122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22404024</v>
      </c>
      <c r="T1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4" t="str">
        <f ca="1">IF(KENKO[[#This Row],[//]]="","",INDEX([2]!NOTA[NAMA BARANG],KENKO[[#This Row],[//]]-2))</f>
        <v>KENKO GEL PEN MICROTEC 0.28MM BLACK</v>
      </c>
      <c r="V122" s="4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122" s="6">
        <f ca="1">IF(KENKO[[#This Row],[concat]]="","",MATCH(KENKO[[#This Row],[concat]],[4]!db[NB NOTA_C],0)+1)</f>
        <v>1125</v>
      </c>
      <c r="X122" s="4" t="str">
        <f ca="1">IF(KENKO[[#This Row],[N.B.nota]]="","",ADDRESS(ROW(KENKO[QB]),COLUMN(KENKO[QB]))&amp;":"&amp;ADDRESS(ROW(),COLUMN(KENKO[QB])))</f>
        <v>$D$3:$D$122</v>
      </c>
      <c r="Y122" s="13" t="str">
        <f ca="1">IF(KENKO[[#This Row],[//]]="","",HYPERLINK("[..\\DB.xlsx]DB!e"&amp;KENKO[[#This Row],[stt]],"&gt;"))</f>
        <v>&gt;</v>
      </c>
      <c r="Z122" s="4">
        <f ca="1">IF(KENKO[[#This Row],[//]]="","",IF(KENKO[[#This Row],[ID NOTA]]="",Z121,KENKO[[#This Row],[ID NOTA]]))</f>
        <v>75</v>
      </c>
    </row>
    <row r="123" spans="1:26" ht="15" customHeight="1" x14ac:dyDescent="0.25">
      <c r="A123" s="4"/>
      <c r="B123" s="6" t="str">
        <f>IF(KENKO[[#This Row],[N_ID]]="","",INDEX(Table1[ID],MATCH(KENKO[[#This Row],[N_ID]],Table1[N_ID],0)))</f>
        <v/>
      </c>
      <c r="C123" s="6" t="str">
        <f>IF(KENKO[[#This Row],[ID NOTA]]="","",HYPERLINK("[NOTA_.xlsx]NOTA!e"&amp;INDEX([2]!PAJAK[//],MATCH(KENKO[[#This Row],[ID NOTA]],[2]!PAJAK[ID],0)),"&gt;") )</f>
        <v/>
      </c>
      <c r="D123" s="6" t="str">
        <f>IF(KENKO[[#This Row],[ID NOTA]]="","",INDEX(Table1[QB],MATCH(KENKO[[#This Row],[ID NOTA]],Table1[ID],0)))</f>
        <v/>
      </c>
      <c r="E12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3" s="6"/>
      <c r="G123" s="3" t="str">
        <f>IF(KENKO[[#This Row],[ID NOTA]]="","",INDEX([2]!NOTA[TGL_H],MATCH(KENKO[[#This Row],[ID NOTA]],[2]!NOTA[ID],0)))</f>
        <v/>
      </c>
      <c r="H123" s="3" t="str">
        <f>IF(KENKO[[#This Row],[ID NOTA]]="","",INDEX([2]!NOTA[TGL.NOTA],MATCH(KENKO[[#This Row],[ID NOTA]],[2]!NOTA[ID],0)))</f>
        <v/>
      </c>
      <c r="I123" s="18" t="str">
        <f>IF(KENKO[[#This Row],[ID NOTA]]="","",INDEX([2]!NOTA[NO.NOTA],MATCH(KENKO[[#This Row],[ID NOTA]],[2]!NOTA[ID],0)))</f>
        <v/>
      </c>
      <c r="J123" s="4" t="str">
        <f ca="1">IF(KENKO[[#This Row],[//]]="","",INDEX([4]!db[NB PAJAK],KENKO[[#This Row],[stt]]-1))</f>
        <v/>
      </c>
      <c r="K123" s="6" t="str">
        <f>""</f>
        <v/>
      </c>
      <c r="L123" s="6" t="str">
        <f ca="1">IF(KENKO[[#This Row],[//]]="","",IF(INDEX([2]!NOTA[QTY],KENKO[//]-2)="",INDEX([2]!NOTA[C],KENKO[//]-2),INDEX([2]!NOTA[QTY],KENKO[//]-2)))</f>
        <v/>
      </c>
      <c r="M123" s="6" t="str">
        <f ca="1">IF(KENKO[[#This Row],[//]]="","",IF(INDEX([2]!NOTA[STN],KENKO[//]-2)="","CTN",INDEX([2]!NOTA[STN],KENKO[//]-2)))</f>
        <v/>
      </c>
      <c r="N123" s="5" t="str">
        <f ca="1">IF(KENKO[[#This Row],[//]]="","",IF(INDEX([2]!NOTA[HARGA/ CTN],KENKO[[#This Row],[//]]-2)="",INDEX([2]!NOTA[HARGA SATUAN],KENKO[//]-2),INDEX([2]!NOTA[HARGA/ CTN],KENKO[[#This Row],[//]]-2)))</f>
        <v/>
      </c>
      <c r="O123" s="7" t="str">
        <f ca="1">IF(KENKO[[#This Row],[//]]="","",IF(INDEX([2]!NOTA[DISC 2],KENKO[[#This Row],[//]]-2)=0,"",INDEX([2]!NOTA[DISC 2],KENKO[[#This Row],[//]]-2)))</f>
        <v/>
      </c>
      <c r="P123" s="7"/>
      <c r="Q12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4" t="str">
        <f ca="1">IF(KENKO[[#This Row],[//]]="","",INDEX([2]!NOTA[NAMA BARANG],KENKO[[#This Row],[//]]-2))</f>
        <v/>
      </c>
      <c r="V123" s="4" t="str">
        <f ca="1">LOWER(SUBSTITUTE(SUBSTITUTE(SUBSTITUTE(SUBSTITUTE(SUBSTITUTE(SUBSTITUTE(SUBSTITUTE(SUBSTITUTE(KENKO[[#This Row],[N.B.nota]]," ",""),"-",""),"(",""),")",""),".",""),",",""),"/",""),"""",""))</f>
        <v/>
      </c>
      <c r="W123" s="6" t="str">
        <f ca="1">IF(KENKO[[#This Row],[concat]]="","",MATCH(KENKO[[#This Row],[concat]],[4]!db[NB NOTA_C],0)+1)</f>
        <v/>
      </c>
      <c r="X123" s="4" t="str">
        <f ca="1">IF(KENKO[[#This Row],[N.B.nota]]="","",ADDRESS(ROW(KENKO[QB]),COLUMN(KENKO[QB]))&amp;":"&amp;ADDRESS(ROW(),COLUMN(KENKO[QB])))</f>
        <v/>
      </c>
      <c r="Y123" s="13" t="str">
        <f ca="1">IF(KENKO[[#This Row],[//]]="","",HYPERLINK("[..\\DB.xlsx]DB!e"&amp;KENKO[[#This Row],[stt]],"&gt;"))</f>
        <v/>
      </c>
      <c r="Z123" s="4" t="str">
        <f ca="1">IF(KENKO[[#This Row],[//]]="","",IF(KENKO[[#This Row],[ID NOTA]]="",Z122,KENKO[[#This Row],[ID NOTA]]))</f>
        <v/>
      </c>
    </row>
    <row r="124" spans="1:26" ht="15" customHeight="1" x14ac:dyDescent="0.25">
      <c r="A124" s="4" t="s">
        <v>87</v>
      </c>
      <c r="B124" s="6">
        <f ca="1">IF(KENKO[[#This Row],[N_ID]]="","",INDEX(Table1[ID],MATCH(KENKO[[#This Row],[N_ID]],Table1[N_ID],0)))</f>
        <v>73</v>
      </c>
      <c r="C124" s="6" t="str">
        <f ca="1">IF(KENKO[[#This Row],[ID NOTA]]="","",HYPERLINK("[NOTA_.xlsx]NOTA!e"&amp;INDEX([2]!PAJAK[//],MATCH(KENKO[[#This Row],[ID NOTA]],[2]!PAJAK[ID],0)),"&gt;") )</f>
        <v>&gt;</v>
      </c>
      <c r="D124" s="6">
        <f ca="1">IF(KENKO[[#This Row],[ID NOTA]]="","",INDEX(Table1[QB],MATCH(KENKO[[#This Row],[ID NOTA]],Table1[ID],0)))</f>
        <v>9</v>
      </c>
      <c r="E12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405</v>
      </c>
      <c r="F124" s="6">
        <v>18</v>
      </c>
      <c r="G124" s="3">
        <f ca="1">IF(KENKO[[#This Row],[ID NOTA]]="","",INDEX([2]!NOTA[TGL_H],MATCH(KENKO[[#This Row],[ID NOTA]],[2]!NOTA[ID],0)))</f>
        <v>44821</v>
      </c>
      <c r="H124" s="3">
        <f ca="1">IF(KENKO[[#This Row],[ID NOTA]]="","",INDEX([2]!NOTA[TGL.NOTA],MATCH(KENKO[[#This Row],[ID NOTA]],[2]!NOTA[ID],0)))</f>
        <v>44820</v>
      </c>
      <c r="I124" s="18" t="str">
        <f ca="1">IF(KENKO[[#This Row],[ID NOTA]]="","",INDEX([2]!NOTA[NO.NOTA],MATCH(KENKO[[#This Row],[ID NOTA]],[2]!NOTA[ID],0)))</f>
        <v>22091296</v>
      </c>
      <c r="J124" s="4" t="str">
        <f ca="1">IF(KENKO[[#This Row],[//]]="","",INDEX([4]!db[NB PAJAK],KENKO[[#This Row],[stt]]-1))</f>
        <v>STAPLER KENKO HD-10</v>
      </c>
      <c r="K124" s="6" t="str">
        <f>""</f>
        <v/>
      </c>
      <c r="L124" s="6">
        <f ca="1">IF(KENKO[[#This Row],[//]]="","",IF(INDEX([2]!NOTA[QTY],KENKO[//]-2)="",INDEX([2]!NOTA[C],KENKO[//]-2),INDEX([2]!NOTA[QTY],KENKO[//]-2)))</f>
        <v>5</v>
      </c>
      <c r="M124" s="6" t="str">
        <f ca="1">IF(KENKO[[#This Row],[//]]="","",IF(INDEX([2]!NOTA[STN],KENKO[//]-2)="","CTN",INDEX([2]!NOTA[STN],KENKO[//]-2)))</f>
        <v>CTN</v>
      </c>
      <c r="N124" s="5">
        <f ca="1">IF(KENKO[[#This Row],[//]]="","",IF(INDEX([2]!NOTA[HARGA/ CTN],KENKO[[#This Row],[//]]-2)="",INDEX([2]!NOTA[HARGA SATUAN],KENKO[//]-2),INDEX([2]!NOTA[HARGA/ CTN],KENKO[[#This Row],[//]]-2)))</f>
        <v>1740000</v>
      </c>
      <c r="O124" s="7" t="str">
        <f ca="1">IF(KENKO[[#This Row],[//]]="","",IF(INDEX([2]!NOTA[DISC 2],KENKO[[#This Row],[//]]-2)=0,"",INDEX([2]!NOTA[DISC 2],KENKO[[#This Row],[//]]-2)))</f>
        <v/>
      </c>
      <c r="P124" s="7"/>
      <c r="Q124" s="5">
        <f ca="1">IF(KENKO[[#This Row],[//]]="","",INDEX([2]!NOTA[JUMLAH],KENKO[[#This Row],[//]]-2)-IF(ISNUMBER(KENKO[[#This Row],[DISC 1 (%)]]),INDEX([2]!NOTA[JUMLAH],KENKO[[#This Row],[//]]-2)*KENKO[[#This Row],[DISC 1 (%)]],0))</f>
        <v>8700000</v>
      </c>
      <c r="R1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4" t="str">
        <f ca="1">IF(KENKO[[#This Row],[//]]="","",INDEX([2]!NOTA[NAMA BARANG],KENKO[[#This Row],[//]]-2))</f>
        <v>KENKO STAPLER HD-10</v>
      </c>
      <c r="V124" s="4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24" s="6">
        <f ca="1">IF(KENKO[[#This Row],[concat]]="","",MATCH(KENKO[[#This Row],[concat]],[4]!db[NB NOTA_C],0)+1)</f>
        <v>1240</v>
      </c>
      <c r="X124" s="4" t="str">
        <f ca="1">IF(KENKO[[#This Row],[N.B.nota]]="","",ADDRESS(ROW(KENKO[QB]),COLUMN(KENKO[QB]))&amp;":"&amp;ADDRESS(ROW(),COLUMN(KENKO[QB])))</f>
        <v>$D$3:$D$124</v>
      </c>
      <c r="Y124" s="13" t="str">
        <f ca="1">IF(KENKO[[#This Row],[//]]="","",HYPERLINK("[..\\DB.xlsx]DB!e"&amp;KENKO[[#This Row],[stt]],"&gt;"))</f>
        <v>&gt;</v>
      </c>
      <c r="Z124" s="4">
        <f ca="1">IF(KENKO[[#This Row],[//]]="","",IF(KENKO[[#This Row],[ID NOTA]]="",Z123,KENKO[[#This Row],[ID NOTA]]))</f>
        <v>73</v>
      </c>
    </row>
    <row r="125" spans="1:26" ht="15" customHeight="1" x14ac:dyDescent="0.25">
      <c r="A125" s="4"/>
      <c r="B125" s="6" t="str">
        <f>IF(KENKO[[#This Row],[N_ID]]="","",INDEX(Table1[ID],MATCH(KENKO[[#This Row],[N_ID]],Table1[N_ID],0)))</f>
        <v/>
      </c>
      <c r="C125" s="6" t="str">
        <f>IF(KENKO[[#This Row],[ID NOTA]]="","",HYPERLINK("[NOTA_.xlsx]NOTA!e"&amp;INDEX([2]!PAJAK[//],MATCH(KENKO[[#This Row],[ID NOTA]],[2]!PAJAK[ID],0)),"&gt;") )</f>
        <v/>
      </c>
      <c r="D125" s="6" t="str">
        <f>IF(KENKO[[#This Row],[ID NOTA]]="","",INDEX(Table1[QB],MATCH(KENKO[[#This Row],[ID NOTA]],Table1[ID],0)))</f>
        <v/>
      </c>
      <c r="E12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406</v>
      </c>
      <c r="F125" s="6"/>
      <c r="G125" s="3" t="str">
        <f>IF(KENKO[[#This Row],[ID NOTA]]="","",INDEX([2]!NOTA[TGL_H],MATCH(KENKO[[#This Row],[ID NOTA]],[2]!NOTA[ID],0)))</f>
        <v/>
      </c>
      <c r="H125" s="3" t="str">
        <f>IF(KENKO[[#This Row],[ID NOTA]]="","",INDEX([2]!NOTA[TGL.NOTA],MATCH(KENKO[[#This Row],[ID NOTA]],[2]!NOTA[ID],0)))</f>
        <v/>
      </c>
      <c r="I125" s="18" t="str">
        <f>IF(KENKO[[#This Row],[ID NOTA]]="","",INDEX([2]!NOTA[NO.NOTA],MATCH(KENKO[[#This Row],[ID NOTA]],[2]!NOTA[ID],0)))</f>
        <v/>
      </c>
      <c r="J125" s="4" t="str">
        <f ca="1">IF(KENKO[[#This Row],[//]]="","",INDEX([4]!db[NB PAJAK],KENKO[[#This Row],[stt]]-1))</f>
        <v>CRAYON / OIL PASTEL KENKO 12W GARDEN</v>
      </c>
      <c r="K125" s="6" t="str">
        <f>""</f>
        <v/>
      </c>
      <c r="L125" s="6">
        <f ca="1">IF(KENKO[[#This Row],[//]]="","",IF(INDEX([2]!NOTA[QTY],KENKO[//]-2)="",INDEX([2]!NOTA[C],KENKO[//]-2),INDEX([2]!NOTA[QTY],KENKO[//]-2)))</f>
        <v>1</v>
      </c>
      <c r="M125" s="6" t="str">
        <f ca="1">IF(KENKO[[#This Row],[//]]="","",IF(INDEX([2]!NOTA[STN],KENKO[//]-2)="","CTN",INDEX([2]!NOTA[STN],KENKO[//]-2)))</f>
        <v>CTN</v>
      </c>
      <c r="N125" s="5">
        <f ca="1">IF(KENKO[[#This Row],[//]]="","",IF(INDEX([2]!NOTA[HARGA/ CTN],KENKO[[#This Row],[//]]-2)="",INDEX([2]!NOTA[HARGA SATUAN],KENKO[//]-2),INDEX([2]!NOTA[HARGA/ CTN],KENKO[[#This Row],[//]]-2)))</f>
        <v>1728000</v>
      </c>
      <c r="O125" s="7" t="str">
        <f ca="1">IF(KENKO[[#This Row],[//]]="","",IF(INDEX([2]!NOTA[DISC 2],KENKO[[#This Row],[//]]-2)=0,"",INDEX([2]!NOTA[DISC 2],KENKO[[#This Row],[//]]-2)))</f>
        <v/>
      </c>
      <c r="P125" s="7"/>
      <c r="Q125" s="5">
        <f ca="1">IF(KENKO[[#This Row],[//]]="","",INDEX([2]!NOTA[JUMLAH],KENKO[[#This Row],[//]]-2)-IF(ISNUMBER(KENKO[[#This Row],[DISC 1 (%)]]),INDEX([2]!NOTA[JUMLAH],KENKO[[#This Row],[//]]-2)*KENKO[[#This Row],[DISC 1 (%)]],0))</f>
        <v>1728000</v>
      </c>
      <c r="R1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4" t="str">
        <f ca="1">IF(KENKO[[#This Row],[//]]="","",INDEX([2]!NOTA[NAMA BARANG],KENKO[[#This Row],[//]]-2))</f>
        <v>KENKO 12 COLOR OIL PASTEL - GARDEN</v>
      </c>
      <c r="V125" s="4" t="str">
        <f ca="1">LOWER(SUBSTITUTE(SUBSTITUTE(SUBSTITUTE(SUBSTITUTE(SUBSTITUTE(SUBSTITUTE(SUBSTITUTE(SUBSTITUTE(KENKO[[#This Row],[N.B.nota]]," ",""),"-",""),"(",""),")",""),".",""),",",""),"/",""),"""",""))</f>
        <v>kenko12coloroilpastelgarden</v>
      </c>
      <c r="W125" s="6">
        <f ca="1">IF(KENKO[[#This Row],[concat]]="","",MATCH(KENKO[[#This Row],[concat]],[4]!db[NB NOTA_C],0)+1)</f>
        <v>993</v>
      </c>
      <c r="X125" s="4" t="str">
        <f ca="1">IF(KENKO[[#This Row],[N.B.nota]]="","",ADDRESS(ROW(KENKO[QB]),COLUMN(KENKO[QB]))&amp;":"&amp;ADDRESS(ROW(),COLUMN(KENKO[QB])))</f>
        <v>$D$3:$D$125</v>
      </c>
      <c r="Y125" s="13" t="str">
        <f ca="1">IF(KENKO[[#This Row],[//]]="","",HYPERLINK("[..\\DB.xlsx]DB!e"&amp;KENKO[[#This Row],[stt]],"&gt;"))</f>
        <v>&gt;</v>
      </c>
      <c r="Z125" s="4">
        <f ca="1">IF(KENKO[[#This Row],[//]]="","",IF(KENKO[[#This Row],[ID NOTA]]="",Z124,KENKO[[#This Row],[ID NOTA]]))</f>
        <v>73</v>
      </c>
    </row>
    <row r="126" spans="1:26" ht="15" customHeight="1" x14ac:dyDescent="0.25">
      <c r="A126" s="4"/>
      <c r="B126" s="6" t="str">
        <f>IF(KENKO[[#This Row],[N_ID]]="","",INDEX(Table1[ID],MATCH(KENKO[[#This Row],[N_ID]],Table1[N_ID],0)))</f>
        <v/>
      </c>
      <c r="C126" s="6" t="str">
        <f>IF(KENKO[[#This Row],[ID NOTA]]="","",HYPERLINK("[NOTA_.xlsx]NOTA!e"&amp;INDEX([2]!PAJAK[//],MATCH(KENKO[[#This Row],[ID NOTA]],[2]!PAJAK[ID],0)),"&gt;") )</f>
        <v/>
      </c>
      <c r="D126" s="6" t="str">
        <f>IF(KENKO[[#This Row],[ID NOTA]]="","",INDEX(Table1[QB],MATCH(KENKO[[#This Row],[ID NOTA]],Table1[ID],0)))</f>
        <v/>
      </c>
      <c r="E12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407</v>
      </c>
      <c r="F126" s="6"/>
      <c r="G126" s="3" t="str">
        <f>IF(KENKO[[#This Row],[ID NOTA]]="","",INDEX([2]!NOTA[TGL_H],MATCH(KENKO[[#This Row],[ID NOTA]],[2]!NOTA[ID],0)))</f>
        <v/>
      </c>
      <c r="H126" s="3" t="str">
        <f>IF(KENKO[[#This Row],[ID NOTA]]="","",INDEX([2]!NOTA[TGL.NOTA],MATCH(KENKO[[#This Row],[ID NOTA]],[2]!NOTA[ID],0)))</f>
        <v/>
      </c>
      <c r="I126" s="18" t="str">
        <f>IF(KENKO[[#This Row],[ID NOTA]]="","",INDEX([2]!NOTA[NO.NOTA],MATCH(KENKO[[#This Row],[ID NOTA]],[2]!NOTA[ID],0)))</f>
        <v/>
      </c>
      <c r="J126" s="4" t="str">
        <f ca="1">IF(KENKO[[#This Row],[//]]="","",INDEX([4]!db[NB PAJAK],KENKO[[#This Row],[stt]]-1))</f>
        <v>CRAYON / OIL PASTEL KENKO 18W GARDEN</v>
      </c>
      <c r="K126" s="6" t="str">
        <f>""</f>
        <v/>
      </c>
      <c r="L126" s="6">
        <f ca="1">IF(KENKO[[#This Row],[//]]="","",IF(INDEX([2]!NOTA[QTY],KENKO[//]-2)="",INDEX([2]!NOTA[C],KENKO[//]-2),INDEX([2]!NOTA[QTY],KENKO[//]-2)))</f>
        <v>1</v>
      </c>
      <c r="M126" s="6" t="str">
        <f ca="1">IF(KENKO[[#This Row],[//]]="","",IF(INDEX([2]!NOTA[STN],KENKO[//]-2)="","CTN",INDEX([2]!NOTA[STN],KENKO[//]-2)))</f>
        <v>CTN</v>
      </c>
      <c r="N126" s="5">
        <f ca="1">IF(KENKO[[#This Row],[//]]="","",IF(INDEX([2]!NOTA[HARGA/ CTN],KENKO[[#This Row],[//]]-2)="",INDEX([2]!NOTA[HARGA SATUAN],KENKO[//]-2),INDEX([2]!NOTA[HARGA/ CTN],KENKO[[#This Row],[//]]-2)))</f>
        <v>1548000</v>
      </c>
      <c r="O126" s="7" t="str">
        <f ca="1">IF(KENKO[[#This Row],[//]]="","",IF(INDEX([2]!NOTA[DISC 2],KENKO[[#This Row],[//]]-2)=0,"",INDEX([2]!NOTA[DISC 2],KENKO[[#This Row],[//]]-2)))</f>
        <v/>
      </c>
      <c r="P126" s="7"/>
      <c r="Q126" s="5">
        <f ca="1">IF(KENKO[[#This Row],[//]]="","",INDEX([2]!NOTA[JUMLAH],KENKO[[#This Row],[//]]-2)-IF(ISNUMBER(KENKO[[#This Row],[DISC 1 (%)]]),INDEX([2]!NOTA[JUMLAH],KENKO[[#This Row],[//]]-2)*KENKO[[#This Row],[DISC 1 (%)]],0))</f>
        <v>1548000</v>
      </c>
      <c r="R1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4" t="str">
        <f ca="1">IF(KENKO[[#This Row],[//]]="","",INDEX([2]!NOTA[NAMA BARANG],KENKO[[#This Row],[//]]-2))</f>
        <v>KENKO 18 COLOR OIL PASTEL - GARDEN</v>
      </c>
      <c r="V126" s="4" t="str">
        <f ca="1">LOWER(SUBSTITUTE(SUBSTITUTE(SUBSTITUTE(SUBSTITUTE(SUBSTITUTE(SUBSTITUTE(SUBSTITUTE(SUBSTITUTE(KENKO[[#This Row],[N.B.nota]]," ",""),"-",""),"(",""),")",""),".",""),",",""),"/",""),"""",""))</f>
        <v>kenko18coloroilpastelgarden</v>
      </c>
      <c r="W126" s="6">
        <f ca="1">IF(KENKO[[#This Row],[concat]]="","",MATCH(KENKO[[#This Row],[concat]],[4]!db[NB NOTA_C],0)+1)</f>
        <v>1000</v>
      </c>
      <c r="X126" s="4" t="str">
        <f ca="1">IF(KENKO[[#This Row],[N.B.nota]]="","",ADDRESS(ROW(KENKO[QB]),COLUMN(KENKO[QB]))&amp;":"&amp;ADDRESS(ROW(),COLUMN(KENKO[QB])))</f>
        <v>$D$3:$D$126</v>
      </c>
      <c r="Y126" s="13" t="str">
        <f ca="1">IF(KENKO[[#This Row],[//]]="","",HYPERLINK("[..\\DB.xlsx]DB!e"&amp;KENKO[[#This Row],[stt]],"&gt;"))</f>
        <v>&gt;</v>
      </c>
      <c r="Z126" s="4">
        <f ca="1">IF(KENKO[[#This Row],[//]]="","",IF(KENKO[[#This Row],[ID NOTA]]="",Z125,KENKO[[#This Row],[ID NOTA]]))</f>
        <v>73</v>
      </c>
    </row>
    <row r="127" spans="1:26" ht="15" customHeight="1" x14ac:dyDescent="0.25">
      <c r="A127" s="4"/>
      <c r="B127" s="6" t="str">
        <f>IF(KENKO[[#This Row],[N_ID]]="","",INDEX(Table1[ID],MATCH(KENKO[[#This Row],[N_ID]],Table1[N_ID],0)))</f>
        <v/>
      </c>
      <c r="C127" s="6" t="str">
        <f>IF(KENKO[[#This Row],[ID NOTA]]="","",HYPERLINK("[NOTA_.xlsx]NOTA!e"&amp;INDEX([2]!PAJAK[//],MATCH(KENKO[[#This Row],[ID NOTA]],[2]!PAJAK[ID],0)),"&gt;") )</f>
        <v/>
      </c>
      <c r="D127" s="6" t="str">
        <f>IF(KENKO[[#This Row],[ID NOTA]]="","",INDEX(Table1[QB],MATCH(KENKO[[#This Row],[ID NOTA]],Table1[ID],0)))</f>
        <v/>
      </c>
      <c r="E12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408</v>
      </c>
      <c r="F127" s="6"/>
      <c r="G127" s="3" t="str">
        <f>IF(KENKO[[#This Row],[ID NOTA]]="","",INDEX([2]!NOTA[TGL_H],MATCH(KENKO[[#This Row],[ID NOTA]],[2]!NOTA[ID],0)))</f>
        <v/>
      </c>
      <c r="H127" s="3" t="str">
        <f>IF(KENKO[[#This Row],[ID NOTA]]="","",INDEX([2]!NOTA[TGL.NOTA],MATCH(KENKO[[#This Row],[ID NOTA]],[2]!NOTA[ID],0)))</f>
        <v/>
      </c>
      <c r="I127" s="18" t="str">
        <f>IF(KENKO[[#This Row],[ID NOTA]]="","",INDEX([2]!NOTA[NO.NOTA],MATCH(KENKO[[#This Row],[ID NOTA]],[2]!NOTA[ID],0)))</f>
        <v/>
      </c>
      <c r="J127" s="4" t="str">
        <f ca="1">IF(KENKO[[#This Row],[//]]="","",INDEX([4]!db[NB PAJAK],KENKO[[#This Row],[stt]]-1))</f>
        <v>CRAYON / OIL PASTEL TITI TI-P-12S</v>
      </c>
      <c r="K127" s="6" t="str">
        <f>""</f>
        <v/>
      </c>
      <c r="L127" s="6">
        <f ca="1">IF(KENKO[[#This Row],[//]]="","",IF(INDEX([2]!NOTA[QTY],KENKO[//]-2)="",INDEX([2]!NOTA[C],KENKO[//]-2),INDEX([2]!NOTA[QTY],KENKO[//]-2)))</f>
        <v>3</v>
      </c>
      <c r="M127" s="6" t="str">
        <f ca="1">IF(KENKO[[#This Row],[//]]="","",IF(INDEX([2]!NOTA[STN],KENKO[//]-2)="","CTN",INDEX([2]!NOTA[STN],KENKO[//]-2)))</f>
        <v>CTN</v>
      </c>
      <c r="N127" s="5">
        <f ca="1">IF(KENKO[[#This Row],[//]]="","",IF(INDEX([2]!NOTA[HARGA/ CTN],KENKO[[#This Row],[//]]-2)="",INDEX([2]!NOTA[HARGA SATUAN],KENKO[//]-2),INDEX([2]!NOTA[HARGA/ CTN],KENKO[[#This Row],[//]]-2)))</f>
        <v>2088000</v>
      </c>
      <c r="O127" s="7">
        <f ca="1">IF(KENKO[[#This Row],[//]]="","",IF(INDEX([2]!NOTA[DISC 2],KENKO[[#This Row],[//]]-2)=0,"",INDEX([2]!NOTA[DISC 2],KENKO[[#This Row],[//]]-2)))</f>
        <v>2.5000000000000001E-2</v>
      </c>
      <c r="P127" s="7"/>
      <c r="Q127" s="5">
        <f ca="1">IF(KENKO[[#This Row],[//]]="","",INDEX([2]!NOTA[JUMLAH],KENKO[[#This Row],[//]]-2)-IF(ISNUMBER(KENKO[[#This Row],[DISC 1 (%)]]),INDEX([2]!NOTA[JUMLAH],KENKO[[#This Row],[//]]-2)*KENKO[[#This Row],[DISC 1 (%)]],0))</f>
        <v>6107400</v>
      </c>
      <c r="R1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4" t="str">
        <f ca="1">IF(KENKO[[#This Row],[//]]="","",INDEX([2]!NOTA[NAMA BARANG],KENKO[[#This Row],[//]]-2))</f>
        <v>TITI 12 COLOR OIL PASTEL TI-P-12S</v>
      </c>
      <c r="V127" s="4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27" s="6">
        <f ca="1">IF(KENKO[[#This Row],[concat]]="","",MATCH(KENKO[[#This Row],[concat]],[4]!db[NB NOTA_C],0)+1)</f>
        <v>1958</v>
      </c>
      <c r="X127" s="4" t="str">
        <f ca="1">IF(KENKO[[#This Row],[N.B.nota]]="","",ADDRESS(ROW(KENKO[QB]),COLUMN(KENKO[QB]))&amp;":"&amp;ADDRESS(ROW(),COLUMN(KENKO[QB])))</f>
        <v>$D$3:$D$127</v>
      </c>
      <c r="Y127" s="13" t="str">
        <f ca="1">IF(KENKO[[#This Row],[//]]="","",HYPERLINK("[..\\DB.xlsx]DB!e"&amp;KENKO[[#This Row],[stt]],"&gt;"))</f>
        <v>&gt;</v>
      </c>
      <c r="Z127" s="4">
        <f ca="1">IF(KENKO[[#This Row],[//]]="","",IF(KENKO[[#This Row],[ID NOTA]]="",Z126,KENKO[[#This Row],[ID NOTA]]))</f>
        <v>73</v>
      </c>
    </row>
    <row r="128" spans="1:26" ht="15" customHeight="1" x14ac:dyDescent="0.25">
      <c r="A128" s="4"/>
      <c r="B128" s="6" t="str">
        <f>IF(KENKO[[#This Row],[N_ID]]="","",INDEX(Table1[ID],MATCH(KENKO[[#This Row],[N_ID]],Table1[N_ID],0)))</f>
        <v/>
      </c>
      <c r="C128" s="6" t="str">
        <f>IF(KENKO[[#This Row],[ID NOTA]]="","",HYPERLINK("[NOTA_.xlsx]NOTA!e"&amp;INDEX([2]!PAJAK[//],MATCH(KENKO[[#This Row],[ID NOTA]],[2]!PAJAK[ID],0)),"&gt;") )</f>
        <v/>
      </c>
      <c r="D128" s="6" t="str">
        <f>IF(KENKO[[#This Row],[ID NOTA]]="","",INDEX(Table1[QB],MATCH(KENKO[[#This Row],[ID NOTA]],Table1[ID],0)))</f>
        <v/>
      </c>
      <c r="E12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409</v>
      </c>
      <c r="F128" s="6"/>
      <c r="G128" s="3" t="str">
        <f>IF(KENKO[[#This Row],[ID NOTA]]="","",INDEX([2]!NOTA[TGL_H],MATCH(KENKO[[#This Row],[ID NOTA]],[2]!NOTA[ID],0)))</f>
        <v/>
      </c>
      <c r="H128" s="3" t="str">
        <f>IF(KENKO[[#This Row],[ID NOTA]]="","",INDEX([2]!NOTA[TGL.NOTA],MATCH(KENKO[[#This Row],[ID NOTA]],[2]!NOTA[ID],0)))</f>
        <v/>
      </c>
      <c r="I128" s="18" t="str">
        <f>IF(KENKO[[#This Row],[ID NOTA]]="","",INDEX([2]!NOTA[NO.NOTA],MATCH(KENKO[[#This Row],[ID NOTA]],[2]!NOTA[ID],0)))</f>
        <v/>
      </c>
      <c r="J128" s="4" t="str">
        <f ca="1">IF(KENKO[[#This Row],[//]]="","",INDEX([4]!db[NB PAJAK],KENKO[[#This Row],[stt]]-1))</f>
        <v>CRAYON / OIL PASTEL TITI TI-P-18S</v>
      </c>
      <c r="K128" s="6" t="str">
        <f>""</f>
        <v/>
      </c>
      <c r="L128" s="6">
        <f ca="1">IF(KENKO[[#This Row],[//]]="","",IF(INDEX([2]!NOTA[QTY],KENKO[//]-2)="",INDEX([2]!NOTA[C],KENKO[//]-2),INDEX([2]!NOTA[QTY],KENKO[//]-2)))</f>
        <v>2</v>
      </c>
      <c r="M128" s="6" t="str">
        <f ca="1">IF(KENKO[[#This Row],[//]]="","",IF(INDEX([2]!NOTA[STN],KENKO[//]-2)="","CTN",INDEX([2]!NOTA[STN],KENKO[//]-2)))</f>
        <v>CTN</v>
      </c>
      <c r="N128" s="5">
        <f ca="1">IF(KENKO[[#This Row],[//]]="","",IF(INDEX([2]!NOTA[HARGA/ CTN],KENKO[[#This Row],[//]]-2)="",INDEX([2]!NOTA[HARGA SATUAN],KENKO[//]-2),INDEX([2]!NOTA[HARGA/ CTN],KENKO[[#This Row],[//]]-2)))</f>
        <v>1944000</v>
      </c>
      <c r="O128" s="7">
        <f ca="1">IF(KENKO[[#This Row],[//]]="","",IF(INDEX([2]!NOTA[DISC 2],KENKO[[#This Row],[//]]-2)=0,"",INDEX([2]!NOTA[DISC 2],KENKO[[#This Row],[//]]-2)))</f>
        <v>2.5000000000000001E-2</v>
      </c>
      <c r="P128" s="7"/>
      <c r="Q128" s="5">
        <f ca="1">IF(KENKO[[#This Row],[//]]="","",INDEX([2]!NOTA[JUMLAH],KENKO[[#This Row],[//]]-2)-IF(ISNUMBER(KENKO[[#This Row],[DISC 1 (%)]]),INDEX([2]!NOTA[JUMLAH],KENKO[[#This Row],[//]]-2)*KENKO[[#This Row],[DISC 1 (%)]],0))</f>
        <v>3790800</v>
      </c>
      <c r="R1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4" t="str">
        <f ca="1">IF(KENKO[[#This Row],[//]]="","",INDEX([2]!NOTA[NAMA BARANG],KENKO[[#This Row],[//]]-2))</f>
        <v>TITI 18 COLOR OIL PASTEL TI-P-18S</v>
      </c>
      <c r="V128" s="4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128" s="6">
        <f ca="1">IF(KENKO[[#This Row],[concat]]="","",MATCH(KENKO[[#This Row],[concat]],[4]!db[NB NOTA_C],0)+1)</f>
        <v>1960</v>
      </c>
      <c r="X128" s="4" t="str">
        <f ca="1">IF(KENKO[[#This Row],[N.B.nota]]="","",ADDRESS(ROW(KENKO[QB]),COLUMN(KENKO[QB]))&amp;":"&amp;ADDRESS(ROW(),COLUMN(KENKO[QB])))</f>
        <v>$D$3:$D$128</v>
      </c>
      <c r="Y128" s="13" t="str">
        <f ca="1">IF(KENKO[[#This Row],[//]]="","",HYPERLINK("[..\\DB.xlsx]DB!e"&amp;KENKO[[#This Row],[stt]],"&gt;"))</f>
        <v>&gt;</v>
      </c>
      <c r="Z128" s="4">
        <f ca="1">IF(KENKO[[#This Row],[//]]="","",IF(KENKO[[#This Row],[ID NOTA]]="",Z127,KENKO[[#This Row],[ID NOTA]]))</f>
        <v>73</v>
      </c>
    </row>
    <row r="129" spans="1:26" ht="15" customHeight="1" x14ac:dyDescent="0.25">
      <c r="A129" s="4"/>
      <c r="B129" s="6" t="str">
        <f>IF(KENKO[[#This Row],[N_ID]]="","",INDEX(Table1[ID],MATCH(KENKO[[#This Row],[N_ID]],Table1[N_ID],0)))</f>
        <v/>
      </c>
      <c r="C129" s="6" t="str">
        <f>IF(KENKO[[#This Row],[ID NOTA]]="","",HYPERLINK("[NOTA_.xlsx]NOTA!e"&amp;INDEX([2]!PAJAK[//],MATCH(KENKO[[#This Row],[ID NOTA]],[2]!PAJAK[ID],0)),"&gt;") )</f>
        <v/>
      </c>
      <c r="D129" s="6" t="str">
        <f>IF(KENKO[[#This Row],[ID NOTA]]="","",INDEX(Table1[QB],MATCH(KENKO[[#This Row],[ID NOTA]],Table1[ID],0)))</f>
        <v/>
      </c>
      <c r="E12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410</v>
      </c>
      <c r="F129" s="6"/>
      <c r="G129" s="3" t="str">
        <f>IF(KENKO[[#This Row],[ID NOTA]]="","",INDEX([2]!NOTA[TGL_H],MATCH(KENKO[[#This Row],[ID NOTA]],[2]!NOTA[ID],0)))</f>
        <v/>
      </c>
      <c r="H129" s="3" t="str">
        <f>IF(KENKO[[#This Row],[ID NOTA]]="","",INDEX([2]!NOTA[TGL.NOTA],MATCH(KENKO[[#This Row],[ID NOTA]],[2]!NOTA[ID],0)))</f>
        <v/>
      </c>
      <c r="I129" s="18" t="str">
        <f>IF(KENKO[[#This Row],[ID NOTA]]="","",INDEX([2]!NOTA[NO.NOTA],MATCH(KENKO[[#This Row],[ID NOTA]],[2]!NOTA[ID],0)))</f>
        <v/>
      </c>
      <c r="J129" s="4" t="str">
        <f ca="1">IF(KENKO[[#This Row],[//]]="","",INDEX([4]!db[NB PAJAK],KENKO[[#This Row],[stt]]-1))</f>
        <v>CRAYON / OIL PASTEL TITI TI-P-24S</v>
      </c>
      <c r="K129" s="6" t="str">
        <f>""</f>
        <v/>
      </c>
      <c r="L129" s="6">
        <f ca="1">IF(KENKO[[#This Row],[//]]="","",IF(INDEX([2]!NOTA[QTY],KENKO[//]-2)="",INDEX([2]!NOTA[C],KENKO[//]-2),INDEX([2]!NOTA[QTY],KENKO[//]-2)))</f>
        <v>1</v>
      </c>
      <c r="M129" s="6" t="str">
        <f ca="1">IF(KENKO[[#This Row],[//]]="","",IF(INDEX([2]!NOTA[STN],KENKO[//]-2)="","CTN",INDEX([2]!NOTA[STN],KENKO[//]-2)))</f>
        <v>CTN</v>
      </c>
      <c r="N129" s="5">
        <f ca="1">IF(KENKO[[#This Row],[//]]="","",IF(INDEX([2]!NOTA[HARGA/ CTN],KENKO[[#This Row],[//]]-2)="",INDEX([2]!NOTA[HARGA SATUAN],KENKO[//]-2),INDEX([2]!NOTA[HARGA/ CTN],KENKO[[#This Row],[//]]-2)))</f>
        <v>1632000</v>
      </c>
      <c r="O129" s="7">
        <f ca="1">IF(KENKO[[#This Row],[//]]="","",IF(INDEX([2]!NOTA[DISC 2],KENKO[[#This Row],[//]]-2)=0,"",INDEX([2]!NOTA[DISC 2],KENKO[[#This Row],[//]]-2)))</f>
        <v>2.5000000000000001E-2</v>
      </c>
      <c r="P129" s="7"/>
      <c r="Q129" s="5">
        <f ca="1">IF(KENKO[[#This Row],[//]]="","",INDEX([2]!NOTA[JUMLAH],KENKO[[#This Row],[//]]-2)-IF(ISNUMBER(KENKO[[#This Row],[DISC 1 (%)]]),INDEX([2]!NOTA[JUMLAH],KENKO[[#This Row],[//]]-2)*KENKO[[#This Row],[DISC 1 (%)]],0))</f>
        <v>1591200</v>
      </c>
      <c r="R1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4" t="str">
        <f ca="1">IF(KENKO[[#This Row],[//]]="","",INDEX([2]!NOTA[NAMA BARANG],KENKO[[#This Row],[//]]-2))</f>
        <v>TITI 24 COLOR OIL PASTEL TI-P-24S</v>
      </c>
      <c r="V129" s="4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129" s="6">
        <f ca="1">IF(KENKO[[#This Row],[concat]]="","",MATCH(KENKO[[#This Row],[concat]],[4]!db[NB NOTA_C],0)+1)</f>
        <v>1961</v>
      </c>
      <c r="X129" s="4" t="str">
        <f ca="1">IF(KENKO[[#This Row],[N.B.nota]]="","",ADDRESS(ROW(KENKO[QB]),COLUMN(KENKO[QB]))&amp;":"&amp;ADDRESS(ROW(),COLUMN(KENKO[QB])))</f>
        <v>$D$3:$D$129</v>
      </c>
      <c r="Y129" s="13" t="str">
        <f ca="1">IF(KENKO[[#This Row],[//]]="","",HYPERLINK("[..\\DB.xlsx]DB!e"&amp;KENKO[[#This Row],[stt]],"&gt;"))</f>
        <v>&gt;</v>
      </c>
      <c r="Z129" s="4">
        <f ca="1">IF(KENKO[[#This Row],[//]]="","",IF(KENKO[[#This Row],[ID NOTA]]="",Z128,KENKO[[#This Row],[ID NOTA]]))</f>
        <v>73</v>
      </c>
    </row>
    <row r="130" spans="1:26" ht="15" customHeight="1" x14ac:dyDescent="0.25">
      <c r="A130" s="4"/>
      <c r="B130" s="6" t="str">
        <f>IF(KENKO[[#This Row],[N_ID]]="","",INDEX(Table1[ID],MATCH(KENKO[[#This Row],[N_ID]],Table1[N_ID],0)))</f>
        <v/>
      </c>
      <c r="C130" s="6" t="str">
        <f>IF(KENKO[[#This Row],[ID NOTA]]="","",HYPERLINK("[NOTA_.xlsx]NOTA!e"&amp;INDEX([2]!PAJAK[//],MATCH(KENKO[[#This Row],[ID NOTA]],[2]!PAJAK[ID],0)),"&gt;") )</f>
        <v/>
      </c>
      <c r="D130" s="6" t="str">
        <f>IF(KENKO[[#This Row],[ID NOTA]]="","",INDEX(Table1[QB],MATCH(KENKO[[#This Row],[ID NOTA]],Table1[ID],0)))</f>
        <v/>
      </c>
      <c r="E13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411</v>
      </c>
      <c r="F130" s="6"/>
      <c r="G130" s="3" t="str">
        <f>IF(KENKO[[#This Row],[ID NOTA]]="","",INDEX([2]!NOTA[TGL_H],MATCH(KENKO[[#This Row],[ID NOTA]],[2]!NOTA[ID],0)))</f>
        <v/>
      </c>
      <c r="H130" s="3" t="str">
        <f>IF(KENKO[[#This Row],[ID NOTA]]="","",INDEX([2]!NOTA[TGL.NOTA],MATCH(KENKO[[#This Row],[ID NOTA]],[2]!NOTA[ID],0)))</f>
        <v/>
      </c>
      <c r="I130" s="18" t="str">
        <f>IF(KENKO[[#This Row],[ID NOTA]]="","",INDEX([2]!NOTA[NO.NOTA],MATCH(KENKO[[#This Row],[ID NOTA]],[2]!NOTA[ID],0)))</f>
        <v/>
      </c>
      <c r="J130" s="4" t="str">
        <f ca="1">IF(KENKO[[#This Row],[//]]="","",INDEX([4]!db[NB PAJAK],KENKO[[#This Row],[stt]]-1))</f>
        <v>CRAYON / OIL PASTEL TITI TI-P-36S</v>
      </c>
      <c r="K130" s="6" t="str">
        <f>""</f>
        <v/>
      </c>
      <c r="L130" s="6">
        <f ca="1">IF(KENKO[[#This Row],[//]]="","",IF(INDEX([2]!NOTA[QTY],KENKO[//]-2)="",INDEX([2]!NOTA[C],KENKO[//]-2),INDEX([2]!NOTA[QTY],KENKO[//]-2)))</f>
        <v>1</v>
      </c>
      <c r="M130" s="6" t="str">
        <f ca="1">IF(KENKO[[#This Row],[//]]="","",IF(INDEX([2]!NOTA[STN],KENKO[//]-2)="","CTN",INDEX([2]!NOTA[STN],KENKO[//]-2)))</f>
        <v>CTN</v>
      </c>
      <c r="N130" s="5">
        <f ca="1">IF(KENKO[[#This Row],[//]]="","",IF(INDEX([2]!NOTA[HARGA/ CTN],KENKO[[#This Row],[//]]-2)="",INDEX([2]!NOTA[HARGA SATUAN],KENKO[//]-2),INDEX([2]!NOTA[HARGA/ CTN],KENKO[[#This Row],[//]]-2)))</f>
        <v>1710000</v>
      </c>
      <c r="O130" s="7">
        <f ca="1">IF(KENKO[[#This Row],[//]]="","",IF(INDEX([2]!NOTA[DISC 2],KENKO[[#This Row],[//]]-2)=0,"",INDEX([2]!NOTA[DISC 2],KENKO[[#This Row],[//]]-2)))</f>
        <v>2.5000000000000001E-2</v>
      </c>
      <c r="P130" s="7"/>
      <c r="Q130" s="5">
        <f ca="1">IF(KENKO[[#This Row],[//]]="","",INDEX([2]!NOTA[JUMLAH],KENKO[[#This Row],[//]]-2)-IF(ISNUMBER(KENKO[[#This Row],[DISC 1 (%)]]),INDEX([2]!NOTA[JUMLAH],KENKO[[#This Row],[//]]-2)*KENKO[[#This Row],[DISC 1 (%)]],0))</f>
        <v>1667250</v>
      </c>
      <c r="R1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4" t="str">
        <f ca="1">IF(KENKO[[#This Row],[//]]="","",INDEX([2]!NOTA[NAMA BARANG],KENKO[[#This Row],[//]]-2))</f>
        <v>TITI 36 COLOR OIL PASTEL TI-P-36S</v>
      </c>
      <c r="V130" s="4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130" s="6">
        <f ca="1">IF(KENKO[[#This Row],[concat]]="","",MATCH(KENKO[[#This Row],[concat]],[4]!db[NB NOTA_C],0)+1)</f>
        <v>1962</v>
      </c>
      <c r="X130" s="4" t="str">
        <f ca="1">IF(KENKO[[#This Row],[N.B.nota]]="","",ADDRESS(ROW(KENKO[QB]),COLUMN(KENKO[QB]))&amp;":"&amp;ADDRESS(ROW(),COLUMN(KENKO[QB])))</f>
        <v>$D$3:$D$130</v>
      </c>
      <c r="Y130" s="13" t="str">
        <f ca="1">IF(KENKO[[#This Row],[//]]="","",HYPERLINK("[..\\DB.xlsx]DB!e"&amp;KENKO[[#This Row],[stt]],"&gt;"))</f>
        <v>&gt;</v>
      </c>
      <c r="Z130" s="4">
        <f ca="1">IF(KENKO[[#This Row],[//]]="","",IF(KENKO[[#This Row],[ID NOTA]]="",Z129,KENKO[[#This Row],[ID NOTA]]))</f>
        <v>73</v>
      </c>
    </row>
    <row r="131" spans="1:26" ht="15" customHeight="1" x14ac:dyDescent="0.25">
      <c r="A131" s="4"/>
      <c r="B131" s="6" t="str">
        <f>IF(KENKO[[#This Row],[N_ID]]="","",INDEX(Table1[ID],MATCH(KENKO[[#This Row],[N_ID]],Table1[N_ID],0)))</f>
        <v/>
      </c>
      <c r="C131" s="6" t="str">
        <f>IF(KENKO[[#This Row],[ID NOTA]]="","",HYPERLINK("[NOTA_.xlsx]NOTA!e"&amp;INDEX([2]!PAJAK[//],MATCH(KENKO[[#This Row],[ID NOTA]],[2]!PAJAK[ID],0)),"&gt;") )</f>
        <v/>
      </c>
      <c r="D131" s="6" t="str">
        <f>IF(KENKO[[#This Row],[ID NOTA]]="","",INDEX(Table1[QB],MATCH(KENKO[[#This Row],[ID NOTA]],Table1[ID],0)))</f>
        <v/>
      </c>
      <c r="E13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412</v>
      </c>
      <c r="F131" s="6"/>
      <c r="G131" s="3" t="str">
        <f>IF(KENKO[[#This Row],[ID NOTA]]="","",INDEX([2]!NOTA[TGL_H],MATCH(KENKO[[#This Row],[ID NOTA]],[2]!NOTA[ID],0)))</f>
        <v/>
      </c>
      <c r="H131" s="3" t="str">
        <f>IF(KENKO[[#This Row],[ID NOTA]]="","",INDEX([2]!NOTA[TGL.NOTA],MATCH(KENKO[[#This Row],[ID NOTA]],[2]!NOTA[ID],0)))</f>
        <v/>
      </c>
      <c r="I131" s="18" t="str">
        <f>IF(KENKO[[#This Row],[ID NOTA]]="","",INDEX([2]!NOTA[NO.NOTA],MATCH(KENKO[[#This Row],[ID NOTA]],[2]!NOTA[ID],0)))</f>
        <v/>
      </c>
      <c r="J131" s="4" t="str">
        <f ca="1">IF(KENKO[[#This Row],[//]]="","",INDEX([4]!db[NB PAJAK],KENKO[[#This Row],[stt]]-1))</f>
        <v>CRAYON / OIL PASTEL TITI TI-P-48S</v>
      </c>
      <c r="K131" s="6" t="str">
        <f>""</f>
        <v/>
      </c>
      <c r="L131" s="6">
        <f ca="1">IF(KENKO[[#This Row],[//]]="","",IF(INDEX([2]!NOTA[QTY],KENKO[//]-2)="",INDEX([2]!NOTA[C],KENKO[//]-2),INDEX([2]!NOTA[QTY],KENKO[//]-2)))</f>
        <v>12</v>
      </c>
      <c r="M131" s="6" t="str">
        <f ca="1">IF(KENKO[[#This Row],[//]]="","",IF(INDEX([2]!NOTA[STN],KENKO[//]-2)="","CTN",INDEX([2]!NOTA[STN],KENKO[//]-2)))</f>
        <v>SET</v>
      </c>
      <c r="N131" s="5">
        <f ca="1">IF(KENKO[[#This Row],[//]]="","",IF(INDEX([2]!NOTA[HARGA/ CTN],KENKO[[#This Row],[//]]-2)="",INDEX([2]!NOTA[HARGA SATUAN],KENKO[//]-2),INDEX([2]!NOTA[HARGA/ CTN],KENKO[[#This Row],[//]]-2)))</f>
        <v>69000</v>
      </c>
      <c r="O131" s="7">
        <f ca="1">IF(KENKO[[#This Row],[//]]="","",IF(INDEX([2]!NOTA[DISC 2],KENKO[[#This Row],[//]]-2)=0,"",INDEX([2]!NOTA[DISC 2],KENKO[[#This Row],[//]]-2)))</f>
        <v>2.5000000000000001E-2</v>
      </c>
      <c r="P131" s="7"/>
      <c r="Q131" s="5">
        <f ca="1">IF(KENKO[[#This Row],[//]]="","",INDEX([2]!NOTA[JUMLAH],KENKO[[#This Row],[//]]-2)-IF(ISNUMBER(KENKO[[#This Row],[DISC 1 (%)]]),INDEX([2]!NOTA[JUMLAH],KENKO[[#This Row],[//]]-2)*KENKO[[#This Row],[DISC 1 (%)]],0))</f>
        <v>807300</v>
      </c>
      <c r="R1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4" t="str">
        <f ca="1">IF(KENKO[[#This Row],[//]]="","",INDEX([2]!NOTA[NAMA BARANG],KENKO[[#This Row],[//]]-2))</f>
        <v>TITI 48 COLOR OIL PASTEL TI-P-48S</v>
      </c>
      <c r="V131" s="4" t="str">
        <f ca="1">LOWER(SUBSTITUTE(SUBSTITUTE(SUBSTITUTE(SUBSTITUTE(SUBSTITUTE(SUBSTITUTE(SUBSTITUTE(SUBSTITUTE(KENKO[[#This Row],[N.B.nota]]," ",""),"-",""),"(",""),")",""),".",""),",",""),"/",""),"""",""))</f>
        <v>titi48coloroilpasteltip48s</v>
      </c>
      <c r="W131" s="6">
        <f ca="1">IF(KENKO[[#This Row],[concat]]="","",MATCH(KENKO[[#This Row],[concat]],[4]!db[NB NOTA_C],0)+1)</f>
        <v>1963</v>
      </c>
      <c r="X131" s="4" t="str">
        <f ca="1">IF(KENKO[[#This Row],[N.B.nota]]="","",ADDRESS(ROW(KENKO[QB]),COLUMN(KENKO[QB]))&amp;":"&amp;ADDRESS(ROW(),COLUMN(KENKO[QB])))</f>
        <v>$D$3:$D$131</v>
      </c>
      <c r="Y131" s="13" t="str">
        <f ca="1">IF(KENKO[[#This Row],[//]]="","",HYPERLINK("[..\\DB.xlsx]DB!e"&amp;KENKO[[#This Row],[stt]],"&gt;"))</f>
        <v>&gt;</v>
      </c>
      <c r="Z131" s="4">
        <f ca="1">IF(KENKO[[#This Row],[//]]="","",IF(KENKO[[#This Row],[ID NOTA]]="",Z130,KENKO[[#This Row],[ID NOTA]]))</f>
        <v>73</v>
      </c>
    </row>
    <row r="132" spans="1:26" ht="15" customHeight="1" x14ac:dyDescent="0.25">
      <c r="A132" s="4"/>
      <c r="B132" s="6" t="str">
        <f>IF(KENKO[[#This Row],[N_ID]]="","",INDEX(Table1[ID],MATCH(KENKO[[#This Row],[N_ID]],Table1[N_ID],0)))</f>
        <v/>
      </c>
      <c r="C132" s="6" t="str">
        <f>IF(KENKO[[#This Row],[ID NOTA]]="","",HYPERLINK("[NOTA_.xlsx]NOTA!e"&amp;INDEX([2]!PAJAK[//],MATCH(KENKO[[#This Row],[ID NOTA]],[2]!PAJAK[ID],0)),"&gt;") )</f>
        <v/>
      </c>
      <c r="D132" s="6" t="str">
        <f>IF(KENKO[[#This Row],[ID NOTA]]="","",INDEX(Table1[QB],MATCH(KENKO[[#This Row],[ID NOTA]],Table1[ID],0)))</f>
        <v/>
      </c>
      <c r="E13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413</v>
      </c>
      <c r="F132" s="6"/>
      <c r="G132" s="3" t="str">
        <f>IF(KENKO[[#This Row],[ID NOTA]]="","",INDEX([2]!NOTA[TGL_H],MATCH(KENKO[[#This Row],[ID NOTA]],[2]!NOTA[ID],0)))</f>
        <v/>
      </c>
      <c r="H132" s="3" t="str">
        <f>IF(KENKO[[#This Row],[ID NOTA]]="","",INDEX([2]!NOTA[TGL.NOTA],MATCH(KENKO[[#This Row],[ID NOTA]],[2]!NOTA[ID],0)))</f>
        <v/>
      </c>
      <c r="I132" s="18" t="str">
        <f>IF(KENKO[[#This Row],[ID NOTA]]="","",INDEX([2]!NOTA[NO.NOTA],MATCH(KENKO[[#This Row],[ID NOTA]],[2]!NOTA[ID],0)))</f>
        <v/>
      </c>
      <c r="J132" s="4" t="str">
        <f ca="1">IF(KENKO[[#This Row],[//]]="","",INDEX([4]!db[NB PAJAK],KENKO[[#This Row],[stt]]-1))</f>
        <v>CRAYON / OIL PASTEL TITI TI-P-55S</v>
      </c>
      <c r="K132" s="6" t="str">
        <f>""</f>
        <v/>
      </c>
      <c r="L132" s="6">
        <f ca="1">IF(KENKO[[#This Row],[//]]="","",IF(INDEX([2]!NOTA[QTY],KENKO[//]-2)="",INDEX([2]!NOTA[C],KENKO[//]-2),INDEX([2]!NOTA[QTY],KENKO[//]-2)))</f>
        <v>12</v>
      </c>
      <c r="M132" s="6" t="str">
        <f ca="1">IF(KENKO[[#This Row],[//]]="","",IF(INDEX([2]!NOTA[STN],KENKO[//]-2)="","CTN",INDEX([2]!NOTA[STN],KENKO[//]-2)))</f>
        <v>SET</v>
      </c>
      <c r="N132" s="5">
        <f ca="1">IF(KENKO[[#This Row],[//]]="","",IF(INDEX([2]!NOTA[HARGA/ CTN],KENKO[[#This Row],[//]]-2)="",INDEX([2]!NOTA[HARGA SATUAN],KENKO[//]-2),INDEX([2]!NOTA[HARGA/ CTN],KENKO[[#This Row],[//]]-2)))</f>
        <v>76000</v>
      </c>
      <c r="O132" s="7">
        <f ca="1">IF(KENKO[[#This Row],[//]]="","",IF(INDEX([2]!NOTA[DISC 2],KENKO[[#This Row],[//]]-2)=0,"",INDEX([2]!NOTA[DISC 2],KENKO[[#This Row],[//]]-2)))</f>
        <v>2.5000000000000001E-2</v>
      </c>
      <c r="P132" s="7"/>
      <c r="Q132" s="5">
        <f ca="1">IF(KENKO[[#This Row],[//]]="","",INDEX([2]!NOTA[JUMLAH],KENKO[[#This Row],[//]]-2)-IF(ISNUMBER(KENKO[[#This Row],[DISC 1 (%)]]),INDEX([2]!NOTA[JUMLAH],KENKO[[#This Row],[//]]-2)*KENKO[[#This Row],[DISC 1 (%)]],0))</f>
        <v>889200</v>
      </c>
      <c r="R132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4560955.5</v>
      </c>
      <c r="S132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22268194.5</v>
      </c>
      <c r="T13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4" t="str">
        <f ca="1">IF(KENKO[[#This Row],[//]]="","",INDEX([2]!NOTA[NAMA BARANG],KENKO[[#This Row],[//]]-2))</f>
        <v>TITI 55 COLOR OIL PASTEL TI-P-55S</v>
      </c>
      <c r="V132" s="4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132" s="6">
        <f ca="1">IF(KENKO[[#This Row],[concat]]="","",MATCH(KENKO[[#This Row],[concat]],[4]!db[NB NOTA_C],0)+1)</f>
        <v>1964</v>
      </c>
      <c r="X132" s="4" t="str">
        <f ca="1">IF(KENKO[[#This Row],[N.B.nota]]="","",ADDRESS(ROW(KENKO[QB]),COLUMN(KENKO[QB]))&amp;":"&amp;ADDRESS(ROW(),COLUMN(KENKO[QB])))</f>
        <v>$D$3:$D$132</v>
      </c>
      <c r="Y132" s="13" t="str">
        <f ca="1">IF(KENKO[[#This Row],[//]]="","",HYPERLINK("[..\\DB.xlsx]DB!e"&amp;KENKO[[#This Row],[stt]],"&gt;"))</f>
        <v>&gt;</v>
      </c>
      <c r="Z132" s="4">
        <f ca="1">IF(KENKO[[#This Row],[//]]="","",IF(KENKO[[#This Row],[ID NOTA]]="",Z131,KENKO[[#This Row],[ID NOTA]]))</f>
        <v>73</v>
      </c>
    </row>
    <row r="133" spans="1:26" ht="15" customHeight="1" x14ac:dyDescent="0.25">
      <c r="A133" s="4"/>
      <c r="B133" s="6" t="str">
        <f>IF(KENKO[[#This Row],[N_ID]]="","",INDEX(Table1[ID],MATCH(KENKO[[#This Row],[N_ID]],Table1[N_ID],0)))</f>
        <v/>
      </c>
      <c r="C133" s="6" t="str">
        <f>IF(KENKO[[#This Row],[ID NOTA]]="","",HYPERLINK("[NOTA_.xlsx]NOTA!e"&amp;INDEX([2]!PAJAK[//],MATCH(KENKO[[#This Row],[ID NOTA]],[2]!PAJAK[ID],0)),"&gt;") )</f>
        <v/>
      </c>
      <c r="D133" s="6" t="str">
        <f>IF(KENKO[[#This Row],[ID NOTA]]="","",INDEX(Table1[QB],MATCH(KENKO[[#This Row],[ID NOTA]],Table1[ID],0)))</f>
        <v/>
      </c>
      <c r="E13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33" s="6"/>
      <c r="G133" s="3" t="str">
        <f>IF(KENKO[[#This Row],[ID NOTA]]="","",INDEX([2]!NOTA[TGL_H],MATCH(KENKO[[#This Row],[ID NOTA]],[2]!NOTA[ID],0)))</f>
        <v/>
      </c>
      <c r="H133" s="3" t="str">
        <f>IF(KENKO[[#This Row],[ID NOTA]]="","",INDEX([2]!NOTA[TGL.NOTA],MATCH(KENKO[[#This Row],[ID NOTA]],[2]!NOTA[ID],0)))</f>
        <v/>
      </c>
      <c r="I133" s="18" t="str">
        <f>IF(KENKO[[#This Row],[ID NOTA]]="","",INDEX([2]!NOTA[NO.NOTA],MATCH(KENKO[[#This Row],[ID NOTA]],[2]!NOTA[ID],0)))</f>
        <v/>
      </c>
      <c r="J133" s="4" t="str">
        <f ca="1">IF(KENKO[[#This Row],[//]]="","",INDEX([4]!db[NB PAJAK],KENKO[[#This Row],[stt]]-1))</f>
        <v/>
      </c>
      <c r="K133" s="6" t="str">
        <f>""</f>
        <v/>
      </c>
      <c r="L133" s="6" t="str">
        <f ca="1">IF(KENKO[[#This Row],[//]]="","",IF(INDEX([2]!NOTA[QTY],KENKO[//]-2)="",INDEX([2]!NOTA[C],KENKO[//]-2),INDEX([2]!NOTA[QTY],KENKO[//]-2)))</f>
        <v/>
      </c>
      <c r="M133" s="6" t="str">
        <f ca="1">IF(KENKO[[#This Row],[//]]="","",IF(INDEX([2]!NOTA[STN],KENKO[//]-2)="","CTN",INDEX([2]!NOTA[STN],KENKO[//]-2)))</f>
        <v/>
      </c>
      <c r="N133" s="5" t="str">
        <f ca="1">IF(KENKO[[#This Row],[//]]="","",IF(INDEX([2]!NOTA[HARGA/ CTN],KENKO[[#This Row],[//]]-2)="",INDEX([2]!NOTA[HARGA SATUAN],KENKO[//]-2),INDEX([2]!NOTA[HARGA/ CTN],KENKO[[#This Row],[//]]-2)))</f>
        <v/>
      </c>
      <c r="O133" s="7" t="str">
        <f ca="1">IF(KENKO[[#This Row],[//]]="","",IF(INDEX([2]!NOTA[DISC 2],KENKO[[#This Row],[//]]-2)=0,"",INDEX([2]!NOTA[DISC 2],KENKO[[#This Row],[//]]-2)))</f>
        <v/>
      </c>
      <c r="P133" s="7"/>
      <c r="Q13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4" t="str">
        <f ca="1">IF(KENKO[[#This Row],[//]]="","",INDEX([2]!NOTA[NAMA BARANG],KENKO[[#This Row],[//]]-2))</f>
        <v/>
      </c>
      <c r="V133" s="4" t="str">
        <f ca="1">LOWER(SUBSTITUTE(SUBSTITUTE(SUBSTITUTE(SUBSTITUTE(SUBSTITUTE(SUBSTITUTE(SUBSTITUTE(SUBSTITUTE(KENKO[[#This Row],[N.B.nota]]," ",""),"-",""),"(",""),")",""),".",""),",",""),"/",""),"""",""))</f>
        <v/>
      </c>
      <c r="W133" s="6" t="str">
        <f ca="1">IF(KENKO[[#This Row],[concat]]="","",MATCH(KENKO[[#This Row],[concat]],[4]!db[NB NOTA_C],0)+1)</f>
        <v/>
      </c>
      <c r="X133" s="4" t="str">
        <f ca="1">IF(KENKO[[#This Row],[N.B.nota]]="","",ADDRESS(ROW(KENKO[QB]),COLUMN(KENKO[QB]))&amp;":"&amp;ADDRESS(ROW(),COLUMN(KENKO[QB])))</f>
        <v/>
      </c>
      <c r="Y133" s="13" t="str">
        <f ca="1">IF(KENKO[[#This Row],[//]]="","",HYPERLINK("[..\\DB.xlsx]DB!e"&amp;KENKO[[#This Row],[stt]],"&gt;"))</f>
        <v/>
      </c>
      <c r="Z133" s="4" t="str">
        <f ca="1">IF(KENKO[[#This Row],[//]]="","",IF(KENKO[[#This Row],[ID NOTA]]="",Z132,KENKO[[#This Row],[ID NOTA]]))</f>
        <v/>
      </c>
    </row>
    <row r="134" spans="1:26" ht="15" customHeight="1" x14ac:dyDescent="0.25">
      <c r="A134" s="4" t="s">
        <v>93</v>
      </c>
      <c r="B134" s="6">
        <f ca="1">IF(KENKO[[#This Row],[N_ID]]="","",INDEX(Table1[ID],MATCH(KENKO[[#This Row],[N_ID]],Table1[N_ID],0)))</f>
        <v>84</v>
      </c>
      <c r="C134" s="6" t="str">
        <f ca="1">IF(KENKO[[#This Row],[ID NOTA]]="","",HYPERLINK("[NOTA_.xlsx]NOTA!e"&amp;INDEX([2]!PAJAK[//],MATCH(KENKO[[#This Row],[ID NOTA]],[2]!PAJAK[ID],0)),"&gt;") )</f>
        <v>&gt;</v>
      </c>
      <c r="D134" s="6">
        <f ca="1">IF(KENKO[[#This Row],[ID NOTA]]="","",INDEX(Table1[QB],MATCH(KENKO[[#This Row],[ID NOTA]],Table1[ID],0)))</f>
        <v>9</v>
      </c>
      <c r="E13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461</v>
      </c>
      <c r="F134" s="6">
        <v>19</v>
      </c>
      <c r="G134" s="3">
        <f ca="1">IF(KENKO[[#This Row],[ID NOTA]]="","",INDEX([2]!NOTA[TGL_H],MATCH(KENKO[[#This Row],[ID NOTA]],[2]!NOTA[ID],0)))</f>
        <v>44825</v>
      </c>
      <c r="H134" s="3">
        <f ca="1">IF(KENKO[[#This Row],[ID NOTA]]="","",INDEX([2]!NOTA[TGL.NOTA],MATCH(KENKO[[#This Row],[ID NOTA]],[2]!NOTA[ID],0)))</f>
        <v>44821</v>
      </c>
      <c r="I134" s="18" t="str">
        <f ca="1">IF(KENKO[[#This Row],[ID NOTA]]="","",INDEX([2]!NOTA[NO.NOTA],MATCH(KENKO[[#This Row],[ID NOTA]],[2]!NOTA[ID],0)))</f>
        <v>22091429</v>
      </c>
      <c r="J134" s="4" t="str">
        <f ca="1">IF(KENKO[[#This Row],[//]]="","",INDEX([4]!db[NB PAJAK],KENKO[[#This Row],[stt]]-1))</f>
        <v>GARISAN BESI (STAINLESS STEEL) KENKO 50 CM</v>
      </c>
      <c r="K134" s="6" t="str">
        <f>""</f>
        <v/>
      </c>
      <c r="L134" s="6">
        <f ca="1">IF(KENKO[[#This Row],[//]]="","",IF(INDEX([2]!NOTA[QTY],KENKO[//]-2)="",INDEX([2]!NOTA[C],KENKO[//]-2),INDEX([2]!NOTA[QTY],KENKO[//]-2)))</f>
        <v>1</v>
      </c>
      <c r="M134" s="6" t="str">
        <f ca="1">IF(KENKO[[#This Row],[//]]="","",IF(INDEX([2]!NOTA[STN],KENKO[//]-2)="","CTN",INDEX([2]!NOTA[STN],KENKO[//]-2)))</f>
        <v>CTN</v>
      </c>
      <c r="N134" s="5">
        <f ca="1">IF(KENKO[[#This Row],[//]]="","",IF(INDEX([2]!NOTA[HARGA/ CTN],KENKO[[#This Row],[//]]-2)="",INDEX([2]!NOTA[HARGA SATUAN],KENKO[//]-2),INDEX([2]!NOTA[HARGA/ CTN],KENKO[[#This Row],[//]]-2)))</f>
        <v>2028000</v>
      </c>
      <c r="O134" s="7" t="str">
        <f ca="1">IF(KENKO[[#This Row],[//]]="","",IF(INDEX([2]!NOTA[DISC 2],KENKO[[#This Row],[//]]-2)=0,"",INDEX([2]!NOTA[DISC 2],KENKO[[#This Row],[//]]-2)))</f>
        <v/>
      </c>
      <c r="P134" s="7"/>
      <c r="Q134" s="5">
        <f ca="1">IF(KENKO[[#This Row],[//]]="","",INDEX([2]!NOTA[JUMLAH],KENKO[[#This Row],[//]]-2)-IF(ISNUMBER(KENKO[[#This Row],[DISC 1 (%)]]),INDEX([2]!NOTA[JUMLAH],KENKO[[#This Row],[//]]-2)*KENKO[[#This Row],[DISC 1 (%)]],0))</f>
        <v>2028000</v>
      </c>
      <c r="R1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4" t="str">
        <f ca="1">IF(KENKO[[#This Row],[//]]="","",INDEX([2]!NOTA[NAMA BARANG],KENKO[[#This Row],[//]]-2))</f>
        <v>KENKO STAINLESS STEEL RULER 50 CM</v>
      </c>
      <c r="V134" s="4" t="str">
        <f ca="1">LOWER(SUBSTITUTE(SUBSTITUTE(SUBSTITUTE(SUBSTITUTE(SUBSTITUTE(SUBSTITUTE(SUBSTITUTE(SUBSTITUTE(KENKO[[#This Row],[N.B.nota]]," ",""),"-",""),"(",""),")",""),".",""),",",""),"/",""),"""",""))</f>
        <v>kenkostainlesssteelruler50cm</v>
      </c>
      <c r="W134" s="6">
        <f ca="1">IF(KENKO[[#This Row],[concat]]="","",MATCH(KENKO[[#This Row],[concat]],[4]!db[NB NOTA_C],0)+1)</f>
        <v>1231</v>
      </c>
      <c r="X134" s="4" t="str">
        <f ca="1">IF(KENKO[[#This Row],[N.B.nota]]="","",ADDRESS(ROW(KENKO[QB]),COLUMN(KENKO[QB]))&amp;":"&amp;ADDRESS(ROW(),COLUMN(KENKO[QB])))</f>
        <v>$D$3:$D$134</v>
      </c>
      <c r="Y134" s="13" t="str">
        <f ca="1">IF(KENKO[[#This Row],[//]]="","",HYPERLINK("[..\\DB.xlsx]DB!e"&amp;KENKO[[#This Row],[stt]],"&gt;"))</f>
        <v>&gt;</v>
      </c>
      <c r="Z134" s="4">
        <f ca="1">IF(KENKO[[#This Row],[//]]="","",IF(KENKO[[#This Row],[ID NOTA]]="",Z133,KENKO[[#This Row],[ID NOTA]]))</f>
        <v>84</v>
      </c>
    </row>
    <row r="135" spans="1:26" ht="15" customHeight="1" x14ac:dyDescent="0.25">
      <c r="A135" s="4"/>
      <c r="B135" s="6" t="str">
        <f>IF(KENKO[[#This Row],[N_ID]]="","",INDEX(Table1[ID],MATCH(KENKO[[#This Row],[N_ID]],Table1[N_ID],0)))</f>
        <v/>
      </c>
      <c r="C135" s="6" t="str">
        <f>IF(KENKO[[#This Row],[ID NOTA]]="","",HYPERLINK("[NOTA_.xlsx]NOTA!e"&amp;INDEX([2]!PAJAK[//],MATCH(KENKO[[#This Row],[ID NOTA]],[2]!PAJAK[ID],0)),"&gt;") )</f>
        <v/>
      </c>
      <c r="D135" s="6" t="str">
        <f>IF(KENKO[[#This Row],[ID NOTA]]="","",INDEX(Table1[QB],MATCH(KENKO[[#This Row],[ID NOTA]],Table1[ID],0)))</f>
        <v/>
      </c>
      <c r="E13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462</v>
      </c>
      <c r="F135" s="6"/>
      <c r="G135" s="3" t="str">
        <f>IF(KENKO[[#This Row],[ID NOTA]]="","",INDEX([2]!NOTA[TGL_H],MATCH(KENKO[[#This Row],[ID NOTA]],[2]!NOTA[ID],0)))</f>
        <v/>
      </c>
      <c r="H135" s="3" t="str">
        <f>IF(KENKO[[#This Row],[ID NOTA]]="","",INDEX([2]!NOTA[TGL.NOTA],MATCH(KENKO[[#This Row],[ID NOTA]],[2]!NOTA[ID],0)))</f>
        <v/>
      </c>
      <c r="I135" s="18" t="str">
        <f>IF(KENKO[[#This Row],[ID NOTA]]="","",INDEX([2]!NOTA[NO.NOTA],MATCH(KENKO[[#This Row],[ID NOTA]],[2]!NOTA[ID],0)))</f>
        <v/>
      </c>
      <c r="J135" s="4" t="str">
        <f ca="1">IF(KENKO[[#This Row],[//]]="","",INDEX([4]!db[NB PAJAK],KENKO[[#This Row],[stt]]-1))</f>
        <v>GARISAN BESI (STAINLESS STEEL) KENKO 60 CM</v>
      </c>
      <c r="K135" s="6" t="str">
        <f>""</f>
        <v/>
      </c>
      <c r="L135" s="6">
        <f ca="1">IF(KENKO[[#This Row],[//]]="","",IF(INDEX([2]!NOTA[QTY],KENKO[//]-2)="",INDEX([2]!NOTA[C],KENKO[//]-2),INDEX([2]!NOTA[QTY],KENKO[//]-2)))</f>
        <v>1</v>
      </c>
      <c r="M135" s="6" t="str">
        <f ca="1">IF(KENKO[[#This Row],[//]]="","",IF(INDEX([2]!NOTA[STN],KENKO[//]-2)="","CTN",INDEX([2]!NOTA[STN],KENKO[//]-2)))</f>
        <v>CTN</v>
      </c>
      <c r="N135" s="5">
        <f ca="1">IF(KENKO[[#This Row],[//]]="","",IF(INDEX([2]!NOTA[HARGA/ CTN],KENKO[[#This Row],[//]]-2)="",INDEX([2]!NOTA[HARGA SATUAN],KENKO[//]-2),INDEX([2]!NOTA[HARGA/ CTN],KENKO[[#This Row],[//]]-2)))</f>
        <v>2340000</v>
      </c>
      <c r="O135" s="7" t="str">
        <f ca="1">IF(KENKO[[#This Row],[//]]="","",IF(INDEX([2]!NOTA[DISC 2],KENKO[[#This Row],[//]]-2)=0,"",INDEX([2]!NOTA[DISC 2],KENKO[[#This Row],[//]]-2)))</f>
        <v/>
      </c>
      <c r="P135" s="7"/>
      <c r="Q135" s="5">
        <f ca="1">IF(KENKO[[#This Row],[//]]="","",INDEX([2]!NOTA[JUMLAH],KENKO[[#This Row],[//]]-2)-IF(ISNUMBER(KENKO[[#This Row],[DISC 1 (%)]]),INDEX([2]!NOTA[JUMLAH],KENKO[[#This Row],[//]]-2)*KENKO[[#This Row],[DISC 1 (%)]],0))</f>
        <v>2340000</v>
      </c>
      <c r="R1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4" t="str">
        <f ca="1">IF(KENKO[[#This Row],[//]]="","",INDEX([2]!NOTA[NAMA BARANG],KENKO[[#This Row],[//]]-2))</f>
        <v>KENKO STAINLESS STEEL RULER 60 CM</v>
      </c>
      <c r="V135" s="4" t="str">
        <f ca="1">LOWER(SUBSTITUTE(SUBSTITUTE(SUBSTITUTE(SUBSTITUTE(SUBSTITUTE(SUBSTITUTE(SUBSTITUTE(SUBSTITUTE(KENKO[[#This Row],[N.B.nota]]," ",""),"-",""),"(",""),")",""),".",""),",",""),"/",""),"""",""))</f>
        <v>kenkostainlesssteelruler60cm</v>
      </c>
      <c r="W135" s="6">
        <f ca="1">IF(KENKO[[#This Row],[concat]]="","",MATCH(KENKO[[#This Row],[concat]],[4]!db[NB NOTA_C],0)+1)</f>
        <v>1232</v>
      </c>
      <c r="X135" s="4" t="str">
        <f ca="1">IF(KENKO[[#This Row],[N.B.nota]]="","",ADDRESS(ROW(KENKO[QB]),COLUMN(KENKO[QB]))&amp;":"&amp;ADDRESS(ROW(),COLUMN(KENKO[QB])))</f>
        <v>$D$3:$D$135</v>
      </c>
      <c r="Y135" s="13" t="str">
        <f ca="1">IF(KENKO[[#This Row],[//]]="","",HYPERLINK("[..\\DB.xlsx]DB!e"&amp;KENKO[[#This Row],[stt]],"&gt;"))</f>
        <v>&gt;</v>
      </c>
      <c r="Z135" s="4">
        <f ca="1">IF(KENKO[[#This Row],[//]]="","",IF(KENKO[[#This Row],[ID NOTA]]="",Z134,KENKO[[#This Row],[ID NOTA]]))</f>
        <v>84</v>
      </c>
    </row>
    <row r="136" spans="1:26" ht="15" customHeight="1" x14ac:dyDescent="0.25">
      <c r="A136" s="4"/>
      <c r="B136" s="6" t="str">
        <f>IF(KENKO[[#This Row],[N_ID]]="","",INDEX(Table1[ID],MATCH(KENKO[[#This Row],[N_ID]],Table1[N_ID],0)))</f>
        <v/>
      </c>
      <c r="C136" s="6" t="str">
        <f>IF(KENKO[[#This Row],[ID NOTA]]="","",HYPERLINK("[NOTA_.xlsx]NOTA!e"&amp;INDEX([2]!PAJAK[//],MATCH(KENKO[[#This Row],[ID NOTA]],[2]!PAJAK[ID],0)),"&gt;") )</f>
        <v/>
      </c>
      <c r="D136" s="6" t="str">
        <f>IF(KENKO[[#This Row],[ID NOTA]]="","",INDEX(Table1[QB],MATCH(KENKO[[#This Row],[ID NOTA]],Table1[ID],0)))</f>
        <v/>
      </c>
      <c r="E13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463</v>
      </c>
      <c r="F136" s="6"/>
      <c r="G136" s="3" t="str">
        <f>IF(KENKO[[#This Row],[ID NOTA]]="","",INDEX([2]!NOTA[TGL_H],MATCH(KENKO[[#This Row],[ID NOTA]],[2]!NOTA[ID],0)))</f>
        <v/>
      </c>
      <c r="H136" s="3" t="str">
        <f>IF(KENKO[[#This Row],[ID NOTA]]="","",INDEX([2]!NOTA[TGL.NOTA],MATCH(KENKO[[#This Row],[ID NOTA]],[2]!NOTA[ID],0)))</f>
        <v/>
      </c>
      <c r="I136" s="18" t="str">
        <f>IF(KENKO[[#This Row],[ID NOTA]]="","",INDEX([2]!NOTA[NO.NOTA],MATCH(KENKO[[#This Row],[ID NOTA]],[2]!NOTA[ID],0)))</f>
        <v/>
      </c>
      <c r="J136" s="4" t="str">
        <f ca="1">IF(KENKO[[#This Row],[//]]="","",INDEX([4]!db[NB PAJAK],KENKO[[#This Row],[stt]]-1))</f>
        <v>STAMP PLATE DATER KENKO S-68 (Cap Lunas)</v>
      </c>
      <c r="K136" s="6" t="str">
        <f>""</f>
        <v/>
      </c>
      <c r="L136" s="6">
        <f ca="1">IF(KENKO[[#This Row],[//]]="","",IF(INDEX([2]!NOTA[QTY],KENKO[//]-2)="",INDEX([2]!NOTA[C],KENKO[//]-2),INDEX([2]!NOTA[QTY],KENKO[//]-2)))</f>
        <v>1</v>
      </c>
      <c r="M136" s="6" t="str">
        <f ca="1">IF(KENKO[[#This Row],[//]]="","",IF(INDEX([2]!NOTA[STN],KENKO[//]-2)="","CTN",INDEX([2]!NOTA[STN],KENKO[//]-2)))</f>
        <v>CTN</v>
      </c>
      <c r="N136" s="5">
        <f ca="1">IF(KENKO[[#This Row],[//]]="","",IF(INDEX([2]!NOTA[HARGA/ CTN],KENKO[[#This Row],[//]]-2)="",INDEX([2]!NOTA[HARGA SATUAN],KENKO[//]-2),INDEX([2]!NOTA[HARGA/ CTN],KENKO[[#This Row],[//]]-2)))</f>
        <v>1992000</v>
      </c>
      <c r="O136" s="7" t="str">
        <f ca="1">IF(KENKO[[#This Row],[//]]="","",IF(INDEX([2]!NOTA[DISC 2],KENKO[[#This Row],[//]]-2)=0,"",INDEX([2]!NOTA[DISC 2],KENKO[[#This Row],[//]]-2)))</f>
        <v/>
      </c>
      <c r="P136" s="7"/>
      <c r="Q136" s="5">
        <f ca="1">IF(KENKO[[#This Row],[//]]="","",INDEX([2]!NOTA[JUMLAH],KENKO[[#This Row],[//]]-2)-IF(ISNUMBER(KENKO[[#This Row],[DISC 1 (%)]]),INDEX([2]!NOTA[JUMLAH],KENKO[[#This Row],[//]]-2)*KENKO[[#This Row],[DISC 1 (%)]],0))</f>
        <v>1992000</v>
      </c>
      <c r="R1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4" t="str">
        <f ca="1">IF(KENKO[[#This Row],[//]]="","",INDEX([2]!NOTA[NAMA BARANG],KENKO[[#This Row],[//]]-2))</f>
        <v>KENKO STAMP PLATE DATER S-68 LUNAS</v>
      </c>
      <c r="V136" s="4" t="str">
        <f ca="1">LOWER(SUBSTITUTE(SUBSTITUTE(SUBSTITUTE(SUBSTITUTE(SUBSTITUTE(SUBSTITUTE(SUBSTITUTE(SUBSTITUTE(KENKO[[#This Row],[N.B.nota]]," ",""),"-",""),"(",""),")",""),".",""),",",""),"/",""),"""",""))</f>
        <v>kenkostampplatedaters68lunas</v>
      </c>
      <c r="W136" s="6">
        <f ca="1">IF(KENKO[[#This Row],[concat]]="","",MATCH(KENKO[[#This Row],[concat]],[4]!db[NB NOTA_C],0)+1)</f>
        <v>1236</v>
      </c>
      <c r="X136" s="4" t="str">
        <f ca="1">IF(KENKO[[#This Row],[N.B.nota]]="","",ADDRESS(ROW(KENKO[QB]),COLUMN(KENKO[QB]))&amp;":"&amp;ADDRESS(ROW(),COLUMN(KENKO[QB])))</f>
        <v>$D$3:$D$136</v>
      </c>
      <c r="Y136" s="13" t="str">
        <f ca="1">IF(KENKO[[#This Row],[//]]="","",HYPERLINK("[..\\DB.xlsx]DB!e"&amp;KENKO[[#This Row],[stt]],"&gt;"))</f>
        <v>&gt;</v>
      </c>
      <c r="Z136" s="4">
        <f ca="1">IF(KENKO[[#This Row],[//]]="","",IF(KENKO[[#This Row],[ID NOTA]]="",Z134,KENKO[[#This Row],[ID NOTA]]))</f>
        <v>84</v>
      </c>
    </row>
    <row r="137" spans="1:26" ht="15" customHeight="1" x14ac:dyDescent="0.25">
      <c r="A137" s="4"/>
      <c r="B137" s="6" t="str">
        <f>IF(KENKO[[#This Row],[N_ID]]="","",INDEX(Table1[ID],MATCH(KENKO[[#This Row],[N_ID]],Table1[N_ID],0)))</f>
        <v/>
      </c>
      <c r="C137" s="6" t="str">
        <f>IF(KENKO[[#This Row],[ID NOTA]]="","",HYPERLINK("[NOTA_.xlsx]NOTA!e"&amp;INDEX([2]!PAJAK[//],MATCH(KENKO[[#This Row],[ID NOTA]],[2]!PAJAK[ID],0)),"&gt;") )</f>
        <v/>
      </c>
      <c r="D137" s="6" t="str">
        <f>IF(KENKO[[#This Row],[ID NOTA]]="","",INDEX(Table1[QB],MATCH(KENKO[[#This Row],[ID NOTA]],Table1[ID],0)))</f>
        <v/>
      </c>
      <c r="E13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464</v>
      </c>
      <c r="F137" s="6"/>
      <c r="G137" s="3" t="str">
        <f>IF(KENKO[[#This Row],[ID NOTA]]="","",INDEX([2]!NOTA[TGL_H],MATCH(KENKO[[#This Row],[ID NOTA]],[2]!NOTA[ID],0)))</f>
        <v/>
      </c>
      <c r="H137" s="3" t="str">
        <f>IF(KENKO[[#This Row],[ID NOTA]]="","",INDEX([2]!NOTA[TGL.NOTA],MATCH(KENKO[[#This Row],[ID NOTA]],[2]!NOTA[ID],0)))</f>
        <v/>
      </c>
      <c r="I137" s="18" t="str">
        <f>IF(KENKO[[#This Row],[ID NOTA]]="","",INDEX([2]!NOTA[NO.NOTA],MATCH(KENKO[[#This Row],[ID NOTA]],[2]!NOTA[ID],0)))</f>
        <v/>
      </c>
      <c r="J137" s="4" t="str">
        <f ca="1">IF(KENKO[[#This Row],[//]]="","",INDEX([4]!db[NB PAJAK],KENKO[[#This Row],[stt]]-1))</f>
        <v>PUNCH KENKO NO. 30</v>
      </c>
      <c r="K137" s="6" t="str">
        <f>""</f>
        <v/>
      </c>
      <c r="L137" s="6">
        <f ca="1">IF(KENKO[[#This Row],[//]]="","",IF(INDEX([2]!NOTA[QTY],KENKO[//]-2)="",INDEX([2]!NOTA[C],KENKO[//]-2),INDEX([2]!NOTA[QTY],KENKO[//]-2)))</f>
        <v>1</v>
      </c>
      <c r="M137" s="6" t="str">
        <f ca="1">IF(KENKO[[#This Row],[//]]="","",IF(INDEX([2]!NOTA[STN],KENKO[//]-2)="","CTN",INDEX([2]!NOTA[STN],KENKO[//]-2)))</f>
        <v>CTN</v>
      </c>
      <c r="N137" s="5">
        <f ca="1">IF(KENKO[[#This Row],[//]]="","",IF(INDEX([2]!NOTA[HARGA/ CTN],KENKO[[#This Row],[//]]-2)="",INDEX([2]!NOTA[HARGA SATUAN],KENKO[//]-2),INDEX([2]!NOTA[HARGA/ CTN],KENKO[[#This Row],[//]]-2)))</f>
        <v>1560000</v>
      </c>
      <c r="O137" s="7" t="str">
        <f ca="1">IF(KENKO[[#This Row],[//]]="","",IF(INDEX([2]!NOTA[DISC 2],KENKO[[#This Row],[//]]-2)=0,"",INDEX([2]!NOTA[DISC 2],KENKO[[#This Row],[//]]-2)))</f>
        <v/>
      </c>
      <c r="P137" s="7"/>
      <c r="Q137" s="5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1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4" t="str">
        <f ca="1">IF(KENKO[[#This Row],[//]]="","",INDEX([2]!NOTA[NAMA BARANG],KENKO[[#This Row],[//]]-2))</f>
        <v>KENKO PUNCH NO.30</v>
      </c>
      <c r="V137" s="4" t="str">
        <f ca="1">LOWER(SUBSTITUTE(SUBSTITUTE(SUBSTITUTE(SUBSTITUTE(SUBSTITUTE(SUBSTITUTE(SUBSTITUTE(SUBSTITUTE(KENKO[[#This Row],[N.B.nota]]," ",""),"-",""),"(",""),")",""),".",""),",",""),"/",""),"""",""))</f>
        <v>kenkopunchno30</v>
      </c>
      <c r="W137" s="6">
        <f ca="1">IF(KENKO[[#This Row],[concat]]="","",MATCH(KENKO[[#This Row],[concat]],[4]!db[NB NOTA_C],0)+1)</f>
        <v>1207</v>
      </c>
      <c r="X137" s="4" t="str">
        <f ca="1">IF(KENKO[[#This Row],[N.B.nota]]="","",ADDRESS(ROW(KENKO[QB]),COLUMN(KENKO[QB]))&amp;":"&amp;ADDRESS(ROW(),COLUMN(KENKO[QB])))</f>
        <v>$D$3:$D$137</v>
      </c>
      <c r="Y137" s="13" t="str">
        <f ca="1">IF(KENKO[[#This Row],[//]]="","",HYPERLINK("[..\\DB.xlsx]DB!e"&amp;KENKO[[#This Row],[stt]],"&gt;"))</f>
        <v>&gt;</v>
      </c>
      <c r="Z137" s="4">
        <f ca="1">IF(KENKO[[#This Row],[//]]="","",IF(KENKO[[#This Row],[ID NOTA]]="",Z134,KENKO[[#This Row],[ID NOTA]]))</f>
        <v>84</v>
      </c>
    </row>
    <row r="138" spans="1:26" ht="15" customHeight="1" x14ac:dyDescent="0.25">
      <c r="A138" s="4"/>
      <c r="B138" s="6" t="str">
        <f>IF(KENKO[[#This Row],[N_ID]]="","",INDEX(Table1[ID],MATCH(KENKO[[#This Row],[N_ID]],Table1[N_ID],0)))</f>
        <v/>
      </c>
      <c r="C138" s="6" t="str">
        <f>IF(KENKO[[#This Row],[ID NOTA]]="","",HYPERLINK("[NOTA_.xlsx]NOTA!e"&amp;INDEX([2]!PAJAK[//],MATCH(KENKO[[#This Row],[ID NOTA]],[2]!PAJAK[ID],0)),"&gt;") )</f>
        <v/>
      </c>
      <c r="D138" s="6" t="str">
        <f>IF(KENKO[[#This Row],[ID NOTA]]="","",INDEX(Table1[QB],MATCH(KENKO[[#This Row],[ID NOTA]],Table1[ID],0)))</f>
        <v/>
      </c>
      <c r="E13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465</v>
      </c>
      <c r="F138" s="6"/>
      <c r="G138" s="3" t="str">
        <f>IF(KENKO[[#This Row],[ID NOTA]]="","",INDEX([2]!NOTA[TGL_H],MATCH(KENKO[[#This Row],[ID NOTA]],[2]!NOTA[ID],0)))</f>
        <v/>
      </c>
      <c r="H138" s="3" t="str">
        <f>IF(KENKO[[#This Row],[ID NOTA]]="","",INDEX([2]!NOTA[TGL.NOTA],MATCH(KENKO[[#This Row],[ID NOTA]],[2]!NOTA[ID],0)))</f>
        <v/>
      </c>
      <c r="I138" s="18" t="str">
        <f>IF(KENKO[[#This Row],[ID NOTA]]="","",INDEX([2]!NOTA[NO.NOTA],MATCH(KENKO[[#This Row],[ID NOTA]],[2]!NOTA[ID],0)))</f>
        <v/>
      </c>
      <c r="J138" s="4" t="str">
        <f ca="1">IF(KENKO[[#This Row],[//]]="","",INDEX([4]!db[NB PAJAK],KENKO[[#This Row],[stt]]-1))</f>
        <v>STAPLER KENKO HD-50</v>
      </c>
      <c r="K138" s="6" t="str">
        <f>""</f>
        <v/>
      </c>
      <c r="L138" s="6">
        <f ca="1">IF(KENKO[[#This Row],[//]]="","",IF(INDEX([2]!NOTA[QTY],KENKO[//]-2)="",INDEX([2]!NOTA[C],KENKO[//]-2),INDEX([2]!NOTA[QTY],KENKO[//]-2)))</f>
        <v>2</v>
      </c>
      <c r="M138" s="6" t="str">
        <f ca="1">IF(KENKO[[#This Row],[//]]="","",IF(INDEX([2]!NOTA[STN],KENKO[//]-2)="","CTN",INDEX([2]!NOTA[STN],KENKO[//]-2)))</f>
        <v>CTN</v>
      </c>
      <c r="N138" s="5">
        <f ca="1">IF(KENKO[[#This Row],[//]]="","",IF(INDEX([2]!NOTA[HARGA/ CTN],KENKO[[#This Row],[//]]-2)="",INDEX([2]!NOTA[HARGA SATUAN],KENKO[//]-2),INDEX([2]!NOTA[HARGA/ CTN],KENKO[[#This Row],[//]]-2)))</f>
        <v>2280000</v>
      </c>
      <c r="O138" s="7" t="str">
        <f ca="1">IF(KENKO[[#This Row],[//]]="","",IF(INDEX([2]!NOTA[DISC 2],KENKO[[#This Row],[//]]-2)=0,"",INDEX([2]!NOTA[DISC 2],KENKO[[#This Row],[//]]-2)))</f>
        <v/>
      </c>
      <c r="P138" s="7"/>
      <c r="Q138" s="5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1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4" t="str">
        <f ca="1">IF(KENKO[[#This Row],[//]]="","",INDEX([2]!NOTA[NAMA BARANG],KENKO[[#This Row],[//]]-2))</f>
        <v>KENKO STAPLER HD-50</v>
      </c>
      <c r="V138" s="4" t="str">
        <f ca="1">LOWER(SUBSTITUTE(SUBSTITUTE(SUBSTITUTE(SUBSTITUTE(SUBSTITUTE(SUBSTITUTE(SUBSTITUTE(SUBSTITUTE(KENKO[[#This Row],[N.B.nota]]," ",""),"-",""),"(",""),")",""),".",""),",",""),"/",""),"""",""))</f>
        <v>kenkostaplerhd50</v>
      </c>
      <c r="W138" s="6">
        <f ca="1">IF(KENKO[[#This Row],[concat]]="","",MATCH(KENKO[[#This Row],[concat]],[4]!db[NB NOTA_C],0)+1)</f>
        <v>1246</v>
      </c>
      <c r="X138" s="4" t="str">
        <f ca="1">IF(KENKO[[#This Row],[N.B.nota]]="","",ADDRESS(ROW(KENKO[QB]),COLUMN(KENKO[QB]))&amp;":"&amp;ADDRESS(ROW(),COLUMN(KENKO[QB])))</f>
        <v>$D$3:$D$138</v>
      </c>
      <c r="Y138" s="13" t="str">
        <f ca="1">IF(KENKO[[#This Row],[//]]="","",HYPERLINK("[..\\DB.xlsx]DB!e"&amp;KENKO[[#This Row],[stt]],"&gt;"))</f>
        <v>&gt;</v>
      </c>
      <c r="Z138" s="4">
        <f ca="1">IF(KENKO[[#This Row],[//]]="","",IF(KENKO[[#This Row],[ID NOTA]]="",Z134,KENKO[[#This Row],[ID NOTA]]))</f>
        <v>84</v>
      </c>
    </row>
    <row r="139" spans="1:26" ht="15" customHeight="1" x14ac:dyDescent="0.25">
      <c r="A139" s="4"/>
      <c r="B139" s="6" t="str">
        <f>IF(KENKO[[#This Row],[N_ID]]="","",INDEX(Table1[ID],MATCH(KENKO[[#This Row],[N_ID]],Table1[N_ID],0)))</f>
        <v/>
      </c>
      <c r="C139" s="6" t="str">
        <f>IF(KENKO[[#This Row],[ID NOTA]]="","",HYPERLINK("[NOTA_.xlsx]NOTA!e"&amp;INDEX([2]!PAJAK[//],MATCH(KENKO[[#This Row],[ID NOTA]],[2]!PAJAK[ID],0)),"&gt;") )</f>
        <v/>
      </c>
      <c r="D139" s="6" t="str">
        <f>IF(KENKO[[#This Row],[ID NOTA]]="","",INDEX(Table1[QB],MATCH(KENKO[[#This Row],[ID NOTA]],Table1[ID],0)))</f>
        <v/>
      </c>
      <c r="E13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466</v>
      </c>
      <c r="F139" s="6"/>
      <c r="G139" s="3" t="str">
        <f>IF(KENKO[[#This Row],[ID NOTA]]="","",INDEX([2]!NOTA[TGL_H],MATCH(KENKO[[#This Row],[ID NOTA]],[2]!NOTA[ID],0)))</f>
        <v/>
      </c>
      <c r="H139" s="3" t="str">
        <f>IF(KENKO[[#This Row],[ID NOTA]]="","",INDEX([2]!NOTA[TGL.NOTA],MATCH(KENKO[[#This Row],[ID NOTA]],[2]!NOTA[ID],0)))</f>
        <v/>
      </c>
      <c r="I139" s="18" t="str">
        <f>IF(KENKO[[#This Row],[ID NOTA]]="","",INDEX([2]!NOTA[NO.NOTA],MATCH(KENKO[[#This Row],[ID NOTA]],[2]!NOTA[ID],0)))</f>
        <v/>
      </c>
      <c r="J139" s="4" t="str">
        <f ca="1">IF(KENKO[[#This Row],[//]]="","",INDEX([4]!db[NB PAJAK],KENKO[[#This Row],[stt]]-1))</f>
        <v>BINDER CLIP KENKO NO. 200</v>
      </c>
      <c r="K139" s="6" t="str">
        <f>""</f>
        <v/>
      </c>
      <c r="L139" s="6">
        <f ca="1">IF(KENKO[[#This Row],[//]]="","",IF(INDEX([2]!NOTA[QTY],KENKO[//]-2)="",INDEX([2]!NOTA[C],KENKO[//]-2),INDEX([2]!NOTA[QTY],KENKO[//]-2)))</f>
        <v>2</v>
      </c>
      <c r="M139" s="6" t="str">
        <f ca="1">IF(KENKO[[#This Row],[//]]="","",IF(INDEX([2]!NOTA[STN],KENKO[//]-2)="","CTN",INDEX([2]!NOTA[STN],KENKO[//]-2)))</f>
        <v>CTN</v>
      </c>
      <c r="N139" s="5">
        <f ca="1">IF(KENKO[[#This Row],[//]]="","",IF(INDEX([2]!NOTA[HARGA/ CTN],KENKO[[#This Row],[//]]-2)="",INDEX([2]!NOTA[HARGA SATUAN],KENKO[//]-2),INDEX([2]!NOTA[HARGA/ CTN],KENKO[[#This Row],[//]]-2)))</f>
        <v>1200000</v>
      </c>
      <c r="O139" s="7" t="str">
        <f ca="1">IF(KENKO[[#This Row],[//]]="","",IF(INDEX([2]!NOTA[DISC 2],KENKO[[#This Row],[//]]-2)=0,"",INDEX([2]!NOTA[DISC 2],KENKO[[#This Row],[//]]-2)))</f>
        <v/>
      </c>
      <c r="P139" s="7"/>
      <c r="Q139" s="5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1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4" t="str">
        <f ca="1">IF(KENKO[[#This Row],[//]]="","",INDEX([2]!NOTA[NAMA BARANG],KENKO[[#This Row],[//]]-2))</f>
        <v>KENKO BINDER CLIP NO.200</v>
      </c>
      <c r="V139" s="4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139" s="6">
        <f ca="1">IF(KENKO[[#This Row],[concat]]="","",MATCH(KENKO[[#This Row],[concat]],[4]!db[NB NOTA_C],0)+1)</f>
        <v>1009</v>
      </c>
      <c r="X139" s="4" t="str">
        <f ca="1">IF(KENKO[[#This Row],[N.B.nota]]="","",ADDRESS(ROW(KENKO[QB]),COLUMN(KENKO[QB]))&amp;":"&amp;ADDRESS(ROW(),COLUMN(KENKO[QB])))</f>
        <v>$D$3:$D$139</v>
      </c>
      <c r="Y139" s="13" t="str">
        <f ca="1">IF(KENKO[[#This Row],[//]]="","",HYPERLINK("[..\\DB.xlsx]DB!e"&amp;KENKO[[#This Row],[stt]],"&gt;"))</f>
        <v>&gt;</v>
      </c>
      <c r="Z139" s="4">
        <f ca="1">IF(KENKO[[#This Row],[//]]="","",IF(KENKO[[#This Row],[ID NOTA]]="",Z134,KENKO[[#This Row],[ID NOTA]]))</f>
        <v>84</v>
      </c>
    </row>
    <row r="140" spans="1:26" ht="15" customHeight="1" x14ac:dyDescent="0.25">
      <c r="A140" s="4"/>
      <c r="B140" s="6" t="str">
        <f>IF(KENKO[[#This Row],[N_ID]]="","",INDEX(Table1[ID],MATCH(KENKO[[#This Row],[N_ID]],Table1[N_ID],0)))</f>
        <v/>
      </c>
      <c r="C140" s="6" t="str">
        <f>IF(KENKO[[#This Row],[ID NOTA]]="","",HYPERLINK("[NOTA_.xlsx]NOTA!e"&amp;INDEX([2]!PAJAK[//],MATCH(KENKO[[#This Row],[ID NOTA]],[2]!PAJAK[ID],0)),"&gt;") )</f>
        <v/>
      </c>
      <c r="D140" s="6" t="str">
        <f>IF(KENKO[[#This Row],[ID NOTA]]="","",INDEX(Table1[QB],MATCH(KENKO[[#This Row],[ID NOTA]],Table1[ID],0)))</f>
        <v/>
      </c>
      <c r="E14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467</v>
      </c>
      <c r="F140" s="6"/>
      <c r="G140" s="3" t="str">
        <f>IF(KENKO[[#This Row],[ID NOTA]]="","",INDEX([2]!NOTA[TGL_H],MATCH(KENKO[[#This Row],[ID NOTA]],[2]!NOTA[ID],0)))</f>
        <v/>
      </c>
      <c r="H140" s="3" t="str">
        <f>IF(KENKO[[#This Row],[ID NOTA]]="","",INDEX([2]!NOTA[TGL.NOTA],MATCH(KENKO[[#This Row],[ID NOTA]],[2]!NOTA[ID],0)))</f>
        <v/>
      </c>
      <c r="I140" s="18" t="str">
        <f>IF(KENKO[[#This Row],[ID NOTA]]="","",INDEX([2]!NOTA[NO.NOTA],MATCH(KENKO[[#This Row],[ID NOTA]],[2]!NOTA[ID],0)))</f>
        <v/>
      </c>
      <c r="J140" s="4" t="str">
        <f ca="1">IF(KENKO[[#This Row],[//]]="","",INDEX([4]!db[NB PAJAK],KENKO[[#This Row],[stt]]-1))</f>
        <v>CORRECTION TAPE KENKO CT-634N (8M x 5MM)</v>
      </c>
      <c r="K140" s="6" t="str">
        <f>""</f>
        <v/>
      </c>
      <c r="L140" s="6">
        <f ca="1">IF(KENKO[[#This Row],[//]]="","",IF(INDEX([2]!NOTA[QTY],KENKO[//]-2)="",INDEX([2]!NOTA[C],KENKO[//]-2),INDEX([2]!NOTA[QTY],KENKO[//]-2)))</f>
        <v>1</v>
      </c>
      <c r="M140" s="6" t="str">
        <f ca="1">IF(KENKO[[#This Row],[//]]="","",IF(INDEX([2]!NOTA[STN],KENKO[//]-2)="","CTN",INDEX([2]!NOTA[STN],KENKO[//]-2)))</f>
        <v>CTN</v>
      </c>
      <c r="N140" s="5">
        <f ca="1">IF(KENKO[[#This Row],[//]]="","",IF(INDEX([2]!NOTA[HARGA/ CTN],KENKO[[#This Row],[//]]-2)="",INDEX([2]!NOTA[HARGA SATUAN],KENKO[//]-2),INDEX([2]!NOTA[HARGA/ CTN],KENKO[[#This Row],[//]]-2)))</f>
        <v>2592000</v>
      </c>
      <c r="O140" s="7" t="str">
        <f ca="1">IF(KENKO[[#This Row],[//]]="","",IF(INDEX([2]!NOTA[DISC 2],KENKO[[#This Row],[//]]-2)=0,"",INDEX([2]!NOTA[DISC 2],KENKO[[#This Row],[//]]-2)))</f>
        <v/>
      </c>
      <c r="P140" s="7"/>
      <c r="Q140" s="5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4" t="str">
        <f ca="1">IF(KENKO[[#This Row],[//]]="","",INDEX([2]!NOTA[NAMA BARANG],KENKO[[#This Row],[//]]-2))</f>
        <v>KENKO CORRECTION TAPE CT-634N (8MX5MM)</v>
      </c>
      <c r="V140" s="4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140" s="6">
        <f ca="1">IF(KENKO[[#This Row],[concat]]="","",MATCH(KENKO[[#This Row],[concat]],[4]!db[NB NOTA_C],0)+1)</f>
        <v>1071</v>
      </c>
      <c r="X140" s="4" t="str">
        <f ca="1">IF(KENKO[[#This Row],[N.B.nota]]="","",ADDRESS(ROW(KENKO[QB]),COLUMN(KENKO[QB]))&amp;":"&amp;ADDRESS(ROW(),COLUMN(KENKO[QB])))</f>
        <v>$D$3:$D$140</v>
      </c>
      <c r="Y140" s="13" t="str">
        <f ca="1">IF(KENKO[[#This Row],[//]]="","",HYPERLINK("[..\\DB.xlsx]DB!e"&amp;KENKO[[#This Row],[stt]],"&gt;"))</f>
        <v>&gt;</v>
      </c>
      <c r="Z140" s="4">
        <f ca="1">IF(KENKO[[#This Row],[//]]="","",IF(KENKO[[#This Row],[ID NOTA]]="",Z134,KENKO[[#This Row],[ID NOTA]]))</f>
        <v>84</v>
      </c>
    </row>
    <row r="141" spans="1:26" ht="15" customHeight="1" x14ac:dyDescent="0.25">
      <c r="A141" s="4"/>
      <c r="B141" s="6" t="str">
        <f>IF(KENKO[[#This Row],[N_ID]]="","",INDEX(Table1[ID],MATCH(KENKO[[#This Row],[N_ID]],Table1[N_ID],0)))</f>
        <v/>
      </c>
      <c r="C141" s="6" t="str">
        <f>IF(KENKO[[#This Row],[ID NOTA]]="","",HYPERLINK("[NOTA_.xlsx]NOTA!e"&amp;INDEX([2]!PAJAK[//],MATCH(KENKO[[#This Row],[ID NOTA]],[2]!PAJAK[ID],0)),"&gt;") )</f>
        <v/>
      </c>
      <c r="D141" s="6" t="str">
        <f>IF(KENKO[[#This Row],[ID NOTA]]="","",INDEX(Table1[QB],MATCH(KENKO[[#This Row],[ID NOTA]],Table1[ID],0)))</f>
        <v/>
      </c>
      <c r="E14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468</v>
      </c>
      <c r="F141" s="6"/>
      <c r="G141" s="3" t="str">
        <f>IF(KENKO[[#This Row],[ID NOTA]]="","",INDEX([2]!NOTA[TGL_H],MATCH(KENKO[[#This Row],[ID NOTA]],[2]!NOTA[ID],0)))</f>
        <v/>
      </c>
      <c r="H141" s="3" t="str">
        <f>IF(KENKO[[#This Row],[ID NOTA]]="","",INDEX([2]!NOTA[TGL.NOTA],MATCH(KENKO[[#This Row],[ID NOTA]],[2]!NOTA[ID],0)))</f>
        <v/>
      </c>
      <c r="I141" s="18" t="str">
        <f>IF(KENKO[[#This Row],[ID NOTA]]="","",INDEX([2]!NOTA[NO.NOTA],MATCH(KENKO[[#This Row],[ID NOTA]],[2]!NOTA[ID],0)))</f>
        <v/>
      </c>
      <c r="J141" s="4" t="str">
        <f ca="1">IF(KENKO[[#This Row],[//]]="","",INDEX([4]!db[NB PAJAK],KENKO[[#This Row],[stt]]-1))</f>
        <v>POCKET NOTE SPIRAL KENKO PN-403</v>
      </c>
      <c r="K141" s="6" t="str">
        <f>""</f>
        <v/>
      </c>
      <c r="L141" s="6">
        <f ca="1">IF(KENKO[[#This Row],[//]]="","",IF(INDEX([2]!NOTA[QTY],KENKO[//]-2)="",INDEX([2]!NOTA[C],KENKO[//]-2),INDEX([2]!NOTA[QTY],KENKO[//]-2)))</f>
        <v>1</v>
      </c>
      <c r="M141" s="6" t="str">
        <f ca="1">IF(KENKO[[#This Row],[//]]="","",IF(INDEX([2]!NOTA[STN],KENKO[//]-2)="","CTN",INDEX([2]!NOTA[STN],KENKO[//]-2)))</f>
        <v>CTN</v>
      </c>
      <c r="N141" s="5">
        <f ca="1">IF(KENKO[[#This Row],[//]]="","",IF(INDEX([2]!NOTA[HARGA/ CTN],KENKO[[#This Row],[//]]-2)="",INDEX([2]!NOTA[HARGA SATUAN],KENKO[//]-2),INDEX([2]!NOTA[HARGA/ CTN],KENKO[[#This Row],[//]]-2)))</f>
        <v>741600</v>
      </c>
      <c r="O141" s="7" t="str">
        <f ca="1">IF(KENKO[[#This Row],[//]]="","",IF(INDEX([2]!NOTA[DISC 2],KENKO[[#This Row],[//]]-2)=0,"",INDEX([2]!NOTA[DISC 2],KENKO[[#This Row],[//]]-2)))</f>
        <v/>
      </c>
      <c r="P141" s="7"/>
      <c r="Q141" s="5">
        <f ca="1">IF(KENKO[[#This Row],[//]]="","",INDEX([2]!NOTA[JUMLAH],KENKO[[#This Row],[//]]-2)-IF(ISNUMBER(KENKO[[#This Row],[DISC 1 (%)]]),INDEX([2]!NOTA[JUMLAH],KENKO[[#This Row],[//]]-2)*KENKO[[#This Row],[DISC 1 (%)]],0))</f>
        <v>741600</v>
      </c>
      <c r="R1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4" t="str">
        <f ca="1">IF(KENKO[[#This Row],[//]]="","",INDEX([2]!NOTA[NAMA BARANG],KENKO[[#This Row],[//]]-2))</f>
        <v>KENKO POCKET NOTE PN-403</v>
      </c>
      <c r="V141" s="4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141" s="6">
        <f ca="1">IF(KENKO[[#This Row],[concat]]="","",MATCH(KENKO[[#This Row],[concat]],[4]!db[NB NOTA_C],0)+1)</f>
        <v>1199</v>
      </c>
      <c r="X141" s="4" t="str">
        <f ca="1">IF(KENKO[[#This Row],[N.B.nota]]="","",ADDRESS(ROW(KENKO[QB]),COLUMN(KENKO[QB]))&amp;":"&amp;ADDRESS(ROW(),COLUMN(KENKO[QB])))</f>
        <v>$D$3:$D$141</v>
      </c>
      <c r="Y141" s="13" t="str">
        <f ca="1">IF(KENKO[[#This Row],[//]]="","",HYPERLINK("[..\\DB.xlsx]DB!e"&amp;KENKO[[#This Row],[stt]],"&gt;"))</f>
        <v>&gt;</v>
      </c>
      <c r="Z141" s="4">
        <f ca="1">IF(KENKO[[#This Row],[//]]="","",IF(KENKO[[#This Row],[ID NOTA]]="",Z134,KENKO[[#This Row],[ID NOTA]]))</f>
        <v>84</v>
      </c>
    </row>
    <row r="142" spans="1:26" ht="15" customHeight="1" x14ac:dyDescent="0.25">
      <c r="A142" s="4"/>
      <c r="B142" s="6" t="str">
        <f>IF(KENKO[[#This Row],[N_ID]]="","",INDEX(Table1[ID],MATCH(KENKO[[#This Row],[N_ID]],Table1[N_ID],0)))</f>
        <v/>
      </c>
      <c r="C142" s="6" t="str">
        <f>IF(KENKO[[#This Row],[ID NOTA]]="","",HYPERLINK("[NOTA_.xlsx]NOTA!e"&amp;INDEX([2]!PAJAK[//],MATCH(KENKO[[#This Row],[ID NOTA]],[2]!PAJAK[ID],0)),"&gt;") )</f>
        <v/>
      </c>
      <c r="D142" s="6" t="str">
        <f>IF(KENKO[[#This Row],[ID NOTA]]="","",INDEX(Table1[QB],MATCH(KENKO[[#This Row],[ID NOTA]],Table1[ID],0)))</f>
        <v/>
      </c>
      <c r="E14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469</v>
      </c>
      <c r="F142" s="6"/>
      <c r="G142" s="3" t="str">
        <f>IF(KENKO[[#This Row],[ID NOTA]]="","",INDEX([2]!NOTA[TGL_H],MATCH(KENKO[[#This Row],[ID NOTA]],[2]!NOTA[ID],0)))</f>
        <v/>
      </c>
      <c r="H142" s="3" t="str">
        <f>IF(KENKO[[#This Row],[ID NOTA]]="","",INDEX([2]!NOTA[TGL.NOTA],MATCH(KENKO[[#This Row],[ID NOTA]],[2]!NOTA[ID],0)))</f>
        <v/>
      </c>
      <c r="I142" s="18" t="str">
        <f>IF(KENKO[[#This Row],[ID NOTA]]="","",INDEX([2]!NOTA[NO.NOTA],MATCH(KENKO[[#This Row],[ID NOTA]],[2]!NOTA[ID],0)))</f>
        <v/>
      </c>
      <c r="J142" s="4" t="str">
        <f ca="1">IF(KENKO[[#This Row],[//]]="","",INDEX([4]!db[NB PAJAK],KENKO[[#This Row],[stt]]-1))</f>
        <v>LOOSE LEAF KENKO B5-LL 100-2670</v>
      </c>
      <c r="K142" s="6" t="str">
        <f>""</f>
        <v/>
      </c>
      <c r="L142" s="6">
        <f ca="1">IF(KENKO[[#This Row],[//]]="","",IF(INDEX([2]!NOTA[QTY],KENKO[//]-2)="",INDEX([2]!NOTA[C],KENKO[//]-2),INDEX([2]!NOTA[QTY],KENKO[//]-2)))</f>
        <v>2</v>
      </c>
      <c r="M142" s="6" t="str">
        <f ca="1">IF(KENKO[[#This Row],[//]]="","",IF(INDEX([2]!NOTA[STN],KENKO[//]-2)="","CTN",INDEX([2]!NOTA[STN],KENKO[//]-2)))</f>
        <v>CTN</v>
      </c>
      <c r="N142" s="5">
        <f ca="1">IF(KENKO[[#This Row],[//]]="","",IF(INDEX([2]!NOTA[HARGA/ CTN],KENKO[[#This Row],[//]]-2)="",INDEX([2]!NOTA[HARGA SATUAN],KENKO[//]-2),INDEX([2]!NOTA[HARGA/ CTN],KENKO[[#This Row],[//]]-2)))</f>
        <v>1040000</v>
      </c>
      <c r="O142" s="7" t="str">
        <f ca="1">IF(KENKO[[#This Row],[//]]="","",IF(INDEX([2]!NOTA[DISC 2],KENKO[[#This Row],[//]]-2)=0,"",INDEX([2]!NOTA[DISC 2],KENKO[[#This Row],[//]]-2)))</f>
        <v/>
      </c>
      <c r="P142" s="7"/>
      <c r="Q142" s="5">
        <f ca="1">IF(KENKO[[#This Row],[//]]="","",INDEX([2]!NOTA[JUMLAH],KENKO[[#This Row],[//]]-2)-IF(ISNUMBER(KENKO[[#This Row],[DISC 1 (%)]]),INDEX([2]!NOTA[JUMLAH],KENKO[[#This Row],[//]]-2)*KENKO[[#This Row],[DISC 1 (%)]],0))</f>
        <v>2080000</v>
      </c>
      <c r="R142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3449912.0000000005</v>
      </c>
      <c r="S142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16843688</v>
      </c>
      <c r="T1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4" t="str">
        <f ca="1">IF(KENKO[[#This Row],[//]]="","",INDEX([2]!NOTA[NAMA BARANG],KENKO[[#This Row],[//]]-2))</f>
        <v>KENKO LOOSE LEAF B5-LL 100-2670</v>
      </c>
      <c r="V142" s="4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142" s="6">
        <f ca="1">IF(KENKO[[#This Row],[concat]]="","",MATCH(KENKO[[#This Row],[concat]],[4]!db[NB NOTA_C],0)+1)</f>
        <v>1165</v>
      </c>
      <c r="X142" s="4" t="str">
        <f ca="1">IF(KENKO[[#This Row],[N.B.nota]]="","",ADDRESS(ROW(KENKO[QB]),COLUMN(KENKO[QB]))&amp;":"&amp;ADDRESS(ROW(),COLUMN(KENKO[QB])))</f>
        <v>$D$3:$D$142</v>
      </c>
      <c r="Y142" s="13" t="str">
        <f ca="1">IF(KENKO[[#This Row],[//]]="","",HYPERLINK("[..\\DB.xlsx]DB!e"&amp;KENKO[[#This Row],[stt]],"&gt;"))</f>
        <v>&gt;</v>
      </c>
      <c r="Z142" s="4">
        <f ca="1">IF(KENKO[[#This Row],[//]]="","",IF(KENKO[[#This Row],[ID NOTA]]="",Z134,KENKO[[#This Row],[ID NOTA]]))</f>
        <v>84</v>
      </c>
    </row>
    <row r="143" spans="1:26" ht="15" customHeight="1" x14ac:dyDescent="0.25">
      <c r="A143" s="4"/>
      <c r="B143" s="6" t="str">
        <f>IF(KENKO[[#This Row],[N_ID]]="","",INDEX(Table1[ID],MATCH(KENKO[[#This Row],[N_ID]],Table1[N_ID],0)))</f>
        <v/>
      </c>
      <c r="C143" s="6" t="str">
        <f>IF(KENKO[[#This Row],[ID NOTA]]="","",HYPERLINK("[NOTA_.xlsx]NOTA!e"&amp;INDEX([2]!PAJAK[//],MATCH(KENKO[[#This Row],[ID NOTA]],[2]!PAJAK[ID],0)),"&gt;") )</f>
        <v/>
      </c>
      <c r="D143" s="6" t="str">
        <f>IF(KENKO[[#This Row],[ID NOTA]]="","",INDEX(Table1[QB],MATCH(KENKO[[#This Row],[ID NOTA]],Table1[ID],0)))</f>
        <v/>
      </c>
      <c r="E1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3" s="6"/>
      <c r="G143" s="3" t="str">
        <f>IF(KENKO[[#This Row],[ID NOTA]]="","",INDEX([2]!NOTA[TGL_H],MATCH(KENKO[[#This Row],[ID NOTA]],[2]!NOTA[ID],0)))</f>
        <v/>
      </c>
      <c r="H143" s="3" t="str">
        <f>IF(KENKO[[#This Row],[ID NOTA]]="","",INDEX([2]!NOTA[TGL.NOTA],MATCH(KENKO[[#This Row],[ID NOTA]],[2]!NOTA[ID],0)))</f>
        <v/>
      </c>
      <c r="I143" s="18" t="str">
        <f>IF(KENKO[[#This Row],[ID NOTA]]="","",INDEX([2]!NOTA[NO.NOTA],MATCH(KENKO[[#This Row],[ID NOTA]],[2]!NOTA[ID],0)))</f>
        <v/>
      </c>
      <c r="J143" s="4" t="str">
        <f ca="1">IF(KENKO[[#This Row],[//]]="","",INDEX([4]!db[NB PAJAK],KENKO[[#This Row],[stt]]-1))</f>
        <v/>
      </c>
      <c r="K143" s="6" t="str">
        <f>""</f>
        <v/>
      </c>
      <c r="L143" s="6" t="str">
        <f ca="1">IF(KENKO[[#This Row],[//]]="","",IF(INDEX([2]!NOTA[QTY],KENKO[//]-2)="",INDEX([2]!NOTA[C],KENKO[//]-2),INDEX([2]!NOTA[QTY],KENKO[//]-2)))</f>
        <v/>
      </c>
      <c r="M143" s="6" t="str">
        <f ca="1">IF(KENKO[[#This Row],[//]]="","",IF(INDEX([2]!NOTA[STN],KENKO[//]-2)="","CTN",INDEX([2]!NOTA[STN],KENKO[//]-2)))</f>
        <v/>
      </c>
      <c r="N143" s="5" t="str">
        <f ca="1">IF(KENKO[[#This Row],[//]]="","",IF(INDEX([2]!NOTA[HARGA/ CTN],KENKO[[#This Row],[//]]-2)="",INDEX([2]!NOTA[HARGA SATUAN],KENKO[//]-2),INDEX([2]!NOTA[HARGA/ CTN],KENKO[[#This Row],[//]]-2)))</f>
        <v/>
      </c>
      <c r="O143" s="7" t="str">
        <f ca="1">IF(KENKO[[#This Row],[//]]="","",IF(INDEX([2]!NOTA[DISC 2],KENKO[[#This Row],[//]]-2)=0,"",INDEX([2]!NOTA[DISC 2],KENKO[[#This Row],[//]]-2)))</f>
        <v/>
      </c>
      <c r="P143" s="7"/>
      <c r="Q14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4" t="str">
        <f ca="1">IF(KENKO[[#This Row],[//]]="","",INDEX([2]!NOTA[NAMA BARANG],KENKO[[#This Row],[//]]-2))</f>
        <v/>
      </c>
      <c r="V143" s="4" t="str">
        <f ca="1">LOWER(SUBSTITUTE(SUBSTITUTE(SUBSTITUTE(SUBSTITUTE(SUBSTITUTE(SUBSTITUTE(SUBSTITUTE(SUBSTITUTE(KENKO[[#This Row],[N.B.nota]]," ",""),"-",""),"(",""),")",""),".",""),",",""),"/",""),"""",""))</f>
        <v/>
      </c>
      <c r="W143" s="6" t="str">
        <f ca="1">IF(KENKO[[#This Row],[concat]]="","",MATCH(KENKO[[#This Row],[concat]],[4]!db[NB NOTA_C],0)+1)</f>
        <v/>
      </c>
      <c r="X143" s="4" t="str">
        <f ca="1">IF(KENKO[[#This Row],[N.B.nota]]="","",ADDRESS(ROW(KENKO[QB]),COLUMN(KENKO[QB]))&amp;":"&amp;ADDRESS(ROW(),COLUMN(KENKO[QB])))</f>
        <v/>
      </c>
      <c r="Y143" s="13" t="str">
        <f ca="1">IF(KENKO[[#This Row],[//]]="","",HYPERLINK("[..\\DB.xlsx]DB!e"&amp;KENKO[[#This Row],[stt]],"&gt;"))</f>
        <v/>
      </c>
      <c r="Z143" s="4" t="str">
        <f ca="1">IF(KENKO[[#This Row],[//]]="","",IF(KENKO[[#This Row],[ID NOTA]]="",Z134,KENKO[[#This Row],[ID NOTA]]))</f>
        <v/>
      </c>
    </row>
    <row r="144" spans="1:26" ht="15" customHeight="1" x14ac:dyDescent="0.25">
      <c r="A144" s="4" t="s">
        <v>94</v>
      </c>
      <c r="B144" s="6">
        <f ca="1">IF(KENKO[[#This Row],[N_ID]]="","",INDEX(Table1[ID],MATCH(KENKO[[#This Row],[N_ID]],Table1[N_ID],0)))</f>
        <v>83</v>
      </c>
      <c r="C144" s="6" t="str">
        <f ca="1">IF(KENKO[[#This Row],[ID NOTA]]="","",HYPERLINK("[NOTA_.xlsx]NOTA!e"&amp;INDEX([2]!PAJAK[//],MATCH(KENKO[[#This Row],[ID NOTA]],[2]!PAJAK[ID],0)),"&gt;") )</f>
        <v>&gt;</v>
      </c>
      <c r="D144" s="6">
        <f ca="1">IF(KENKO[[#This Row],[ID NOTA]]="","",INDEX(Table1[QB],MATCH(KENKO[[#This Row],[ID NOTA]],Table1[ID],0)))</f>
        <v>4</v>
      </c>
      <c r="E14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456</v>
      </c>
      <c r="F144" s="6">
        <v>20</v>
      </c>
      <c r="G144" s="3">
        <f ca="1">IF(KENKO[[#This Row],[ID NOTA]]="","",INDEX([2]!NOTA[TGL_H],MATCH(KENKO[[#This Row],[ID NOTA]],[2]!NOTA[ID],0)))</f>
        <v>44825</v>
      </c>
      <c r="H144" s="3">
        <f ca="1">IF(KENKO[[#This Row],[ID NOTA]]="","",INDEX([2]!NOTA[TGL.NOTA],MATCH(KENKO[[#This Row],[ID NOTA]],[2]!NOTA[ID],0)))</f>
        <v>44821</v>
      </c>
      <c r="I144" s="18" t="str">
        <f ca="1">IF(KENKO[[#This Row],[ID NOTA]]="","",INDEX([2]!NOTA[NO.NOTA],MATCH(KENKO[[#This Row],[ID NOTA]],[2]!NOTA[ID],0)))</f>
        <v>22091432</v>
      </c>
      <c r="J144" s="4" t="str">
        <f ca="1">IF(KENKO[[#This Row],[//]]="","",INDEX([4]!db[NB PAJAK],KENKO[[#This Row],[stt]]-1))</f>
        <v>GEL PEN KENKO KE-100</v>
      </c>
      <c r="K144" s="6" t="str">
        <f>""</f>
        <v/>
      </c>
      <c r="L144" s="6">
        <f ca="1">IF(KENKO[[#This Row],[//]]="","",IF(INDEX([2]!NOTA[QTY],KENKO[//]-2)="",INDEX([2]!NOTA[C],KENKO[//]-2),INDEX([2]!NOTA[QTY],KENKO[//]-2)))</f>
        <v>1</v>
      </c>
      <c r="M144" s="6" t="str">
        <f ca="1">IF(KENKO[[#This Row],[//]]="","",IF(INDEX([2]!NOTA[STN],KENKO[//]-2)="","CTN",INDEX([2]!NOTA[STN],KENKO[//]-2)))</f>
        <v>CTN</v>
      </c>
      <c r="N144" s="5">
        <f ca="1">IF(KENKO[[#This Row],[//]]="","",IF(INDEX([2]!NOTA[HARGA/ CTN],KENKO[[#This Row],[//]]-2)="",INDEX([2]!NOTA[HARGA SATUAN],KENKO[//]-2),INDEX([2]!NOTA[HARGA/ CTN],KENKO[[#This Row],[//]]-2)))</f>
        <v>2764800</v>
      </c>
      <c r="O144" s="7" t="str">
        <f ca="1">IF(KENKO[[#This Row],[//]]="","",IF(INDEX([2]!NOTA[DISC 2],KENKO[[#This Row],[//]]-2)=0,"",INDEX([2]!NOTA[DISC 2],KENKO[[#This Row],[//]]-2)))</f>
        <v/>
      </c>
      <c r="P144" s="7"/>
      <c r="Q144" s="5">
        <f ca="1">IF(KENKO[[#This Row],[//]]="","",INDEX([2]!NOTA[JUMLAH],KENKO[[#This Row],[//]]-2)-IF(ISNUMBER(KENKO[[#This Row],[DISC 1 (%)]]),INDEX([2]!NOTA[JUMLAH],KENKO[[#This Row],[//]]-2)*KENKO[[#This Row],[DISC 1 (%)]],0))</f>
        <v>2764800</v>
      </c>
      <c r="R1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4" t="str">
        <f ca="1">IF(KENKO[[#This Row],[//]]="","",INDEX([2]!NOTA[NAMA BARANG],KENKO[[#This Row],[//]]-2))</f>
        <v>KENKO GEL PEN KE-100 BLACK</v>
      </c>
      <c r="V144" s="4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144" s="6">
        <f ca="1">IF(KENKO[[#This Row],[concat]]="","",MATCH(KENKO[[#This Row],[concat]],[4]!db[NB NOTA_C],0)+1)</f>
        <v>1118</v>
      </c>
      <c r="X144" s="4" t="str">
        <f ca="1">IF(KENKO[[#This Row],[N.B.nota]]="","",ADDRESS(ROW(KENKO[QB]),COLUMN(KENKO[QB]))&amp;":"&amp;ADDRESS(ROW(),COLUMN(KENKO[QB])))</f>
        <v>$D$3:$D$144</v>
      </c>
      <c r="Y144" s="13" t="str">
        <f ca="1">IF(KENKO[[#This Row],[//]]="","",HYPERLINK("[..\\DB.xlsx]DB!e"&amp;KENKO[[#This Row],[stt]],"&gt;"))</f>
        <v>&gt;</v>
      </c>
      <c r="Z144" s="4">
        <f ca="1">IF(KENKO[[#This Row],[//]]="","",IF(KENKO[[#This Row],[ID NOTA]]="",Z134,KENKO[[#This Row],[ID NOTA]]))</f>
        <v>83</v>
      </c>
    </row>
    <row r="145" spans="1:26" ht="15" customHeight="1" x14ac:dyDescent="0.25">
      <c r="A145" s="4"/>
      <c r="B145" s="6" t="str">
        <f>IF(KENKO[[#This Row],[N_ID]]="","",INDEX(Table1[ID],MATCH(KENKO[[#This Row],[N_ID]],Table1[N_ID],0)))</f>
        <v/>
      </c>
      <c r="C145" s="6" t="str">
        <f>IF(KENKO[[#This Row],[ID NOTA]]="","",HYPERLINK("[NOTA_.xlsx]NOTA!e"&amp;INDEX([2]!PAJAK[//],MATCH(KENKO[[#This Row],[ID NOTA]],[2]!PAJAK[ID],0)),"&gt;") )</f>
        <v/>
      </c>
      <c r="D145" s="6" t="str">
        <f>IF(KENKO[[#This Row],[ID NOTA]]="","",INDEX(Table1[QB],MATCH(KENKO[[#This Row],[ID NOTA]],Table1[ID],0)))</f>
        <v/>
      </c>
      <c r="E14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457</v>
      </c>
      <c r="F145" s="6"/>
      <c r="G145" s="3" t="str">
        <f>IF(KENKO[[#This Row],[ID NOTA]]="","",INDEX([2]!NOTA[TGL_H],MATCH(KENKO[[#This Row],[ID NOTA]],[2]!NOTA[ID],0)))</f>
        <v/>
      </c>
      <c r="H145" s="3" t="str">
        <f>IF(KENKO[[#This Row],[ID NOTA]]="","",INDEX([2]!NOTA[TGL.NOTA],MATCH(KENKO[[#This Row],[ID NOTA]],[2]!NOTA[ID],0)))</f>
        <v/>
      </c>
      <c r="I145" s="18" t="str">
        <f>IF(KENKO[[#This Row],[ID NOTA]]="","",INDEX([2]!NOTA[NO.NOTA],MATCH(KENKO[[#This Row],[ID NOTA]],[2]!NOTA[ID],0)))</f>
        <v/>
      </c>
      <c r="J145" s="4" t="str">
        <f ca="1">IF(KENKO[[#This Row],[//]]="","",INDEX([4]!db[NB PAJAK],KENKO[[#This Row],[stt]]-1))</f>
        <v>GEL PEN KENKO K-1 HITAM</v>
      </c>
      <c r="K145" s="6" t="str">
        <f>""</f>
        <v/>
      </c>
      <c r="L145" s="6">
        <f ca="1">IF(KENKO[[#This Row],[//]]="","",IF(INDEX([2]!NOTA[QTY],KENKO[//]-2)="",INDEX([2]!NOTA[C],KENKO[//]-2),INDEX([2]!NOTA[QTY],KENKO[//]-2)))</f>
        <v>1</v>
      </c>
      <c r="M145" s="6" t="str">
        <f ca="1">IF(KENKO[[#This Row],[//]]="","",IF(INDEX([2]!NOTA[STN],KENKO[//]-2)="","CTN",INDEX([2]!NOTA[STN],KENKO[//]-2)))</f>
        <v>CTN</v>
      </c>
      <c r="N145" s="5">
        <f ca="1">IF(KENKO[[#This Row],[//]]="","",IF(INDEX([2]!NOTA[HARGA/ CTN],KENKO[[#This Row],[//]]-2)="",INDEX([2]!NOTA[HARGA SATUAN],KENKO[//]-2),INDEX([2]!NOTA[HARGA/ CTN],KENKO[[#This Row],[//]]-2)))</f>
        <v>5702400</v>
      </c>
      <c r="O145" s="7" t="str">
        <f ca="1">IF(KENKO[[#This Row],[//]]="","",IF(INDEX([2]!NOTA[DISC 2],KENKO[[#This Row],[//]]-2)=0,"",INDEX([2]!NOTA[DISC 2],KENKO[[#This Row],[//]]-2)))</f>
        <v/>
      </c>
      <c r="P145" s="7"/>
      <c r="Q145" s="5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1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4" t="str">
        <f ca="1">IF(KENKO[[#This Row],[//]]="","",INDEX([2]!NOTA[NAMA BARANG],KENKO[[#This Row],[//]]-2))</f>
        <v>KENKO GEL PEN K-1 BLACK</v>
      </c>
      <c r="V145" s="4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145" s="6">
        <f ca="1">IF(KENKO[[#This Row],[concat]]="","",MATCH(KENKO[[#This Row],[concat]],[4]!db[NB NOTA_C],0)+1)</f>
        <v>1114</v>
      </c>
      <c r="X145" s="4" t="str">
        <f ca="1">IF(KENKO[[#This Row],[N.B.nota]]="","",ADDRESS(ROW(KENKO[QB]),COLUMN(KENKO[QB]))&amp;":"&amp;ADDRESS(ROW(),COLUMN(KENKO[QB])))</f>
        <v>$D$3:$D$145</v>
      </c>
      <c r="Y145" s="13" t="str">
        <f ca="1">IF(KENKO[[#This Row],[//]]="","",HYPERLINK("[..\\DB.xlsx]DB!e"&amp;KENKO[[#This Row],[stt]],"&gt;"))</f>
        <v>&gt;</v>
      </c>
      <c r="Z145" s="4">
        <f ca="1">IF(KENKO[[#This Row],[//]]="","",IF(KENKO[[#This Row],[ID NOTA]]="",Z144,KENKO[[#This Row],[ID NOTA]]))</f>
        <v>83</v>
      </c>
    </row>
    <row r="146" spans="1:26" ht="15" customHeight="1" x14ac:dyDescent="0.25">
      <c r="A146" s="4"/>
      <c r="B146" s="6" t="str">
        <f>IF(KENKO[[#This Row],[N_ID]]="","",INDEX(Table1[ID],MATCH(KENKO[[#This Row],[N_ID]],Table1[N_ID],0)))</f>
        <v/>
      </c>
      <c r="C146" s="6" t="str">
        <f>IF(KENKO[[#This Row],[ID NOTA]]="","",HYPERLINK("[NOTA_.xlsx]NOTA!e"&amp;INDEX([2]!PAJAK[//],MATCH(KENKO[[#This Row],[ID NOTA]],[2]!PAJAK[ID],0)),"&gt;") )</f>
        <v/>
      </c>
      <c r="D146" s="6" t="str">
        <f>IF(KENKO[[#This Row],[ID NOTA]]="","",INDEX(Table1[QB],MATCH(KENKO[[#This Row],[ID NOTA]],Table1[ID],0)))</f>
        <v/>
      </c>
      <c r="E14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458</v>
      </c>
      <c r="F146" s="6"/>
      <c r="G146" s="3" t="str">
        <f>IF(KENKO[[#This Row],[ID NOTA]]="","",INDEX([2]!NOTA[TGL_H],MATCH(KENKO[[#This Row],[ID NOTA]],[2]!NOTA[ID],0)))</f>
        <v/>
      </c>
      <c r="H146" s="3" t="str">
        <f>IF(KENKO[[#This Row],[ID NOTA]]="","",INDEX([2]!NOTA[TGL.NOTA],MATCH(KENKO[[#This Row],[ID NOTA]],[2]!NOTA[ID],0)))</f>
        <v/>
      </c>
      <c r="I146" s="18" t="str">
        <f>IF(KENKO[[#This Row],[ID NOTA]]="","",INDEX([2]!NOTA[NO.NOTA],MATCH(KENKO[[#This Row],[ID NOTA]],[2]!NOTA[ID],0)))</f>
        <v/>
      </c>
      <c r="J146" s="4" t="str">
        <f ca="1">IF(KENKO[[#This Row],[//]]="","",INDEX([4]!db[NB PAJAK],KENKO[[#This Row],[stt]]-1))</f>
        <v>ISI CUTTER 18 MM KENKO L-150 (BESAR)</v>
      </c>
      <c r="K146" s="6" t="str">
        <f>""</f>
        <v/>
      </c>
      <c r="L146" s="6">
        <f ca="1">IF(KENKO[[#This Row],[//]]="","",IF(INDEX([2]!NOTA[QTY],KENKO[//]-2)="",INDEX([2]!NOTA[C],KENKO[//]-2),INDEX([2]!NOTA[QTY],KENKO[//]-2)))</f>
        <v>3</v>
      </c>
      <c r="M146" s="6" t="str">
        <f ca="1">IF(KENKO[[#This Row],[//]]="","",IF(INDEX([2]!NOTA[STN],KENKO[//]-2)="","CTN",INDEX([2]!NOTA[STN],KENKO[//]-2)))</f>
        <v>CTN</v>
      </c>
      <c r="N146" s="5">
        <f ca="1">IF(KENKO[[#This Row],[//]]="","",IF(INDEX([2]!NOTA[HARGA/ CTN],KENKO[[#This Row],[//]]-2)="",INDEX([2]!NOTA[HARGA SATUAN],KENKO[//]-2),INDEX([2]!NOTA[HARGA/ CTN],KENKO[[#This Row],[//]]-2)))</f>
        <v>3888000</v>
      </c>
      <c r="O146" s="7" t="str">
        <f ca="1">IF(KENKO[[#This Row],[//]]="","",IF(INDEX([2]!NOTA[DISC 2],KENKO[[#This Row],[//]]-2)=0,"",INDEX([2]!NOTA[DISC 2],KENKO[[#This Row],[//]]-2)))</f>
        <v/>
      </c>
      <c r="P146" s="7"/>
      <c r="Q146" s="5">
        <f ca="1">IF(KENKO[[#This Row],[//]]="","",INDEX([2]!NOTA[JUMLAH],KENKO[[#This Row],[//]]-2)-IF(ISNUMBER(KENKO[[#This Row],[DISC 1 (%)]]),INDEX([2]!NOTA[JUMLAH],KENKO[[#This Row],[//]]-2)*KENKO[[#This Row],[DISC 1 (%)]],0))</f>
        <v>11664000</v>
      </c>
      <c r="R1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4" t="str">
        <f ca="1">IF(KENKO[[#This Row],[//]]="","",INDEX([2]!NOTA[NAMA BARANG],KENKO[[#This Row],[//]]-2))</f>
        <v>KENKO CUTTER BLADE L-150 (18MM)</v>
      </c>
      <c r="V146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46" s="6">
        <f ca="1">IF(KENKO[[#This Row],[concat]]="","",MATCH(KENKO[[#This Row],[concat]],[4]!db[NB NOTA_C],0)+1)</f>
        <v>1084</v>
      </c>
      <c r="X146" s="4" t="str">
        <f ca="1">IF(KENKO[[#This Row],[N.B.nota]]="","",ADDRESS(ROW(KENKO[QB]),COLUMN(KENKO[QB]))&amp;":"&amp;ADDRESS(ROW(),COLUMN(KENKO[QB])))</f>
        <v>$D$3:$D$146</v>
      </c>
      <c r="Y146" s="13" t="str">
        <f ca="1">IF(KENKO[[#This Row],[//]]="","",HYPERLINK("[..\\DB.xlsx]DB!e"&amp;KENKO[[#This Row],[stt]],"&gt;"))</f>
        <v>&gt;</v>
      </c>
      <c r="Z146" s="4">
        <f ca="1">IF(KENKO[[#This Row],[//]]="","",IF(KENKO[[#This Row],[ID NOTA]]="",Z144,KENKO[[#This Row],[ID NOTA]]))</f>
        <v>83</v>
      </c>
    </row>
    <row r="147" spans="1:26" ht="15" customHeight="1" x14ac:dyDescent="0.25">
      <c r="A147" s="4"/>
      <c r="B147" s="6" t="str">
        <f>IF(KENKO[[#This Row],[N_ID]]="","",INDEX(Table1[ID],MATCH(KENKO[[#This Row],[N_ID]],Table1[N_ID],0)))</f>
        <v/>
      </c>
      <c r="C147" s="6" t="str">
        <f>IF(KENKO[[#This Row],[ID NOTA]]="","",HYPERLINK("[NOTA_.xlsx]NOTA!e"&amp;INDEX([2]!PAJAK[//],MATCH(KENKO[[#This Row],[ID NOTA]],[2]!PAJAK[ID],0)),"&gt;") )</f>
        <v/>
      </c>
      <c r="D147" s="6" t="str">
        <f>IF(KENKO[[#This Row],[ID NOTA]]="","",INDEX(Table1[QB],MATCH(KENKO[[#This Row],[ID NOTA]],Table1[ID],0)))</f>
        <v/>
      </c>
      <c r="E14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459</v>
      </c>
      <c r="F147" s="6"/>
      <c r="G147" s="3" t="str">
        <f>IF(KENKO[[#This Row],[ID NOTA]]="","",INDEX([2]!NOTA[TGL_H],MATCH(KENKO[[#This Row],[ID NOTA]],[2]!NOTA[ID],0)))</f>
        <v/>
      </c>
      <c r="H147" s="3" t="str">
        <f>IF(KENKO[[#This Row],[ID NOTA]]="","",INDEX([2]!NOTA[TGL.NOTA],MATCH(KENKO[[#This Row],[ID NOTA]],[2]!NOTA[ID],0)))</f>
        <v/>
      </c>
      <c r="I147" s="18" t="str">
        <f>IF(KENKO[[#This Row],[ID NOTA]]="","",INDEX([2]!NOTA[NO.NOTA],MATCH(KENKO[[#This Row],[ID NOTA]],[2]!NOTA[ID],0)))</f>
        <v/>
      </c>
      <c r="J147" s="4" t="str">
        <f ca="1">IF(KENKO[[#This Row],[//]]="","",INDEX([4]!db[NB PAJAK],KENKO[[#This Row],[stt]]-1))</f>
        <v>CUTTER 9 MM KENKO A-300 (KECIL)</v>
      </c>
      <c r="K147" s="6" t="str">
        <f>""</f>
        <v/>
      </c>
      <c r="L147" s="6">
        <f ca="1">IF(KENKO[[#This Row],[//]]="","",IF(INDEX([2]!NOTA[QTY],KENKO[//]-2)="",INDEX([2]!NOTA[C],KENKO[//]-2),INDEX([2]!NOTA[QTY],KENKO[//]-2)))</f>
        <v>5</v>
      </c>
      <c r="M147" s="6" t="str">
        <f ca="1">IF(KENKO[[#This Row],[//]]="","",IF(INDEX([2]!NOTA[STN],KENKO[//]-2)="","CTN",INDEX([2]!NOTA[STN],KENKO[//]-2)))</f>
        <v>CTN</v>
      </c>
      <c r="N147" s="5">
        <f ca="1">IF(KENKO[[#This Row],[//]]="","",IF(INDEX([2]!NOTA[HARGA/ CTN],KENKO[[#This Row],[//]]-2)="",INDEX([2]!NOTA[HARGA SATUAN],KENKO[//]-2),INDEX([2]!NOTA[HARGA/ CTN],KENKO[[#This Row],[//]]-2)))</f>
        <v>1710000</v>
      </c>
      <c r="O147" s="7" t="str">
        <f ca="1">IF(KENKO[[#This Row],[//]]="","",IF(INDEX([2]!NOTA[DISC 2],KENKO[[#This Row],[//]]-2)=0,"",INDEX([2]!NOTA[DISC 2],KENKO[[#This Row],[//]]-2)))</f>
        <v/>
      </c>
      <c r="P147" s="7"/>
      <c r="Q147" s="5">
        <f ca="1">IF(KENKO[[#This Row],[//]]="","",INDEX([2]!NOTA[JUMLAH],KENKO[[#This Row],[//]]-2)-IF(ISNUMBER(KENKO[[#This Row],[DISC 1 (%)]]),INDEX([2]!NOTA[JUMLAH],KENKO[[#This Row],[//]]-2)*KENKO[[#This Row],[DISC 1 (%)]],0))</f>
        <v>8550000</v>
      </c>
      <c r="R147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4875804</v>
      </c>
      <c r="S147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23805396</v>
      </c>
      <c r="T1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4" t="str">
        <f ca="1">IF(KENKO[[#This Row],[//]]="","",INDEX([2]!NOTA[NAMA BARANG],KENKO[[#This Row],[//]]-2))</f>
        <v>KENKO CUTTER A-300 (9MM BLADE)</v>
      </c>
      <c r="V147" s="4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47" s="6">
        <f ca="1">IF(KENKO[[#This Row],[concat]]="","",MATCH(KENKO[[#This Row],[concat]],[4]!db[NB NOTA_C],0)+1)</f>
        <v>1082</v>
      </c>
      <c r="X147" s="4" t="str">
        <f ca="1">IF(KENKO[[#This Row],[N.B.nota]]="","",ADDRESS(ROW(KENKO[QB]),COLUMN(KENKO[QB]))&amp;":"&amp;ADDRESS(ROW(),COLUMN(KENKO[QB])))</f>
        <v>$D$3:$D$147</v>
      </c>
      <c r="Y147" s="13" t="str">
        <f ca="1">IF(KENKO[[#This Row],[//]]="","",HYPERLINK("[..\\DB.xlsx]DB!e"&amp;KENKO[[#This Row],[stt]],"&gt;"))</f>
        <v>&gt;</v>
      </c>
      <c r="Z147" s="4">
        <f ca="1">IF(KENKO[[#This Row],[//]]="","",IF(KENKO[[#This Row],[ID NOTA]]="",Z144,KENKO[[#This Row],[ID NOTA]]))</f>
        <v>83</v>
      </c>
    </row>
    <row r="148" spans="1:26" ht="15" customHeight="1" x14ac:dyDescent="0.25">
      <c r="A148" s="4"/>
      <c r="B148" s="6" t="str">
        <f>IF(KENKO[[#This Row],[N_ID]]="","",INDEX(Table1[ID],MATCH(KENKO[[#This Row],[N_ID]],Table1[N_ID],0)))</f>
        <v/>
      </c>
      <c r="C148" s="6" t="str">
        <f>IF(KENKO[[#This Row],[ID NOTA]]="","",HYPERLINK("[NOTA_.xlsx]NOTA!e"&amp;INDEX([2]!PAJAK[//],MATCH(KENKO[[#This Row],[ID NOTA]],[2]!PAJAK[ID],0)),"&gt;") )</f>
        <v/>
      </c>
      <c r="D148" s="6" t="str">
        <f>IF(KENKO[[#This Row],[ID NOTA]]="","",INDEX(Table1[QB],MATCH(KENKO[[#This Row],[ID NOTA]],Table1[ID],0)))</f>
        <v/>
      </c>
      <c r="E1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8" s="6"/>
      <c r="G148" s="3" t="str">
        <f>IF(KENKO[[#This Row],[ID NOTA]]="","",INDEX([2]!NOTA[TGL_H],MATCH(KENKO[[#This Row],[ID NOTA]],[2]!NOTA[ID],0)))</f>
        <v/>
      </c>
      <c r="H148" s="3" t="str">
        <f>IF(KENKO[[#This Row],[ID NOTA]]="","",INDEX([2]!NOTA[TGL.NOTA],MATCH(KENKO[[#This Row],[ID NOTA]],[2]!NOTA[ID],0)))</f>
        <v/>
      </c>
      <c r="I148" s="18" t="str">
        <f>IF(KENKO[[#This Row],[ID NOTA]]="","",INDEX([2]!NOTA[NO.NOTA],MATCH(KENKO[[#This Row],[ID NOTA]],[2]!NOTA[ID],0)))</f>
        <v/>
      </c>
      <c r="J148" s="4" t="str">
        <f ca="1">IF(KENKO[[#This Row],[//]]="","",INDEX([4]!db[NB PAJAK],KENKO[[#This Row],[stt]]-1))</f>
        <v/>
      </c>
      <c r="K148" s="6" t="str">
        <f>""</f>
        <v/>
      </c>
      <c r="L148" s="6" t="str">
        <f ca="1">IF(KENKO[[#This Row],[//]]="","",IF(INDEX([2]!NOTA[QTY],KENKO[//]-2)="",INDEX([2]!NOTA[C],KENKO[//]-2),INDEX([2]!NOTA[QTY],KENKO[//]-2)))</f>
        <v/>
      </c>
      <c r="M148" s="6" t="str">
        <f ca="1">IF(KENKO[[#This Row],[//]]="","",IF(INDEX([2]!NOTA[STN],KENKO[//]-2)="","CTN",INDEX([2]!NOTA[STN],KENKO[//]-2)))</f>
        <v/>
      </c>
      <c r="N148" s="5" t="str">
        <f ca="1">IF(KENKO[[#This Row],[//]]="","",IF(INDEX([2]!NOTA[HARGA/ CTN],KENKO[[#This Row],[//]]-2)="",INDEX([2]!NOTA[HARGA SATUAN],KENKO[//]-2),INDEX([2]!NOTA[HARGA/ CTN],KENKO[[#This Row],[//]]-2)))</f>
        <v/>
      </c>
      <c r="O148" s="7" t="str">
        <f ca="1">IF(KENKO[[#This Row],[//]]="","",IF(INDEX([2]!NOTA[DISC 2],KENKO[[#This Row],[//]]-2)=0,"",INDEX([2]!NOTA[DISC 2],KENKO[[#This Row],[//]]-2)))</f>
        <v/>
      </c>
      <c r="P148" s="7"/>
      <c r="Q14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4" t="str">
        <f ca="1">IF(KENKO[[#This Row],[//]]="","",INDEX([2]!NOTA[NAMA BARANG],KENKO[[#This Row],[//]]-2))</f>
        <v/>
      </c>
      <c r="V148" s="4" t="str">
        <f ca="1">LOWER(SUBSTITUTE(SUBSTITUTE(SUBSTITUTE(SUBSTITUTE(SUBSTITUTE(SUBSTITUTE(SUBSTITUTE(SUBSTITUTE(KENKO[[#This Row],[N.B.nota]]," ",""),"-",""),"(",""),")",""),".",""),",",""),"/",""),"""",""))</f>
        <v/>
      </c>
      <c r="W148" s="6" t="str">
        <f ca="1">IF(KENKO[[#This Row],[concat]]="","",MATCH(KENKO[[#This Row],[concat]],[4]!db[NB NOTA_C],0)+1)</f>
        <v/>
      </c>
      <c r="X148" s="4" t="str">
        <f ca="1">IF(KENKO[[#This Row],[N.B.nota]]="","",ADDRESS(ROW(KENKO[QB]),COLUMN(KENKO[QB]))&amp;":"&amp;ADDRESS(ROW(),COLUMN(KENKO[QB])))</f>
        <v/>
      </c>
      <c r="Y148" s="13" t="str">
        <f ca="1">IF(KENKO[[#This Row],[//]]="","",HYPERLINK("[..\\DB.xlsx]DB!e"&amp;KENKO[[#This Row],[stt]],"&gt;"))</f>
        <v/>
      </c>
      <c r="Z148" s="4" t="str">
        <f ca="1">IF(KENKO[[#This Row],[//]]="","",IF(KENKO[[#This Row],[ID NOTA]]="",Z144,KENKO[[#This Row],[ID NOTA]]))</f>
        <v/>
      </c>
    </row>
    <row r="149" spans="1:26" ht="15" customHeight="1" x14ac:dyDescent="0.25">
      <c r="A149" s="4" t="s">
        <v>95</v>
      </c>
      <c r="B149" s="6">
        <f ca="1">IF(KENKO[[#This Row],[N_ID]]="","",INDEX(Table1[ID],MATCH(KENKO[[#This Row],[N_ID]],Table1[N_ID],0)))</f>
        <v>109</v>
      </c>
      <c r="C149" s="6" t="str">
        <f ca="1">IF(KENKO[[#This Row],[ID NOTA]]="","",HYPERLINK("[NOTA_.xlsx]NOTA!e"&amp;INDEX([2]!PAJAK[//],MATCH(KENKO[[#This Row],[ID NOTA]],[2]!PAJAK[ID],0)),"&gt;") )</f>
        <v>&gt;</v>
      </c>
      <c r="D149" s="6">
        <f ca="1">IF(KENKO[[#This Row],[ID NOTA]]="","",INDEX(Table1[QB],MATCH(KENKO[[#This Row],[ID NOTA]],Table1[ID],0)))</f>
        <v>5</v>
      </c>
      <c r="E14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640</v>
      </c>
      <c r="F149" s="6">
        <v>21</v>
      </c>
      <c r="G149" s="3">
        <f ca="1">IF(KENKO[[#This Row],[ID NOTA]]="","",INDEX([2]!NOTA[TGL_H],MATCH(KENKO[[#This Row],[ID NOTA]],[2]!NOTA[ID],0)))</f>
        <v>44827</v>
      </c>
      <c r="H149" s="3">
        <f ca="1">IF(KENKO[[#This Row],[ID NOTA]]="","",INDEX([2]!NOTA[TGL.NOTA],MATCH(KENKO[[#This Row],[ID NOTA]],[2]!NOTA[ID],0)))</f>
        <v>44823</v>
      </c>
      <c r="I149" s="18" t="str">
        <f ca="1">IF(KENKO[[#This Row],[ID NOTA]]="","",INDEX([2]!NOTA[NO.NOTA],MATCH(KENKO[[#This Row],[ID NOTA]],[2]!NOTA[ID],0)))</f>
        <v>22091531</v>
      </c>
      <c r="J149" s="4" t="str">
        <f ca="1">IF(KENKO[[#This Row],[//]]="","",INDEX([4]!db[NB PAJAK],KENKO[[#This Row],[stt]]-1))</f>
        <v>CORRECTION TAPE KENKO CT-202N (6M x 5MM)</v>
      </c>
      <c r="K149" s="6" t="str">
        <f>""</f>
        <v/>
      </c>
      <c r="L149" s="6">
        <f ca="1">IF(KENKO[[#This Row],[//]]="","",IF(INDEX([2]!NOTA[QTY],KENKO[//]-2)="",INDEX([2]!NOTA[C],KENKO[//]-2),INDEX([2]!NOTA[QTY],KENKO[//]-2)))</f>
        <v>2</v>
      </c>
      <c r="M149" s="6" t="str">
        <f ca="1">IF(KENKO[[#This Row],[//]]="","",IF(INDEX([2]!NOTA[STN],KENKO[//]-2)="","CTN",INDEX([2]!NOTA[STN],KENKO[//]-2)))</f>
        <v>CTN</v>
      </c>
      <c r="N149" s="5">
        <f ca="1">IF(KENKO[[#This Row],[//]]="","",IF(INDEX([2]!NOTA[HARGA/ CTN],KENKO[[#This Row],[//]]-2)="",INDEX([2]!NOTA[HARGA SATUAN],KENKO[//]-2),INDEX([2]!NOTA[HARGA/ CTN],KENKO[[#This Row],[//]]-2)))</f>
        <v>2095200</v>
      </c>
      <c r="O149" s="7" t="str">
        <f ca="1">IF(KENKO[[#This Row],[//]]="","",IF(INDEX([2]!NOTA[DISC 2],KENKO[[#This Row],[//]]-2)=0,"",INDEX([2]!NOTA[DISC 2],KENKO[[#This Row],[//]]-2)))</f>
        <v/>
      </c>
      <c r="P149" s="7"/>
      <c r="Q149" s="5">
        <f ca="1">IF(KENKO[[#This Row],[//]]="","",INDEX([2]!NOTA[JUMLAH],KENKO[[#This Row],[//]]-2)-IF(ISNUMBER(KENKO[[#This Row],[DISC 1 (%)]]),INDEX([2]!NOTA[JUMLAH],KENKO[[#This Row],[//]]-2)*KENKO[[#This Row],[DISC 1 (%)]],0))</f>
        <v>4190400</v>
      </c>
      <c r="R1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4" t="str">
        <f ca="1">IF(KENKO[[#This Row],[//]]="","",INDEX([2]!NOTA[NAMA BARANG],KENKO[[#This Row],[//]]-2))</f>
        <v>KENKO CORRECTION TAPE CT-202N (6M X 5MM)</v>
      </c>
      <c r="V149" s="4" t="str">
        <f ca="1">LOWER(SUBSTITUTE(SUBSTITUTE(SUBSTITUTE(SUBSTITUTE(SUBSTITUTE(SUBSTITUTE(SUBSTITUTE(SUBSTITUTE(KENKO[[#This Row],[N.B.nota]]," ",""),"-",""),"(",""),")",""),".",""),",",""),"/",""),"""",""))</f>
        <v>kenkocorrectiontapect202n6mx5mm</v>
      </c>
      <c r="W149" s="6">
        <f ca="1">IF(KENKO[[#This Row],[concat]]="","",MATCH(KENKO[[#This Row],[concat]],[4]!db[NB NOTA_C],0)+1)</f>
        <v>1064</v>
      </c>
      <c r="X149" s="4" t="str">
        <f ca="1">IF(KENKO[[#This Row],[N.B.nota]]="","",ADDRESS(ROW(KENKO[QB]),COLUMN(KENKO[QB]))&amp;":"&amp;ADDRESS(ROW(),COLUMN(KENKO[QB])))</f>
        <v>$D$3:$D$149</v>
      </c>
      <c r="Y149" s="13" t="str">
        <f ca="1">IF(KENKO[[#This Row],[//]]="","",HYPERLINK("[..\\DB.xlsx]DB!e"&amp;KENKO[[#This Row],[stt]],"&gt;"))</f>
        <v>&gt;</v>
      </c>
      <c r="Z149" s="4">
        <f ca="1">IF(KENKO[[#This Row],[//]]="","",IF(KENKO[[#This Row],[ID NOTA]]="",Z144,KENKO[[#This Row],[ID NOTA]]))</f>
        <v>109</v>
      </c>
    </row>
    <row r="150" spans="1:26" ht="15" customHeight="1" x14ac:dyDescent="0.25">
      <c r="A150" s="4"/>
      <c r="B150" s="6" t="str">
        <f>IF(KENKO[[#This Row],[N_ID]]="","",INDEX(Table1[ID],MATCH(KENKO[[#This Row],[N_ID]],Table1[N_ID],0)))</f>
        <v/>
      </c>
      <c r="C150" s="6" t="str">
        <f>IF(KENKO[[#This Row],[ID NOTA]]="","",HYPERLINK("[NOTA_.xlsx]NOTA!e"&amp;INDEX([2]!PAJAK[//],MATCH(KENKO[[#This Row],[ID NOTA]],[2]!PAJAK[ID],0)),"&gt;") )</f>
        <v/>
      </c>
      <c r="D150" s="6" t="str">
        <f>IF(KENKO[[#This Row],[ID NOTA]]="","",INDEX(Table1[QB],MATCH(KENKO[[#This Row],[ID NOTA]],Table1[ID],0)))</f>
        <v/>
      </c>
      <c r="E15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641</v>
      </c>
      <c r="F150" s="6"/>
      <c r="G150" s="3" t="str">
        <f>IF(KENKO[[#This Row],[ID NOTA]]="","",INDEX([2]!NOTA[TGL_H],MATCH(KENKO[[#This Row],[ID NOTA]],[2]!NOTA[ID],0)))</f>
        <v/>
      </c>
      <c r="H150" s="3" t="str">
        <f>IF(KENKO[[#This Row],[ID NOTA]]="","",INDEX([2]!NOTA[TGL.NOTA],MATCH(KENKO[[#This Row],[ID NOTA]],[2]!NOTA[ID],0)))</f>
        <v/>
      </c>
      <c r="I150" s="18" t="str">
        <f>IF(KENKO[[#This Row],[ID NOTA]]="","",INDEX([2]!NOTA[NO.NOTA],MATCH(KENKO[[#This Row],[ID NOTA]],[2]!NOTA[ID],0)))</f>
        <v/>
      </c>
      <c r="J150" s="4" t="str">
        <f ca="1">IF(KENKO[[#This Row],[//]]="","",INDEX([4]!db[NB PAJAK],KENKO[[#This Row],[stt]]-1))</f>
        <v>CORRECTION TAPE KENKO CT-210SL (6M x 5MM)</v>
      </c>
      <c r="K150" s="6" t="str">
        <f>""</f>
        <v/>
      </c>
      <c r="L150" s="6">
        <f ca="1">IF(KENKO[[#This Row],[//]]="","",IF(INDEX([2]!NOTA[QTY],KENKO[//]-2)="",INDEX([2]!NOTA[C],KENKO[//]-2),INDEX([2]!NOTA[QTY],KENKO[//]-2)))</f>
        <v>2</v>
      </c>
      <c r="M150" s="6" t="str">
        <f ca="1">IF(KENKO[[#This Row],[//]]="","",IF(INDEX([2]!NOTA[STN],KENKO[//]-2)="","CTN",INDEX([2]!NOTA[STN],KENKO[//]-2)))</f>
        <v>CTN</v>
      </c>
      <c r="N150" s="5">
        <f ca="1">IF(KENKO[[#This Row],[//]]="","",IF(INDEX([2]!NOTA[HARGA/ CTN],KENKO[[#This Row],[//]]-2)="",INDEX([2]!NOTA[HARGA SATUAN],KENKO[//]-2),INDEX([2]!NOTA[HARGA/ CTN],KENKO[[#This Row],[//]]-2)))</f>
        <v>2116800</v>
      </c>
      <c r="O150" s="7" t="str">
        <f ca="1">IF(KENKO[[#This Row],[//]]="","",IF(INDEX([2]!NOTA[DISC 2],KENKO[[#This Row],[//]]-2)=0,"",INDEX([2]!NOTA[DISC 2],KENKO[[#This Row],[//]]-2)))</f>
        <v/>
      </c>
      <c r="P150" s="7"/>
      <c r="Q150" s="5">
        <f ca="1">IF(KENKO[[#This Row],[//]]="","",INDEX([2]!NOTA[JUMLAH],KENKO[[#This Row],[//]]-2)-IF(ISNUMBER(KENKO[[#This Row],[DISC 1 (%)]]),INDEX([2]!NOTA[JUMLAH],KENKO[[#This Row],[//]]-2)*KENKO[[#This Row],[DISC 1 (%)]],0))</f>
        <v>4233600</v>
      </c>
      <c r="R1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4" t="str">
        <f ca="1">IF(KENKO[[#This Row],[//]]="","",INDEX([2]!NOTA[NAMA BARANG],KENKO[[#This Row],[//]]-2))</f>
        <v>KENKO CORRECTION TAPE CT-210SL (6M X 5MM)</v>
      </c>
      <c r="V150" s="4" t="str">
        <f ca="1">LOWER(SUBSTITUTE(SUBSTITUTE(SUBSTITUTE(SUBSTITUTE(SUBSTITUTE(SUBSTITUTE(SUBSTITUTE(SUBSTITUTE(KENKO[[#This Row],[N.B.nota]]," ",""),"-",""),"(",""),")",""),".",""),",",""),"/",""),"""",""))</f>
        <v>kenkocorrectiontapect210sl6mx5mm</v>
      </c>
      <c r="W150" s="6">
        <f ca="1">IF(KENKO[[#This Row],[concat]]="","",MATCH(KENKO[[#This Row],[concat]],[4]!db[NB NOTA_C],0)+1)</f>
        <v>1065</v>
      </c>
      <c r="X150" s="4" t="str">
        <f ca="1">IF(KENKO[[#This Row],[N.B.nota]]="","",ADDRESS(ROW(KENKO[QB]),COLUMN(KENKO[QB]))&amp;":"&amp;ADDRESS(ROW(),COLUMN(KENKO[QB])))</f>
        <v>$D$3:$D$150</v>
      </c>
      <c r="Y150" s="13" t="str">
        <f ca="1">IF(KENKO[[#This Row],[//]]="","",HYPERLINK("[..\\DB.xlsx]DB!e"&amp;KENKO[[#This Row],[stt]],"&gt;"))</f>
        <v>&gt;</v>
      </c>
      <c r="Z150" s="4">
        <f ca="1">IF(KENKO[[#This Row],[//]]="","",IF(KENKO[[#This Row],[ID NOTA]]="",Z149,KENKO[[#This Row],[ID NOTA]]))</f>
        <v>109</v>
      </c>
    </row>
    <row r="151" spans="1:26" ht="15" customHeight="1" x14ac:dyDescent="0.25">
      <c r="A151" s="4"/>
      <c r="B151" s="6" t="str">
        <f>IF(KENKO[[#This Row],[N_ID]]="","",INDEX(Table1[ID],MATCH(KENKO[[#This Row],[N_ID]],Table1[N_ID],0)))</f>
        <v/>
      </c>
      <c r="C151" s="6" t="str">
        <f>IF(KENKO[[#This Row],[ID NOTA]]="","",HYPERLINK("[NOTA_.xlsx]NOTA!e"&amp;INDEX([2]!PAJAK[//],MATCH(KENKO[[#This Row],[ID NOTA]],[2]!PAJAK[ID],0)),"&gt;") )</f>
        <v/>
      </c>
      <c r="D151" s="6" t="str">
        <f>IF(KENKO[[#This Row],[ID NOTA]]="","",INDEX(Table1[QB],MATCH(KENKO[[#This Row],[ID NOTA]],Table1[ID],0)))</f>
        <v/>
      </c>
      <c r="E15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642</v>
      </c>
      <c r="F151" s="6"/>
      <c r="G151" s="3" t="str">
        <f>IF(KENKO[[#This Row],[ID NOTA]]="","",INDEX([2]!NOTA[TGL_H],MATCH(KENKO[[#This Row],[ID NOTA]],[2]!NOTA[ID],0)))</f>
        <v/>
      </c>
      <c r="H151" s="3" t="str">
        <f>IF(KENKO[[#This Row],[ID NOTA]]="","",INDEX([2]!NOTA[TGL.NOTA],MATCH(KENKO[[#This Row],[ID NOTA]],[2]!NOTA[ID],0)))</f>
        <v/>
      </c>
      <c r="I151" s="18" t="str">
        <f>IF(KENKO[[#This Row],[ID NOTA]]="","",INDEX([2]!NOTA[NO.NOTA],MATCH(KENKO[[#This Row],[ID NOTA]],[2]!NOTA[ID],0)))</f>
        <v/>
      </c>
      <c r="J151" s="4" t="str">
        <f ca="1">IF(KENKO[[#This Row],[//]]="","",INDEX([4]!db[NB PAJAK],KENKO[[#This Row],[stt]]-1))</f>
        <v>CORRECTION TAPE KENKO CT-309 (12M x 5MM)</v>
      </c>
      <c r="K151" s="6" t="str">
        <f>""</f>
        <v/>
      </c>
      <c r="L151" s="6">
        <f ca="1">IF(KENKO[[#This Row],[//]]="","",IF(INDEX([2]!NOTA[QTY],KENKO[//]-2)="",INDEX([2]!NOTA[C],KENKO[//]-2),INDEX([2]!NOTA[QTY],KENKO[//]-2)))</f>
        <v>2</v>
      </c>
      <c r="M151" s="6" t="str">
        <f ca="1">IF(KENKO[[#This Row],[//]]="","",IF(INDEX([2]!NOTA[STN],KENKO[//]-2)="","CTN",INDEX([2]!NOTA[STN],KENKO[//]-2)))</f>
        <v>CTN</v>
      </c>
      <c r="N151" s="5">
        <f ca="1">IF(KENKO[[#This Row],[//]]="","",IF(INDEX([2]!NOTA[HARGA/ CTN],KENKO[[#This Row],[//]]-2)="",INDEX([2]!NOTA[HARGA SATUAN],KENKO[//]-2),INDEX([2]!NOTA[HARGA/ CTN],KENKO[[#This Row],[//]]-2)))</f>
        <v>3916800</v>
      </c>
      <c r="O151" s="7" t="str">
        <f ca="1">IF(KENKO[[#This Row],[//]]="","",IF(INDEX([2]!NOTA[DISC 2],KENKO[[#This Row],[//]]-2)=0,"",INDEX([2]!NOTA[DISC 2],KENKO[[#This Row],[//]]-2)))</f>
        <v/>
      </c>
      <c r="P151" s="7"/>
      <c r="Q151" s="5">
        <f ca="1">IF(KENKO[[#This Row],[//]]="","",INDEX([2]!NOTA[JUMLAH],KENKO[[#This Row],[//]]-2)-IF(ISNUMBER(KENKO[[#This Row],[DISC 1 (%)]]),INDEX([2]!NOTA[JUMLAH],KENKO[[#This Row],[//]]-2)*KENKO[[#This Row],[DISC 1 (%)]],0))</f>
        <v>7833600</v>
      </c>
      <c r="R1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4" t="str">
        <f ca="1">IF(KENKO[[#This Row],[//]]="","",INDEX([2]!NOTA[NAMA BARANG],KENKO[[#This Row],[//]]-2))</f>
        <v>KENKO CORRECTION TAPE CT-309 (12M X 5MM)</v>
      </c>
      <c r="V151" s="4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151" s="6">
        <f ca="1">IF(KENKO[[#This Row],[concat]]="","",MATCH(KENKO[[#This Row],[concat]],[4]!db[NB NOTA_C],0)+1)</f>
        <v>1068</v>
      </c>
      <c r="X151" s="4" t="str">
        <f ca="1">IF(KENKO[[#This Row],[N.B.nota]]="","",ADDRESS(ROW(KENKO[QB]),COLUMN(KENKO[QB]))&amp;":"&amp;ADDRESS(ROW(),COLUMN(KENKO[QB])))</f>
        <v>$D$3:$D$151</v>
      </c>
      <c r="Y151" s="13" t="str">
        <f ca="1">IF(KENKO[[#This Row],[//]]="","",HYPERLINK("[..\\DB.xlsx]DB!e"&amp;KENKO[[#This Row],[stt]],"&gt;"))</f>
        <v>&gt;</v>
      </c>
      <c r="Z151" s="4">
        <f ca="1">IF(KENKO[[#This Row],[//]]="","",IF(KENKO[[#This Row],[ID NOTA]]="",Z150,KENKO[[#This Row],[ID NOTA]]))</f>
        <v>109</v>
      </c>
    </row>
    <row r="152" spans="1:26" ht="15" customHeight="1" x14ac:dyDescent="0.25">
      <c r="A152" s="4"/>
      <c r="B152" s="6" t="str">
        <f>IF(KENKO[[#This Row],[N_ID]]="","",INDEX(Table1[ID],MATCH(KENKO[[#This Row],[N_ID]],Table1[N_ID],0)))</f>
        <v/>
      </c>
      <c r="C152" s="6" t="str">
        <f>IF(KENKO[[#This Row],[ID NOTA]]="","",HYPERLINK("[NOTA_.xlsx]NOTA!e"&amp;INDEX([2]!PAJAK[//],MATCH(KENKO[[#This Row],[ID NOTA]],[2]!PAJAK[ID],0)),"&gt;") )</f>
        <v/>
      </c>
      <c r="D152" s="6" t="str">
        <f>IF(KENKO[[#This Row],[ID NOTA]]="","",INDEX(Table1[QB],MATCH(KENKO[[#This Row],[ID NOTA]],Table1[ID],0)))</f>
        <v/>
      </c>
      <c r="E15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643</v>
      </c>
      <c r="F152" s="6"/>
      <c r="G152" s="3" t="str">
        <f>IF(KENKO[[#This Row],[ID NOTA]]="","",INDEX([2]!NOTA[TGL_H],MATCH(KENKO[[#This Row],[ID NOTA]],[2]!NOTA[ID],0)))</f>
        <v/>
      </c>
      <c r="H152" s="3" t="str">
        <f>IF(KENKO[[#This Row],[ID NOTA]]="","",INDEX([2]!NOTA[TGL.NOTA],MATCH(KENKO[[#This Row],[ID NOTA]],[2]!NOTA[ID],0)))</f>
        <v/>
      </c>
      <c r="I152" s="18" t="str">
        <f>IF(KENKO[[#This Row],[ID NOTA]]="","",INDEX([2]!NOTA[NO.NOTA],MATCH(KENKO[[#This Row],[ID NOTA]],[2]!NOTA[ID],0)))</f>
        <v/>
      </c>
      <c r="J152" s="4" t="str">
        <f ca="1">IF(KENKO[[#This Row],[//]]="","",INDEX([4]!db[NB PAJAK],KENKO[[#This Row],[stt]]-1))</f>
        <v>CORRECTION TAPE KENKO CT-310SL (12M x 5MM)</v>
      </c>
      <c r="K152" s="6" t="str">
        <f>""</f>
        <v/>
      </c>
      <c r="L152" s="6">
        <f ca="1">IF(KENKO[[#This Row],[//]]="","",IF(INDEX([2]!NOTA[QTY],KENKO[//]-2)="",INDEX([2]!NOTA[C],KENKO[//]-2),INDEX([2]!NOTA[QTY],KENKO[//]-2)))</f>
        <v>2</v>
      </c>
      <c r="M152" s="6" t="str">
        <f ca="1">IF(KENKO[[#This Row],[//]]="","",IF(INDEX([2]!NOTA[STN],KENKO[//]-2)="","CTN",INDEX([2]!NOTA[STN],KENKO[//]-2)))</f>
        <v>CTN</v>
      </c>
      <c r="N152" s="5">
        <f ca="1">IF(KENKO[[#This Row],[//]]="","",IF(INDEX([2]!NOTA[HARGA/ CTN],KENKO[[#This Row],[//]]-2)="",INDEX([2]!NOTA[HARGA SATUAN],KENKO[//]-2),INDEX([2]!NOTA[HARGA/ CTN],KENKO[[#This Row],[//]]-2)))</f>
        <v>4032000</v>
      </c>
      <c r="O152" s="7" t="str">
        <f ca="1">IF(KENKO[[#This Row],[//]]="","",IF(INDEX([2]!NOTA[DISC 2],KENKO[[#This Row],[//]]-2)=0,"",INDEX([2]!NOTA[DISC 2],KENKO[[#This Row],[//]]-2)))</f>
        <v/>
      </c>
      <c r="P152" s="7"/>
      <c r="Q152" s="5">
        <f ca="1">IF(KENKO[[#This Row],[//]]="","",INDEX([2]!NOTA[JUMLAH],KENKO[[#This Row],[//]]-2)-IF(ISNUMBER(KENKO[[#This Row],[DISC 1 (%)]]),INDEX([2]!NOTA[JUMLAH],KENKO[[#This Row],[//]]-2)*KENKO[[#This Row],[DISC 1 (%)]],0))</f>
        <v>8064000</v>
      </c>
      <c r="R1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4" t="str">
        <f ca="1">IF(KENKO[[#This Row],[//]]="","",INDEX([2]!NOTA[NAMA BARANG],KENKO[[#This Row],[//]]-2))</f>
        <v>KENKO CORRECTION TAPE CT-310SL (12M X 5MM)</v>
      </c>
      <c r="V152" s="4" t="str">
        <f ca="1">LOWER(SUBSTITUTE(SUBSTITUTE(SUBSTITUTE(SUBSTITUTE(SUBSTITUTE(SUBSTITUTE(SUBSTITUTE(SUBSTITUTE(KENKO[[#This Row],[N.B.nota]]," ",""),"-",""),"(",""),")",""),".",""),",",""),"/",""),"""",""))</f>
        <v>kenkocorrectiontapect310sl12mx5mm</v>
      </c>
      <c r="W152" s="6">
        <f ca="1">IF(KENKO[[#This Row],[concat]]="","",MATCH(KENKO[[#This Row],[concat]],[4]!db[NB NOTA_C],0)+1)</f>
        <v>1069</v>
      </c>
      <c r="X152" s="4" t="str">
        <f ca="1">IF(KENKO[[#This Row],[N.B.nota]]="","",ADDRESS(ROW(KENKO[QB]),COLUMN(KENKO[QB]))&amp;":"&amp;ADDRESS(ROW(),COLUMN(KENKO[QB])))</f>
        <v>$D$3:$D$152</v>
      </c>
      <c r="Y152" s="13" t="str">
        <f ca="1">IF(KENKO[[#This Row],[//]]="","",HYPERLINK("[..\\DB.xlsx]DB!e"&amp;KENKO[[#This Row],[stt]],"&gt;"))</f>
        <v>&gt;</v>
      </c>
      <c r="Z152" s="4">
        <f ca="1">IF(KENKO[[#This Row],[//]]="","",IF(KENKO[[#This Row],[ID NOTA]]="",Z151,KENKO[[#This Row],[ID NOTA]]))</f>
        <v>109</v>
      </c>
    </row>
    <row r="153" spans="1:26" ht="15" customHeight="1" x14ac:dyDescent="0.25">
      <c r="A153" s="4"/>
      <c r="B153" s="6" t="str">
        <f>IF(KENKO[[#This Row],[N_ID]]="","",INDEX(Table1[ID],MATCH(KENKO[[#This Row],[N_ID]],Table1[N_ID],0)))</f>
        <v/>
      </c>
      <c r="C153" s="6" t="str">
        <f>IF(KENKO[[#This Row],[ID NOTA]]="","",HYPERLINK("[NOTA_.xlsx]NOTA!e"&amp;INDEX([2]!PAJAK[//],MATCH(KENKO[[#This Row],[ID NOTA]],[2]!PAJAK[ID],0)),"&gt;") )</f>
        <v/>
      </c>
      <c r="D153" s="6" t="str">
        <f>IF(KENKO[[#This Row],[ID NOTA]]="","",INDEX(Table1[QB],MATCH(KENKO[[#This Row],[ID NOTA]],Table1[ID],0)))</f>
        <v/>
      </c>
      <c r="E15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644</v>
      </c>
      <c r="F153" s="6"/>
      <c r="G153" s="3" t="str">
        <f>IF(KENKO[[#This Row],[ID NOTA]]="","",INDEX([2]!NOTA[TGL_H],MATCH(KENKO[[#This Row],[ID NOTA]],[2]!NOTA[ID],0)))</f>
        <v/>
      </c>
      <c r="H153" s="3" t="str">
        <f>IF(KENKO[[#This Row],[ID NOTA]]="","",INDEX([2]!NOTA[TGL.NOTA],MATCH(KENKO[[#This Row],[ID NOTA]],[2]!NOTA[ID],0)))</f>
        <v/>
      </c>
      <c r="I153" s="18" t="str">
        <f>IF(KENKO[[#This Row],[ID NOTA]]="","",INDEX([2]!NOTA[NO.NOTA],MATCH(KENKO[[#This Row],[ID NOTA]],[2]!NOTA[ID],0)))</f>
        <v/>
      </c>
      <c r="J153" s="4" t="str">
        <f ca="1">IF(KENKO[[#This Row],[//]]="","",INDEX([4]!db[NB PAJAK],KENKO[[#This Row],[stt]]-1))</f>
        <v>CORRECTION FLUID KENKO KE-301</v>
      </c>
      <c r="K153" s="6" t="str">
        <f>""</f>
        <v/>
      </c>
      <c r="L153" s="6">
        <f ca="1">IF(KENKO[[#This Row],[//]]="","",IF(INDEX([2]!NOTA[QTY],KENKO[//]-2)="",INDEX([2]!NOTA[C],KENKO[//]-2),INDEX([2]!NOTA[QTY],KENKO[//]-2)))</f>
        <v>2</v>
      </c>
      <c r="M153" s="6" t="str">
        <f ca="1">IF(KENKO[[#This Row],[//]]="","",IF(INDEX([2]!NOTA[STN],KENKO[//]-2)="","CTN",INDEX([2]!NOTA[STN],KENKO[//]-2)))</f>
        <v>CTN</v>
      </c>
      <c r="N153" s="5">
        <f ca="1">IF(KENKO[[#This Row],[//]]="","",IF(INDEX([2]!NOTA[HARGA/ CTN],KENKO[[#This Row],[//]]-2)="",INDEX([2]!NOTA[HARGA SATUAN],KENKO[//]-2),INDEX([2]!NOTA[HARGA/ CTN],KENKO[[#This Row],[//]]-2)))</f>
        <v>1922400</v>
      </c>
      <c r="O153" s="7" t="str">
        <f ca="1">IF(KENKO[[#This Row],[//]]="","",IF(INDEX([2]!NOTA[DISC 2],KENKO[[#This Row],[//]]-2)=0,"",INDEX([2]!NOTA[DISC 2],KENKO[[#This Row],[//]]-2)))</f>
        <v/>
      </c>
      <c r="P153" s="7"/>
      <c r="Q153" s="5">
        <f ca="1">IF(KENKO[[#This Row],[//]]="","",INDEX([2]!NOTA[JUMLAH],KENKO[[#This Row],[//]]-2)-IF(ISNUMBER(KENKO[[#This Row],[DISC 1 (%)]]),INDEX([2]!NOTA[JUMLAH],KENKO[[#This Row],[//]]-2)*KENKO[[#This Row],[DISC 1 (%)]],0))</f>
        <v>3844800</v>
      </c>
      <c r="R153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4788288</v>
      </c>
      <c r="S153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23378112</v>
      </c>
      <c r="T1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4" t="str">
        <f ca="1">IF(KENKO[[#This Row],[//]]="","",INDEX([2]!NOTA[NAMA BARANG],KENKO[[#This Row],[//]]-2))</f>
        <v>KENKO CORRECTION FLUID KE-301</v>
      </c>
      <c r="V153" s="4" t="str">
        <f ca="1">LOWER(SUBSTITUTE(SUBSTITUTE(SUBSTITUTE(SUBSTITUTE(SUBSTITUTE(SUBSTITUTE(SUBSTITUTE(SUBSTITUTE(KENKO[[#This Row],[N.B.nota]]," ",""),"-",""),"(",""),")",""),".",""),",",""),"/",""),"""",""))</f>
        <v>kenkocorrectionfluidke301</v>
      </c>
      <c r="W153" s="6">
        <f ca="1">IF(KENKO[[#This Row],[concat]]="","",MATCH(KENKO[[#This Row],[concat]],[4]!db[NB NOTA_C],0)+1)</f>
        <v>1058</v>
      </c>
      <c r="X153" s="4" t="str">
        <f ca="1">IF(KENKO[[#This Row],[N.B.nota]]="","",ADDRESS(ROW(KENKO[QB]),COLUMN(KENKO[QB]))&amp;":"&amp;ADDRESS(ROW(),COLUMN(KENKO[QB])))</f>
        <v>$D$3:$D$153</v>
      </c>
      <c r="Y153" s="13" t="str">
        <f ca="1">IF(KENKO[[#This Row],[//]]="","",HYPERLINK("[..\\DB.xlsx]DB!e"&amp;KENKO[[#This Row],[stt]],"&gt;"))</f>
        <v>&gt;</v>
      </c>
      <c r="Z153" s="4">
        <f ca="1">IF(KENKO[[#This Row],[//]]="","",IF(KENKO[[#This Row],[ID NOTA]]="",Z152,KENKO[[#This Row],[ID NOTA]]))</f>
        <v>109</v>
      </c>
    </row>
    <row r="154" spans="1:26" ht="15" customHeight="1" x14ac:dyDescent="0.25">
      <c r="A154" s="4"/>
      <c r="B154" s="6" t="str">
        <f>IF(KENKO[[#This Row],[N_ID]]="","",INDEX(Table1[ID],MATCH(KENKO[[#This Row],[N_ID]],Table1[N_ID],0)))</f>
        <v/>
      </c>
      <c r="C154" s="6" t="str">
        <f>IF(KENKO[[#This Row],[ID NOTA]]="","",HYPERLINK("[NOTA_.xlsx]NOTA!e"&amp;INDEX([2]!PAJAK[//],MATCH(KENKO[[#This Row],[ID NOTA]],[2]!PAJAK[ID],0)),"&gt;") )</f>
        <v/>
      </c>
      <c r="D154" s="6" t="str">
        <f>IF(KENKO[[#This Row],[ID NOTA]]="","",INDEX(Table1[QB],MATCH(KENKO[[#This Row],[ID NOTA]],Table1[ID],0)))</f>
        <v/>
      </c>
      <c r="E1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4" s="6"/>
      <c r="G154" s="3" t="str">
        <f>IF(KENKO[[#This Row],[ID NOTA]]="","",INDEX([2]!NOTA[TGL_H],MATCH(KENKO[[#This Row],[ID NOTA]],[2]!NOTA[ID],0)))</f>
        <v/>
      </c>
      <c r="H154" s="3" t="str">
        <f>IF(KENKO[[#This Row],[ID NOTA]]="","",INDEX([2]!NOTA[TGL.NOTA],MATCH(KENKO[[#This Row],[ID NOTA]],[2]!NOTA[ID],0)))</f>
        <v/>
      </c>
      <c r="I154" s="18" t="str">
        <f>IF(KENKO[[#This Row],[ID NOTA]]="","",INDEX([2]!NOTA[NO.NOTA],MATCH(KENKO[[#This Row],[ID NOTA]],[2]!NOTA[ID],0)))</f>
        <v/>
      </c>
      <c r="J154" s="4" t="str">
        <f ca="1">IF(KENKO[[#This Row],[//]]="","",INDEX([4]!db[NB PAJAK],KENKO[[#This Row],[stt]]-1))</f>
        <v/>
      </c>
      <c r="K154" s="6" t="str">
        <f>""</f>
        <v/>
      </c>
      <c r="L154" s="6" t="str">
        <f ca="1">IF(KENKO[[#This Row],[//]]="","",IF(INDEX([2]!NOTA[QTY],KENKO[//]-2)="",INDEX([2]!NOTA[C],KENKO[//]-2),INDEX([2]!NOTA[QTY],KENKO[//]-2)))</f>
        <v/>
      </c>
      <c r="M154" s="6" t="str">
        <f ca="1">IF(KENKO[[#This Row],[//]]="","",IF(INDEX([2]!NOTA[STN],KENKO[//]-2)="","CTN",INDEX([2]!NOTA[STN],KENKO[//]-2)))</f>
        <v/>
      </c>
      <c r="N154" s="5" t="str">
        <f ca="1">IF(KENKO[[#This Row],[//]]="","",IF(INDEX([2]!NOTA[HARGA/ CTN],KENKO[[#This Row],[//]]-2)="",INDEX([2]!NOTA[HARGA SATUAN],KENKO[//]-2),INDEX([2]!NOTA[HARGA/ CTN],KENKO[[#This Row],[//]]-2)))</f>
        <v/>
      </c>
      <c r="O154" s="7" t="str">
        <f ca="1">IF(KENKO[[#This Row],[//]]="","",IF(INDEX([2]!NOTA[DISC 2],KENKO[[#This Row],[//]]-2)=0,"",INDEX([2]!NOTA[DISC 2],KENKO[[#This Row],[//]]-2)))</f>
        <v/>
      </c>
      <c r="P154" s="7"/>
      <c r="Q15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4" t="str">
        <f ca="1">IF(KENKO[[#This Row],[//]]="","",INDEX([2]!NOTA[NAMA BARANG],KENKO[[#This Row],[//]]-2))</f>
        <v/>
      </c>
      <c r="V154" s="4" t="str">
        <f ca="1">LOWER(SUBSTITUTE(SUBSTITUTE(SUBSTITUTE(SUBSTITUTE(SUBSTITUTE(SUBSTITUTE(SUBSTITUTE(SUBSTITUTE(KENKO[[#This Row],[N.B.nota]]," ",""),"-",""),"(",""),")",""),".",""),",",""),"/",""),"""",""))</f>
        <v/>
      </c>
      <c r="W154" s="6" t="str">
        <f ca="1">IF(KENKO[[#This Row],[concat]]="","",MATCH(KENKO[[#This Row],[concat]],[4]!db[NB NOTA_C],0)+1)</f>
        <v/>
      </c>
      <c r="X154" s="4" t="str">
        <f ca="1">IF(KENKO[[#This Row],[N.B.nota]]="","",ADDRESS(ROW(KENKO[QB]),COLUMN(KENKO[QB]))&amp;":"&amp;ADDRESS(ROW(),COLUMN(KENKO[QB])))</f>
        <v/>
      </c>
      <c r="Y154" s="13" t="str">
        <f ca="1">IF(KENKO[[#This Row],[//]]="","",HYPERLINK("[..\\DB.xlsx]DB!e"&amp;KENKO[[#This Row],[stt]],"&gt;"))</f>
        <v/>
      </c>
      <c r="Z154" s="4" t="str">
        <f ca="1">IF(KENKO[[#This Row],[//]]="","",IF(KENKO[[#This Row],[ID NOTA]]="",Z153,KENKO[[#This Row],[ID NOTA]]))</f>
        <v/>
      </c>
    </row>
    <row r="155" spans="1:26" ht="15" customHeight="1" x14ac:dyDescent="0.25">
      <c r="A155" s="4" t="s">
        <v>103</v>
      </c>
      <c r="B155" s="6">
        <f ca="1">IF(KENKO[[#This Row],[N_ID]]="","",INDEX(Table1[ID],MATCH(KENKO[[#This Row],[N_ID]],Table1[N_ID],0)))</f>
        <v>113</v>
      </c>
      <c r="C155" s="6" t="str">
        <f ca="1">IF(KENKO[[#This Row],[ID NOTA]]="","",HYPERLINK("[NOTA_.xlsx]NOTA!e"&amp;INDEX([2]!PAJAK[//],MATCH(KENKO[[#This Row],[ID NOTA]],[2]!PAJAK[ID],0)),"&gt;") )</f>
        <v>&gt;</v>
      </c>
      <c r="D155" s="6">
        <f ca="1">IF(KENKO[[#This Row],[ID NOTA]]="","",INDEX(Table1[QB],MATCH(KENKO[[#This Row],[ID NOTA]],Table1[ID],0)))</f>
        <v>10</v>
      </c>
      <c r="E15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661</v>
      </c>
      <c r="F155" s="6">
        <v>22</v>
      </c>
      <c r="G155" s="3">
        <f ca="1">IF(KENKO[[#This Row],[ID NOTA]]="","",INDEX([2]!NOTA[TGL_H],MATCH(KENKO[[#This Row],[ID NOTA]],[2]!NOTA[ID],0)))</f>
        <v>44830</v>
      </c>
      <c r="H155" s="3">
        <f ca="1">IF(KENKO[[#This Row],[ID NOTA]]="","",INDEX([2]!NOTA[TGL.NOTA],MATCH(KENKO[[#This Row],[ID NOTA]],[2]!NOTA[ID],0)))</f>
        <v>44825</v>
      </c>
      <c r="I155" s="18" t="str">
        <f ca="1">IF(KENKO[[#This Row],[ID NOTA]]="","",INDEX([2]!NOTA[NO.NOTA],MATCH(KENKO[[#This Row],[ID NOTA]],[2]!NOTA[ID],0)))</f>
        <v>22091688</v>
      </c>
      <c r="J155" s="4" t="str">
        <f ca="1">IF(KENKO[[#This Row],[//]]="","",INDEX([4]!db[NB PAJAK],KENKO[[#This Row],[stt]]-1))</f>
        <v>CRAYON / OIL PASTEL KENKO 18W GARDEN</v>
      </c>
      <c r="K155" s="6" t="str">
        <f>""</f>
        <v/>
      </c>
      <c r="L155" s="6">
        <f ca="1">IF(KENKO[[#This Row],[//]]="","",IF(INDEX([2]!NOTA[QTY],KENKO[//]-2)="",INDEX([2]!NOTA[C],KENKO[//]-2),INDEX([2]!NOTA[QTY],KENKO[//]-2)))</f>
        <v>1</v>
      </c>
      <c r="M155" s="6" t="str">
        <f ca="1">IF(KENKO[[#This Row],[//]]="","",IF(INDEX([2]!NOTA[STN],KENKO[//]-2)="","CTN",INDEX([2]!NOTA[STN],KENKO[//]-2)))</f>
        <v>CTN</v>
      </c>
      <c r="N155" s="5">
        <f ca="1">IF(KENKO[[#This Row],[//]]="","",IF(INDEX([2]!NOTA[HARGA/ CTN],KENKO[[#This Row],[//]]-2)="",INDEX([2]!NOTA[HARGA SATUAN],KENKO[//]-2),INDEX([2]!NOTA[HARGA/ CTN],KENKO[[#This Row],[//]]-2)))</f>
        <v>1548000</v>
      </c>
      <c r="O155" s="7" t="str">
        <f ca="1">IF(KENKO[[#This Row],[//]]="","",IF(INDEX([2]!NOTA[DISC 2],KENKO[[#This Row],[//]]-2)=0,"",INDEX([2]!NOTA[DISC 2],KENKO[[#This Row],[//]]-2)))</f>
        <v/>
      </c>
      <c r="P155" s="7"/>
      <c r="Q155" s="5">
        <f ca="1">IF(KENKO[[#This Row],[//]]="","",INDEX([2]!NOTA[JUMLAH],KENKO[[#This Row],[//]]-2)-IF(ISNUMBER(KENKO[[#This Row],[DISC 1 (%)]]),INDEX([2]!NOTA[JUMLAH],KENKO[[#This Row],[//]]-2)*KENKO[[#This Row],[DISC 1 (%)]],0))</f>
        <v>1548000</v>
      </c>
      <c r="R1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4" t="str">
        <f ca="1">IF(KENKO[[#This Row],[//]]="","",INDEX([2]!NOTA[NAMA BARANG],KENKO[[#This Row],[//]]-2))</f>
        <v>KENKO 18 COLOR OIL PASTEL - GARDEN</v>
      </c>
      <c r="V155" s="4" t="str">
        <f ca="1">LOWER(SUBSTITUTE(SUBSTITUTE(SUBSTITUTE(SUBSTITUTE(SUBSTITUTE(SUBSTITUTE(SUBSTITUTE(SUBSTITUTE(KENKO[[#This Row],[N.B.nota]]," ",""),"-",""),"(",""),")",""),".",""),",",""),"/",""),"""",""))</f>
        <v>kenko18coloroilpastelgarden</v>
      </c>
      <c r="W155" s="6">
        <f ca="1">IF(KENKO[[#This Row],[concat]]="","",MATCH(KENKO[[#This Row],[concat]],[4]!db[NB NOTA_C],0)+1)</f>
        <v>1000</v>
      </c>
      <c r="X155" s="4" t="str">
        <f ca="1">IF(KENKO[[#This Row],[N.B.nota]]="","",ADDRESS(ROW(KENKO[QB]),COLUMN(KENKO[QB]))&amp;":"&amp;ADDRESS(ROW(),COLUMN(KENKO[QB])))</f>
        <v>$D$3:$D$155</v>
      </c>
      <c r="Y155" s="13" t="str">
        <f ca="1">IF(KENKO[[#This Row],[//]]="","",HYPERLINK("[..\\DB.xlsx]DB!e"&amp;KENKO[[#This Row],[stt]],"&gt;"))</f>
        <v>&gt;</v>
      </c>
      <c r="Z155" s="4">
        <f ca="1">IF(KENKO[[#This Row],[//]]="","",IF(KENKO[[#This Row],[ID NOTA]]="",Z154,KENKO[[#This Row],[ID NOTA]]))</f>
        <v>113</v>
      </c>
    </row>
    <row r="156" spans="1:26" ht="15" customHeight="1" x14ac:dyDescent="0.25">
      <c r="A156" s="4"/>
      <c r="B156" s="6" t="str">
        <f>IF(KENKO[[#This Row],[N_ID]]="","",INDEX(Table1[ID],MATCH(KENKO[[#This Row],[N_ID]],Table1[N_ID],0)))</f>
        <v/>
      </c>
      <c r="C156" s="6" t="str">
        <f>IF(KENKO[[#This Row],[ID NOTA]]="","",HYPERLINK("[NOTA_.xlsx]NOTA!e"&amp;INDEX([2]!PAJAK[//],MATCH(KENKO[[#This Row],[ID NOTA]],[2]!PAJAK[ID],0)),"&gt;") )</f>
        <v/>
      </c>
      <c r="D156" s="6" t="str">
        <f>IF(KENKO[[#This Row],[ID NOTA]]="","",INDEX(Table1[QB],MATCH(KENKO[[#This Row],[ID NOTA]],Table1[ID],0)))</f>
        <v/>
      </c>
      <c r="E15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662</v>
      </c>
      <c r="F156" s="6"/>
      <c r="G156" s="3" t="str">
        <f>IF(KENKO[[#This Row],[ID NOTA]]="","",INDEX([2]!NOTA[TGL_H],MATCH(KENKO[[#This Row],[ID NOTA]],[2]!NOTA[ID],0)))</f>
        <v/>
      </c>
      <c r="H156" s="3" t="str">
        <f>IF(KENKO[[#This Row],[ID NOTA]]="","",INDEX([2]!NOTA[TGL.NOTA],MATCH(KENKO[[#This Row],[ID NOTA]],[2]!NOTA[ID],0)))</f>
        <v/>
      </c>
      <c r="I156" s="18" t="str">
        <f>IF(KENKO[[#This Row],[ID NOTA]]="","",INDEX([2]!NOTA[NO.NOTA],MATCH(KENKO[[#This Row],[ID NOTA]],[2]!NOTA[ID],0)))</f>
        <v/>
      </c>
      <c r="J156" s="4" t="str">
        <f ca="1">IF(KENKO[[#This Row],[//]]="","",INDEX([4]!db[NB PAJAK],KENKO[[#This Row],[stt]]-1))</f>
        <v>CORRECTION FLUID KENKO KE-301</v>
      </c>
      <c r="K156" s="6" t="str">
        <f>""</f>
        <v/>
      </c>
      <c r="L156" s="6">
        <f ca="1">IF(KENKO[[#This Row],[//]]="","",IF(INDEX([2]!NOTA[QTY],KENKO[//]-2)="",INDEX([2]!NOTA[C],KENKO[//]-2),INDEX([2]!NOTA[QTY],KENKO[//]-2)))</f>
        <v>2</v>
      </c>
      <c r="M156" s="6" t="str">
        <f ca="1">IF(KENKO[[#This Row],[//]]="","",IF(INDEX([2]!NOTA[STN],KENKO[//]-2)="","CTN",INDEX([2]!NOTA[STN],KENKO[//]-2)))</f>
        <v>CTN</v>
      </c>
      <c r="N156" s="5">
        <f ca="1">IF(KENKO[[#This Row],[//]]="","",IF(INDEX([2]!NOTA[HARGA/ CTN],KENKO[[#This Row],[//]]-2)="",INDEX([2]!NOTA[HARGA SATUAN],KENKO[//]-2),INDEX([2]!NOTA[HARGA/ CTN],KENKO[[#This Row],[//]]-2)))</f>
        <v>1922400</v>
      </c>
      <c r="O156" s="7" t="str">
        <f ca="1">IF(KENKO[[#This Row],[//]]="","",IF(INDEX([2]!NOTA[DISC 2],KENKO[[#This Row],[//]]-2)=0,"",INDEX([2]!NOTA[DISC 2],KENKO[[#This Row],[//]]-2)))</f>
        <v/>
      </c>
      <c r="P156" s="7"/>
      <c r="Q156" s="5">
        <f ca="1">IF(KENKO[[#This Row],[//]]="","",INDEX([2]!NOTA[JUMLAH],KENKO[[#This Row],[//]]-2)-IF(ISNUMBER(KENKO[[#This Row],[DISC 1 (%)]]),INDEX([2]!NOTA[JUMLAH],KENKO[[#This Row],[//]]-2)*KENKO[[#This Row],[DISC 1 (%)]],0))</f>
        <v>3844800</v>
      </c>
      <c r="R1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4" t="str">
        <f ca="1">IF(KENKO[[#This Row],[//]]="","",INDEX([2]!NOTA[NAMA BARANG],KENKO[[#This Row],[//]]-2))</f>
        <v>KENKO CORRECTION FLUID KE-301</v>
      </c>
      <c r="V156" s="4" t="str">
        <f ca="1">LOWER(SUBSTITUTE(SUBSTITUTE(SUBSTITUTE(SUBSTITUTE(SUBSTITUTE(SUBSTITUTE(SUBSTITUTE(SUBSTITUTE(KENKO[[#This Row],[N.B.nota]]," ",""),"-",""),"(",""),")",""),".",""),",",""),"/",""),"""",""))</f>
        <v>kenkocorrectionfluidke301</v>
      </c>
      <c r="W156" s="6">
        <f ca="1">IF(KENKO[[#This Row],[concat]]="","",MATCH(KENKO[[#This Row],[concat]],[4]!db[NB NOTA_C],0)+1)</f>
        <v>1058</v>
      </c>
      <c r="X156" s="4" t="str">
        <f ca="1">IF(KENKO[[#This Row],[N.B.nota]]="","",ADDRESS(ROW(KENKO[QB]),COLUMN(KENKO[QB]))&amp;":"&amp;ADDRESS(ROW(),COLUMN(KENKO[QB])))</f>
        <v>$D$3:$D$156</v>
      </c>
      <c r="Y156" s="13" t="str">
        <f ca="1">IF(KENKO[[#This Row],[//]]="","",HYPERLINK("[..\\DB.xlsx]DB!e"&amp;KENKO[[#This Row],[stt]],"&gt;"))</f>
        <v>&gt;</v>
      </c>
      <c r="Z156" s="4">
        <f ca="1">IF(KENKO[[#This Row],[//]]="","",IF(KENKO[[#This Row],[ID NOTA]]="",Z155,KENKO[[#This Row],[ID NOTA]]))</f>
        <v>113</v>
      </c>
    </row>
    <row r="157" spans="1:26" ht="15" customHeight="1" x14ac:dyDescent="0.25">
      <c r="A157" s="4"/>
      <c r="B157" s="6" t="str">
        <f>IF(KENKO[[#This Row],[N_ID]]="","",INDEX(Table1[ID],MATCH(KENKO[[#This Row],[N_ID]],Table1[N_ID],0)))</f>
        <v/>
      </c>
      <c r="C157" s="6" t="str">
        <f>IF(KENKO[[#This Row],[ID NOTA]]="","",HYPERLINK("[NOTA_.xlsx]NOTA!e"&amp;INDEX([2]!PAJAK[//],MATCH(KENKO[[#This Row],[ID NOTA]],[2]!PAJAK[ID],0)),"&gt;") )</f>
        <v/>
      </c>
      <c r="D157" s="6" t="str">
        <f>IF(KENKO[[#This Row],[ID NOTA]]="","",INDEX(Table1[QB],MATCH(KENKO[[#This Row],[ID NOTA]],Table1[ID],0)))</f>
        <v/>
      </c>
      <c r="E15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663</v>
      </c>
      <c r="F157" s="6"/>
      <c r="G157" s="3" t="str">
        <f>IF(KENKO[[#This Row],[ID NOTA]]="","",INDEX([2]!NOTA[TGL_H],MATCH(KENKO[[#This Row],[ID NOTA]],[2]!NOTA[ID],0)))</f>
        <v/>
      </c>
      <c r="H157" s="3" t="str">
        <f>IF(KENKO[[#This Row],[ID NOTA]]="","",INDEX([2]!NOTA[TGL.NOTA],MATCH(KENKO[[#This Row],[ID NOTA]],[2]!NOTA[ID],0)))</f>
        <v/>
      </c>
      <c r="I157" s="18" t="str">
        <f>IF(KENKO[[#This Row],[ID NOTA]]="","",INDEX([2]!NOTA[NO.NOTA],MATCH(KENKO[[#This Row],[ID NOTA]],[2]!NOTA[ID],0)))</f>
        <v/>
      </c>
      <c r="J157" s="4" t="str">
        <f ca="1">IF(KENKO[[#This Row],[//]]="","",INDEX([4]!db[NB PAJAK],KENKO[[#This Row],[stt]]-1))</f>
        <v>CUTTER 18 MM KENKO L-500 (BESAR)</v>
      </c>
      <c r="K157" s="6" t="str">
        <f>""</f>
        <v/>
      </c>
      <c r="L157" s="6">
        <f ca="1">IF(KENKO[[#This Row],[//]]="","",IF(INDEX([2]!NOTA[QTY],KENKO[//]-2)="",INDEX([2]!NOTA[C],KENKO[//]-2),INDEX([2]!NOTA[QTY],KENKO[//]-2)))</f>
        <v>3</v>
      </c>
      <c r="M157" s="6" t="str">
        <f ca="1">IF(KENKO[[#This Row],[//]]="","",IF(INDEX([2]!NOTA[STN],KENKO[//]-2)="","CTN",INDEX([2]!NOTA[STN],KENKO[//]-2)))</f>
        <v>CTN</v>
      </c>
      <c r="N157" s="5">
        <f ca="1">IF(KENKO[[#This Row],[//]]="","",IF(INDEX([2]!NOTA[HARGA/ CTN],KENKO[[#This Row],[//]]-2)="",INDEX([2]!NOTA[HARGA SATUAN],KENKO[//]-2),INDEX([2]!NOTA[HARGA/ CTN],KENKO[[#This Row],[//]]-2)))</f>
        <v>2952000</v>
      </c>
      <c r="O157" s="7" t="str">
        <f ca="1">IF(KENKO[[#This Row],[//]]="","",IF(INDEX([2]!NOTA[DISC 2],KENKO[[#This Row],[//]]-2)=0,"",INDEX([2]!NOTA[DISC 2],KENKO[[#This Row],[//]]-2)))</f>
        <v/>
      </c>
      <c r="P157" s="7"/>
      <c r="Q157" s="5">
        <f ca="1">IF(KENKO[[#This Row],[//]]="","",INDEX([2]!NOTA[JUMLAH],KENKO[[#This Row],[//]]-2)-IF(ISNUMBER(KENKO[[#This Row],[DISC 1 (%)]]),INDEX([2]!NOTA[JUMLAH],KENKO[[#This Row],[//]]-2)*KENKO[[#This Row],[DISC 1 (%)]],0))</f>
        <v>8856000</v>
      </c>
      <c r="R1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4" t="str">
        <f ca="1">IF(KENKO[[#This Row],[//]]="","",INDEX([2]!NOTA[NAMA BARANG],KENKO[[#This Row],[//]]-2))</f>
        <v>KENKO CUTTER L-500 (18MM BLADE)</v>
      </c>
      <c r="V157" s="4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57" s="6">
        <f ca="1">IF(KENKO[[#This Row],[concat]]="","",MATCH(KENKO[[#This Row],[concat]],[4]!db[NB NOTA_C],0)+1)</f>
        <v>1087</v>
      </c>
      <c r="X157" s="4" t="str">
        <f ca="1">IF(KENKO[[#This Row],[N.B.nota]]="","",ADDRESS(ROW(KENKO[QB]),COLUMN(KENKO[QB]))&amp;":"&amp;ADDRESS(ROW(),COLUMN(KENKO[QB])))</f>
        <v>$D$3:$D$157</v>
      </c>
      <c r="Y157" s="13" t="str">
        <f ca="1">IF(KENKO[[#This Row],[//]]="","",HYPERLINK("[..\\DB.xlsx]DB!e"&amp;KENKO[[#This Row],[stt]],"&gt;"))</f>
        <v>&gt;</v>
      </c>
      <c r="Z157" s="4">
        <f ca="1">IF(KENKO[[#This Row],[//]]="","",IF(KENKO[[#This Row],[ID NOTA]]="",Z155,KENKO[[#This Row],[ID NOTA]]))</f>
        <v>113</v>
      </c>
    </row>
    <row r="158" spans="1:26" ht="15" customHeight="1" x14ac:dyDescent="0.25">
      <c r="A158" s="4"/>
      <c r="B158" s="6" t="str">
        <f>IF(KENKO[[#This Row],[N_ID]]="","",INDEX(Table1[ID],MATCH(KENKO[[#This Row],[N_ID]],Table1[N_ID],0)))</f>
        <v/>
      </c>
      <c r="C158" s="6" t="str">
        <f>IF(KENKO[[#This Row],[ID NOTA]]="","",HYPERLINK("[NOTA_.xlsx]NOTA!e"&amp;INDEX([2]!PAJAK[//],MATCH(KENKO[[#This Row],[ID NOTA]],[2]!PAJAK[ID],0)),"&gt;") )</f>
        <v/>
      </c>
      <c r="D158" s="6" t="str">
        <f>IF(KENKO[[#This Row],[ID NOTA]]="","",INDEX(Table1[QB],MATCH(KENKO[[#This Row],[ID NOTA]],Table1[ID],0)))</f>
        <v/>
      </c>
      <c r="E15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664</v>
      </c>
      <c r="F158" s="6"/>
      <c r="G158" s="3" t="str">
        <f>IF(KENKO[[#This Row],[ID NOTA]]="","",INDEX([2]!NOTA[TGL_H],MATCH(KENKO[[#This Row],[ID NOTA]],[2]!NOTA[ID],0)))</f>
        <v/>
      </c>
      <c r="H158" s="3" t="str">
        <f>IF(KENKO[[#This Row],[ID NOTA]]="","",INDEX([2]!NOTA[TGL.NOTA],MATCH(KENKO[[#This Row],[ID NOTA]],[2]!NOTA[ID],0)))</f>
        <v/>
      </c>
      <c r="I158" s="18" t="str">
        <f>IF(KENKO[[#This Row],[ID NOTA]]="","",INDEX([2]!NOTA[NO.NOTA],MATCH(KENKO[[#This Row],[ID NOTA]],[2]!NOTA[ID],0)))</f>
        <v/>
      </c>
      <c r="J158" s="4" t="str">
        <f ca="1">IF(KENKO[[#This Row],[//]]="","",INDEX([4]!db[NB PAJAK],KENKO[[#This Row],[stt]]-1))</f>
        <v>CUTTER 9 MM KENKO A-300 (KECIL)</v>
      </c>
      <c r="K158" s="6" t="str">
        <f>""</f>
        <v/>
      </c>
      <c r="L158" s="6">
        <f ca="1">IF(KENKO[[#This Row],[//]]="","",IF(INDEX([2]!NOTA[QTY],KENKO[//]-2)="",INDEX([2]!NOTA[C],KENKO[//]-2),INDEX([2]!NOTA[QTY],KENKO[//]-2)))</f>
        <v>2</v>
      </c>
      <c r="M158" s="6" t="str">
        <f ca="1">IF(KENKO[[#This Row],[//]]="","",IF(INDEX([2]!NOTA[STN],KENKO[//]-2)="","CTN",INDEX([2]!NOTA[STN],KENKO[//]-2)))</f>
        <v>CTN</v>
      </c>
      <c r="N158" s="5">
        <f ca="1">IF(KENKO[[#This Row],[//]]="","",IF(INDEX([2]!NOTA[HARGA/ CTN],KENKO[[#This Row],[//]]-2)="",INDEX([2]!NOTA[HARGA SATUAN],KENKO[//]-2),INDEX([2]!NOTA[HARGA/ CTN],KENKO[[#This Row],[//]]-2)))</f>
        <v>1710000</v>
      </c>
      <c r="O158" s="7" t="str">
        <f ca="1">IF(KENKO[[#This Row],[//]]="","",IF(INDEX([2]!NOTA[DISC 2],KENKO[[#This Row],[//]]-2)=0,"",INDEX([2]!NOTA[DISC 2],KENKO[[#This Row],[//]]-2)))</f>
        <v/>
      </c>
      <c r="P158" s="7"/>
      <c r="Q158" s="5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1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4" t="str">
        <f ca="1">IF(KENKO[[#This Row],[//]]="","",INDEX([2]!NOTA[NAMA BARANG],KENKO[[#This Row],[//]]-2))</f>
        <v>KENKO CUTTER A-300 (9MM BLADE)</v>
      </c>
      <c r="V158" s="4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58" s="6">
        <f ca="1">IF(KENKO[[#This Row],[concat]]="","",MATCH(KENKO[[#This Row],[concat]],[4]!db[NB NOTA_C],0)+1)</f>
        <v>1082</v>
      </c>
      <c r="X158" s="4" t="str">
        <f ca="1">IF(KENKO[[#This Row],[N.B.nota]]="","",ADDRESS(ROW(KENKO[QB]),COLUMN(KENKO[QB]))&amp;":"&amp;ADDRESS(ROW(),COLUMN(KENKO[QB])))</f>
        <v>$D$3:$D$158</v>
      </c>
      <c r="Y158" s="13" t="str">
        <f ca="1">IF(KENKO[[#This Row],[//]]="","",HYPERLINK("[..\\DB.xlsx]DB!e"&amp;KENKO[[#This Row],[stt]],"&gt;"))</f>
        <v>&gt;</v>
      </c>
      <c r="Z158" s="4">
        <f ca="1">IF(KENKO[[#This Row],[//]]="","",IF(KENKO[[#This Row],[ID NOTA]]="",Z155,KENKO[[#This Row],[ID NOTA]]))</f>
        <v>113</v>
      </c>
    </row>
    <row r="159" spans="1:26" ht="15" customHeight="1" x14ac:dyDescent="0.25">
      <c r="A159" s="4"/>
      <c r="B159" s="6" t="str">
        <f>IF(KENKO[[#This Row],[N_ID]]="","",INDEX(Table1[ID],MATCH(KENKO[[#This Row],[N_ID]],Table1[N_ID],0)))</f>
        <v/>
      </c>
      <c r="C159" s="6" t="str">
        <f>IF(KENKO[[#This Row],[ID NOTA]]="","",HYPERLINK("[NOTA_.xlsx]NOTA!e"&amp;INDEX([2]!PAJAK[//],MATCH(KENKO[[#This Row],[ID NOTA]],[2]!PAJAK[ID],0)),"&gt;") )</f>
        <v/>
      </c>
      <c r="D159" s="6" t="str">
        <f>IF(KENKO[[#This Row],[ID NOTA]]="","",INDEX(Table1[QB],MATCH(KENKO[[#This Row],[ID NOTA]],Table1[ID],0)))</f>
        <v/>
      </c>
      <c r="E15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665</v>
      </c>
      <c r="F159" s="6"/>
      <c r="G159" s="3" t="str">
        <f>IF(KENKO[[#This Row],[ID NOTA]]="","",INDEX([2]!NOTA[TGL_H],MATCH(KENKO[[#This Row],[ID NOTA]],[2]!NOTA[ID],0)))</f>
        <v/>
      </c>
      <c r="H159" s="3" t="str">
        <f>IF(KENKO[[#This Row],[ID NOTA]]="","",INDEX([2]!NOTA[TGL.NOTA],MATCH(KENKO[[#This Row],[ID NOTA]],[2]!NOTA[ID],0)))</f>
        <v/>
      </c>
      <c r="I159" s="18" t="str">
        <f>IF(KENKO[[#This Row],[ID NOTA]]="","",INDEX([2]!NOTA[NO.NOTA],MATCH(KENKO[[#This Row],[ID NOTA]],[2]!NOTA[ID],0)))</f>
        <v/>
      </c>
      <c r="J159" s="4" t="str">
        <f ca="1">IF(KENKO[[#This Row],[//]]="","",INDEX([4]!db[NB PAJAK],KENKO[[#This Row],[stt]]-1))</f>
        <v>ISI CUTTER 18 MM KENKO L-150 (BESAR)</v>
      </c>
      <c r="K159" s="6" t="str">
        <f>""</f>
        <v/>
      </c>
      <c r="L159" s="6">
        <f ca="1">IF(KENKO[[#This Row],[//]]="","",IF(INDEX([2]!NOTA[QTY],KENKO[//]-2)="",INDEX([2]!NOTA[C],KENKO[//]-2),INDEX([2]!NOTA[QTY],KENKO[//]-2)))</f>
        <v>2</v>
      </c>
      <c r="M159" s="6" t="str">
        <f ca="1">IF(KENKO[[#This Row],[//]]="","",IF(INDEX([2]!NOTA[STN],KENKO[//]-2)="","CTN",INDEX([2]!NOTA[STN],KENKO[//]-2)))</f>
        <v>CTN</v>
      </c>
      <c r="N159" s="5">
        <f ca="1">IF(KENKO[[#This Row],[//]]="","",IF(INDEX([2]!NOTA[HARGA/ CTN],KENKO[[#This Row],[//]]-2)="",INDEX([2]!NOTA[HARGA SATUAN],KENKO[//]-2),INDEX([2]!NOTA[HARGA/ CTN],KENKO[[#This Row],[//]]-2)))</f>
        <v>3888000</v>
      </c>
      <c r="O159" s="7" t="str">
        <f ca="1">IF(KENKO[[#This Row],[//]]="","",IF(INDEX([2]!NOTA[DISC 2],KENKO[[#This Row],[//]]-2)=0,"",INDEX([2]!NOTA[DISC 2],KENKO[[#This Row],[//]]-2)))</f>
        <v/>
      </c>
      <c r="P159" s="7"/>
      <c r="Q159" s="5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1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4" t="str">
        <f ca="1">IF(KENKO[[#This Row],[//]]="","",INDEX([2]!NOTA[NAMA BARANG],KENKO[[#This Row],[//]]-2))</f>
        <v>KENKO CUTTER BLADE L-150 (18MM)</v>
      </c>
      <c r="V159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59" s="6">
        <f ca="1">IF(KENKO[[#This Row],[concat]]="","",MATCH(KENKO[[#This Row],[concat]],[4]!db[NB NOTA_C],0)+1)</f>
        <v>1084</v>
      </c>
      <c r="X159" s="4" t="str">
        <f ca="1">IF(KENKO[[#This Row],[N.B.nota]]="","",ADDRESS(ROW(KENKO[QB]),COLUMN(KENKO[QB]))&amp;":"&amp;ADDRESS(ROW(),COLUMN(KENKO[QB])))</f>
        <v>$D$3:$D$159</v>
      </c>
      <c r="Y159" s="13" t="str">
        <f ca="1">IF(KENKO[[#This Row],[//]]="","",HYPERLINK("[..\\DB.xlsx]DB!e"&amp;KENKO[[#This Row],[stt]],"&gt;"))</f>
        <v>&gt;</v>
      </c>
      <c r="Z159" s="4">
        <f ca="1">IF(KENKO[[#This Row],[//]]="","",IF(KENKO[[#This Row],[ID NOTA]]="",Z155,KENKO[[#This Row],[ID NOTA]]))</f>
        <v>113</v>
      </c>
    </row>
    <row r="160" spans="1:26" ht="15" customHeight="1" x14ac:dyDescent="0.25">
      <c r="A160" s="4"/>
      <c r="B160" s="6" t="str">
        <f>IF(KENKO[[#This Row],[N_ID]]="","",INDEX(Table1[ID],MATCH(KENKO[[#This Row],[N_ID]],Table1[N_ID],0)))</f>
        <v/>
      </c>
      <c r="C160" s="6" t="str">
        <f>IF(KENKO[[#This Row],[ID NOTA]]="","",HYPERLINK("[NOTA_.xlsx]NOTA!e"&amp;INDEX([2]!PAJAK[//],MATCH(KENKO[[#This Row],[ID NOTA]],[2]!PAJAK[ID],0)),"&gt;") )</f>
        <v/>
      </c>
      <c r="D160" s="6" t="str">
        <f>IF(KENKO[[#This Row],[ID NOTA]]="","",INDEX(Table1[QB],MATCH(KENKO[[#This Row],[ID NOTA]],Table1[ID],0)))</f>
        <v/>
      </c>
      <c r="E16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666</v>
      </c>
      <c r="F160" s="6"/>
      <c r="G160" s="3" t="str">
        <f>IF(KENKO[[#This Row],[ID NOTA]]="","",INDEX([2]!NOTA[TGL_H],MATCH(KENKO[[#This Row],[ID NOTA]],[2]!NOTA[ID],0)))</f>
        <v/>
      </c>
      <c r="H160" s="3" t="str">
        <f>IF(KENKO[[#This Row],[ID NOTA]]="","",INDEX([2]!NOTA[TGL.NOTA],MATCH(KENKO[[#This Row],[ID NOTA]],[2]!NOTA[ID],0)))</f>
        <v/>
      </c>
      <c r="I160" s="18" t="str">
        <f>IF(KENKO[[#This Row],[ID NOTA]]="","",INDEX([2]!NOTA[NO.NOTA],MATCH(KENKO[[#This Row],[ID NOTA]],[2]!NOTA[ID],0)))</f>
        <v/>
      </c>
      <c r="J160" s="4" t="str">
        <f ca="1">IF(KENKO[[#This Row],[//]]="","",INDEX([4]!db[NB PAJAK],KENKO[[#This Row],[stt]]-1))</f>
        <v>LAMINATING FILM KENKO LF100-2234 (FC)</v>
      </c>
      <c r="K160" s="6" t="str">
        <f>""</f>
        <v/>
      </c>
      <c r="L160" s="6">
        <f ca="1">IF(KENKO[[#This Row],[//]]="","",IF(INDEX([2]!NOTA[QTY],KENKO[//]-2)="",INDEX([2]!NOTA[C],KENKO[//]-2),INDEX([2]!NOTA[QTY],KENKO[//]-2)))</f>
        <v>1</v>
      </c>
      <c r="M160" s="6" t="str">
        <f ca="1">IF(KENKO[[#This Row],[//]]="","",IF(INDEX([2]!NOTA[STN],KENKO[//]-2)="","CTN",INDEX([2]!NOTA[STN],KENKO[//]-2)))</f>
        <v>CTN</v>
      </c>
      <c r="N160" s="5">
        <f ca="1">IF(KENKO[[#This Row],[//]]="","",IF(INDEX([2]!NOTA[HARGA/ CTN],KENKO[[#This Row],[//]]-2)="",INDEX([2]!NOTA[HARGA SATUAN],KENKO[//]-2),INDEX([2]!NOTA[HARGA/ CTN],KENKO[[#This Row],[//]]-2)))</f>
        <v>1150000</v>
      </c>
      <c r="O160" s="7" t="str">
        <f ca="1">IF(KENKO[[#This Row],[//]]="","",IF(INDEX([2]!NOTA[DISC 2],KENKO[[#This Row],[//]]-2)=0,"",INDEX([2]!NOTA[DISC 2],KENKO[[#This Row],[//]]-2)))</f>
        <v/>
      </c>
      <c r="P160" s="7"/>
      <c r="Q160" s="5">
        <f ca="1">IF(KENKO[[#This Row],[//]]="","",INDEX([2]!NOTA[JUMLAH],KENKO[[#This Row],[//]]-2)-IF(ISNUMBER(KENKO[[#This Row],[DISC 1 (%)]]),INDEX([2]!NOTA[JUMLAH],KENKO[[#This Row],[//]]-2)*KENKO[[#This Row],[DISC 1 (%)]],0))</f>
        <v>1150000</v>
      </c>
      <c r="R1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4" t="str">
        <f ca="1">IF(KENKO[[#This Row],[//]]="","",INDEX([2]!NOTA[NAMA BARANG],KENKO[[#This Row],[//]]-2))</f>
        <v>KENKO LAMINATING FILM LF100-2234 (FC) @ 100 PCS</v>
      </c>
      <c r="V160" s="4" t="str">
        <f ca="1">LOWER(SUBSTITUTE(SUBSTITUTE(SUBSTITUTE(SUBSTITUTE(SUBSTITUTE(SUBSTITUTE(SUBSTITUTE(SUBSTITUTE(KENKO[[#This Row],[N.B.nota]]," ",""),"-",""),"(",""),")",""),".",""),",",""),"/",""),"""",""))</f>
        <v>kenkolaminatingfilmlf1002234fc@100pcs</v>
      </c>
      <c r="W160" s="6">
        <f ca="1">IF(KENKO[[#This Row],[concat]]="","",MATCH(KENKO[[#This Row],[concat]],[4]!db[NB NOTA_C],0)+1)</f>
        <v>1160</v>
      </c>
      <c r="X160" s="4" t="str">
        <f ca="1">IF(KENKO[[#This Row],[N.B.nota]]="","",ADDRESS(ROW(KENKO[QB]),COLUMN(KENKO[QB]))&amp;":"&amp;ADDRESS(ROW(),COLUMN(KENKO[QB])))</f>
        <v>$D$3:$D$160</v>
      </c>
      <c r="Y160" s="13" t="str">
        <f ca="1">IF(KENKO[[#This Row],[//]]="","",HYPERLINK("[..\\DB.xlsx]DB!e"&amp;KENKO[[#This Row],[stt]],"&gt;"))</f>
        <v>&gt;</v>
      </c>
      <c r="Z160" s="4">
        <f ca="1">IF(KENKO[[#This Row],[//]]="","",IF(KENKO[[#This Row],[ID NOTA]]="",Z155,KENKO[[#This Row],[ID NOTA]]))</f>
        <v>113</v>
      </c>
    </row>
    <row r="161" spans="1:26" ht="15" customHeight="1" x14ac:dyDescent="0.25">
      <c r="A161" s="4"/>
      <c r="B161" s="6" t="str">
        <f>IF(KENKO[[#This Row],[N_ID]]="","",INDEX(Table1[ID],MATCH(KENKO[[#This Row],[N_ID]],Table1[N_ID],0)))</f>
        <v/>
      </c>
      <c r="C161" s="6" t="str">
        <f>IF(KENKO[[#This Row],[ID NOTA]]="","",HYPERLINK("[NOTA_.xlsx]NOTA!e"&amp;INDEX([2]!PAJAK[//],MATCH(KENKO[[#This Row],[ID NOTA]],[2]!PAJAK[ID],0)),"&gt;") )</f>
        <v/>
      </c>
      <c r="D161" s="6" t="str">
        <f>IF(KENKO[[#This Row],[ID NOTA]]="","",INDEX(Table1[QB],MATCH(KENKO[[#This Row],[ID NOTA]],Table1[ID],0)))</f>
        <v/>
      </c>
      <c r="E16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667</v>
      </c>
      <c r="F161" s="6"/>
      <c r="G161" s="3" t="str">
        <f>IF(KENKO[[#This Row],[ID NOTA]]="","",INDEX([2]!NOTA[TGL_H],MATCH(KENKO[[#This Row],[ID NOTA]],[2]!NOTA[ID],0)))</f>
        <v/>
      </c>
      <c r="H161" s="3" t="str">
        <f>IF(KENKO[[#This Row],[ID NOTA]]="","",INDEX([2]!NOTA[TGL.NOTA],MATCH(KENKO[[#This Row],[ID NOTA]],[2]!NOTA[ID],0)))</f>
        <v/>
      </c>
      <c r="I161" s="18" t="str">
        <f>IF(KENKO[[#This Row],[ID NOTA]]="","",INDEX([2]!NOTA[NO.NOTA],MATCH(KENKO[[#This Row],[ID NOTA]],[2]!NOTA[ID],0)))</f>
        <v/>
      </c>
      <c r="J161" s="4" t="str">
        <f ca="1">IF(KENKO[[#This Row],[//]]="","",INDEX([4]!db[NB PAJAK],KENKO[[#This Row],[stt]]-1))</f>
        <v>CORRECTION FLUID KENKO KE-826M</v>
      </c>
      <c r="K161" s="6" t="str">
        <f>""</f>
        <v/>
      </c>
      <c r="L161" s="6">
        <f ca="1">IF(KENKO[[#This Row],[//]]="","",IF(INDEX([2]!NOTA[QTY],KENKO[//]-2)="",INDEX([2]!NOTA[C],KENKO[//]-2),INDEX([2]!NOTA[QTY],KENKO[//]-2)))</f>
        <v>2</v>
      </c>
      <c r="M161" s="6" t="str">
        <f ca="1">IF(KENKO[[#This Row],[//]]="","",IF(INDEX([2]!NOTA[STN],KENKO[//]-2)="","CTN",INDEX([2]!NOTA[STN],KENKO[//]-2)))</f>
        <v>CTN</v>
      </c>
      <c r="N161" s="5">
        <f ca="1">IF(KENKO[[#This Row],[//]]="","",IF(INDEX([2]!NOTA[HARGA/ CTN],KENKO[[#This Row],[//]]-2)="",INDEX([2]!NOTA[HARGA SATUAN],KENKO[//]-2),INDEX([2]!NOTA[HARGA/ CTN],KENKO[[#This Row],[//]]-2)))</f>
        <v>2170800</v>
      </c>
      <c r="O161" s="7" t="str">
        <f ca="1">IF(KENKO[[#This Row],[//]]="","",IF(INDEX([2]!NOTA[DISC 2],KENKO[[#This Row],[//]]-2)=0,"",INDEX([2]!NOTA[DISC 2],KENKO[[#This Row],[//]]-2)))</f>
        <v/>
      </c>
      <c r="P161" s="7"/>
      <c r="Q161" s="5">
        <f ca="1">IF(KENKO[[#This Row],[//]]="","",INDEX([2]!NOTA[JUMLAH],KENKO[[#This Row],[//]]-2)-IF(ISNUMBER(KENKO[[#This Row],[DISC 1 (%)]]),INDEX([2]!NOTA[JUMLAH],KENKO[[#This Row],[//]]-2)*KENKO[[#This Row],[DISC 1 (%)]],0))</f>
        <v>4341600</v>
      </c>
      <c r="R1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4" t="str">
        <f ca="1">IF(KENKO[[#This Row],[//]]="","",INDEX([2]!NOTA[NAMA BARANG],KENKO[[#This Row],[//]]-2))</f>
        <v>KENKO CORRECTION FLUID KE-826M</v>
      </c>
      <c r="V161" s="4" t="str">
        <f ca="1">LOWER(SUBSTITUTE(SUBSTITUTE(SUBSTITUTE(SUBSTITUTE(SUBSTITUTE(SUBSTITUTE(SUBSTITUTE(SUBSTITUTE(KENKO[[#This Row],[N.B.nota]]," ",""),"-",""),"(",""),")",""),".",""),",",""),"/",""),"""",""))</f>
        <v>kenkocorrectionfluidke826m</v>
      </c>
      <c r="W161" s="6">
        <f ca="1">IF(KENKO[[#This Row],[concat]]="","",MATCH(KENKO[[#This Row],[concat]],[4]!db[NB NOTA_C],0)+1)</f>
        <v>1060</v>
      </c>
      <c r="X161" s="4" t="str">
        <f ca="1">IF(KENKO[[#This Row],[N.B.nota]]="","",ADDRESS(ROW(KENKO[QB]),COLUMN(KENKO[QB]))&amp;":"&amp;ADDRESS(ROW(),COLUMN(KENKO[QB])))</f>
        <v>$D$3:$D$161</v>
      </c>
      <c r="Y161" s="13" t="str">
        <f ca="1">IF(KENKO[[#This Row],[//]]="","",HYPERLINK("[..\\DB.xlsx]DB!e"&amp;KENKO[[#This Row],[stt]],"&gt;"))</f>
        <v>&gt;</v>
      </c>
      <c r="Z161" s="4">
        <f ca="1">IF(KENKO[[#This Row],[//]]="","",IF(KENKO[[#This Row],[ID NOTA]]="",Z155,KENKO[[#This Row],[ID NOTA]]))</f>
        <v>113</v>
      </c>
    </row>
    <row r="162" spans="1:26" ht="15" customHeight="1" x14ac:dyDescent="0.25">
      <c r="A162" s="4"/>
      <c r="B162" s="6" t="str">
        <f>IF(KENKO[[#This Row],[N_ID]]="","",INDEX(Table1[ID],MATCH(KENKO[[#This Row],[N_ID]],Table1[N_ID],0)))</f>
        <v/>
      </c>
      <c r="C162" s="6" t="str">
        <f>IF(KENKO[[#This Row],[ID NOTA]]="","",HYPERLINK("[NOTA_.xlsx]NOTA!e"&amp;INDEX([2]!PAJAK[//],MATCH(KENKO[[#This Row],[ID NOTA]],[2]!PAJAK[ID],0)),"&gt;") )</f>
        <v/>
      </c>
      <c r="D162" s="6" t="str">
        <f>IF(KENKO[[#This Row],[ID NOTA]]="","",INDEX(Table1[QB],MATCH(KENKO[[#This Row],[ID NOTA]],Table1[ID],0)))</f>
        <v/>
      </c>
      <c r="E16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668</v>
      </c>
      <c r="F162" s="6"/>
      <c r="G162" s="3" t="str">
        <f>IF(KENKO[[#This Row],[ID NOTA]]="","",INDEX([2]!NOTA[TGL_H],MATCH(KENKO[[#This Row],[ID NOTA]],[2]!NOTA[ID],0)))</f>
        <v/>
      </c>
      <c r="H162" s="3" t="str">
        <f>IF(KENKO[[#This Row],[ID NOTA]]="","",INDEX([2]!NOTA[TGL.NOTA],MATCH(KENKO[[#This Row],[ID NOTA]],[2]!NOTA[ID],0)))</f>
        <v/>
      </c>
      <c r="I162" s="18" t="str">
        <f>IF(KENKO[[#This Row],[ID NOTA]]="","",INDEX([2]!NOTA[NO.NOTA],MATCH(KENKO[[#This Row],[ID NOTA]],[2]!NOTA[ID],0)))</f>
        <v/>
      </c>
      <c r="J162" s="4" t="str">
        <f ca="1">IF(KENKO[[#This Row],[//]]="","",INDEX([4]!db[NB PAJAK],KENKO[[#This Row],[stt]]-1))</f>
        <v>PAPER CLIP WARNA KENKO 3100</v>
      </c>
      <c r="K162" s="6" t="str">
        <f>""</f>
        <v/>
      </c>
      <c r="L162" s="6">
        <f ca="1">IF(KENKO[[#This Row],[//]]="","",IF(INDEX([2]!NOTA[QTY],KENKO[//]-2)="",INDEX([2]!NOTA[C],KENKO[//]-2),INDEX([2]!NOTA[QTY],KENKO[//]-2)))</f>
        <v>1</v>
      </c>
      <c r="M162" s="6" t="str">
        <f ca="1">IF(KENKO[[#This Row],[//]]="","",IF(INDEX([2]!NOTA[STN],KENKO[//]-2)="","CTN",INDEX([2]!NOTA[STN],KENKO[//]-2)))</f>
        <v>CTN</v>
      </c>
      <c r="N162" s="5">
        <f ca="1">IF(KENKO[[#This Row],[//]]="","",IF(INDEX([2]!NOTA[HARGA/ CTN],KENKO[[#This Row],[//]]-2)="",INDEX([2]!NOTA[HARGA SATUAN],KENKO[//]-2),INDEX([2]!NOTA[HARGA/ CTN],KENKO[[#This Row],[//]]-2)))</f>
        <v>1987200</v>
      </c>
      <c r="O162" s="7" t="str">
        <f ca="1">IF(KENKO[[#This Row],[//]]="","",IF(INDEX([2]!NOTA[DISC 2],KENKO[[#This Row],[//]]-2)=0,"",INDEX([2]!NOTA[DISC 2],KENKO[[#This Row],[//]]-2)))</f>
        <v/>
      </c>
      <c r="P162" s="7"/>
      <c r="Q162" s="5">
        <f ca="1">IF(KENKO[[#This Row],[//]]="","",INDEX([2]!NOTA[JUMLAH],KENKO[[#This Row],[//]]-2)-IF(ISNUMBER(KENKO[[#This Row],[DISC 1 (%)]]),INDEX([2]!NOTA[JUMLAH],KENKO[[#This Row],[//]]-2)*KENKO[[#This Row],[DISC 1 (%)]],0))</f>
        <v>1987200</v>
      </c>
      <c r="R1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4" t="str">
        <f ca="1">IF(KENKO[[#This Row],[//]]="","",INDEX([2]!NOTA[NAMA BARANG],KENKO[[#This Row],[//]]-2))</f>
        <v>KENKO COLOR CLIP 3100</v>
      </c>
      <c r="V162" s="4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162" s="6">
        <f ca="1">IF(KENKO[[#This Row],[concat]]="","",MATCH(KENKO[[#This Row],[concat]],[4]!db[NB NOTA_C],0)+1)</f>
        <v>1043</v>
      </c>
      <c r="X162" s="4" t="str">
        <f ca="1">IF(KENKO[[#This Row],[N.B.nota]]="","",ADDRESS(ROW(KENKO[QB]),COLUMN(KENKO[QB]))&amp;":"&amp;ADDRESS(ROW(),COLUMN(KENKO[QB])))</f>
        <v>$D$3:$D$162</v>
      </c>
      <c r="Y162" s="13" t="str">
        <f ca="1">IF(KENKO[[#This Row],[//]]="","",HYPERLINK("[..\\DB.xlsx]DB!e"&amp;KENKO[[#This Row],[stt]],"&gt;"))</f>
        <v>&gt;</v>
      </c>
      <c r="Z162" s="4">
        <f ca="1">IF(KENKO[[#This Row],[//]]="","",IF(KENKO[[#This Row],[ID NOTA]]="",Z155,KENKO[[#This Row],[ID NOTA]]))</f>
        <v>113</v>
      </c>
    </row>
    <row r="163" spans="1:26" ht="15" customHeight="1" x14ac:dyDescent="0.25">
      <c r="A163" s="4"/>
      <c r="B163" s="6" t="str">
        <f>IF(KENKO[[#This Row],[N_ID]]="","",INDEX(Table1[ID],MATCH(KENKO[[#This Row],[N_ID]],Table1[N_ID],0)))</f>
        <v/>
      </c>
      <c r="C163" s="6" t="str">
        <f>IF(KENKO[[#This Row],[ID NOTA]]="","",HYPERLINK("[NOTA_.xlsx]NOTA!e"&amp;INDEX([2]!PAJAK[//],MATCH(KENKO[[#This Row],[ID NOTA]],[2]!PAJAK[ID],0)),"&gt;") )</f>
        <v/>
      </c>
      <c r="D163" s="6" t="str">
        <f>IF(KENKO[[#This Row],[ID NOTA]]="","",INDEX(Table1[QB],MATCH(KENKO[[#This Row],[ID NOTA]],Table1[ID],0)))</f>
        <v/>
      </c>
      <c r="E16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669</v>
      </c>
      <c r="F163" s="6"/>
      <c r="G163" s="3" t="str">
        <f>IF(KENKO[[#This Row],[ID NOTA]]="","",INDEX([2]!NOTA[TGL_H],MATCH(KENKO[[#This Row],[ID NOTA]],[2]!NOTA[ID],0)))</f>
        <v/>
      </c>
      <c r="H163" s="3" t="str">
        <f>IF(KENKO[[#This Row],[ID NOTA]]="","",INDEX([2]!NOTA[TGL.NOTA],MATCH(KENKO[[#This Row],[ID NOTA]],[2]!NOTA[ID],0)))</f>
        <v/>
      </c>
      <c r="I163" s="18" t="str">
        <f>IF(KENKO[[#This Row],[ID NOTA]]="","",INDEX([2]!NOTA[NO.NOTA],MATCH(KENKO[[#This Row],[ID NOTA]],[2]!NOTA[ID],0)))</f>
        <v/>
      </c>
      <c r="J163" s="4" t="str">
        <f ca="1">IF(KENKO[[#This Row],[//]]="","",INDEX([4]!db[NB PAJAK],KENKO[[#This Row],[stt]]-1))</f>
        <v>BUKU TAMU KENKO BT-2920-01/03 (BUNGA)</v>
      </c>
      <c r="K163" s="6" t="str">
        <f>""</f>
        <v/>
      </c>
      <c r="L163" s="6">
        <f ca="1">IF(KENKO[[#This Row],[//]]="","",IF(INDEX([2]!NOTA[QTY],KENKO[//]-2)="",INDEX([2]!NOTA[C],KENKO[//]-2),INDEX([2]!NOTA[QTY],KENKO[//]-2)))</f>
        <v>1</v>
      </c>
      <c r="M163" s="6" t="str">
        <f ca="1">IF(KENKO[[#This Row],[//]]="","",IF(INDEX([2]!NOTA[STN],KENKO[//]-2)="","CTN",INDEX([2]!NOTA[STN],KENKO[//]-2)))</f>
        <v>CTN</v>
      </c>
      <c r="N163" s="5">
        <f ca="1">IF(KENKO[[#This Row],[//]]="","",IF(INDEX([2]!NOTA[HARGA/ CTN],KENKO[[#This Row],[//]]-2)="",INDEX([2]!NOTA[HARGA SATUAN],KENKO[//]-2),INDEX([2]!NOTA[HARGA/ CTN],KENKO[[#This Row],[//]]-2)))</f>
        <v>780000</v>
      </c>
      <c r="O163" s="7" t="str">
        <f ca="1">IF(KENKO[[#This Row],[//]]="","",IF(INDEX([2]!NOTA[DISC 2],KENKO[[#This Row],[//]]-2)=0,"",INDEX([2]!NOTA[DISC 2],KENKO[[#This Row],[//]]-2)))</f>
        <v/>
      </c>
      <c r="P163" s="7"/>
      <c r="Q163" s="5">
        <f ca="1">IF(KENKO[[#This Row],[//]]="","",INDEX([2]!NOTA[JUMLAH],KENKO[[#This Row],[//]]-2)-IF(ISNUMBER(KENKO[[#This Row],[DISC 1 (%)]]),INDEX([2]!NOTA[JUMLAH],KENKO[[#This Row],[//]]-2)*KENKO[[#This Row],[DISC 1 (%)]],0))</f>
        <v>780000</v>
      </c>
      <c r="R1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4" t="str">
        <f ca="1">IF(KENKO[[#This Row],[//]]="","",INDEX([2]!NOTA[NAMA BARANG],KENKO[[#This Row],[//]]-2))</f>
        <v>KENKO BUKU TAMU BT-2920-03 (KEMBANG)</v>
      </c>
      <c r="V163" s="4" t="str">
        <f ca="1">LOWER(SUBSTITUTE(SUBSTITUTE(SUBSTITUTE(SUBSTITUTE(SUBSTITUTE(SUBSTITUTE(SUBSTITUTE(SUBSTITUTE(KENKO[[#This Row],[N.B.nota]]," ",""),"-",""),"(",""),")",""),".",""),",",""),"/",""),"""",""))</f>
        <v>kenkobukutamubt292003kembang</v>
      </c>
      <c r="W163" s="6">
        <f ca="1">IF(KENKO[[#This Row],[concat]]="","",MATCH(KENKO[[#This Row],[concat]],[4]!db[NB NOTA_C],0)+1)</f>
        <v>1022</v>
      </c>
      <c r="X163" s="4" t="str">
        <f ca="1">IF(KENKO[[#This Row],[N.B.nota]]="","",ADDRESS(ROW(KENKO[QB]),COLUMN(KENKO[QB]))&amp;":"&amp;ADDRESS(ROW(),COLUMN(KENKO[QB])))</f>
        <v>$D$3:$D$163</v>
      </c>
      <c r="Y163" s="13" t="str">
        <f ca="1">IF(KENKO[[#This Row],[//]]="","",HYPERLINK("[..\\DB.xlsx]DB!e"&amp;KENKO[[#This Row],[stt]],"&gt;"))</f>
        <v>&gt;</v>
      </c>
      <c r="Z163" s="4">
        <f ca="1">IF(KENKO[[#This Row],[//]]="","",IF(KENKO[[#This Row],[ID NOTA]]="",Z155,KENKO[[#This Row],[ID NOTA]]))</f>
        <v>113</v>
      </c>
    </row>
    <row r="164" spans="1:26" ht="15" customHeight="1" x14ac:dyDescent="0.25">
      <c r="A164" s="4"/>
      <c r="B164" s="6" t="str">
        <f>IF(KENKO[[#This Row],[N_ID]]="","",INDEX(Table1[ID],MATCH(KENKO[[#This Row],[N_ID]],Table1[N_ID],0)))</f>
        <v/>
      </c>
      <c r="C164" s="6" t="str">
        <f>IF(KENKO[[#This Row],[ID NOTA]]="","",HYPERLINK("[NOTA_.xlsx]NOTA!e"&amp;INDEX([2]!PAJAK[//],MATCH(KENKO[[#This Row],[ID NOTA]],[2]!PAJAK[ID],0)),"&gt;") )</f>
        <v/>
      </c>
      <c r="D164" s="6" t="str">
        <f>IF(KENKO[[#This Row],[ID NOTA]]="","",INDEX(Table1[QB],MATCH(KENKO[[#This Row],[ID NOTA]],Table1[ID],0)))</f>
        <v/>
      </c>
      <c r="E16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670</v>
      </c>
      <c r="F164" s="6"/>
      <c r="G164" s="3" t="str">
        <f>IF(KENKO[[#This Row],[ID NOTA]]="","",INDEX([2]!NOTA[TGL_H],MATCH(KENKO[[#This Row],[ID NOTA]],[2]!NOTA[ID],0)))</f>
        <v/>
      </c>
      <c r="H164" s="3" t="str">
        <f>IF(KENKO[[#This Row],[ID NOTA]]="","",INDEX([2]!NOTA[TGL.NOTA],MATCH(KENKO[[#This Row],[ID NOTA]],[2]!NOTA[ID],0)))</f>
        <v/>
      </c>
      <c r="I164" s="18" t="str">
        <f>IF(KENKO[[#This Row],[ID NOTA]]="","",INDEX([2]!NOTA[NO.NOTA],MATCH(KENKO[[#This Row],[ID NOTA]],[2]!NOTA[ID],0)))</f>
        <v/>
      </c>
      <c r="J164" s="4" t="str">
        <f ca="1">IF(KENKO[[#This Row],[//]]="","",INDEX([4]!db[NB PAJAK],KENKO[[#This Row],[stt]]-1))</f>
        <v>CRAYON / OIL PASTEL TITI TI-P-12S</v>
      </c>
      <c r="K164" s="6" t="str">
        <f>""</f>
        <v/>
      </c>
      <c r="L164" s="6">
        <f ca="1">IF(KENKO[[#This Row],[//]]="","",IF(INDEX([2]!NOTA[QTY],KENKO[//]-2)="",INDEX([2]!NOTA[C],KENKO[//]-2),INDEX([2]!NOTA[QTY],KENKO[//]-2)))</f>
        <v>1</v>
      </c>
      <c r="M164" s="6" t="str">
        <f ca="1">IF(KENKO[[#This Row],[//]]="","",IF(INDEX([2]!NOTA[STN],KENKO[//]-2)="","CTN",INDEX([2]!NOTA[STN],KENKO[//]-2)))</f>
        <v>CTN</v>
      </c>
      <c r="N164" s="5">
        <f ca="1">IF(KENKO[[#This Row],[//]]="","",IF(INDEX([2]!NOTA[HARGA/ CTN],KENKO[[#This Row],[//]]-2)="",INDEX([2]!NOTA[HARGA SATUAN],KENKO[//]-2),INDEX([2]!NOTA[HARGA/ CTN],KENKO[[#This Row],[//]]-2)))</f>
        <v>2088000</v>
      </c>
      <c r="O164" s="7">
        <f ca="1">IF(KENKO[[#This Row],[//]]="","",IF(INDEX([2]!NOTA[DISC 2],KENKO[[#This Row],[//]]-2)=0,"",INDEX([2]!NOTA[DISC 2],KENKO[[#This Row],[//]]-2)))</f>
        <v>2.5000000000000001E-2</v>
      </c>
      <c r="P164" s="7"/>
      <c r="Q164" s="5">
        <f ca="1">IF(KENKO[[#This Row],[//]]="","",INDEX([2]!NOTA[JUMLAH],KENKO[[#This Row],[//]]-2)-IF(ISNUMBER(KENKO[[#This Row],[DISC 1 (%)]]),INDEX([2]!NOTA[JUMLAH],KENKO[[#This Row],[//]]-2)*KENKO[[#This Row],[DISC 1 (%)]],0))</f>
        <v>2035800</v>
      </c>
      <c r="R164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6075698</v>
      </c>
      <c r="S164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29663702</v>
      </c>
      <c r="T1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4" t="str">
        <f ca="1">IF(KENKO[[#This Row],[//]]="","",INDEX([2]!NOTA[NAMA BARANG],KENKO[[#This Row],[//]]-2))</f>
        <v>TITI 12 COLOR OIL PASTEL TI-P-12S</v>
      </c>
      <c r="V164" s="4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64" s="6">
        <f ca="1">IF(KENKO[[#This Row],[concat]]="","",MATCH(KENKO[[#This Row],[concat]],[4]!db[NB NOTA_C],0)+1)</f>
        <v>1958</v>
      </c>
      <c r="X164" s="4" t="str">
        <f ca="1">IF(KENKO[[#This Row],[N.B.nota]]="","",ADDRESS(ROW(KENKO[QB]),COLUMN(KENKO[QB]))&amp;":"&amp;ADDRESS(ROW(),COLUMN(KENKO[QB])))</f>
        <v>$D$3:$D$164</v>
      </c>
      <c r="Y164" s="13" t="str">
        <f ca="1">IF(KENKO[[#This Row],[//]]="","",HYPERLINK("[..\\DB.xlsx]DB!e"&amp;KENKO[[#This Row],[stt]],"&gt;"))</f>
        <v>&gt;</v>
      </c>
      <c r="Z164" s="4">
        <f ca="1">IF(KENKO[[#This Row],[//]]="","",IF(KENKO[[#This Row],[ID NOTA]]="",Z155,KENKO[[#This Row],[ID NOTA]]))</f>
        <v>113</v>
      </c>
    </row>
    <row r="165" spans="1:26" ht="15" customHeight="1" x14ac:dyDescent="0.25">
      <c r="A165" s="4"/>
      <c r="B165" s="6" t="str">
        <f>IF(KENKO[[#This Row],[N_ID]]="","",INDEX(Table1[ID],MATCH(KENKO[[#This Row],[N_ID]],Table1[N_ID],0)))</f>
        <v/>
      </c>
      <c r="C165" s="6" t="str">
        <f>IF(KENKO[[#This Row],[ID NOTA]]="","",HYPERLINK("[NOTA_.xlsx]NOTA!e"&amp;INDEX([2]!PAJAK[//],MATCH(KENKO[[#This Row],[ID NOTA]],[2]!PAJAK[ID],0)),"&gt;") )</f>
        <v/>
      </c>
      <c r="D165" s="6" t="str">
        <f>IF(KENKO[[#This Row],[ID NOTA]]="","",INDEX(Table1[QB],MATCH(KENKO[[#This Row],[ID NOTA]],Table1[ID],0)))</f>
        <v/>
      </c>
      <c r="E1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5" s="6"/>
      <c r="G165" s="3" t="str">
        <f>IF(KENKO[[#This Row],[ID NOTA]]="","",INDEX([2]!NOTA[TGL_H],MATCH(KENKO[[#This Row],[ID NOTA]],[2]!NOTA[ID],0)))</f>
        <v/>
      </c>
      <c r="H165" s="3" t="str">
        <f>IF(KENKO[[#This Row],[ID NOTA]]="","",INDEX([2]!NOTA[TGL.NOTA],MATCH(KENKO[[#This Row],[ID NOTA]],[2]!NOTA[ID],0)))</f>
        <v/>
      </c>
      <c r="I165" s="18" t="str">
        <f>IF(KENKO[[#This Row],[ID NOTA]]="","",INDEX([2]!NOTA[NO.NOTA],MATCH(KENKO[[#This Row],[ID NOTA]],[2]!NOTA[ID],0)))</f>
        <v/>
      </c>
      <c r="J165" s="4" t="str">
        <f ca="1">IF(KENKO[[#This Row],[//]]="","",INDEX([4]!db[NB PAJAK],KENKO[[#This Row],[stt]]-1))</f>
        <v/>
      </c>
      <c r="K165" s="6" t="str">
        <f>""</f>
        <v/>
      </c>
      <c r="L165" s="6" t="str">
        <f ca="1">IF(KENKO[[#This Row],[//]]="","",IF(INDEX([2]!NOTA[QTY],KENKO[//]-2)="",INDEX([2]!NOTA[C],KENKO[//]-2),INDEX([2]!NOTA[QTY],KENKO[//]-2)))</f>
        <v/>
      </c>
      <c r="M165" s="6" t="str">
        <f ca="1">IF(KENKO[[#This Row],[//]]="","",IF(INDEX([2]!NOTA[STN],KENKO[//]-2)="","CTN",INDEX([2]!NOTA[STN],KENKO[//]-2)))</f>
        <v/>
      </c>
      <c r="N165" s="5" t="str">
        <f ca="1">IF(KENKO[[#This Row],[//]]="","",IF(INDEX([2]!NOTA[HARGA/ CTN],KENKO[[#This Row],[//]]-2)="",INDEX([2]!NOTA[HARGA SATUAN],KENKO[//]-2),INDEX([2]!NOTA[HARGA/ CTN],KENKO[[#This Row],[//]]-2)))</f>
        <v/>
      </c>
      <c r="O165" s="7" t="str">
        <f ca="1">IF(KENKO[[#This Row],[//]]="","",IF(INDEX([2]!NOTA[DISC 2],KENKO[[#This Row],[//]]-2)=0,"",INDEX([2]!NOTA[DISC 2],KENKO[[#This Row],[//]]-2)))</f>
        <v/>
      </c>
      <c r="P165" s="7"/>
      <c r="Q16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4" t="str">
        <f ca="1">IF(KENKO[[#This Row],[//]]="","",INDEX([2]!NOTA[NAMA BARANG],KENKO[[#This Row],[//]]-2))</f>
        <v/>
      </c>
      <c r="V165" s="4" t="str">
        <f ca="1">LOWER(SUBSTITUTE(SUBSTITUTE(SUBSTITUTE(SUBSTITUTE(SUBSTITUTE(SUBSTITUTE(SUBSTITUTE(SUBSTITUTE(KENKO[[#This Row],[N.B.nota]]," ",""),"-",""),"(",""),")",""),".",""),",",""),"/",""),"""",""))</f>
        <v/>
      </c>
      <c r="W165" s="6" t="str">
        <f ca="1">IF(KENKO[[#This Row],[concat]]="","",MATCH(KENKO[[#This Row],[concat]],[4]!db[NB NOTA_C],0)+1)</f>
        <v/>
      </c>
      <c r="X165" s="4" t="str">
        <f ca="1">IF(KENKO[[#This Row],[N.B.nota]]="","",ADDRESS(ROW(KENKO[QB]),COLUMN(KENKO[QB]))&amp;":"&amp;ADDRESS(ROW(),COLUMN(KENKO[QB])))</f>
        <v/>
      </c>
      <c r="Y165" s="13" t="str">
        <f ca="1">IF(KENKO[[#This Row],[//]]="","",HYPERLINK("[..\\DB.xlsx]DB!e"&amp;KENKO[[#This Row],[stt]],"&gt;"))</f>
        <v/>
      </c>
      <c r="Z165" s="4" t="str">
        <f ca="1">IF(KENKO[[#This Row],[//]]="","",IF(KENKO[[#This Row],[ID NOTA]]="",Z155,KENKO[[#This Row],[ID NOTA]]))</f>
        <v/>
      </c>
    </row>
    <row r="166" spans="1:26" ht="15" customHeight="1" x14ac:dyDescent="0.25">
      <c r="A166" s="4" t="s">
        <v>104</v>
      </c>
      <c r="B166" s="6">
        <f ca="1">IF(KENKO[[#This Row],[N_ID]]="","",INDEX(Table1[ID],MATCH(KENKO[[#This Row],[N_ID]],Table1[N_ID],0)))</f>
        <v>114</v>
      </c>
      <c r="C166" s="6" t="str">
        <f ca="1">IF(KENKO[[#This Row],[ID NOTA]]="","",HYPERLINK("[NOTA_.xlsx]NOTA!e"&amp;INDEX([2]!PAJAK[//],MATCH(KENKO[[#This Row],[ID NOTA]],[2]!PAJAK[ID],0)),"&gt;") )</f>
        <v>&gt;</v>
      </c>
      <c r="D166" s="6">
        <f ca="1">IF(KENKO[[#This Row],[ID NOTA]]="","",INDEX(Table1[QB],MATCH(KENKO[[#This Row],[ID NOTA]],Table1[ID],0)))</f>
        <v>3</v>
      </c>
      <c r="E16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672</v>
      </c>
      <c r="F166" s="6">
        <v>23</v>
      </c>
      <c r="G166" s="3">
        <f ca="1">IF(KENKO[[#This Row],[ID NOTA]]="","",INDEX([2]!NOTA[TGL_H],MATCH(KENKO[[#This Row],[ID NOTA]],[2]!NOTA[ID],0)))</f>
        <v>44830</v>
      </c>
      <c r="H166" s="3">
        <f ca="1">IF(KENKO[[#This Row],[ID NOTA]]="","",INDEX([2]!NOTA[TGL.NOTA],MATCH(KENKO[[#This Row],[ID NOTA]],[2]!NOTA[ID],0)))</f>
        <v>44825</v>
      </c>
      <c r="I166" s="18" t="str">
        <f ca="1">IF(KENKO[[#This Row],[ID NOTA]]="","",INDEX([2]!NOTA[NO.NOTA],MATCH(KENKO[[#This Row],[ID NOTA]],[2]!NOTA[ID],0)))</f>
        <v>22091697</v>
      </c>
      <c r="J166" s="4" t="str">
        <f ca="1">IF(KENKO[[#This Row],[//]]="","",INDEX([4]!db[NB PAJAK],KENKO[[#This Row],[stt]]-1))</f>
        <v>CORRECTION TAPE KENKO CT-202N (6M x 5MM)</v>
      </c>
      <c r="K166" s="6" t="str">
        <f>""</f>
        <v/>
      </c>
      <c r="L166" s="6">
        <f ca="1">IF(KENKO[[#This Row],[//]]="","",IF(INDEX([2]!NOTA[QTY],KENKO[//]-2)="",INDEX([2]!NOTA[C],KENKO[//]-2),INDEX([2]!NOTA[QTY],KENKO[//]-2)))</f>
        <v>1</v>
      </c>
      <c r="M166" s="6" t="str">
        <f ca="1">IF(KENKO[[#This Row],[//]]="","",IF(INDEX([2]!NOTA[STN],KENKO[//]-2)="","CTN",INDEX([2]!NOTA[STN],KENKO[//]-2)))</f>
        <v>CTN</v>
      </c>
      <c r="N166" s="5">
        <f ca="1">IF(KENKO[[#This Row],[//]]="","",IF(INDEX([2]!NOTA[HARGA/ CTN],KENKO[[#This Row],[//]]-2)="",INDEX([2]!NOTA[HARGA SATUAN],KENKO[//]-2),INDEX([2]!NOTA[HARGA/ CTN],KENKO[[#This Row],[//]]-2)))</f>
        <v>2095200</v>
      </c>
      <c r="O166" s="7" t="str">
        <f ca="1">IF(KENKO[[#This Row],[//]]="","",IF(INDEX([2]!NOTA[DISC 2],KENKO[[#This Row],[//]]-2)=0,"",INDEX([2]!NOTA[DISC 2],KENKO[[#This Row],[//]]-2)))</f>
        <v/>
      </c>
      <c r="P166" s="7"/>
      <c r="Q166" s="5">
        <f ca="1">IF(KENKO[[#This Row],[//]]="","",INDEX([2]!NOTA[JUMLAH],KENKO[[#This Row],[//]]-2)-IF(ISNUMBER(KENKO[[#This Row],[DISC 1 (%)]]),INDEX([2]!NOTA[JUMLAH],KENKO[[#This Row],[//]]-2)*KENKO[[#This Row],[DISC 1 (%)]],0))</f>
        <v>2095200</v>
      </c>
      <c r="R1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4" t="str">
        <f ca="1">IF(KENKO[[#This Row],[//]]="","",INDEX([2]!NOTA[NAMA BARANG],KENKO[[#This Row],[//]]-2))</f>
        <v>KENKO CORRECTION TAPE CT-202N (6M X 5MM)</v>
      </c>
      <c r="V166" s="4" t="str">
        <f ca="1">LOWER(SUBSTITUTE(SUBSTITUTE(SUBSTITUTE(SUBSTITUTE(SUBSTITUTE(SUBSTITUTE(SUBSTITUTE(SUBSTITUTE(KENKO[[#This Row],[N.B.nota]]," ",""),"-",""),"(",""),")",""),".",""),",",""),"/",""),"""",""))</f>
        <v>kenkocorrectiontapect202n6mx5mm</v>
      </c>
      <c r="W166" s="6">
        <f ca="1">IF(KENKO[[#This Row],[concat]]="","",MATCH(KENKO[[#This Row],[concat]],[4]!db[NB NOTA_C],0)+1)</f>
        <v>1064</v>
      </c>
      <c r="X166" s="4" t="str">
        <f ca="1">IF(KENKO[[#This Row],[N.B.nota]]="","",ADDRESS(ROW(KENKO[QB]),COLUMN(KENKO[QB]))&amp;":"&amp;ADDRESS(ROW(),COLUMN(KENKO[QB])))</f>
        <v>$D$3:$D$166</v>
      </c>
      <c r="Y166" s="13" t="str">
        <f ca="1">IF(KENKO[[#This Row],[//]]="","",HYPERLINK("[..\\DB.xlsx]DB!e"&amp;KENKO[[#This Row],[stt]],"&gt;"))</f>
        <v>&gt;</v>
      </c>
      <c r="Z166" s="4">
        <f ca="1">IF(KENKO[[#This Row],[//]]="","",IF(KENKO[[#This Row],[ID NOTA]]="",Z155,KENKO[[#This Row],[ID NOTA]]))</f>
        <v>114</v>
      </c>
    </row>
    <row r="167" spans="1:26" ht="15" customHeight="1" x14ac:dyDescent="0.25">
      <c r="A167" s="4"/>
      <c r="B167" s="6" t="str">
        <f>IF(KENKO[[#This Row],[N_ID]]="","",INDEX(Table1[ID],MATCH(KENKO[[#This Row],[N_ID]],Table1[N_ID],0)))</f>
        <v/>
      </c>
      <c r="C167" s="6" t="str">
        <f>IF(KENKO[[#This Row],[ID NOTA]]="","",HYPERLINK("[NOTA_.xlsx]NOTA!e"&amp;INDEX([2]!PAJAK[//],MATCH(KENKO[[#This Row],[ID NOTA]],[2]!PAJAK[ID],0)),"&gt;") )</f>
        <v/>
      </c>
      <c r="D167" s="6" t="str">
        <f>IF(KENKO[[#This Row],[ID NOTA]]="","",INDEX(Table1[QB],MATCH(KENKO[[#This Row],[ID NOTA]],Table1[ID],0)))</f>
        <v/>
      </c>
      <c r="E16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673</v>
      </c>
      <c r="F167" s="6"/>
      <c r="G167" s="3" t="str">
        <f>IF(KENKO[[#This Row],[ID NOTA]]="","",INDEX([2]!NOTA[TGL_H],MATCH(KENKO[[#This Row],[ID NOTA]],[2]!NOTA[ID],0)))</f>
        <v/>
      </c>
      <c r="H167" s="3" t="str">
        <f>IF(KENKO[[#This Row],[ID NOTA]]="","",INDEX([2]!NOTA[TGL.NOTA],MATCH(KENKO[[#This Row],[ID NOTA]],[2]!NOTA[ID],0)))</f>
        <v/>
      </c>
      <c r="I167" s="18" t="str">
        <f>IF(KENKO[[#This Row],[ID NOTA]]="","",INDEX([2]!NOTA[NO.NOTA],MATCH(KENKO[[#This Row],[ID NOTA]],[2]!NOTA[ID],0)))</f>
        <v/>
      </c>
      <c r="J167" s="4" t="str">
        <f ca="1">IF(KENKO[[#This Row],[//]]="","",INDEX([4]!db[NB PAJAK],KENKO[[#This Row],[stt]]-1))</f>
        <v>POCKET NOTE SPIRAL KENKO PN-404</v>
      </c>
      <c r="K167" s="6" t="str">
        <f>""</f>
        <v/>
      </c>
      <c r="L167" s="6">
        <f ca="1">IF(KENKO[[#This Row],[//]]="","",IF(INDEX([2]!NOTA[QTY],KENKO[//]-2)="",INDEX([2]!NOTA[C],KENKO[//]-2),INDEX([2]!NOTA[QTY],KENKO[//]-2)))</f>
        <v>1</v>
      </c>
      <c r="M167" s="6" t="str">
        <f ca="1">IF(KENKO[[#This Row],[//]]="","",IF(INDEX([2]!NOTA[STN],KENKO[//]-2)="","CTN",INDEX([2]!NOTA[STN],KENKO[//]-2)))</f>
        <v>CTN</v>
      </c>
      <c r="N167" s="5">
        <f ca="1">IF(KENKO[[#This Row],[//]]="","",IF(INDEX([2]!NOTA[HARGA/ CTN],KENKO[[#This Row],[//]]-2)="",INDEX([2]!NOTA[HARGA SATUAN],KENKO[//]-2),INDEX([2]!NOTA[HARGA/ CTN],KENKO[[#This Row],[//]]-2)))</f>
        <v>804000</v>
      </c>
      <c r="O167" s="7" t="str">
        <f ca="1">IF(KENKO[[#This Row],[//]]="","",IF(INDEX([2]!NOTA[DISC 2],KENKO[[#This Row],[//]]-2)=0,"",INDEX([2]!NOTA[DISC 2],KENKO[[#This Row],[//]]-2)))</f>
        <v/>
      </c>
      <c r="P167" s="7"/>
      <c r="Q167" s="5">
        <f ca="1">IF(KENKO[[#This Row],[//]]="","",INDEX([2]!NOTA[JUMLAH],KENKO[[#This Row],[//]]-2)-IF(ISNUMBER(KENKO[[#This Row],[DISC 1 (%)]]),INDEX([2]!NOTA[JUMLAH],KENKO[[#This Row],[//]]-2)*KENKO[[#This Row],[DISC 1 (%)]],0))</f>
        <v>804000</v>
      </c>
      <c r="R1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4" t="str">
        <f ca="1">IF(KENKO[[#This Row],[//]]="","",INDEX([2]!NOTA[NAMA BARANG],KENKO[[#This Row],[//]]-2))</f>
        <v>KENKO POCKET NOTE PN-404</v>
      </c>
      <c r="V167" s="4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67" s="6">
        <f ca="1">IF(KENKO[[#This Row],[concat]]="","",MATCH(KENKO[[#This Row],[concat]],[4]!db[NB NOTA_C],0)+1)</f>
        <v>1200</v>
      </c>
      <c r="X167" s="4" t="str">
        <f ca="1">IF(KENKO[[#This Row],[N.B.nota]]="","",ADDRESS(ROW(KENKO[QB]),COLUMN(KENKO[QB]))&amp;":"&amp;ADDRESS(ROW(),COLUMN(KENKO[QB])))</f>
        <v>$D$3:$D$167</v>
      </c>
      <c r="Y167" s="13" t="str">
        <f ca="1">IF(KENKO[[#This Row],[//]]="","",HYPERLINK("[..\\DB.xlsx]DB!e"&amp;KENKO[[#This Row],[stt]],"&gt;"))</f>
        <v>&gt;</v>
      </c>
      <c r="Z167" s="4">
        <f ca="1">IF(KENKO[[#This Row],[//]]="","",IF(KENKO[[#This Row],[ID NOTA]]="",Z166,KENKO[[#This Row],[ID NOTA]]))</f>
        <v>114</v>
      </c>
    </row>
    <row r="168" spans="1:26" ht="15" customHeight="1" x14ac:dyDescent="0.25">
      <c r="A168" s="4"/>
      <c r="B168" s="6" t="str">
        <f>IF(KENKO[[#This Row],[N_ID]]="","",INDEX(Table1[ID],MATCH(KENKO[[#This Row],[N_ID]],Table1[N_ID],0)))</f>
        <v/>
      </c>
      <c r="C168" s="6" t="str">
        <f>IF(KENKO[[#This Row],[ID NOTA]]="","",HYPERLINK("[NOTA_.xlsx]NOTA!e"&amp;INDEX([2]!PAJAK[//],MATCH(KENKO[[#This Row],[ID NOTA]],[2]!PAJAK[ID],0)),"&gt;") )</f>
        <v/>
      </c>
      <c r="D168" s="6" t="str">
        <f>IF(KENKO[[#This Row],[ID NOTA]]="","",INDEX(Table1[QB],MATCH(KENKO[[#This Row],[ID NOTA]],Table1[ID],0)))</f>
        <v/>
      </c>
      <c r="E16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674</v>
      </c>
      <c r="F168" s="6"/>
      <c r="G168" s="3" t="str">
        <f>IF(KENKO[[#This Row],[ID NOTA]]="","",INDEX([2]!NOTA[TGL_H],MATCH(KENKO[[#This Row],[ID NOTA]],[2]!NOTA[ID],0)))</f>
        <v/>
      </c>
      <c r="H168" s="3" t="str">
        <f>IF(KENKO[[#This Row],[ID NOTA]]="","",INDEX([2]!NOTA[TGL.NOTA],MATCH(KENKO[[#This Row],[ID NOTA]],[2]!NOTA[ID],0)))</f>
        <v/>
      </c>
      <c r="I168" s="18" t="str">
        <f>IF(KENKO[[#This Row],[ID NOTA]]="","",INDEX([2]!NOTA[NO.NOTA],MATCH(KENKO[[#This Row],[ID NOTA]],[2]!NOTA[ID],0)))</f>
        <v/>
      </c>
      <c r="J168" s="4" t="str">
        <f ca="1">IF(KENKO[[#This Row],[//]]="","",INDEX([4]!db[NB PAJAK],KENKO[[#This Row],[stt]]-1))</f>
        <v>LOOSE LEAF KENKO B5-LL 50-2670</v>
      </c>
      <c r="K168" s="6" t="str">
        <f>""</f>
        <v/>
      </c>
      <c r="L168" s="6">
        <f ca="1">IF(KENKO[[#This Row],[//]]="","",IF(INDEX([2]!NOTA[QTY],KENKO[//]-2)="",INDEX([2]!NOTA[C],KENKO[//]-2),INDEX([2]!NOTA[QTY],KENKO[//]-2)))</f>
        <v>2</v>
      </c>
      <c r="M168" s="6" t="str">
        <f ca="1">IF(KENKO[[#This Row],[//]]="","",IF(INDEX([2]!NOTA[STN],KENKO[//]-2)="","CTN",INDEX([2]!NOTA[STN],KENKO[//]-2)))</f>
        <v>CTN</v>
      </c>
      <c r="N168" s="5">
        <f ca="1">IF(KENKO[[#This Row],[//]]="","",IF(INDEX([2]!NOTA[HARGA/ CTN],KENKO[[#This Row],[//]]-2)="",INDEX([2]!NOTA[HARGA SATUAN],KENKO[//]-2),INDEX([2]!NOTA[HARGA/ CTN],KENKO[[#This Row],[//]]-2)))</f>
        <v>1104000</v>
      </c>
      <c r="O168" s="7" t="str">
        <f ca="1">IF(KENKO[[#This Row],[//]]="","",IF(INDEX([2]!NOTA[DISC 2],KENKO[[#This Row],[//]]-2)=0,"",INDEX([2]!NOTA[DISC 2],KENKO[[#This Row],[//]]-2)))</f>
        <v/>
      </c>
      <c r="P168" s="7"/>
      <c r="Q168" s="5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168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868224.00000000012</v>
      </c>
      <c r="S168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4238976</v>
      </c>
      <c r="T1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4" t="str">
        <f ca="1">IF(KENKO[[#This Row],[//]]="","",INDEX([2]!NOTA[NAMA BARANG],KENKO[[#This Row],[//]]-2))</f>
        <v>KENKO LOOSE LEAF B5-LL 50-2670</v>
      </c>
      <c r="V168" s="4" t="str">
        <f ca="1">LOWER(SUBSTITUTE(SUBSTITUTE(SUBSTITUTE(SUBSTITUTE(SUBSTITUTE(SUBSTITUTE(SUBSTITUTE(SUBSTITUTE(KENKO[[#This Row],[N.B.nota]]," ",""),"-",""),"(",""),")",""),".",""),",",""),"/",""),"""",""))</f>
        <v>kenkolooseleafb5ll502670</v>
      </c>
      <c r="W168" s="6">
        <f ca="1">IF(KENKO[[#This Row],[concat]]="","",MATCH(KENKO[[#This Row],[concat]],[4]!db[NB NOTA_C],0)+1)</f>
        <v>1166</v>
      </c>
      <c r="X168" s="4" t="str">
        <f ca="1">IF(KENKO[[#This Row],[N.B.nota]]="","",ADDRESS(ROW(KENKO[QB]),COLUMN(KENKO[QB]))&amp;":"&amp;ADDRESS(ROW(),COLUMN(KENKO[QB])))</f>
        <v>$D$3:$D$168</v>
      </c>
      <c r="Y168" s="13" t="str">
        <f ca="1">IF(KENKO[[#This Row],[//]]="","",HYPERLINK("[..\\DB.xlsx]DB!e"&amp;KENKO[[#This Row],[stt]],"&gt;"))</f>
        <v>&gt;</v>
      </c>
      <c r="Z168" s="4">
        <f ca="1">IF(KENKO[[#This Row],[//]]="","",IF(KENKO[[#This Row],[ID NOTA]]="",Z166,KENKO[[#This Row],[ID NOTA]]))</f>
        <v>114</v>
      </c>
    </row>
    <row r="169" spans="1:26" ht="15" customHeight="1" x14ac:dyDescent="0.25">
      <c r="A169" s="4"/>
      <c r="B169" s="6" t="str">
        <f>IF(KENKO[[#This Row],[N_ID]]="","",INDEX(Table1[ID],MATCH(KENKO[[#This Row],[N_ID]],Table1[N_ID],0)))</f>
        <v/>
      </c>
      <c r="C169" s="6" t="str">
        <f>IF(KENKO[[#This Row],[ID NOTA]]="","",HYPERLINK("[NOTA_.xlsx]NOTA!e"&amp;INDEX([2]!PAJAK[//],MATCH(KENKO[[#This Row],[ID NOTA]],[2]!PAJAK[ID],0)),"&gt;") )</f>
        <v/>
      </c>
      <c r="D169" s="6" t="str">
        <f>IF(KENKO[[#This Row],[ID NOTA]]="","",INDEX(Table1[QB],MATCH(KENKO[[#This Row],[ID NOTA]],Table1[ID],0)))</f>
        <v/>
      </c>
      <c r="E1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9" s="6"/>
      <c r="G169" s="3" t="str">
        <f>IF(KENKO[[#This Row],[ID NOTA]]="","",INDEX([2]!NOTA[TGL_H],MATCH(KENKO[[#This Row],[ID NOTA]],[2]!NOTA[ID],0)))</f>
        <v/>
      </c>
      <c r="H169" s="3" t="str">
        <f>IF(KENKO[[#This Row],[ID NOTA]]="","",INDEX([2]!NOTA[TGL.NOTA],MATCH(KENKO[[#This Row],[ID NOTA]],[2]!NOTA[ID],0)))</f>
        <v/>
      </c>
      <c r="I169" s="18" t="str">
        <f>IF(KENKO[[#This Row],[ID NOTA]]="","",INDEX([2]!NOTA[NO.NOTA],MATCH(KENKO[[#This Row],[ID NOTA]],[2]!NOTA[ID],0)))</f>
        <v/>
      </c>
      <c r="J169" s="4" t="str">
        <f ca="1">IF(KENKO[[#This Row],[//]]="","",INDEX([4]!db[NB PAJAK],KENKO[[#This Row],[stt]]-1))</f>
        <v/>
      </c>
      <c r="K169" s="6" t="str">
        <f>""</f>
        <v/>
      </c>
      <c r="L169" s="6" t="str">
        <f ca="1">IF(KENKO[[#This Row],[//]]="","",IF(INDEX([2]!NOTA[QTY],KENKO[//]-2)="",INDEX([2]!NOTA[C],KENKO[//]-2),INDEX([2]!NOTA[QTY],KENKO[//]-2)))</f>
        <v/>
      </c>
      <c r="M169" s="6" t="str">
        <f ca="1">IF(KENKO[[#This Row],[//]]="","",IF(INDEX([2]!NOTA[STN],KENKO[//]-2)="","CTN",INDEX([2]!NOTA[STN],KENKO[//]-2)))</f>
        <v/>
      </c>
      <c r="N169" s="5" t="str">
        <f ca="1">IF(KENKO[[#This Row],[//]]="","",IF(INDEX([2]!NOTA[HARGA/ CTN],KENKO[[#This Row],[//]]-2)="",INDEX([2]!NOTA[HARGA SATUAN],KENKO[//]-2),INDEX([2]!NOTA[HARGA/ CTN],KENKO[[#This Row],[//]]-2)))</f>
        <v/>
      </c>
      <c r="O169" s="7" t="str">
        <f ca="1">IF(KENKO[[#This Row],[//]]="","",IF(INDEX([2]!NOTA[DISC 2],KENKO[[#This Row],[//]]-2)=0,"",INDEX([2]!NOTA[DISC 2],KENKO[[#This Row],[//]]-2)))</f>
        <v/>
      </c>
      <c r="P169" s="7"/>
      <c r="Q16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4" t="str">
        <f ca="1">IF(KENKO[[#This Row],[//]]="","",INDEX([2]!NOTA[NAMA BARANG],KENKO[[#This Row],[//]]-2))</f>
        <v/>
      </c>
      <c r="V169" s="4" t="str">
        <f ca="1">LOWER(SUBSTITUTE(SUBSTITUTE(SUBSTITUTE(SUBSTITUTE(SUBSTITUTE(SUBSTITUTE(SUBSTITUTE(SUBSTITUTE(KENKO[[#This Row],[N.B.nota]]," ",""),"-",""),"(",""),")",""),".",""),",",""),"/",""),"""",""))</f>
        <v/>
      </c>
      <c r="W169" s="6" t="str">
        <f ca="1">IF(KENKO[[#This Row],[concat]]="","",MATCH(KENKO[[#This Row],[concat]],[4]!db[NB NOTA_C],0)+1)</f>
        <v/>
      </c>
      <c r="X169" s="4" t="str">
        <f ca="1">IF(KENKO[[#This Row],[N.B.nota]]="","",ADDRESS(ROW(KENKO[QB]),COLUMN(KENKO[QB]))&amp;":"&amp;ADDRESS(ROW(),COLUMN(KENKO[QB])))</f>
        <v/>
      </c>
      <c r="Y169" s="13" t="str">
        <f ca="1">IF(KENKO[[#This Row],[//]]="","",HYPERLINK("[..\\DB.xlsx]DB!e"&amp;KENKO[[#This Row],[stt]],"&gt;"))</f>
        <v/>
      </c>
      <c r="Z169" s="4" t="str">
        <f ca="1">IF(KENKO[[#This Row],[//]]="","",IF(KENKO[[#This Row],[ID NOTA]]="",Z166,KENKO[[#This Row],[ID NOTA]]))</f>
        <v/>
      </c>
    </row>
    <row r="170" spans="1:26" ht="15" customHeight="1" x14ac:dyDescent="0.25">
      <c r="A170" s="4" t="s">
        <v>105</v>
      </c>
      <c r="B170" s="6">
        <f ca="1">IF(KENKO[[#This Row],[N_ID]]="","",INDEX(Table1[ID],MATCH(KENKO[[#This Row],[N_ID]],Table1[N_ID],0)))</f>
        <v>117</v>
      </c>
      <c r="C170" s="6" t="str">
        <f ca="1">IF(KENKO[[#This Row],[ID NOTA]]="","",HYPERLINK("[NOTA_.xlsx]NOTA!e"&amp;INDEX([2]!PAJAK[//],MATCH(KENKO[[#This Row],[ID NOTA]],[2]!PAJAK[ID],0)),"&gt;") )</f>
        <v>&gt;</v>
      </c>
      <c r="D170" s="6">
        <f ca="1">IF(KENKO[[#This Row],[ID NOTA]]="","",INDEX(Table1[QB],MATCH(KENKO[[#This Row],[ID NOTA]],Table1[ID],0)))</f>
        <v>10</v>
      </c>
      <c r="E17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692</v>
      </c>
      <c r="F170" s="6">
        <v>24</v>
      </c>
      <c r="G170" s="3">
        <f ca="1">IF(KENKO[[#This Row],[ID NOTA]]="","",INDEX([2]!NOTA[TGL_H],MATCH(KENKO[[#This Row],[ID NOTA]],[2]!NOTA[ID],0)))</f>
        <v>44830</v>
      </c>
      <c r="H170" s="3">
        <f ca="1">IF(KENKO[[#This Row],[ID NOTA]]="","",INDEX([2]!NOTA[TGL.NOTA],MATCH(KENKO[[#This Row],[ID NOTA]],[2]!NOTA[ID],0)))</f>
        <v>44826</v>
      </c>
      <c r="I170" s="18" t="str">
        <f ca="1">IF(KENKO[[#This Row],[ID NOTA]]="","",INDEX([2]!NOTA[NO.NOTA],MATCH(KENKO[[#This Row],[ID NOTA]],[2]!NOTA[ID],0)))</f>
        <v>22091783</v>
      </c>
      <c r="J170" s="4" t="str">
        <f ca="1">IF(KENKO[[#This Row],[//]]="","",INDEX([4]!db[NB PAJAK],KENKO[[#This Row],[stt]]-1))</f>
        <v>ISI CUTTER 18 MM KENKO L-150 (BESAR)</v>
      </c>
      <c r="K170" s="6" t="str">
        <f>""</f>
        <v/>
      </c>
      <c r="L170" s="6">
        <f ca="1">IF(KENKO[[#This Row],[//]]="","",IF(INDEX([2]!NOTA[QTY],KENKO[//]-2)="",INDEX([2]!NOTA[C],KENKO[//]-2),INDEX([2]!NOTA[QTY],KENKO[//]-2)))</f>
        <v>10</v>
      </c>
      <c r="M170" s="6" t="str">
        <f ca="1">IF(KENKO[[#This Row],[//]]="","",IF(INDEX([2]!NOTA[STN],KENKO[//]-2)="","CTN",INDEX([2]!NOTA[STN],KENKO[//]-2)))</f>
        <v>CTN</v>
      </c>
      <c r="N170" s="5">
        <f ca="1">IF(KENKO[[#This Row],[//]]="","",IF(INDEX([2]!NOTA[HARGA/ CTN],KENKO[[#This Row],[//]]-2)="",INDEX([2]!NOTA[HARGA SATUAN],KENKO[//]-2),INDEX([2]!NOTA[HARGA/ CTN],KENKO[[#This Row],[//]]-2)))</f>
        <v>3888000</v>
      </c>
      <c r="O170" s="7" t="str">
        <f ca="1">IF(KENKO[[#This Row],[//]]="","",IF(INDEX([2]!NOTA[DISC 2],KENKO[[#This Row],[//]]-2)=0,"",INDEX([2]!NOTA[DISC 2],KENKO[[#This Row],[//]]-2)))</f>
        <v/>
      </c>
      <c r="P170" s="7"/>
      <c r="Q170" s="5">
        <f ca="1">IF(KENKO[[#This Row],[//]]="","",INDEX([2]!NOTA[JUMLAH],KENKO[[#This Row],[//]]-2)-IF(ISNUMBER(KENKO[[#This Row],[DISC 1 (%)]]),INDEX([2]!NOTA[JUMLAH],KENKO[[#This Row],[//]]-2)*KENKO[[#This Row],[DISC 1 (%)]],0))</f>
        <v>38880000</v>
      </c>
      <c r="R1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4" t="str">
        <f ca="1">IF(KENKO[[#This Row],[//]]="","",INDEX([2]!NOTA[NAMA BARANG],KENKO[[#This Row],[//]]-2))</f>
        <v>KENKO CUTTER BLADE L-150 (18MM)</v>
      </c>
      <c r="V170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70" s="6">
        <f ca="1">IF(KENKO[[#This Row],[concat]]="","",MATCH(KENKO[[#This Row],[concat]],[4]!db[NB NOTA_C],0)+1)</f>
        <v>1084</v>
      </c>
      <c r="X170" s="4" t="str">
        <f ca="1">IF(KENKO[[#This Row],[N.B.nota]]="","",ADDRESS(ROW(KENKO[QB]),COLUMN(KENKO[QB]))&amp;":"&amp;ADDRESS(ROW(),COLUMN(KENKO[QB])))</f>
        <v>$D$3:$D$170</v>
      </c>
      <c r="Y170" s="13" t="str">
        <f ca="1">IF(KENKO[[#This Row],[//]]="","",HYPERLINK("[..\\DB.xlsx]DB!e"&amp;KENKO[[#This Row],[stt]],"&gt;"))</f>
        <v>&gt;</v>
      </c>
      <c r="Z170" s="4">
        <f ca="1">IF(KENKO[[#This Row],[//]]="","",IF(KENKO[[#This Row],[ID NOTA]]="",Z166,KENKO[[#This Row],[ID NOTA]]))</f>
        <v>117</v>
      </c>
    </row>
    <row r="171" spans="1:26" ht="15" customHeight="1" x14ac:dyDescent="0.25">
      <c r="A171" s="4"/>
      <c r="B171" s="6" t="str">
        <f>IF(KENKO[[#This Row],[N_ID]]="","",INDEX(Table1[ID],MATCH(KENKO[[#This Row],[N_ID]],Table1[N_ID],0)))</f>
        <v/>
      </c>
      <c r="C171" s="6" t="str">
        <f>IF(KENKO[[#This Row],[ID NOTA]]="","",HYPERLINK("[NOTA_.xlsx]NOTA!e"&amp;INDEX([2]!PAJAK[//],MATCH(KENKO[[#This Row],[ID NOTA]],[2]!PAJAK[ID],0)),"&gt;") )</f>
        <v/>
      </c>
      <c r="D171" s="6" t="str">
        <f>IF(KENKO[[#This Row],[ID NOTA]]="","",INDEX(Table1[QB],MATCH(KENKO[[#This Row],[ID NOTA]],Table1[ID],0)))</f>
        <v/>
      </c>
      <c r="E17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693</v>
      </c>
      <c r="F171" s="6"/>
      <c r="G171" s="3" t="str">
        <f>IF(KENKO[[#This Row],[ID NOTA]]="","",INDEX([2]!NOTA[TGL_H],MATCH(KENKO[[#This Row],[ID NOTA]],[2]!NOTA[ID],0)))</f>
        <v/>
      </c>
      <c r="H171" s="3" t="str">
        <f>IF(KENKO[[#This Row],[ID NOTA]]="","",INDEX([2]!NOTA[TGL.NOTA],MATCH(KENKO[[#This Row],[ID NOTA]],[2]!NOTA[ID],0)))</f>
        <v/>
      </c>
      <c r="I171" s="18" t="str">
        <f>IF(KENKO[[#This Row],[ID NOTA]]="","",INDEX([2]!NOTA[NO.NOTA],MATCH(KENKO[[#This Row],[ID NOTA]],[2]!NOTA[ID],0)))</f>
        <v/>
      </c>
      <c r="J171" s="4" t="str">
        <f ca="1">IF(KENKO[[#This Row],[//]]="","",INDEX([4]!db[NB PAJAK],KENKO[[#This Row],[stt]]-1))</f>
        <v>LEM STICK KENKO 8 GR (KECIL) isi 30 pc</v>
      </c>
      <c r="K171" s="6" t="str">
        <f>""</f>
        <v/>
      </c>
      <c r="L171" s="6">
        <f ca="1">IF(KENKO[[#This Row],[//]]="","",IF(INDEX([2]!NOTA[QTY],KENKO[//]-2)="",INDEX([2]!NOTA[C],KENKO[//]-2),INDEX([2]!NOTA[QTY],KENKO[//]-2)))</f>
        <v>2</v>
      </c>
      <c r="M171" s="6" t="str">
        <f ca="1">IF(KENKO[[#This Row],[//]]="","",IF(INDEX([2]!NOTA[STN],KENKO[//]-2)="","CTN",INDEX([2]!NOTA[STN],KENKO[//]-2)))</f>
        <v>CTN</v>
      </c>
      <c r="N171" s="5">
        <f ca="1">IF(KENKO[[#This Row],[//]]="","",IF(INDEX([2]!NOTA[HARGA/ CTN],KENKO[[#This Row],[//]]-2)="",INDEX([2]!NOTA[HARGA SATUAN],KENKO[//]-2),INDEX([2]!NOTA[HARGA/ CTN],KENKO[[#This Row],[//]]-2)))</f>
        <v>2376000</v>
      </c>
      <c r="O171" s="7" t="str">
        <f ca="1">IF(KENKO[[#This Row],[//]]="","",IF(INDEX([2]!NOTA[DISC 2],KENKO[[#This Row],[//]]-2)=0,"",INDEX([2]!NOTA[DISC 2],KENKO[[#This Row],[//]]-2)))</f>
        <v/>
      </c>
      <c r="P171" s="7"/>
      <c r="Q171" s="5">
        <f ca="1">IF(KENKO[[#This Row],[//]]="","",INDEX([2]!NOTA[JUMLAH],KENKO[[#This Row],[//]]-2)-IF(ISNUMBER(KENKO[[#This Row],[DISC 1 (%)]]),INDEX([2]!NOTA[JUMLAH],KENKO[[#This Row],[//]]-2)*KENKO[[#This Row],[DISC 1 (%)]],0))</f>
        <v>4752000</v>
      </c>
      <c r="R1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4" t="str">
        <f ca="1">IF(KENKO[[#This Row],[//]]="","",INDEX([2]!NOTA[NAMA BARANG],KENKO[[#This Row],[//]]-2))</f>
        <v>KENKO GLUE STICK 8GR (SMALL)</v>
      </c>
      <c r="V171" s="4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71" s="6">
        <f ca="1">IF(KENKO[[#This Row],[concat]]="","",MATCH(KENKO[[#This Row],[concat]],[4]!db[NB NOTA_C],0)+1)</f>
        <v>1139</v>
      </c>
      <c r="X171" s="4" t="str">
        <f ca="1">IF(KENKO[[#This Row],[N.B.nota]]="","",ADDRESS(ROW(KENKO[QB]),COLUMN(KENKO[QB]))&amp;":"&amp;ADDRESS(ROW(),COLUMN(KENKO[QB])))</f>
        <v>$D$3:$D$171</v>
      </c>
      <c r="Y171" s="13" t="str">
        <f ca="1">IF(KENKO[[#This Row],[//]]="","",HYPERLINK("[..\\DB.xlsx]DB!e"&amp;KENKO[[#This Row],[stt]],"&gt;"))</f>
        <v>&gt;</v>
      </c>
      <c r="Z171" s="4">
        <f ca="1">IF(KENKO[[#This Row],[//]]="","",IF(KENKO[[#This Row],[ID NOTA]]="",Z170,KENKO[[#This Row],[ID NOTA]]))</f>
        <v>117</v>
      </c>
    </row>
    <row r="172" spans="1:26" ht="15" customHeight="1" x14ac:dyDescent="0.25">
      <c r="A172" s="4"/>
      <c r="B172" s="6" t="str">
        <f>IF(KENKO[[#This Row],[N_ID]]="","",INDEX(Table1[ID],MATCH(KENKO[[#This Row],[N_ID]],Table1[N_ID],0)))</f>
        <v/>
      </c>
      <c r="C172" s="6" t="str">
        <f>IF(KENKO[[#This Row],[ID NOTA]]="","",HYPERLINK("[NOTA_.xlsx]NOTA!e"&amp;INDEX([2]!PAJAK[//],MATCH(KENKO[[#This Row],[ID NOTA]],[2]!PAJAK[ID],0)),"&gt;") )</f>
        <v/>
      </c>
      <c r="D172" s="6" t="str">
        <f>IF(KENKO[[#This Row],[ID NOTA]]="","",INDEX(Table1[QB],MATCH(KENKO[[#This Row],[ID NOTA]],Table1[ID],0)))</f>
        <v/>
      </c>
      <c r="E17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694</v>
      </c>
      <c r="F172" s="6"/>
      <c r="G172" s="3" t="str">
        <f>IF(KENKO[[#This Row],[ID NOTA]]="","",INDEX([2]!NOTA[TGL_H],MATCH(KENKO[[#This Row],[ID NOTA]],[2]!NOTA[ID],0)))</f>
        <v/>
      </c>
      <c r="H172" s="3" t="str">
        <f>IF(KENKO[[#This Row],[ID NOTA]]="","",INDEX([2]!NOTA[TGL.NOTA],MATCH(KENKO[[#This Row],[ID NOTA]],[2]!NOTA[ID],0)))</f>
        <v/>
      </c>
      <c r="I172" s="18" t="str">
        <f>IF(KENKO[[#This Row],[ID NOTA]]="","",INDEX([2]!NOTA[NO.NOTA],MATCH(KENKO[[#This Row],[ID NOTA]],[2]!NOTA[ID],0)))</f>
        <v/>
      </c>
      <c r="J172" s="4" t="str">
        <f ca="1">IF(KENKO[[#This Row],[//]]="","",INDEX([4]!db[NB PAJAK],KENKO[[#This Row],[stt]]-1))</f>
        <v>LEM STICK KENKO 25 GR (BESAR) isi 12 pc</v>
      </c>
      <c r="K172" s="6" t="str">
        <f>""</f>
        <v/>
      </c>
      <c r="L172" s="6">
        <f ca="1">IF(KENKO[[#This Row],[//]]="","",IF(INDEX([2]!NOTA[QTY],KENKO[//]-2)="",INDEX([2]!NOTA[C],KENKO[//]-2),INDEX([2]!NOTA[QTY],KENKO[//]-2)))</f>
        <v>2</v>
      </c>
      <c r="M172" s="6" t="str">
        <f ca="1">IF(KENKO[[#This Row],[//]]="","",IF(INDEX([2]!NOTA[STN],KENKO[//]-2)="","CTN",INDEX([2]!NOTA[STN],KENKO[//]-2)))</f>
        <v>CTN</v>
      </c>
      <c r="N172" s="5">
        <f ca="1">IF(KENKO[[#This Row],[//]]="","",IF(INDEX([2]!NOTA[HARGA/ CTN],KENKO[[#This Row],[//]]-2)="",INDEX([2]!NOTA[HARGA SATUAN],KENKO[//]-2),INDEX([2]!NOTA[HARGA/ CTN],KENKO[[#This Row],[//]]-2)))</f>
        <v>2160000</v>
      </c>
      <c r="O172" s="7" t="str">
        <f ca="1">IF(KENKO[[#This Row],[//]]="","",IF(INDEX([2]!NOTA[DISC 2],KENKO[[#This Row],[//]]-2)=0,"",INDEX([2]!NOTA[DISC 2],KENKO[[#This Row],[//]]-2)))</f>
        <v/>
      </c>
      <c r="P172" s="7"/>
      <c r="Q172" s="5">
        <f ca="1">IF(KENKO[[#This Row],[//]]="","",INDEX([2]!NOTA[JUMLAH],KENKO[[#This Row],[//]]-2)-IF(ISNUMBER(KENKO[[#This Row],[DISC 1 (%)]]),INDEX([2]!NOTA[JUMLAH],KENKO[[#This Row],[//]]-2)*KENKO[[#This Row],[DISC 1 (%)]],0))</f>
        <v>4320000</v>
      </c>
      <c r="R1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4" t="str">
        <f ca="1">IF(KENKO[[#This Row],[//]]="","",INDEX([2]!NOTA[NAMA BARANG],KENKO[[#This Row],[//]]-2))</f>
        <v>KENKO GLUE STICK 25GR (LARGE)</v>
      </c>
      <c r="V172" s="4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72" s="6">
        <f ca="1">IF(KENKO[[#This Row],[concat]]="","",MATCH(KENKO[[#This Row],[concat]],[4]!db[NB NOTA_C],0)+1)</f>
        <v>1138</v>
      </c>
      <c r="X172" s="4" t="str">
        <f ca="1">IF(KENKO[[#This Row],[N.B.nota]]="","",ADDRESS(ROW(KENKO[QB]),COLUMN(KENKO[QB]))&amp;":"&amp;ADDRESS(ROW(),COLUMN(KENKO[QB])))</f>
        <v>$D$3:$D$172</v>
      </c>
      <c r="Y172" s="13" t="str">
        <f ca="1">IF(KENKO[[#This Row],[//]]="","",HYPERLINK("[..\\DB.xlsx]DB!e"&amp;KENKO[[#This Row],[stt]],"&gt;"))</f>
        <v>&gt;</v>
      </c>
      <c r="Z172" s="4">
        <f ca="1">IF(KENKO[[#This Row],[//]]="","",IF(KENKO[[#This Row],[ID NOTA]]="",Z170,KENKO[[#This Row],[ID NOTA]]))</f>
        <v>117</v>
      </c>
    </row>
    <row r="173" spans="1:26" ht="15" customHeight="1" x14ac:dyDescent="0.25">
      <c r="A173" s="4"/>
      <c r="B173" s="6" t="str">
        <f>IF(KENKO[[#This Row],[N_ID]]="","",INDEX(Table1[ID],MATCH(KENKO[[#This Row],[N_ID]],Table1[N_ID],0)))</f>
        <v/>
      </c>
      <c r="C173" s="6" t="str">
        <f>IF(KENKO[[#This Row],[ID NOTA]]="","",HYPERLINK("[NOTA_.xlsx]NOTA!e"&amp;INDEX([2]!PAJAK[//],MATCH(KENKO[[#This Row],[ID NOTA]],[2]!PAJAK[ID],0)),"&gt;") )</f>
        <v/>
      </c>
      <c r="D173" s="6" t="str">
        <f>IF(KENKO[[#This Row],[ID NOTA]]="","",INDEX(Table1[QB],MATCH(KENKO[[#This Row],[ID NOTA]],Table1[ID],0)))</f>
        <v/>
      </c>
      <c r="E17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695</v>
      </c>
      <c r="F173" s="6"/>
      <c r="G173" s="3" t="str">
        <f>IF(KENKO[[#This Row],[ID NOTA]]="","",INDEX([2]!NOTA[TGL_H],MATCH(KENKO[[#This Row],[ID NOTA]],[2]!NOTA[ID],0)))</f>
        <v/>
      </c>
      <c r="H173" s="3" t="str">
        <f>IF(KENKO[[#This Row],[ID NOTA]]="","",INDEX([2]!NOTA[TGL.NOTA],MATCH(KENKO[[#This Row],[ID NOTA]],[2]!NOTA[ID],0)))</f>
        <v/>
      </c>
      <c r="I173" s="18" t="str">
        <f>IF(KENKO[[#This Row],[ID NOTA]]="","",INDEX([2]!NOTA[NO.NOTA],MATCH(KENKO[[#This Row],[ID NOTA]],[2]!NOTA[ID],0)))</f>
        <v/>
      </c>
      <c r="J173" s="4" t="str">
        <f ca="1">IF(KENKO[[#This Row],[//]]="","",INDEX([4]!db[NB PAJAK],KENKO[[#This Row],[stt]]-1))</f>
        <v>CORRECTION TAPE KENKO CT-202N (6M x 5MM)</v>
      </c>
      <c r="K173" s="6" t="str">
        <f>""</f>
        <v/>
      </c>
      <c r="L173" s="6">
        <f ca="1">IF(KENKO[[#This Row],[//]]="","",IF(INDEX([2]!NOTA[QTY],KENKO[//]-2)="",INDEX([2]!NOTA[C],KENKO[//]-2),INDEX([2]!NOTA[QTY],KENKO[//]-2)))</f>
        <v>2</v>
      </c>
      <c r="M173" s="6" t="str">
        <f ca="1">IF(KENKO[[#This Row],[//]]="","",IF(INDEX([2]!NOTA[STN],KENKO[//]-2)="","CTN",INDEX([2]!NOTA[STN],KENKO[//]-2)))</f>
        <v>CTN</v>
      </c>
      <c r="N173" s="5">
        <f ca="1">IF(KENKO[[#This Row],[//]]="","",IF(INDEX([2]!NOTA[HARGA/ CTN],KENKO[[#This Row],[//]]-2)="",INDEX([2]!NOTA[HARGA SATUAN],KENKO[//]-2),INDEX([2]!NOTA[HARGA/ CTN],KENKO[[#This Row],[//]]-2)))</f>
        <v>2095200</v>
      </c>
      <c r="O173" s="7" t="str">
        <f ca="1">IF(KENKO[[#This Row],[//]]="","",IF(INDEX([2]!NOTA[DISC 2],KENKO[[#This Row],[//]]-2)=0,"",INDEX([2]!NOTA[DISC 2],KENKO[[#This Row],[//]]-2)))</f>
        <v/>
      </c>
      <c r="P173" s="7"/>
      <c r="Q173" s="5">
        <f ca="1">IF(KENKO[[#This Row],[//]]="","",INDEX([2]!NOTA[JUMLAH],KENKO[[#This Row],[//]]-2)-IF(ISNUMBER(KENKO[[#This Row],[DISC 1 (%)]]),INDEX([2]!NOTA[JUMLAH],KENKO[[#This Row],[//]]-2)*KENKO[[#This Row],[DISC 1 (%)]],0))</f>
        <v>4190400</v>
      </c>
      <c r="R1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4" t="str">
        <f ca="1">IF(KENKO[[#This Row],[//]]="","",INDEX([2]!NOTA[NAMA BARANG],KENKO[[#This Row],[//]]-2))</f>
        <v>KENKO CORRECTION TAPE CT-202N (6M X 5MM)</v>
      </c>
      <c r="V173" s="4" t="str">
        <f ca="1">LOWER(SUBSTITUTE(SUBSTITUTE(SUBSTITUTE(SUBSTITUTE(SUBSTITUTE(SUBSTITUTE(SUBSTITUTE(SUBSTITUTE(KENKO[[#This Row],[N.B.nota]]," ",""),"-",""),"(",""),")",""),".",""),",",""),"/",""),"""",""))</f>
        <v>kenkocorrectiontapect202n6mx5mm</v>
      </c>
      <c r="W173" s="6">
        <f ca="1">IF(KENKO[[#This Row],[concat]]="","",MATCH(KENKO[[#This Row],[concat]],[4]!db[NB NOTA_C],0)+1)</f>
        <v>1064</v>
      </c>
      <c r="X173" s="4" t="str">
        <f ca="1">IF(KENKO[[#This Row],[N.B.nota]]="","",ADDRESS(ROW(KENKO[QB]),COLUMN(KENKO[QB]))&amp;":"&amp;ADDRESS(ROW(),COLUMN(KENKO[QB])))</f>
        <v>$D$3:$D$173</v>
      </c>
      <c r="Y173" s="13" t="str">
        <f ca="1">IF(KENKO[[#This Row],[//]]="","",HYPERLINK("[..\\DB.xlsx]DB!e"&amp;KENKO[[#This Row],[stt]],"&gt;"))</f>
        <v>&gt;</v>
      </c>
      <c r="Z173" s="4">
        <f ca="1">IF(KENKO[[#This Row],[//]]="","",IF(KENKO[[#This Row],[ID NOTA]]="",Z170,KENKO[[#This Row],[ID NOTA]]))</f>
        <v>117</v>
      </c>
    </row>
    <row r="174" spans="1:26" ht="15" customHeight="1" x14ac:dyDescent="0.25">
      <c r="A174" s="4"/>
      <c r="B174" s="6" t="str">
        <f>IF(KENKO[[#This Row],[N_ID]]="","",INDEX(Table1[ID],MATCH(KENKO[[#This Row],[N_ID]],Table1[N_ID],0)))</f>
        <v/>
      </c>
      <c r="C174" s="6" t="str">
        <f>IF(KENKO[[#This Row],[ID NOTA]]="","",HYPERLINK("[NOTA_.xlsx]NOTA!e"&amp;INDEX([2]!PAJAK[//],MATCH(KENKO[[#This Row],[ID NOTA]],[2]!PAJAK[ID],0)),"&gt;") )</f>
        <v/>
      </c>
      <c r="D174" s="6" t="str">
        <f>IF(KENKO[[#This Row],[ID NOTA]]="","",INDEX(Table1[QB],MATCH(KENKO[[#This Row],[ID NOTA]],Table1[ID],0)))</f>
        <v/>
      </c>
      <c r="E17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696</v>
      </c>
      <c r="F174" s="6"/>
      <c r="G174" s="3" t="str">
        <f>IF(KENKO[[#This Row],[ID NOTA]]="","",INDEX([2]!NOTA[TGL_H],MATCH(KENKO[[#This Row],[ID NOTA]],[2]!NOTA[ID],0)))</f>
        <v/>
      </c>
      <c r="H174" s="3" t="str">
        <f>IF(KENKO[[#This Row],[ID NOTA]]="","",INDEX([2]!NOTA[TGL.NOTA],MATCH(KENKO[[#This Row],[ID NOTA]],[2]!NOTA[ID],0)))</f>
        <v/>
      </c>
      <c r="I174" s="18" t="str">
        <f>IF(KENKO[[#This Row],[ID NOTA]]="","",INDEX([2]!NOTA[NO.NOTA],MATCH(KENKO[[#This Row],[ID NOTA]],[2]!NOTA[ID],0)))</f>
        <v/>
      </c>
      <c r="J174" s="4" t="str">
        <f ca="1">IF(KENKO[[#This Row],[//]]="","",INDEX([4]!db[NB PAJAK],KENKO[[#This Row],[stt]]-1))</f>
        <v>CORRECTION TAPE KENKO CT-309 (12M x 5MM)</v>
      </c>
      <c r="K174" s="6" t="str">
        <f>""</f>
        <v/>
      </c>
      <c r="L174" s="6">
        <f ca="1">IF(KENKO[[#This Row],[//]]="","",IF(INDEX([2]!NOTA[QTY],KENKO[//]-2)="",INDEX([2]!NOTA[C],KENKO[//]-2),INDEX([2]!NOTA[QTY],KENKO[//]-2)))</f>
        <v>2</v>
      </c>
      <c r="M174" s="6" t="str">
        <f ca="1">IF(KENKO[[#This Row],[//]]="","",IF(INDEX([2]!NOTA[STN],KENKO[//]-2)="","CTN",INDEX([2]!NOTA[STN],KENKO[//]-2)))</f>
        <v>CTN</v>
      </c>
      <c r="N174" s="5">
        <f ca="1">IF(KENKO[[#This Row],[//]]="","",IF(INDEX([2]!NOTA[HARGA/ CTN],KENKO[[#This Row],[//]]-2)="",INDEX([2]!NOTA[HARGA SATUAN],KENKO[//]-2),INDEX([2]!NOTA[HARGA/ CTN],KENKO[[#This Row],[//]]-2)))</f>
        <v>3916800</v>
      </c>
      <c r="O174" s="7" t="str">
        <f ca="1">IF(KENKO[[#This Row],[//]]="","",IF(INDEX([2]!NOTA[DISC 2],KENKO[[#This Row],[//]]-2)=0,"",INDEX([2]!NOTA[DISC 2],KENKO[[#This Row],[//]]-2)))</f>
        <v/>
      </c>
      <c r="P174" s="7"/>
      <c r="Q174" s="5">
        <f ca="1">IF(KENKO[[#This Row],[//]]="","",INDEX([2]!NOTA[JUMLAH],KENKO[[#This Row],[//]]-2)-IF(ISNUMBER(KENKO[[#This Row],[DISC 1 (%)]]),INDEX([2]!NOTA[JUMLAH],KENKO[[#This Row],[//]]-2)*KENKO[[#This Row],[DISC 1 (%)]],0))</f>
        <v>7833600</v>
      </c>
      <c r="R1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4" t="str">
        <f ca="1">IF(KENKO[[#This Row],[//]]="","",INDEX([2]!NOTA[NAMA BARANG],KENKO[[#This Row],[//]]-2))</f>
        <v>KENKO CORRECTION TAPE CT-309 (12M X 5MM)</v>
      </c>
      <c r="V174" s="4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174" s="6">
        <f ca="1">IF(KENKO[[#This Row],[concat]]="","",MATCH(KENKO[[#This Row],[concat]],[4]!db[NB NOTA_C],0)+1)</f>
        <v>1068</v>
      </c>
      <c r="X174" s="4" t="str">
        <f ca="1">IF(KENKO[[#This Row],[N.B.nota]]="","",ADDRESS(ROW(KENKO[QB]),COLUMN(KENKO[QB]))&amp;":"&amp;ADDRESS(ROW(),COLUMN(KENKO[QB])))</f>
        <v>$D$3:$D$174</v>
      </c>
      <c r="Y174" s="13" t="str">
        <f ca="1">IF(KENKO[[#This Row],[//]]="","",HYPERLINK("[..\\DB.xlsx]DB!e"&amp;KENKO[[#This Row],[stt]],"&gt;"))</f>
        <v>&gt;</v>
      </c>
      <c r="Z174" s="4">
        <f ca="1">IF(KENKO[[#This Row],[//]]="","",IF(KENKO[[#This Row],[ID NOTA]]="",Z170,KENKO[[#This Row],[ID NOTA]]))</f>
        <v>117</v>
      </c>
    </row>
    <row r="175" spans="1:26" ht="15" customHeight="1" x14ac:dyDescent="0.25">
      <c r="A175" s="4"/>
      <c r="B175" s="6" t="str">
        <f>IF(KENKO[[#This Row],[N_ID]]="","",INDEX(Table1[ID],MATCH(KENKO[[#This Row],[N_ID]],Table1[N_ID],0)))</f>
        <v/>
      </c>
      <c r="C175" s="6" t="str">
        <f>IF(KENKO[[#This Row],[ID NOTA]]="","",HYPERLINK("[NOTA_.xlsx]NOTA!e"&amp;INDEX([2]!PAJAK[//],MATCH(KENKO[[#This Row],[ID NOTA]],[2]!PAJAK[ID],0)),"&gt;") )</f>
        <v/>
      </c>
      <c r="D175" s="6" t="str">
        <f>IF(KENKO[[#This Row],[ID NOTA]]="","",INDEX(Table1[QB],MATCH(KENKO[[#This Row],[ID NOTA]],Table1[ID],0)))</f>
        <v/>
      </c>
      <c r="E17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697</v>
      </c>
      <c r="F175" s="6"/>
      <c r="G175" s="3" t="str">
        <f>IF(KENKO[[#This Row],[ID NOTA]]="","",INDEX([2]!NOTA[TGL_H],MATCH(KENKO[[#This Row],[ID NOTA]],[2]!NOTA[ID],0)))</f>
        <v/>
      </c>
      <c r="H175" s="3" t="str">
        <f>IF(KENKO[[#This Row],[ID NOTA]]="","",INDEX([2]!NOTA[TGL.NOTA],MATCH(KENKO[[#This Row],[ID NOTA]],[2]!NOTA[ID],0)))</f>
        <v/>
      </c>
      <c r="I175" s="18" t="str">
        <f>IF(KENKO[[#This Row],[ID NOTA]]="","",INDEX([2]!NOTA[NO.NOTA],MATCH(KENKO[[#This Row],[ID NOTA]],[2]!NOTA[ID],0)))</f>
        <v/>
      </c>
      <c r="J175" s="4" t="str">
        <f ca="1">IF(KENKO[[#This Row],[//]]="","",INDEX([4]!db[NB PAJAK],KENKO[[#This Row],[stt]]-1))</f>
        <v>CORRECTION TAPE KENKO CT-310SL (12M x 5MM)</v>
      </c>
      <c r="K175" s="6" t="str">
        <f>""</f>
        <v/>
      </c>
      <c r="L175" s="6">
        <f ca="1">IF(KENKO[[#This Row],[//]]="","",IF(INDEX([2]!NOTA[QTY],KENKO[//]-2)="",INDEX([2]!NOTA[C],KENKO[//]-2),INDEX([2]!NOTA[QTY],KENKO[//]-2)))</f>
        <v>2</v>
      </c>
      <c r="M175" s="6" t="str">
        <f ca="1">IF(KENKO[[#This Row],[//]]="","",IF(INDEX([2]!NOTA[STN],KENKO[//]-2)="","CTN",INDEX([2]!NOTA[STN],KENKO[//]-2)))</f>
        <v>CTN</v>
      </c>
      <c r="N175" s="5">
        <f ca="1">IF(KENKO[[#This Row],[//]]="","",IF(INDEX([2]!NOTA[HARGA/ CTN],KENKO[[#This Row],[//]]-2)="",INDEX([2]!NOTA[HARGA SATUAN],KENKO[//]-2),INDEX([2]!NOTA[HARGA/ CTN],KENKO[[#This Row],[//]]-2)))</f>
        <v>4032000</v>
      </c>
      <c r="O175" s="7" t="str">
        <f ca="1">IF(KENKO[[#This Row],[//]]="","",IF(INDEX([2]!NOTA[DISC 2],KENKO[[#This Row],[//]]-2)=0,"",INDEX([2]!NOTA[DISC 2],KENKO[[#This Row],[//]]-2)))</f>
        <v/>
      </c>
      <c r="P175" s="7"/>
      <c r="Q175" s="5">
        <f ca="1">IF(KENKO[[#This Row],[//]]="","",INDEX([2]!NOTA[JUMLAH],KENKO[[#This Row],[//]]-2)-IF(ISNUMBER(KENKO[[#This Row],[DISC 1 (%)]]),INDEX([2]!NOTA[JUMLAH],KENKO[[#This Row],[//]]-2)*KENKO[[#This Row],[DISC 1 (%)]],0))</f>
        <v>8064000</v>
      </c>
      <c r="R1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4" t="str">
        <f ca="1">IF(KENKO[[#This Row],[//]]="","",INDEX([2]!NOTA[NAMA BARANG],KENKO[[#This Row],[//]]-2))</f>
        <v>KENKO CORRECTION TAPE CT-310SL (12M X 5MM)</v>
      </c>
      <c r="V175" s="4" t="str">
        <f ca="1">LOWER(SUBSTITUTE(SUBSTITUTE(SUBSTITUTE(SUBSTITUTE(SUBSTITUTE(SUBSTITUTE(SUBSTITUTE(SUBSTITUTE(KENKO[[#This Row],[N.B.nota]]," ",""),"-",""),"(",""),")",""),".",""),",",""),"/",""),"""",""))</f>
        <v>kenkocorrectiontapect310sl12mx5mm</v>
      </c>
      <c r="W175" s="6">
        <f ca="1">IF(KENKO[[#This Row],[concat]]="","",MATCH(KENKO[[#This Row],[concat]],[4]!db[NB NOTA_C],0)+1)</f>
        <v>1069</v>
      </c>
      <c r="X175" s="4" t="str">
        <f ca="1">IF(KENKO[[#This Row],[N.B.nota]]="","",ADDRESS(ROW(KENKO[QB]),COLUMN(KENKO[QB]))&amp;":"&amp;ADDRESS(ROW(),COLUMN(KENKO[QB])))</f>
        <v>$D$3:$D$175</v>
      </c>
      <c r="Y175" s="13" t="str">
        <f ca="1">IF(KENKO[[#This Row],[//]]="","",HYPERLINK("[..\\DB.xlsx]DB!e"&amp;KENKO[[#This Row],[stt]],"&gt;"))</f>
        <v>&gt;</v>
      </c>
      <c r="Z175" s="4">
        <f ca="1">IF(KENKO[[#This Row],[//]]="","",IF(KENKO[[#This Row],[ID NOTA]]="",Z170,KENKO[[#This Row],[ID NOTA]]))</f>
        <v>117</v>
      </c>
    </row>
    <row r="176" spans="1:26" ht="15" customHeight="1" x14ac:dyDescent="0.25">
      <c r="A176" s="4"/>
      <c r="B176" s="6" t="str">
        <f>IF(KENKO[[#This Row],[N_ID]]="","",INDEX(Table1[ID],MATCH(KENKO[[#This Row],[N_ID]],Table1[N_ID],0)))</f>
        <v/>
      </c>
      <c r="C176" s="6" t="str">
        <f>IF(KENKO[[#This Row],[ID NOTA]]="","",HYPERLINK("[NOTA_.xlsx]NOTA!e"&amp;INDEX([2]!PAJAK[//],MATCH(KENKO[[#This Row],[ID NOTA]],[2]!PAJAK[ID],0)),"&gt;") )</f>
        <v/>
      </c>
      <c r="D176" s="6" t="str">
        <f>IF(KENKO[[#This Row],[ID NOTA]]="","",INDEX(Table1[QB],MATCH(KENKO[[#This Row],[ID NOTA]],Table1[ID],0)))</f>
        <v/>
      </c>
      <c r="E17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698</v>
      </c>
      <c r="F176" s="6"/>
      <c r="G176" s="3" t="str">
        <f>IF(KENKO[[#This Row],[ID NOTA]]="","",INDEX([2]!NOTA[TGL_H],MATCH(KENKO[[#This Row],[ID NOTA]],[2]!NOTA[ID],0)))</f>
        <v/>
      </c>
      <c r="H176" s="3" t="str">
        <f>IF(KENKO[[#This Row],[ID NOTA]]="","",INDEX([2]!NOTA[TGL.NOTA],MATCH(KENKO[[#This Row],[ID NOTA]],[2]!NOTA[ID],0)))</f>
        <v/>
      </c>
      <c r="I176" s="18" t="str">
        <f>IF(KENKO[[#This Row],[ID NOTA]]="","",INDEX([2]!NOTA[NO.NOTA],MATCH(KENKO[[#This Row],[ID NOTA]],[2]!NOTA[ID],0)))</f>
        <v/>
      </c>
      <c r="J176" s="4" t="str">
        <f ca="1">IF(KENKO[[#This Row],[//]]="","",INDEX([4]!db[NB PAJAK],KENKO[[#This Row],[stt]]-1))</f>
        <v>CORRECTION TAPE KENKO CT-210SL (6M x 5MM)</v>
      </c>
      <c r="K176" s="6" t="str">
        <f>""</f>
        <v/>
      </c>
      <c r="L176" s="6">
        <f ca="1">IF(KENKO[[#This Row],[//]]="","",IF(INDEX([2]!NOTA[QTY],KENKO[//]-2)="",INDEX([2]!NOTA[C],KENKO[//]-2),INDEX([2]!NOTA[QTY],KENKO[//]-2)))</f>
        <v>1</v>
      </c>
      <c r="M176" s="6" t="str">
        <f ca="1">IF(KENKO[[#This Row],[//]]="","",IF(INDEX([2]!NOTA[STN],KENKO[//]-2)="","CTN",INDEX([2]!NOTA[STN],KENKO[//]-2)))</f>
        <v>CTN</v>
      </c>
      <c r="N176" s="5">
        <f ca="1">IF(KENKO[[#This Row],[//]]="","",IF(INDEX([2]!NOTA[HARGA/ CTN],KENKO[[#This Row],[//]]-2)="",INDEX([2]!NOTA[HARGA SATUAN],KENKO[//]-2),INDEX([2]!NOTA[HARGA/ CTN],KENKO[[#This Row],[//]]-2)))</f>
        <v>2116800</v>
      </c>
      <c r="O176" s="7" t="str">
        <f ca="1">IF(KENKO[[#This Row],[//]]="","",IF(INDEX([2]!NOTA[DISC 2],KENKO[[#This Row],[//]]-2)=0,"",INDEX([2]!NOTA[DISC 2],KENKO[[#This Row],[//]]-2)))</f>
        <v/>
      </c>
      <c r="P176" s="7"/>
      <c r="Q176" s="5">
        <f ca="1">IF(KENKO[[#This Row],[//]]="","",INDEX([2]!NOTA[JUMLAH],KENKO[[#This Row],[//]]-2)-IF(ISNUMBER(KENKO[[#This Row],[DISC 1 (%)]]),INDEX([2]!NOTA[JUMLAH],KENKO[[#This Row],[//]]-2)*KENKO[[#This Row],[DISC 1 (%)]],0))</f>
        <v>2116800</v>
      </c>
      <c r="R1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4" t="str">
        <f ca="1">IF(KENKO[[#This Row],[//]]="","",INDEX([2]!NOTA[NAMA BARANG],KENKO[[#This Row],[//]]-2))</f>
        <v>KENKO CORRECTION TAPE CT-210SL (6M X 5MM)</v>
      </c>
      <c r="V176" s="4" t="str">
        <f ca="1">LOWER(SUBSTITUTE(SUBSTITUTE(SUBSTITUTE(SUBSTITUTE(SUBSTITUTE(SUBSTITUTE(SUBSTITUTE(SUBSTITUTE(KENKO[[#This Row],[N.B.nota]]," ",""),"-",""),"(",""),")",""),".",""),",",""),"/",""),"""",""))</f>
        <v>kenkocorrectiontapect210sl6mx5mm</v>
      </c>
      <c r="W176" s="6">
        <f ca="1">IF(KENKO[[#This Row],[concat]]="","",MATCH(KENKO[[#This Row],[concat]],[4]!db[NB NOTA_C],0)+1)</f>
        <v>1065</v>
      </c>
      <c r="X176" s="4" t="str">
        <f ca="1">IF(KENKO[[#This Row],[N.B.nota]]="","",ADDRESS(ROW(KENKO[QB]),COLUMN(KENKO[QB]))&amp;":"&amp;ADDRESS(ROW(),COLUMN(KENKO[QB])))</f>
        <v>$D$3:$D$176</v>
      </c>
      <c r="Y176" s="13" t="str">
        <f ca="1">IF(KENKO[[#This Row],[//]]="","",HYPERLINK("[..\\DB.xlsx]DB!e"&amp;KENKO[[#This Row],[stt]],"&gt;"))</f>
        <v>&gt;</v>
      </c>
      <c r="Z176" s="4">
        <f ca="1">IF(KENKO[[#This Row],[//]]="","",IF(KENKO[[#This Row],[ID NOTA]]="",Z170,KENKO[[#This Row],[ID NOTA]]))</f>
        <v>117</v>
      </c>
    </row>
    <row r="177" spans="1:26" ht="15" customHeight="1" x14ac:dyDescent="0.25">
      <c r="A177" s="4"/>
      <c r="B177" s="6" t="str">
        <f>IF(KENKO[[#This Row],[N_ID]]="","",INDEX(Table1[ID],MATCH(KENKO[[#This Row],[N_ID]],Table1[N_ID],0)))</f>
        <v/>
      </c>
      <c r="C177" s="6" t="str">
        <f>IF(KENKO[[#This Row],[ID NOTA]]="","",HYPERLINK("[NOTA_.xlsx]NOTA!e"&amp;INDEX([2]!PAJAK[//],MATCH(KENKO[[#This Row],[ID NOTA]],[2]!PAJAK[ID],0)),"&gt;") )</f>
        <v/>
      </c>
      <c r="D177" s="6" t="str">
        <f>IF(KENKO[[#This Row],[ID NOTA]]="","",INDEX(Table1[QB],MATCH(KENKO[[#This Row],[ID NOTA]],Table1[ID],0)))</f>
        <v/>
      </c>
      <c r="E17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699</v>
      </c>
      <c r="F177" s="6"/>
      <c r="G177" s="3" t="str">
        <f>IF(KENKO[[#This Row],[ID NOTA]]="","",INDEX([2]!NOTA[TGL_H],MATCH(KENKO[[#This Row],[ID NOTA]],[2]!NOTA[ID],0)))</f>
        <v/>
      </c>
      <c r="H177" s="3" t="str">
        <f>IF(KENKO[[#This Row],[ID NOTA]]="","",INDEX([2]!NOTA[TGL.NOTA],MATCH(KENKO[[#This Row],[ID NOTA]],[2]!NOTA[ID],0)))</f>
        <v/>
      </c>
      <c r="I177" s="18" t="str">
        <f>IF(KENKO[[#This Row],[ID NOTA]]="","",INDEX([2]!NOTA[NO.NOTA],MATCH(KENKO[[#This Row],[ID NOTA]],[2]!NOTA[ID],0)))</f>
        <v/>
      </c>
      <c r="J177" s="4" t="str">
        <f ca="1">IF(KENKO[[#This Row],[//]]="","",INDEX([4]!db[NB PAJAK],KENKO[[#This Row],[stt]]-1))</f>
        <v>CORRECTION TAPE KENKO CT-306 (6M x 5MM)</v>
      </c>
      <c r="K177" s="6" t="str">
        <f>""</f>
        <v/>
      </c>
      <c r="L177" s="6">
        <f ca="1">IF(KENKO[[#This Row],[//]]="","",IF(INDEX([2]!NOTA[QTY],KENKO[//]-2)="",INDEX([2]!NOTA[C],KENKO[//]-2),INDEX([2]!NOTA[QTY],KENKO[//]-2)))</f>
        <v>1</v>
      </c>
      <c r="M177" s="6" t="str">
        <f ca="1">IF(KENKO[[#This Row],[//]]="","",IF(INDEX([2]!NOTA[STN],KENKO[//]-2)="","CTN",INDEX([2]!NOTA[STN],KENKO[//]-2)))</f>
        <v>CTN</v>
      </c>
      <c r="N177" s="5">
        <f ca="1">IF(KENKO[[#This Row],[//]]="","",IF(INDEX([2]!NOTA[HARGA/ CTN],KENKO[[#This Row],[//]]-2)="",INDEX([2]!NOTA[HARGA SATUAN],KENKO[//]-2),INDEX([2]!NOTA[HARGA/ CTN],KENKO[[#This Row],[//]]-2)))</f>
        <v>2995200</v>
      </c>
      <c r="O177" s="7" t="str">
        <f ca="1">IF(KENKO[[#This Row],[//]]="","",IF(INDEX([2]!NOTA[DISC 2],KENKO[[#This Row],[//]]-2)=0,"",INDEX([2]!NOTA[DISC 2],KENKO[[#This Row],[//]]-2)))</f>
        <v/>
      </c>
      <c r="P177" s="7"/>
      <c r="Q177" s="5">
        <f ca="1">IF(KENKO[[#This Row],[//]]="","",INDEX([2]!NOTA[JUMLAH],KENKO[[#This Row],[//]]-2)-IF(ISNUMBER(KENKO[[#This Row],[DISC 1 (%)]]),INDEX([2]!NOTA[JUMLAH],KENKO[[#This Row],[//]]-2)*KENKO[[#This Row],[DISC 1 (%)]],0))</f>
        <v>2995200</v>
      </c>
      <c r="R1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4" t="str">
        <f ca="1">IF(KENKO[[#This Row],[//]]="","",INDEX([2]!NOTA[NAMA BARANG],KENKO[[#This Row],[//]]-2))</f>
        <v>KENKO CORRECTION TAPE CT-306 (6M X 5MM)</v>
      </c>
      <c r="V177" s="4" t="str">
        <f ca="1">LOWER(SUBSTITUTE(SUBSTITUTE(SUBSTITUTE(SUBSTITUTE(SUBSTITUTE(SUBSTITUTE(SUBSTITUTE(SUBSTITUTE(KENKO[[#This Row],[N.B.nota]]," ",""),"-",""),"(",""),")",""),".",""),",",""),"/",""),"""",""))</f>
        <v>kenkocorrectiontapect3066mx5mm</v>
      </c>
      <c r="W177" s="6">
        <f ca="1">IF(KENKO[[#This Row],[concat]]="","",MATCH(KENKO[[#This Row],[concat]],[4]!db[NB NOTA_C],0)+1)</f>
        <v>1067</v>
      </c>
      <c r="X177" s="4" t="str">
        <f ca="1">IF(KENKO[[#This Row],[N.B.nota]]="","",ADDRESS(ROW(KENKO[QB]),COLUMN(KENKO[QB]))&amp;":"&amp;ADDRESS(ROW(),COLUMN(KENKO[QB])))</f>
        <v>$D$3:$D$177</v>
      </c>
      <c r="Y177" s="13" t="str">
        <f ca="1">IF(KENKO[[#This Row],[//]]="","",HYPERLINK("[..\\DB.xlsx]DB!e"&amp;KENKO[[#This Row],[stt]],"&gt;"))</f>
        <v>&gt;</v>
      </c>
      <c r="Z177" s="4">
        <f ca="1">IF(KENKO[[#This Row],[//]]="","",IF(KENKO[[#This Row],[ID NOTA]]="",Z170,KENKO[[#This Row],[ID NOTA]]))</f>
        <v>117</v>
      </c>
    </row>
    <row r="178" spans="1:26" ht="15" customHeight="1" x14ac:dyDescent="0.25">
      <c r="A178" s="4"/>
      <c r="B178" s="6" t="str">
        <f>IF(KENKO[[#This Row],[N_ID]]="","",INDEX(Table1[ID],MATCH(KENKO[[#This Row],[N_ID]],Table1[N_ID],0)))</f>
        <v/>
      </c>
      <c r="C178" s="6" t="str">
        <f>IF(KENKO[[#This Row],[ID NOTA]]="","",HYPERLINK("[NOTA_.xlsx]NOTA!e"&amp;INDEX([2]!PAJAK[//],MATCH(KENKO[[#This Row],[ID NOTA]],[2]!PAJAK[ID],0)),"&gt;") )</f>
        <v/>
      </c>
      <c r="D178" s="6" t="str">
        <f>IF(KENKO[[#This Row],[ID NOTA]]="","",INDEX(Table1[QB],MATCH(KENKO[[#This Row],[ID NOTA]],Table1[ID],0)))</f>
        <v/>
      </c>
      <c r="E17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700</v>
      </c>
      <c r="F178" s="6"/>
      <c r="G178" s="3" t="str">
        <f>IF(KENKO[[#This Row],[ID NOTA]]="","",INDEX([2]!NOTA[TGL_H],MATCH(KENKO[[#This Row],[ID NOTA]],[2]!NOTA[ID],0)))</f>
        <v/>
      </c>
      <c r="H178" s="3" t="str">
        <f>IF(KENKO[[#This Row],[ID NOTA]]="","",INDEX([2]!NOTA[TGL.NOTA],MATCH(KENKO[[#This Row],[ID NOTA]],[2]!NOTA[ID],0)))</f>
        <v/>
      </c>
      <c r="I178" s="18" t="str">
        <f>IF(KENKO[[#This Row],[ID NOTA]]="","",INDEX([2]!NOTA[NO.NOTA],MATCH(KENKO[[#This Row],[ID NOTA]],[2]!NOTA[ID],0)))</f>
        <v/>
      </c>
      <c r="J178" s="4" t="str">
        <f ca="1">IF(KENKO[[#This Row],[//]]="","",INDEX([4]!db[NB PAJAK],KENKO[[#This Row],[stt]]-1))</f>
        <v>CORRECTION TAPE KENKO CT-634N (8M x 5MM)</v>
      </c>
      <c r="K178" s="6" t="str">
        <f>""</f>
        <v/>
      </c>
      <c r="L178" s="6">
        <f ca="1">IF(KENKO[[#This Row],[//]]="","",IF(INDEX([2]!NOTA[QTY],KENKO[//]-2)="",INDEX([2]!NOTA[C],KENKO[//]-2),INDEX([2]!NOTA[QTY],KENKO[//]-2)))</f>
        <v>1</v>
      </c>
      <c r="M178" s="6" t="str">
        <f ca="1">IF(KENKO[[#This Row],[//]]="","",IF(INDEX([2]!NOTA[STN],KENKO[//]-2)="","CTN",INDEX([2]!NOTA[STN],KENKO[//]-2)))</f>
        <v>CTN</v>
      </c>
      <c r="N178" s="5">
        <f ca="1">IF(KENKO[[#This Row],[//]]="","",IF(INDEX([2]!NOTA[HARGA/ CTN],KENKO[[#This Row],[//]]-2)="",INDEX([2]!NOTA[HARGA SATUAN],KENKO[//]-2),INDEX([2]!NOTA[HARGA/ CTN],KENKO[[#This Row],[//]]-2)))</f>
        <v>2592000</v>
      </c>
      <c r="O178" s="7" t="str">
        <f ca="1">IF(KENKO[[#This Row],[//]]="","",IF(INDEX([2]!NOTA[DISC 2],KENKO[[#This Row],[//]]-2)=0,"",INDEX([2]!NOTA[DISC 2],KENKO[[#This Row],[//]]-2)))</f>
        <v/>
      </c>
      <c r="P178" s="7"/>
      <c r="Q178" s="5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4" t="str">
        <f ca="1">IF(KENKO[[#This Row],[//]]="","",INDEX([2]!NOTA[NAMA BARANG],KENKO[[#This Row],[//]]-2))</f>
        <v>KENKO CORRECTION TAPE CT-634N (8M X 5MM)</v>
      </c>
      <c r="V178" s="4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178" s="6">
        <f ca="1">IF(KENKO[[#This Row],[concat]]="","",MATCH(KENKO[[#This Row],[concat]],[4]!db[NB NOTA_C],0)+1)</f>
        <v>1071</v>
      </c>
      <c r="X178" s="4" t="str">
        <f ca="1">IF(KENKO[[#This Row],[N.B.nota]]="","",ADDRESS(ROW(KENKO[QB]),COLUMN(KENKO[QB]))&amp;":"&amp;ADDRESS(ROW(),COLUMN(KENKO[QB])))</f>
        <v>$D$3:$D$178</v>
      </c>
      <c r="Y178" s="13" t="str">
        <f ca="1">IF(KENKO[[#This Row],[//]]="","",HYPERLINK("[..\\DB.xlsx]DB!e"&amp;KENKO[[#This Row],[stt]],"&gt;"))</f>
        <v>&gt;</v>
      </c>
      <c r="Z178" s="4">
        <f ca="1">IF(KENKO[[#This Row],[//]]="","",IF(KENKO[[#This Row],[ID NOTA]]="",Z170,KENKO[[#This Row],[ID NOTA]]))</f>
        <v>117</v>
      </c>
    </row>
    <row r="179" spans="1:26" ht="15" customHeight="1" x14ac:dyDescent="0.25">
      <c r="A179" s="4"/>
      <c r="B179" s="6" t="str">
        <f>IF(KENKO[[#This Row],[N_ID]]="","",INDEX(Table1[ID],MATCH(KENKO[[#This Row],[N_ID]],Table1[N_ID],0)))</f>
        <v/>
      </c>
      <c r="C179" s="6" t="str">
        <f>IF(KENKO[[#This Row],[ID NOTA]]="","",HYPERLINK("[NOTA_.xlsx]NOTA!e"&amp;INDEX([2]!PAJAK[//],MATCH(KENKO[[#This Row],[ID NOTA]],[2]!PAJAK[ID],0)),"&gt;") )</f>
        <v/>
      </c>
      <c r="D179" s="6" t="str">
        <f>IF(KENKO[[#This Row],[ID NOTA]]="","",INDEX(Table1[QB],MATCH(KENKO[[#This Row],[ID NOTA]],Table1[ID],0)))</f>
        <v/>
      </c>
      <c r="E17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701</v>
      </c>
      <c r="F179" s="6"/>
      <c r="G179" s="3" t="str">
        <f>IF(KENKO[[#This Row],[ID NOTA]]="","",INDEX([2]!NOTA[TGL_H],MATCH(KENKO[[#This Row],[ID NOTA]],[2]!NOTA[ID],0)))</f>
        <v/>
      </c>
      <c r="H179" s="3" t="str">
        <f>IF(KENKO[[#This Row],[ID NOTA]]="","",INDEX([2]!NOTA[TGL.NOTA],MATCH(KENKO[[#This Row],[ID NOTA]],[2]!NOTA[ID],0)))</f>
        <v/>
      </c>
      <c r="I179" s="18" t="str">
        <f>IF(KENKO[[#This Row],[ID NOTA]]="","",INDEX([2]!NOTA[NO.NOTA],MATCH(KENKO[[#This Row],[ID NOTA]],[2]!NOTA[ID],0)))</f>
        <v/>
      </c>
      <c r="J179" s="4" t="str">
        <f ca="1">IF(KENKO[[#This Row],[//]]="","",INDEX([4]!db[NB PAJAK],KENKO[[#This Row],[stt]]-1))</f>
        <v>CORRECTION FLUID KENKO KE-01</v>
      </c>
      <c r="K179" s="6" t="str">
        <f>""</f>
        <v/>
      </c>
      <c r="L179" s="6">
        <f ca="1">IF(KENKO[[#This Row],[//]]="","",IF(INDEX([2]!NOTA[QTY],KENKO[//]-2)="",INDEX([2]!NOTA[C],KENKO[//]-2),INDEX([2]!NOTA[QTY],KENKO[//]-2)))</f>
        <v>5</v>
      </c>
      <c r="M179" s="6" t="str">
        <f ca="1">IF(KENKO[[#This Row],[//]]="","",IF(INDEX([2]!NOTA[STN],KENKO[//]-2)="","CTN",INDEX([2]!NOTA[STN],KENKO[//]-2)))</f>
        <v>CTN</v>
      </c>
      <c r="N179" s="5">
        <f ca="1">IF(KENKO[[#This Row],[//]]="","",IF(INDEX([2]!NOTA[HARGA/ CTN],KENKO[[#This Row],[//]]-2)="",INDEX([2]!NOTA[HARGA SATUAN],KENKO[//]-2),INDEX([2]!NOTA[HARGA/ CTN],KENKO[[#This Row],[//]]-2)))</f>
        <v>1954800</v>
      </c>
      <c r="O179" s="7" t="str">
        <f ca="1">IF(KENKO[[#This Row],[//]]="","",IF(INDEX([2]!NOTA[DISC 2],KENKO[[#This Row],[//]]-2)=0,"",INDEX([2]!NOTA[DISC 2],KENKO[[#This Row],[//]]-2)))</f>
        <v/>
      </c>
      <c r="P179" s="7"/>
      <c r="Q179" s="5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79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14538060.000000002</v>
      </c>
      <c r="S179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70979940</v>
      </c>
      <c r="T1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4" t="str">
        <f ca="1">IF(KENKO[[#This Row],[//]]="","",INDEX([2]!NOTA[NAMA BARANG],KENKO[[#This Row],[//]]-2))</f>
        <v>KENKO CORRECTION FLUID KE-01</v>
      </c>
      <c r="V179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79" s="6">
        <f ca="1">IF(KENKO[[#This Row],[concat]]="","",MATCH(KENKO[[#This Row],[concat]],[4]!db[NB NOTA_C],0)+1)</f>
        <v>1055</v>
      </c>
      <c r="X179" s="4" t="str">
        <f ca="1">IF(KENKO[[#This Row],[N.B.nota]]="","",ADDRESS(ROW(KENKO[QB]),COLUMN(KENKO[QB]))&amp;":"&amp;ADDRESS(ROW(),COLUMN(KENKO[QB])))</f>
        <v>$D$3:$D$179</v>
      </c>
      <c r="Y179" s="13" t="str">
        <f ca="1">IF(KENKO[[#This Row],[//]]="","",HYPERLINK("[..\\DB.xlsx]DB!e"&amp;KENKO[[#This Row],[stt]],"&gt;"))</f>
        <v>&gt;</v>
      </c>
      <c r="Z179" s="4">
        <f ca="1">IF(KENKO[[#This Row],[//]]="","",IF(KENKO[[#This Row],[ID NOTA]]="",Z170,KENKO[[#This Row],[ID NOTA]]))</f>
        <v>117</v>
      </c>
    </row>
    <row r="180" spans="1:26" ht="15" customHeight="1" x14ac:dyDescent="0.25">
      <c r="A180" s="4"/>
      <c r="B180" s="6" t="str">
        <f>IF(KENKO[[#This Row],[N_ID]]="","",INDEX(Table1[ID],MATCH(KENKO[[#This Row],[N_ID]],Table1[N_ID],0)))</f>
        <v/>
      </c>
      <c r="C180" s="6" t="str">
        <f>IF(KENKO[[#This Row],[ID NOTA]]="","",HYPERLINK("[NOTA_.xlsx]NOTA!e"&amp;INDEX([2]!PAJAK[//],MATCH(KENKO[[#This Row],[ID NOTA]],[2]!PAJAK[ID],0)),"&gt;") )</f>
        <v/>
      </c>
      <c r="D180" s="6" t="str">
        <f>IF(KENKO[[#This Row],[ID NOTA]]="","",INDEX(Table1[QB],MATCH(KENKO[[#This Row],[ID NOTA]],Table1[ID],0)))</f>
        <v/>
      </c>
      <c r="E1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0" s="6"/>
      <c r="G180" s="3" t="str">
        <f>IF(KENKO[[#This Row],[ID NOTA]]="","",INDEX([2]!NOTA[TGL_H],MATCH(KENKO[[#This Row],[ID NOTA]],[2]!NOTA[ID],0)))</f>
        <v/>
      </c>
      <c r="H180" s="3" t="str">
        <f>IF(KENKO[[#This Row],[ID NOTA]]="","",INDEX([2]!NOTA[TGL.NOTA],MATCH(KENKO[[#This Row],[ID NOTA]],[2]!NOTA[ID],0)))</f>
        <v/>
      </c>
      <c r="I180" s="18" t="str">
        <f>IF(KENKO[[#This Row],[ID NOTA]]="","",INDEX([2]!NOTA[NO.NOTA],MATCH(KENKO[[#This Row],[ID NOTA]],[2]!NOTA[ID],0)))</f>
        <v/>
      </c>
      <c r="J180" s="4" t="str">
        <f ca="1">IF(KENKO[[#This Row],[//]]="","",INDEX([4]!db[NB PAJAK],KENKO[[#This Row],[stt]]-1))</f>
        <v/>
      </c>
      <c r="K180" s="6" t="str">
        <f>""</f>
        <v/>
      </c>
      <c r="L180" s="6" t="str">
        <f ca="1">IF(KENKO[[#This Row],[//]]="","",IF(INDEX([2]!NOTA[QTY],KENKO[//]-2)="",INDEX([2]!NOTA[C],KENKO[//]-2),INDEX([2]!NOTA[QTY],KENKO[//]-2)))</f>
        <v/>
      </c>
      <c r="M180" s="6" t="str">
        <f ca="1">IF(KENKO[[#This Row],[//]]="","",IF(INDEX([2]!NOTA[STN],KENKO[//]-2)="","CTN",INDEX([2]!NOTA[STN],KENKO[//]-2)))</f>
        <v/>
      </c>
      <c r="N180" s="5" t="str">
        <f ca="1">IF(KENKO[[#This Row],[//]]="","",IF(INDEX([2]!NOTA[HARGA/ CTN],KENKO[[#This Row],[//]]-2)="",INDEX([2]!NOTA[HARGA SATUAN],KENKO[//]-2),INDEX([2]!NOTA[HARGA/ CTN],KENKO[[#This Row],[//]]-2)))</f>
        <v/>
      </c>
      <c r="O180" s="7" t="str">
        <f ca="1">IF(KENKO[[#This Row],[//]]="","",IF(INDEX([2]!NOTA[DISC 2],KENKO[[#This Row],[//]]-2)=0,"",INDEX([2]!NOTA[DISC 2],KENKO[[#This Row],[//]]-2)))</f>
        <v/>
      </c>
      <c r="P180" s="7"/>
      <c r="Q1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4" t="str">
        <f ca="1">IF(KENKO[[#This Row],[//]]="","",INDEX([2]!NOTA[NAMA BARANG],KENKO[[#This Row],[//]]-2))</f>
        <v/>
      </c>
      <c r="V180" s="4" t="str">
        <f ca="1">LOWER(SUBSTITUTE(SUBSTITUTE(SUBSTITUTE(SUBSTITUTE(SUBSTITUTE(SUBSTITUTE(SUBSTITUTE(SUBSTITUTE(KENKO[[#This Row],[N.B.nota]]," ",""),"-",""),"(",""),")",""),".",""),",",""),"/",""),"""",""))</f>
        <v/>
      </c>
      <c r="W180" s="6" t="str">
        <f ca="1">IF(KENKO[[#This Row],[concat]]="","",MATCH(KENKO[[#This Row],[concat]],[4]!db[NB NOTA_C],0)+1)</f>
        <v/>
      </c>
      <c r="X180" s="4" t="str">
        <f ca="1">IF(KENKO[[#This Row],[N.B.nota]]="","",ADDRESS(ROW(KENKO[QB]),COLUMN(KENKO[QB]))&amp;":"&amp;ADDRESS(ROW(),COLUMN(KENKO[QB])))</f>
        <v/>
      </c>
      <c r="Y180" s="13" t="str">
        <f ca="1">IF(KENKO[[#This Row],[//]]="","",HYPERLINK("[..\\DB.xlsx]DB!e"&amp;KENKO[[#This Row],[stt]],"&gt;"))</f>
        <v/>
      </c>
      <c r="Z180" s="4" t="str">
        <f ca="1">IF(KENKO[[#This Row],[//]]="","",IF(KENKO[[#This Row],[ID NOTA]]="",Z170,KENKO[[#This Row],[ID NOTA]]))</f>
        <v/>
      </c>
    </row>
    <row r="181" spans="1:26" ht="15" customHeight="1" x14ac:dyDescent="0.25">
      <c r="A181" s="4" t="s">
        <v>106</v>
      </c>
      <c r="B181" s="6">
        <f ca="1">IF(KENKO[[#This Row],[N_ID]]="","",INDEX(Table1[ID],MATCH(KENKO[[#This Row],[N_ID]],Table1[N_ID],0)))</f>
        <v>115</v>
      </c>
      <c r="C181" s="6" t="str">
        <f ca="1">IF(KENKO[[#This Row],[ID NOTA]]="","",HYPERLINK("[NOTA_.xlsx]NOTA!e"&amp;INDEX([2]!PAJAK[//],MATCH(KENKO[[#This Row],[ID NOTA]],[2]!PAJAK[ID],0)),"&gt;") )</f>
        <v>&gt;</v>
      </c>
      <c r="D181" s="6">
        <f ca="1">IF(KENKO[[#This Row],[ID NOTA]]="","",INDEX(Table1[QB],MATCH(KENKO[[#This Row],[ID NOTA]],Table1[ID],0)))</f>
        <v>10</v>
      </c>
      <c r="E18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676</v>
      </c>
      <c r="F181" s="6">
        <v>25</v>
      </c>
      <c r="G181" s="3">
        <f ca="1">IF(KENKO[[#This Row],[ID NOTA]]="","",INDEX([2]!NOTA[TGL_H],MATCH(KENKO[[#This Row],[ID NOTA]],[2]!NOTA[ID],0)))</f>
        <v>44830</v>
      </c>
      <c r="H181" s="3">
        <f ca="1">IF(KENKO[[#This Row],[ID NOTA]]="","",INDEX([2]!NOTA[TGL.NOTA],MATCH(KENKO[[#This Row],[ID NOTA]],[2]!NOTA[ID],0)))</f>
        <v>44826</v>
      </c>
      <c r="I181" s="18" t="str">
        <f ca="1">IF(KENKO[[#This Row],[ID NOTA]]="","",INDEX([2]!NOTA[NO.NOTA],MATCH(KENKO[[#This Row],[ID NOTA]],[2]!NOTA[ID],0)))</f>
        <v>22091795</v>
      </c>
      <c r="J181" s="4" t="str">
        <f ca="1">IF(KENKO[[#This Row],[//]]="","",INDEX([4]!db[NB PAJAK],KENKO[[#This Row],[stt]]-1))</f>
        <v>STAPLER KENKO HD-50</v>
      </c>
      <c r="K181" s="6" t="str">
        <f>""</f>
        <v/>
      </c>
      <c r="L181" s="6">
        <f ca="1">IF(KENKO[[#This Row],[//]]="","",IF(INDEX([2]!NOTA[QTY],KENKO[//]-2)="",INDEX([2]!NOTA[C],KENKO[//]-2),INDEX([2]!NOTA[QTY],KENKO[//]-2)))</f>
        <v>1</v>
      </c>
      <c r="M181" s="6" t="str">
        <f ca="1">IF(KENKO[[#This Row],[//]]="","",IF(INDEX([2]!NOTA[STN],KENKO[//]-2)="","CTN",INDEX([2]!NOTA[STN],KENKO[//]-2)))</f>
        <v>CTN</v>
      </c>
      <c r="N181" s="5">
        <f ca="1">IF(KENKO[[#This Row],[//]]="","",IF(INDEX([2]!NOTA[HARGA/ CTN],KENKO[[#This Row],[//]]-2)="",INDEX([2]!NOTA[HARGA SATUAN],KENKO[//]-2),INDEX([2]!NOTA[HARGA/ CTN],KENKO[[#This Row],[//]]-2)))</f>
        <v>2280000</v>
      </c>
      <c r="O181" s="7" t="str">
        <f ca="1">IF(KENKO[[#This Row],[//]]="","",IF(INDEX([2]!NOTA[DISC 2],KENKO[[#This Row],[//]]-2)=0,"",INDEX([2]!NOTA[DISC 2],KENKO[[#This Row],[//]]-2)))</f>
        <v/>
      </c>
      <c r="P181" s="7"/>
      <c r="Q181" s="5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1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4" t="str">
        <f ca="1">IF(KENKO[[#This Row],[//]]="","",INDEX([2]!NOTA[NAMA BARANG],KENKO[[#This Row],[//]]-2))</f>
        <v>KENKO STAPLER HD-50</v>
      </c>
      <c r="V181" s="4" t="str">
        <f ca="1">LOWER(SUBSTITUTE(SUBSTITUTE(SUBSTITUTE(SUBSTITUTE(SUBSTITUTE(SUBSTITUTE(SUBSTITUTE(SUBSTITUTE(KENKO[[#This Row],[N.B.nota]]," ",""),"-",""),"(",""),")",""),".",""),",",""),"/",""),"""",""))</f>
        <v>kenkostaplerhd50</v>
      </c>
      <c r="W181" s="6">
        <f ca="1">IF(KENKO[[#This Row],[concat]]="","",MATCH(KENKO[[#This Row],[concat]],[4]!db[NB NOTA_C],0)+1)</f>
        <v>1246</v>
      </c>
      <c r="X181" s="4" t="str">
        <f ca="1">IF(KENKO[[#This Row],[N.B.nota]]="","",ADDRESS(ROW(KENKO[QB]),COLUMN(KENKO[QB]))&amp;":"&amp;ADDRESS(ROW(),COLUMN(KENKO[QB])))</f>
        <v>$D$3:$D$181</v>
      </c>
      <c r="Y181" s="13" t="str">
        <f ca="1">IF(KENKO[[#This Row],[//]]="","",HYPERLINK("[..\\DB.xlsx]DB!e"&amp;KENKO[[#This Row],[stt]],"&gt;"))</f>
        <v>&gt;</v>
      </c>
      <c r="Z181" s="4">
        <f ca="1">IF(KENKO[[#This Row],[//]]="","",IF(KENKO[[#This Row],[ID NOTA]]="",Z170,KENKO[[#This Row],[ID NOTA]]))</f>
        <v>115</v>
      </c>
    </row>
    <row r="182" spans="1:26" ht="15" customHeight="1" x14ac:dyDescent="0.25">
      <c r="A182" s="4"/>
      <c r="B182" s="6" t="str">
        <f>IF(KENKO[[#This Row],[N_ID]]="","",INDEX(Table1[ID],MATCH(KENKO[[#This Row],[N_ID]],Table1[N_ID],0)))</f>
        <v/>
      </c>
      <c r="C182" s="6" t="str">
        <f>IF(KENKO[[#This Row],[ID NOTA]]="","",HYPERLINK("[NOTA_.xlsx]NOTA!e"&amp;INDEX([2]!PAJAK[//],MATCH(KENKO[[#This Row],[ID NOTA]],[2]!PAJAK[ID],0)),"&gt;") )</f>
        <v/>
      </c>
      <c r="D182" s="6" t="str">
        <f>IF(KENKO[[#This Row],[ID NOTA]]="","",INDEX(Table1[QB],MATCH(KENKO[[#This Row],[ID NOTA]],Table1[ID],0)))</f>
        <v/>
      </c>
      <c r="E18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677</v>
      </c>
      <c r="F182" s="6"/>
      <c r="G182" s="3" t="str">
        <f>IF(KENKO[[#This Row],[ID NOTA]]="","",INDEX([2]!NOTA[TGL_H],MATCH(KENKO[[#This Row],[ID NOTA]],[2]!NOTA[ID],0)))</f>
        <v/>
      </c>
      <c r="H182" s="3" t="str">
        <f>IF(KENKO[[#This Row],[ID NOTA]]="","",INDEX([2]!NOTA[TGL.NOTA],MATCH(KENKO[[#This Row],[ID NOTA]],[2]!NOTA[ID],0)))</f>
        <v/>
      </c>
      <c r="I182" s="18" t="str">
        <f>IF(KENKO[[#This Row],[ID NOTA]]="","",INDEX([2]!NOTA[NO.NOTA],MATCH(KENKO[[#This Row],[ID NOTA]],[2]!NOTA[ID],0)))</f>
        <v/>
      </c>
      <c r="J182" s="4" t="str">
        <f ca="1">IF(KENKO[[#This Row],[//]]="","",INDEX([4]!db[NB PAJAK],KENKO[[#This Row],[stt]]-1))</f>
        <v>STAMP PAD KENKO NO. 1</v>
      </c>
      <c r="K182" s="6" t="str">
        <f>""</f>
        <v/>
      </c>
      <c r="L182" s="6">
        <f ca="1">IF(KENKO[[#This Row],[//]]="","",IF(INDEX([2]!NOTA[QTY],KENKO[//]-2)="",INDEX([2]!NOTA[C],KENKO[//]-2),INDEX([2]!NOTA[QTY],KENKO[//]-2)))</f>
        <v>1</v>
      </c>
      <c r="M182" s="6" t="str">
        <f ca="1">IF(KENKO[[#This Row],[//]]="","",IF(INDEX([2]!NOTA[STN],KENKO[//]-2)="","CTN",INDEX([2]!NOTA[STN],KENKO[//]-2)))</f>
        <v>CTN</v>
      </c>
      <c r="N182" s="5">
        <f ca="1">IF(KENKO[[#This Row],[//]]="","",IF(INDEX([2]!NOTA[HARGA/ CTN],KENKO[[#This Row],[//]]-2)="",INDEX([2]!NOTA[HARGA SATUAN],KENKO[//]-2),INDEX([2]!NOTA[HARGA/ CTN],KENKO[[#This Row],[//]]-2)))</f>
        <v>1274400</v>
      </c>
      <c r="O182" s="7" t="str">
        <f ca="1">IF(KENKO[[#This Row],[//]]="","",IF(INDEX([2]!NOTA[DISC 2],KENKO[[#This Row],[//]]-2)=0,"",INDEX([2]!NOTA[DISC 2],KENKO[[#This Row],[//]]-2)))</f>
        <v/>
      </c>
      <c r="P182" s="7"/>
      <c r="Q182" s="5">
        <f ca="1">IF(KENKO[[#This Row],[//]]="","",INDEX([2]!NOTA[JUMLAH],KENKO[[#This Row],[//]]-2)-IF(ISNUMBER(KENKO[[#This Row],[DISC 1 (%)]]),INDEX([2]!NOTA[JUMLAH],KENKO[[#This Row],[//]]-2)*KENKO[[#This Row],[DISC 1 (%)]],0))</f>
        <v>1274400</v>
      </c>
      <c r="R1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4" t="str">
        <f ca="1">IF(KENKO[[#This Row],[//]]="","",INDEX([2]!NOTA[NAMA BARANG],KENKO[[#This Row],[//]]-2))</f>
        <v>KENKO STAMP PAD NO.1</v>
      </c>
      <c r="V182" s="4" t="str">
        <f ca="1">LOWER(SUBSTITUTE(SUBSTITUTE(SUBSTITUTE(SUBSTITUTE(SUBSTITUTE(SUBSTITUTE(SUBSTITUTE(SUBSTITUTE(KENKO[[#This Row],[N.B.nota]]," ",""),"-",""),"(",""),")",""),".",""),",",""),"/",""),"""",""))</f>
        <v>kenkostamppadno1</v>
      </c>
      <c r="W182" s="6">
        <f ca="1">IF(KENKO[[#This Row],[concat]]="","",MATCH(KENKO[[#This Row],[concat]],[4]!db[NB NOTA_C],0)+1)</f>
        <v>1234</v>
      </c>
      <c r="X182" s="4" t="str">
        <f ca="1">IF(KENKO[[#This Row],[N.B.nota]]="","",ADDRESS(ROW(KENKO[QB]),COLUMN(KENKO[QB]))&amp;":"&amp;ADDRESS(ROW(),COLUMN(KENKO[QB])))</f>
        <v>$D$3:$D$182</v>
      </c>
      <c r="Y182" s="13" t="str">
        <f ca="1">IF(KENKO[[#This Row],[//]]="","",HYPERLINK("[..\\DB.xlsx]DB!e"&amp;KENKO[[#This Row],[stt]],"&gt;"))</f>
        <v>&gt;</v>
      </c>
      <c r="Z182" s="4">
        <f ca="1">IF(KENKO[[#This Row],[//]]="","",IF(KENKO[[#This Row],[ID NOTA]]="",Z181,KENKO[[#This Row],[ID NOTA]]))</f>
        <v>115</v>
      </c>
    </row>
    <row r="183" spans="1:26" ht="15" customHeight="1" x14ac:dyDescent="0.25">
      <c r="A183" s="4"/>
      <c r="B183" s="6" t="str">
        <f>IF(KENKO[[#This Row],[N_ID]]="","",INDEX(Table1[ID],MATCH(KENKO[[#This Row],[N_ID]],Table1[N_ID],0)))</f>
        <v/>
      </c>
      <c r="C183" s="6" t="str">
        <f>IF(KENKO[[#This Row],[ID NOTA]]="","",HYPERLINK("[NOTA_.xlsx]NOTA!e"&amp;INDEX([2]!PAJAK[//],MATCH(KENKO[[#This Row],[ID NOTA]],[2]!PAJAK[ID],0)),"&gt;") )</f>
        <v/>
      </c>
      <c r="D183" s="6" t="str">
        <f>IF(KENKO[[#This Row],[ID NOTA]]="","",INDEX(Table1[QB],MATCH(KENKO[[#This Row],[ID NOTA]],Table1[ID],0)))</f>
        <v/>
      </c>
      <c r="E18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678</v>
      </c>
      <c r="F183" s="6"/>
      <c r="G183" s="3" t="str">
        <f>IF(KENKO[[#This Row],[ID NOTA]]="","",INDEX([2]!NOTA[TGL_H],MATCH(KENKO[[#This Row],[ID NOTA]],[2]!NOTA[ID],0)))</f>
        <v/>
      </c>
      <c r="H183" s="3" t="str">
        <f>IF(KENKO[[#This Row],[ID NOTA]]="","",INDEX([2]!NOTA[TGL.NOTA],MATCH(KENKO[[#This Row],[ID NOTA]],[2]!NOTA[ID],0)))</f>
        <v/>
      </c>
      <c r="I183" s="18" t="str">
        <f>IF(KENKO[[#This Row],[ID NOTA]]="","",INDEX([2]!NOTA[NO.NOTA],MATCH(KENKO[[#This Row],[ID NOTA]],[2]!NOTA[ID],0)))</f>
        <v/>
      </c>
      <c r="J183" s="4" t="str">
        <f ca="1">IF(KENKO[[#This Row],[//]]="","",INDEX([4]!db[NB PAJAK],KENKO[[#This Row],[stt]]-1))</f>
        <v>BUKU TAMU KENKO BT-2920-01/03 (BUNGA)</v>
      </c>
      <c r="K183" s="6" t="str">
        <f>""</f>
        <v/>
      </c>
      <c r="L183" s="6">
        <f ca="1">IF(KENKO[[#This Row],[//]]="","",IF(INDEX([2]!NOTA[QTY],KENKO[//]-2)="",INDEX([2]!NOTA[C],KENKO[//]-2),INDEX([2]!NOTA[QTY],KENKO[//]-2)))</f>
        <v>1</v>
      </c>
      <c r="M183" s="6" t="str">
        <f ca="1">IF(KENKO[[#This Row],[//]]="","",IF(INDEX([2]!NOTA[STN],KENKO[//]-2)="","CTN",INDEX([2]!NOTA[STN],KENKO[//]-2)))</f>
        <v>CTN</v>
      </c>
      <c r="N183" s="5">
        <f ca="1">IF(KENKO[[#This Row],[//]]="","",IF(INDEX([2]!NOTA[HARGA/ CTN],KENKO[[#This Row],[//]]-2)="",INDEX([2]!NOTA[HARGA SATUAN],KENKO[//]-2),INDEX([2]!NOTA[HARGA/ CTN],KENKO[[#This Row],[//]]-2)))</f>
        <v>780000</v>
      </c>
      <c r="O183" s="7" t="str">
        <f ca="1">IF(KENKO[[#This Row],[//]]="","",IF(INDEX([2]!NOTA[DISC 2],KENKO[[#This Row],[//]]-2)=0,"",INDEX([2]!NOTA[DISC 2],KENKO[[#This Row],[//]]-2)))</f>
        <v/>
      </c>
      <c r="P183" s="7"/>
      <c r="Q183" s="5">
        <f ca="1">IF(KENKO[[#This Row],[//]]="","",INDEX([2]!NOTA[JUMLAH],KENKO[[#This Row],[//]]-2)-IF(ISNUMBER(KENKO[[#This Row],[DISC 1 (%)]]),INDEX([2]!NOTA[JUMLAH],KENKO[[#This Row],[//]]-2)*KENKO[[#This Row],[DISC 1 (%)]],0))</f>
        <v>780000</v>
      </c>
      <c r="R1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4" t="str">
        <f ca="1">IF(KENKO[[#This Row],[//]]="","",INDEX([2]!NOTA[NAMA BARANG],KENKO[[#This Row],[//]]-2))</f>
        <v>KENKO BUKU TAMU BT-2920-03 (KEMBANG)</v>
      </c>
      <c r="V183" s="4" t="str">
        <f ca="1">LOWER(SUBSTITUTE(SUBSTITUTE(SUBSTITUTE(SUBSTITUTE(SUBSTITUTE(SUBSTITUTE(SUBSTITUTE(SUBSTITUTE(KENKO[[#This Row],[N.B.nota]]," ",""),"-",""),"(",""),")",""),".",""),",",""),"/",""),"""",""))</f>
        <v>kenkobukutamubt292003kembang</v>
      </c>
      <c r="W183" s="6">
        <f ca="1">IF(KENKO[[#This Row],[concat]]="","",MATCH(KENKO[[#This Row],[concat]],[4]!db[NB NOTA_C],0)+1)</f>
        <v>1022</v>
      </c>
      <c r="X183" s="4" t="str">
        <f ca="1">IF(KENKO[[#This Row],[N.B.nota]]="","",ADDRESS(ROW(KENKO[QB]),COLUMN(KENKO[QB]))&amp;":"&amp;ADDRESS(ROW(),COLUMN(KENKO[QB])))</f>
        <v>$D$3:$D$183</v>
      </c>
      <c r="Y183" s="13" t="str">
        <f ca="1">IF(KENKO[[#This Row],[//]]="","",HYPERLINK("[..\\DB.xlsx]DB!e"&amp;KENKO[[#This Row],[stt]],"&gt;"))</f>
        <v>&gt;</v>
      </c>
      <c r="Z183" s="4">
        <f ca="1">IF(KENKO[[#This Row],[//]]="","",IF(KENKO[[#This Row],[ID NOTA]]="",Z181,KENKO[[#This Row],[ID NOTA]]))</f>
        <v>115</v>
      </c>
    </row>
    <row r="184" spans="1:26" ht="15" customHeight="1" x14ac:dyDescent="0.25">
      <c r="A184" s="4"/>
      <c r="B184" s="6" t="str">
        <f>IF(KENKO[[#This Row],[N_ID]]="","",INDEX(Table1[ID],MATCH(KENKO[[#This Row],[N_ID]],Table1[N_ID],0)))</f>
        <v/>
      </c>
      <c r="C184" s="6" t="str">
        <f>IF(KENKO[[#This Row],[ID NOTA]]="","",HYPERLINK("[NOTA_.xlsx]NOTA!e"&amp;INDEX([2]!PAJAK[//],MATCH(KENKO[[#This Row],[ID NOTA]],[2]!PAJAK[ID],0)),"&gt;") )</f>
        <v/>
      </c>
      <c r="D184" s="6" t="str">
        <f>IF(KENKO[[#This Row],[ID NOTA]]="","",INDEX(Table1[QB],MATCH(KENKO[[#This Row],[ID NOTA]],Table1[ID],0)))</f>
        <v/>
      </c>
      <c r="E18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679</v>
      </c>
      <c r="F184" s="6"/>
      <c r="G184" s="3" t="str">
        <f>IF(KENKO[[#This Row],[ID NOTA]]="","",INDEX([2]!NOTA[TGL_H],MATCH(KENKO[[#This Row],[ID NOTA]],[2]!NOTA[ID],0)))</f>
        <v/>
      </c>
      <c r="H184" s="3" t="str">
        <f>IF(KENKO[[#This Row],[ID NOTA]]="","",INDEX([2]!NOTA[TGL.NOTA],MATCH(KENKO[[#This Row],[ID NOTA]],[2]!NOTA[ID],0)))</f>
        <v/>
      </c>
      <c r="I184" s="18" t="str">
        <f>IF(KENKO[[#This Row],[ID NOTA]]="","",INDEX([2]!NOTA[NO.NOTA],MATCH(KENKO[[#This Row],[ID NOTA]],[2]!NOTA[ID],0)))</f>
        <v/>
      </c>
      <c r="J184" s="4" t="str">
        <f ca="1">IF(KENKO[[#This Row],[//]]="","",INDEX([4]!db[NB PAJAK],KENKO[[#This Row],[stt]]-1))</f>
        <v>ISI CUTTER 9 MM KENKO A-100 (KECIL)</v>
      </c>
      <c r="K184" s="6" t="str">
        <f>""</f>
        <v/>
      </c>
      <c r="L184" s="6">
        <f ca="1">IF(KENKO[[#This Row],[//]]="","",IF(INDEX([2]!NOTA[QTY],KENKO[//]-2)="",INDEX([2]!NOTA[C],KENKO[//]-2),INDEX([2]!NOTA[QTY],KENKO[//]-2)))</f>
        <v>5</v>
      </c>
      <c r="M184" s="6" t="str">
        <f ca="1">IF(KENKO[[#This Row],[//]]="","",IF(INDEX([2]!NOTA[STN],KENKO[//]-2)="","CTN",INDEX([2]!NOTA[STN],KENKO[//]-2)))</f>
        <v>CTN</v>
      </c>
      <c r="N184" s="5">
        <f ca="1">IF(KENKO[[#This Row],[//]]="","",IF(INDEX([2]!NOTA[HARGA/ CTN],KENKO[[#This Row],[//]]-2)="",INDEX([2]!NOTA[HARGA SATUAN],KENKO[//]-2),INDEX([2]!NOTA[HARGA/ CTN],KENKO[[#This Row],[//]]-2)))</f>
        <v>3888000</v>
      </c>
      <c r="O184" s="7" t="str">
        <f ca="1">IF(KENKO[[#This Row],[//]]="","",IF(INDEX([2]!NOTA[DISC 2],KENKO[[#This Row],[//]]-2)=0,"",INDEX([2]!NOTA[DISC 2],KENKO[[#This Row],[//]]-2)))</f>
        <v/>
      </c>
      <c r="P184" s="7"/>
      <c r="Q184" s="5">
        <f ca="1">IF(KENKO[[#This Row],[//]]="","",INDEX([2]!NOTA[JUMLAH],KENKO[[#This Row],[//]]-2)-IF(ISNUMBER(KENKO[[#This Row],[DISC 1 (%)]]),INDEX([2]!NOTA[JUMLAH],KENKO[[#This Row],[//]]-2)*KENKO[[#This Row],[DISC 1 (%)]],0))</f>
        <v>19440000</v>
      </c>
      <c r="R1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4" t="str">
        <f ca="1">IF(KENKO[[#This Row],[//]]="","",INDEX([2]!NOTA[NAMA BARANG],KENKO[[#This Row],[//]]-2))</f>
        <v>KENKO CUTTER BLADE A-100 (9 MM)</v>
      </c>
      <c r="V184" s="4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184" s="6">
        <f ca="1">IF(KENKO[[#This Row],[concat]]="","",MATCH(KENKO[[#This Row],[concat]],[4]!db[NB NOTA_C],0)+1)</f>
        <v>1083</v>
      </c>
      <c r="X184" s="4" t="str">
        <f ca="1">IF(KENKO[[#This Row],[N.B.nota]]="","",ADDRESS(ROW(KENKO[QB]),COLUMN(KENKO[QB]))&amp;":"&amp;ADDRESS(ROW(),COLUMN(KENKO[QB])))</f>
        <v>$D$3:$D$184</v>
      </c>
      <c r="Y184" s="13" t="str">
        <f ca="1">IF(KENKO[[#This Row],[//]]="","",HYPERLINK("[..\\DB.xlsx]DB!e"&amp;KENKO[[#This Row],[stt]],"&gt;"))</f>
        <v>&gt;</v>
      </c>
      <c r="Z184" s="4">
        <f ca="1">IF(KENKO[[#This Row],[//]]="","",IF(KENKO[[#This Row],[ID NOTA]]="",Z181,KENKO[[#This Row],[ID NOTA]]))</f>
        <v>115</v>
      </c>
    </row>
    <row r="185" spans="1:26" ht="15" customHeight="1" x14ac:dyDescent="0.25">
      <c r="A185" s="4"/>
      <c r="B185" s="6" t="str">
        <f>IF(KENKO[[#This Row],[N_ID]]="","",INDEX(Table1[ID],MATCH(KENKO[[#This Row],[N_ID]],Table1[N_ID],0)))</f>
        <v/>
      </c>
      <c r="C185" s="6" t="str">
        <f>IF(KENKO[[#This Row],[ID NOTA]]="","",HYPERLINK("[NOTA_.xlsx]NOTA!e"&amp;INDEX([2]!PAJAK[//],MATCH(KENKO[[#This Row],[ID NOTA]],[2]!PAJAK[ID],0)),"&gt;") )</f>
        <v/>
      </c>
      <c r="D185" s="6" t="str">
        <f>IF(KENKO[[#This Row],[ID NOTA]]="","",INDEX(Table1[QB],MATCH(KENKO[[#This Row],[ID NOTA]],Table1[ID],0)))</f>
        <v/>
      </c>
      <c r="E18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680</v>
      </c>
      <c r="F185" s="6"/>
      <c r="G185" s="3" t="str">
        <f>IF(KENKO[[#This Row],[ID NOTA]]="","",INDEX([2]!NOTA[TGL_H],MATCH(KENKO[[#This Row],[ID NOTA]],[2]!NOTA[ID],0)))</f>
        <v/>
      </c>
      <c r="H185" s="3" t="str">
        <f>IF(KENKO[[#This Row],[ID NOTA]]="","",INDEX([2]!NOTA[TGL.NOTA],MATCH(KENKO[[#This Row],[ID NOTA]],[2]!NOTA[ID],0)))</f>
        <v/>
      </c>
      <c r="I185" s="18" t="str">
        <f>IF(KENKO[[#This Row],[ID NOTA]]="","",INDEX([2]!NOTA[NO.NOTA],MATCH(KENKO[[#This Row],[ID NOTA]],[2]!NOTA[ID],0)))</f>
        <v/>
      </c>
      <c r="J185" s="4" t="str">
        <f ca="1">IF(KENKO[[#This Row],[//]]="","",INDEX([4]!db[NB PAJAK],KENKO[[#This Row],[stt]]-1))</f>
        <v>ISI CUTTER 18 MM KENKO L-150 (BESAR)</v>
      </c>
      <c r="K185" s="6" t="str">
        <f>""</f>
        <v/>
      </c>
      <c r="L185" s="6">
        <f ca="1">IF(KENKO[[#This Row],[//]]="","",IF(INDEX([2]!NOTA[QTY],KENKO[//]-2)="",INDEX([2]!NOTA[C],KENKO[//]-2),INDEX([2]!NOTA[QTY],KENKO[//]-2)))</f>
        <v>2</v>
      </c>
      <c r="M185" s="6" t="str">
        <f ca="1">IF(KENKO[[#This Row],[//]]="","",IF(INDEX([2]!NOTA[STN],KENKO[//]-2)="","CTN",INDEX([2]!NOTA[STN],KENKO[//]-2)))</f>
        <v>CTN</v>
      </c>
      <c r="N185" s="5">
        <f ca="1">IF(KENKO[[#This Row],[//]]="","",IF(INDEX([2]!NOTA[HARGA/ CTN],KENKO[[#This Row],[//]]-2)="",INDEX([2]!NOTA[HARGA SATUAN],KENKO[//]-2),INDEX([2]!NOTA[HARGA/ CTN],KENKO[[#This Row],[//]]-2)))</f>
        <v>3888000</v>
      </c>
      <c r="O185" s="7" t="str">
        <f ca="1">IF(KENKO[[#This Row],[//]]="","",IF(INDEX([2]!NOTA[DISC 2],KENKO[[#This Row],[//]]-2)=0,"",INDEX([2]!NOTA[DISC 2],KENKO[[#This Row],[//]]-2)))</f>
        <v/>
      </c>
      <c r="P185" s="7"/>
      <c r="Q185" s="5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1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4" t="str">
        <f ca="1">IF(KENKO[[#This Row],[//]]="","",INDEX([2]!NOTA[NAMA BARANG],KENKO[[#This Row],[//]]-2))</f>
        <v>KENKO CUTTER BLADE L-150 (18MM)</v>
      </c>
      <c r="V185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85" s="6">
        <f ca="1">IF(KENKO[[#This Row],[concat]]="","",MATCH(KENKO[[#This Row],[concat]],[4]!db[NB NOTA_C],0)+1)</f>
        <v>1084</v>
      </c>
      <c r="X185" s="4" t="str">
        <f ca="1">IF(KENKO[[#This Row],[N.B.nota]]="","",ADDRESS(ROW(KENKO[QB]),COLUMN(KENKO[QB]))&amp;":"&amp;ADDRESS(ROW(),COLUMN(KENKO[QB])))</f>
        <v>$D$3:$D$185</v>
      </c>
      <c r="Y185" s="13" t="str">
        <f ca="1">IF(KENKO[[#This Row],[//]]="","",HYPERLINK("[..\\DB.xlsx]DB!e"&amp;KENKO[[#This Row],[stt]],"&gt;"))</f>
        <v>&gt;</v>
      </c>
      <c r="Z185" s="4">
        <f ca="1">IF(KENKO[[#This Row],[//]]="","",IF(KENKO[[#This Row],[ID NOTA]]="",Z181,KENKO[[#This Row],[ID NOTA]]))</f>
        <v>115</v>
      </c>
    </row>
    <row r="186" spans="1:26" ht="15" customHeight="1" x14ac:dyDescent="0.25">
      <c r="A186" s="4"/>
      <c r="B186" s="6" t="str">
        <f>IF(KENKO[[#This Row],[N_ID]]="","",INDEX(Table1[ID],MATCH(KENKO[[#This Row],[N_ID]],Table1[N_ID],0)))</f>
        <v/>
      </c>
      <c r="C186" s="6" t="str">
        <f>IF(KENKO[[#This Row],[ID NOTA]]="","",HYPERLINK("[NOTA_.xlsx]NOTA!e"&amp;INDEX([2]!PAJAK[//],MATCH(KENKO[[#This Row],[ID NOTA]],[2]!PAJAK[ID],0)),"&gt;") )</f>
        <v/>
      </c>
      <c r="D186" s="6" t="str">
        <f>IF(KENKO[[#This Row],[ID NOTA]]="","",INDEX(Table1[QB],MATCH(KENKO[[#This Row],[ID NOTA]],Table1[ID],0)))</f>
        <v/>
      </c>
      <c r="E18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681</v>
      </c>
      <c r="F186" s="6"/>
      <c r="G186" s="3" t="str">
        <f>IF(KENKO[[#This Row],[ID NOTA]]="","",INDEX([2]!NOTA[TGL_H],MATCH(KENKO[[#This Row],[ID NOTA]],[2]!NOTA[ID],0)))</f>
        <v/>
      </c>
      <c r="H186" s="3" t="str">
        <f>IF(KENKO[[#This Row],[ID NOTA]]="","",INDEX([2]!NOTA[TGL.NOTA],MATCH(KENKO[[#This Row],[ID NOTA]],[2]!NOTA[ID],0)))</f>
        <v/>
      </c>
      <c r="I186" s="18" t="str">
        <f>IF(KENKO[[#This Row],[ID NOTA]]="","",INDEX([2]!NOTA[NO.NOTA],MATCH(KENKO[[#This Row],[ID NOTA]],[2]!NOTA[ID],0)))</f>
        <v/>
      </c>
      <c r="J186" s="4" t="str">
        <f ca="1">IF(KENKO[[#This Row],[//]]="","",INDEX([4]!db[NB PAJAK],KENKO[[#This Row],[stt]]-1))</f>
        <v>PENSIL KENKO 2B-6373 METALIK</v>
      </c>
      <c r="K186" s="6" t="str">
        <f>""</f>
        <v/>
      </c>
      <c r="L186" s="6">
        <f ca="1">IF(KENKO[[#This Row],[//]]="","",IF(INDEX([2]!NOTA[QTY],KENKO[//]-2)="",INDEX([2]!NOTA[C],KENKO[//]-2),INDEX([2]!NOTA[QTY],KENKO[//]-2)))</f>
        <v>1</v>
      </c>
      <c r="M186" s="6" t="str">
        <f ca="1">IF(KENKO[[#This Row],[//]]="","",IF(INDEX([2]!NOTA[STN],KENKO[//]-2)="","CTN",INDEX([2]!NOTA[STN],KENKO[//]-2)))</f>
        <v>CTN</v>
      </c>
      <c r="N186" s="5">
        <f ca="1">IF(KENKO[[#This Row],[//]]="","",IF(INDEX([2]!NOTA[HARGA/ CTN],KENKO[[#This Row],[//]]-2)="",INDEX([2]!NOTA[HARGA SATUAN],KENKO[//]-2),INDEX([2]!NOTA[HARGA/ CTN],KENKO[[#This Row],[//]]-2)))</f>
        <v>2160000</v>
      </c>
      <c r="O186" s="7" t="str">
        <f ca="1">IF(KENKO[[#This Row],[//]]="","",IF(INDEX([2]!NOTA[DISC 2],KENKO[[#This Row],[//]]-2)=0,"",INDEX([2]!NOTA[DISC 2],KENKO[[#This Row],[//]]-2)))</f>
        <v/>
      </c>
      <c r="P186" s="7"/>
      <c r="Q186" s="5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1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4" t="str">
        <f ca="1">IF(KENKO[[#This Row],[//]]="","",INDEX([2]!NOTA[NAMA BARANG],KENKO[[#This Row],[//]]-2))</f>
        <v>KENKO PENCIL 2B-6373 METALLIC</v>
      </c>
      <c r="V186" s="4" t="str">
        <f ca="1">LOWER(SUBSTITUTE(SUBSTITUTE(SUBSTITUTE(SUBSTITUTE(SUBSTITUTE(SUBSTITUTE(SUBSTITUTE(SUBSTITUTE(KENKO[[#This Row],[N.B.nota]]," ",""),"-",""),"(",""),")",""),".",""),",",""),"/",""),"""",""))</f>
        <v>kenkopencil2b6373metallic</v>
      </c>
      <c r="W186" s="6">
        <f ca="1">IF(KENKO[[#This Row],[concat]]="","",MATCH(KENKO[[#This Row],[concat]],[4]!db[NB NOTA_C],0)+1)</f>
        <v>1188</v>
      </c>
      <c r="X186" s="4" t="str">
        <f ca="1">IF(KENKO[[#This Row],[N.B.nota]]="","",ADDRESS(ROW(KENKO[QB]),COLUMN(KENKO[QB]))&amp;":"&amp;ADDRESS(ROW(),COLUMN(KENKO[QB])))</f>
        <v>$D$3:$D$186</v>
      </c>
      <c r="Y186" s="13" t="str">
        <f ca="1">IF(KENKO[[#This Row],[//]]="","",HYPERLINK("[..\\DB.xlsx]DB!e"&amp;KENKO[[#This Row],[stt]],"&gt;"))</f>
        <v>&gt;</v>
      </c>
      <c r="Z186" s="4">
        <f ca="1">IF(KENKO[[#This Row],[//]]="","",IF(KENKO[[#This Row],[ID NOTA]]="",Z181,KENKO[[#This Row],[ID NOTA]]))</f>
        <v>115</v>
      </c>
    </row>
    <row r="187" spans="1:26" ht="15" customHeight="1" x14ac:dyDescent="0.25">
      <c r="A187" s="4"/>
      <c r="B187" s="6" t="str">
        <f>IF(KENKO[[#This Row],[N_ID]]="","",INDEX(Table1[ID],MATCH(KENKO[[#This Row],[N_ID]],Table1[N_ID],0)))</f>
        <v/>
      </c>
      <c r="C187" s="6" t="str">
        <f>IF(KENKO[[#This Row],[ID NOTA]]="","",HYPERLINK("[NOTA_.xlsx]NOTA!e"&amp;INDEX([2]!PAJAK[//],MATCH(KENKO[[#This Row],[ID NOTA]],[2]!PAJAK[ID],0)),"&gt;") )</f>
        <v/>
      </c>
      <c r="D187" s="6" t="str">
        <f>IF(KENKO[[#This Row],[ID NOTA]]="","",INDEX(Table1[QB],MATCH(KENKO[[#This Row],[ID NOTA]],Table1[ID],0)))</f>
        <v/>
      </c>
      <c r="E18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682</v>
      </c>
      <c r="F187" s="6"/>
      <c r="G187" s="3" t="str">
        <f>IF(KENKO[[#This Row],[ID NOTA]]="","",INDEX([2]!NOTA[TGL_H],MATCH(KENKO[[#This Row],[ID NOTA]],[2]!NOTA[ID],0)))</f>
        <v/>
      </c>
      <c r="H187" s="3" t="str">
        <f>IF(KENKO[[#This Row],[ID NOTA]]="","",INDEX([2]!NOTA[TGL.NOTA],MATCH(KENKO[[#This Row],[ID NOTA]],[2]!NOTA[ID],0)))</f>
        <v/>
      </c>
      <c r="I187" s="18" t="str">
        <f>IF(KENKO[[#This Row],[ID NOTA]]="","",INDEX([2]!NOTA[NO.NOTA],MATCH(KENKO[[#This Row],[ID NOTA]],[2]!NOTA[ID],0)))</f>
        <v/>
      </c>
      <c r="J187" s="4" t="str">
        <f ca="1">IF(KENKO[[#This Row],[//]]="","",INDEX([4]!db[NB PAJAK],KENKO[[#This Row],[stt]]-1))</f>
        <v>PENCIL KENKO 2B-6388 ZOO N ZOO</v>
      </c>
      <c r="K187" s="6" t="str">
        <f>""</f>
        <v/>
      </c>
      <c r="L187" s="6">
        <f ca="1">IF(KENKO[[#This Row],[//]]="","",IF(INDEX([2]!NOTA[QTY],KENKO[//]-2)="",INDEX([2]!NOTA[C],KENKO[//]-2),INDEX([2]!NOTA[QTY],KENKO[//]-2)))</f>
        <v>1</v>
      </c>
      <c r="M187" s="6" t="str">
        <f ca="1">IF(KENKO[[#This Row],[//]]="","",IF(INDEX([2]!NOTA[STN],KENKO[//]-2)="","CTN",INDEX([2]!NOTA[STN],KENKO[//]-2)))</f>
        <v>CTN</v>
      </c>
      <c r="N187" s="5">
        <f ca="1">IF(KENKO[[#This Row],[//]]="","",IF(INDEX([2]!NOTA[HARGA/ CTN],KENKO[[#This Row],[//]]-2)="",INDEX([2]!NOTA[HARGA SATUAN],KENKO[//]-2),INDEX([2]!NOTA[HARGA/ CTN],KENKO[[#This Row],[//]]-2)))</f>
        <v>2256000</v>
      </c>
      <c r="O187" s="7" t="str">
        <f ca="1">IF(KENKO[[#This Row],[//]]="","",IF(INDEX([2]!NOTA[DISC 2],KENKO[[#This Row],[//]]-2)=0,"",INDEX([2]!NOTA[DISC 2],KENKO[[#This Row],[//]]-2)))</f>
        <v/>
      </c>
      <c r="P187" s="7"/>
      <c r="Q187" s="5">
        <f ca="1">IF(KENKO[[#This Row],[//]]="","",INDEX([2]!NOTA[JUMLAH],KENKO[[#This Row],[//]]-2)-IF(ISNUMBER(KENKO[[#This Row],[DISC 1 (%)]]),INDEX([2]!NOTA[JUMLAH],KENKO[[#This Row],[//]]-2)*KENKO[[#This Row],[DISC 1 (%)]],0))</f>
        <v>2256000</v>
      </c>
      <c r="R1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4" t="str">
        <f ca="1">IF(KENKO[[#This Row],[//]]="","",INDEX([2]!NOTA[NAMA BARANG],KENKO[[#This Row],[//]]-2))</f>
        <v>KENKO PENCIL 2B-6388 ZOO N ZOO</v>
      </c>
      <c r="V187" s="4" t="str">
        <f ca="1">LOWER(SUBSTITUTE(SUBSTITUTE(SUBSTITUTE(SUBSTITUTE(SUBSTITUTE(SUBSTITUTE(SUBSTITUTE(SUBSTITUTE(KENKO[[#This Row],[N.B.nota]]," ",""),"-",""),"(",""),")",""),".",""),",",""),"/",""),"""",""))</f>
        <v>kenkopencil2b6388zoonzoo</v>
      </c>
      <c r="W187" s="6">
        <f ca="1">IF(KENKO[[#This Row],[concat]]="","",MATCH(KENKO[[#This Row],[concat]],[4]!db[NB NOTA_C],0)+1)</f>
        <v>1189</v>
      </c>
      <c r="X187" s="4" t="str">
        <f ca="1">IF(KENKO[[#This Row],[N.B.nota]]="","",ADDRESS(ROW(KENKO[QB]),COLUMN(KENKO[QB]))&amp;":"&amp;ADDRESS(ROW(),COLUMN(KENKO[QB])))</f>
        <v>$D$3:$D$187</v>
      </c>
      <c r="Y187" s="13" t="str">
        <f ca="1">IF(KENKO[[#This Row],[//]]="","",HYPERLINK("[..\\DB.xlsx]DB!e"&amp;KENKO[[#This Row],[stt]],"&gt;"))</f>
        <v>&gt;</v>
      </c>
      <c r="Z187" s="4">
        <f ca="1">IF(KENKO[[#This Row],[//]]="","",IF(KENKO[[#This Row],[ID NOTA]]="",Z181,KENKO[[#This Row],[ID NOTA]]))</f>
        <v>115</v>
      </c>
    </row>
    <row r="188" spans="1:26" ht="15" customHeight="1" x14ac:dyDescent="0.25">
      <c r="A188" s="4"/>
      <c r="B188" s="6" t="str">
        <f>IF(KENKO[[#This Row],[N_ID]]="","",INDEX(Table1[ID],MATCH(KENKO[[#This Row],[N_ID]],Table1[N_ID],0)))</f>
        <v/>
      </c>
      <c r="C188" s="6" t="str">
        <f>IF(KENKO[[#This Row],[ID NOTA]]="","",HYPERLINK("[NOTA_.xlsx]NOTA!e"&amp;INDEX([2]!PAJAK[//],MATCH(KENKO[[#This Row],[ID NOTA]],[2]!PAJAK[ID],0)),"&gt;") )</f>
        <v/>
      </c>
      <c r="D188" s="6" t="str">
        <f>IF(KENKO[[#This Row],[ID NOTA]]="","",INDEX(Table1[QB],MATCH(KENKO[[#This Row],[ID NOTA]],Table1[ID],0)))</f>
        <v/>
      </c>
      <c r="E18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683</v>
      </c>
      <c r="F188" s="6"/>
      <c r="G188" s="3" t="str">
        <f>IF(KENKO[[#This Row],[ID NOTA]]="","",INDEX([2]!NOTA[TGL_H],MATCH(KENKO[[#This Row],[ID NOTA]],[2]!NOTA[ID],0)))</f>
        <v/>
      </c>
      <c r="H188" s="3" t="str">
        <f>IF(KENKO[[#This Row],[ID NOTA]]="","",INDEX([2]!NOTA[TGL.NOTA],MATCH(KENKO[[#This Row],[ID NOTA]],[2]!NOTA[ID],0)))</f>
        <v/>
      </c>
      <c r="I188" s="18" t="str">
        <f>IF(KENKO[[#This Row],[ID NOTA]]="","",INDEX([2]!NOTA[NO.NOTA],MATCH(KENKO[[#This Row],[ID NOTA]],[2]!NOTA[ID],0)))</f>
        <v/>
      </c>
      <c r="J188" s="4" t="str">
        <f ca="1">IF(KENKO[[#This Row],[//]]="","",INDEX([4]!db[NB PAJAK],KENKO[[#This Row],[stt]]-1))</f>
        <v>PENSIL KENKO 2B-6181 BIRU CAP HITAM</v>
      </c>
      <c r="K188" s="6" t="str">
        <f>""</f>
        <v/>
      </c>
      <c r="L188" s="6">
        <f ca="1">IF(KENKO[[#This Row],[//]]="","",IF(INDEX([2]!NOTA[QTY],KENKO[//]-2)="",INDEX([2]!NOTA[C],KENKO[//]-2),INDEX([2]!NOTA[QTY],KENKO[//]-2)))</f>
        <v>1</v>
      </c>
      <c r="M188" s="6" t="str">
        <f ca="1">IF(KENKO[[#This Row],[//]]="","",IF(INDEX([2]!NOTA[STN],KENKO[//]-2)="","CTN",INDEX([2]!NOTA[STN],KENKO[//]-2)))</f>
        <v>CTN</v>
      </c>
      <c r="N188" s="5">
        <f ca="1">IF(KENKO[[#This Row],[//]]="","",IF(INDEX([2]!NOTA[HARGA/ CTN],KENKO[[#This Row],[//]]-2)="",INDEX([2]!NOTA[HARGA SATUAN],KENKO[//]-2),INDEX([2]!NOTA[HARGA/ CTN],KENKO[[#This Row],[//]]-2)))</f>
        <v>2208000</v>
      </c>
      <c r="O188" s="7" t="str">
        <f ca="1">IF(KENKO[[#This Row],[//]]="","",IF(INDEX([2]!NOTA[DISC 2],KENKO[[#This Row],[//]]-2)=0,"",INDEX([2]!NOTA[DISC 2],KENKO[[#This Row],[//]]-2)))</f>
        <v/>
      </c>
      <c r="P188" s="7"/>
      <c r="Q188" s="5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1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4" t="str">
        <f ca="1">IF(KENKO[[#This Row],[//]]="","",INDEX([2]!NOTA[NAMA BARANG],KENKO[[#This Row],[//]]-2))</f>
        <v>KENKO PENCIL 2B-6181 BIRU CAP HITAM</v>
      </c>
      <c r="V188" s="4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188" s="6">
        <f ca="1">IF(KENKO[[#This Row],[concat]]="","",MATCH(KENKO[[#This Row],[concat]],[4]!db[NB NOTA_C],0)+1)</f>
        <v>1185</v>
      </c>
      <c r="X188" s="4" t="str">
        <f ca="1">IF(KENKO[[#This Row],[N.B.nota]]="","",ADDRESS(ROW(KENKO[QB]),COLUMN(KENKO[QB]))&amp;":"&amp;ADDRESS(ROW(),COLUMN(KENKO[QB])))</f>
        <v>$D$3:$D$188</v>
      </c>
      <c r="Y188" s="13" t="str">
        <f ca="1">IF(KENKO[[#This Row],[//]]="","",HYPERLINK("[..\\DB.xlsx]DB!e"&amp;KENKO[[#This Row],[stt]],"&gt;"))</f>
        <v>&gt;</v>
      </c>
      <c r="Z188" s="4">
        <f ca="1">IF(KENKO[[#This Row],[//]]="","",IF(KENKO[[#This Row],[ID NOTA]]="",Z181,KENKO[[#This Row],[ID NOTA]]))</f>
        <v>115</v>
      </c>
    </row>
    <row r="189" spans="1:26" ht="15" customHeight="1" x14ac:dyDescent="0.25">
      <c r="A189" s="4"/>
      <c r="B189" s="6" t="str">
        <f>IF(KENKO[[#This Row],[N_ID]]="","",INDEX(Table1[ID],MATCH(KENKO[[#This Row],[N_ID]],Table1[N_ID],0)))</f>
        <v/>
      </c>
      <c r="C189" s="6" t="str">
        <f>IF(KENKO[[#This Row],[ID NOTA]]="","",HYPERLINK("[NOTA_.xlsx]NOTA!e"&amp;INDEX([2]!PAJAK[//],MATCH(KENKO[[#This Row],[ID NOTA]],[2]!PAJAK[ID],0)),"&gt;") )</f>
        <v/>
      </c>
      <c r="D189" s="6" t="str">
        <f>IF(KENKO[[#This Row],[ID NOTA]]="","",INDEX(Table1[QB],MATCH(KENKO[[#This Row],[ID NOTA]],Table1[ID],0)))</f>
        <v/>
      </c>
      <c r="E18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684</v>
      </c>
      <c r="F189" s="6"/>
      <c r="G189" s="3" t="str">
        <f>IF(KENKO[[#This Row],[ID NOTA]]="","",INDEX([2]!NOTA[TGL_H],MATCH(KENKO[[#This Row],[ID NOTA]],[2]!NOTA[ID],0)))</f>
        <v/>
      </c>
      <c r="H189" s="3" t="str">
        <f>IF(KENKO[[#This Row],[ID NOTA]]="","",INDEX([2]!NOTA[TGL.NOTA],MATCH(KENKO[[#This Row],[ID NOTA]],[2]!NOTA[ID],0)))</f>
        <v/>
      </c>
      <c r="I189" s="18" t="str">
        <f>IF(KENKO[[#This Row],[ID NOTA]]="","",INDEX([2]!NOTA[NO.NOTA],MATCH(KENKO[[#This Row],[ID NOTA]],[2]!NOTA[ID],0)))</f>
        <v/>
      </c>
      <c r="J189" s="4" t="str">
        <f ca="1">IF(KENKO[[#This Row],[//]]="","",INDEX([4]!db[NB PAJAK],KENKO[[#This Row],[stt]]-1))</f>
        <v>PENSIL KENKO 2B-6191 HIJAU CAP HITAM</v>
      </c>
      <c r="K189" s="6" t="str">
        <f>""</f>
        <v/>
      </c>
      <c r="L189" s="6">
        <f ca="1">IF(KENKO[[#This Row],[//]]="","",IF(INDEX([2]!NOTA[QTY],KENKO[//]-2)="",INDEX([2]!NOTA[C],KENKO[//]-2),INDEX([2]!NOTA[QTY],KENKO[//]-2)))</f>
        <v>2</v>
      </c>
      <c r="M189" s="6" t="str">
        <f ca="1">IF(KENKO[[#This Row],[//]]="","",IF(INDEX([2]!NOTA[STN],KENKO[//]-2)="","CTN",INDEX([2]!NOTA[STN],KENKO[//]-2)))</f>
        <v>CTN</v>
      </c>
      <c r="N189" s="5">
        <f ca="1">IF(KENKO[[#This Row],[//]]="","",IF(INDEX([2]!NOTA[HARGA/ CTN],KENKO[[#This Row],[//]]-2)="",INDEX([2]!NOTA[HARGA SATUAN],KENKO[//]-2),INDEX([2]!NOTA[HARGA/ CTN],KENKO[[#This Row],[//]]-2)))</f>
        <v>2208000</v>
      </c>
      <c r="O189" s="7" t="str">
        <f ca="1">IF(KENKO[[#This Row],[//]]="","",IF(INDEX([2]!NOTA[DISC 2],KENKO[[#This Row],[//]]-2)=0,"",INDEX([2]!NOTA[DISC 2],KENKO[[#This Row],[//]]-2)))</f>
        <v/>
      </c>
      <c r="P189" s="7"/>
      <c r="Q189" s="5">
        <f ca="1">IF(KENKO[[#This Row],[//]]="","",INDEX([2]!NOTA[JUMLAH],KENKO[[#This Row],[//]]-2)-IF(ISNUMBER(KENKO[[#This Row],[DISC 1 (%)]]),INDEX([2]!NOTA[JUMLAH],KENKO[[#This Row],[//]]-2)*KENKO[[#This Row],[DISC 1 (%)]],0))</f>
        <v>4416000</v>
      </c>
      <c r="R1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4" t="str">
        <f ca="1">IF(KENKO[[#This Row],[//]]="","",INDEX([2]!NOTA[NAMA BARANG],KENKO[[#This Row],[//]]-2))</f>
        <v>KENKO PENCIL 2B-6191 HIJAU CAP HITAM</v>
      </c>
      <c r="V189" s="4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89" s="6">
        <f ca="1">IF(KENKO[[#This Row],[concat]]="","",MATCH(KENKO[[#This Row],[concat]],[4]!db[NB NOTA_C],0)+1)</f>
        <v>1186</v>
      </c>
      <c r="X189" s="4" t="str">
        <f ca="1">IF(KENKO[[#This Row],[N.B.nota]]="","",ADDRESS(ROW(KENKO[QB]),COLUMN(KENKO[QB]))&amp;":"&amp;ADDRESS(ROW(),COLUMN(KENKO[QB])))</f>
        <v>$D$3:$D$189</v>
      </c>
      <c r="Y189" s="13" t="str">
        <f ca="1">IF(KENKO[[#This Row],[//]]="","",HYPERLINK("[..\\DB.xlsx]DB!e"&amp;KENKO[[#This Row],[stt]],"&gt;"))</f>
        <v>&gt;</v>
      </c>
      <c r="Z189" s="4">
        <f ca="1">IF(KENKO[[#This Row],[//]]="","",IF(KENKO[[#This Row],[ID NOTA]]="",Z181,KENKO[[#This Row],[ID NOTA]]))</f>
        <v>115</v>
      </c>
    </row>
    <row r="190" spans="1:26" ht="15" customHeight="1" x14ac:dyDescent="0.25">
      <c r="A190" s="4"/>
      <c r="B190" s="6" t="str">
        <f>IF(KENKO[[#This Row],[N_ID]]="","",INDEX(Table1[ID],MATCH(KENKO[[#This Row],[N_ID]],Table1[N_ID],0)))</f>
        <v/>
      </c>
      <c r="C190" s="6" t="str">
        <f>IF(KENKO[[#This Row],[ID NOTA]]="","",HYPERLINK("[NOTA_.xlsx]NOTA!e"&amp;INDEX([2]!PAJAK[//],MATCH(KENKO[[#This Row],[ID NOTA]],[2]!PAJAK[ID],0)),"&gt;") )</f>
        <v/>
      </c>
      <c r="D190" s="6" t="str">
        <f>IF(KENKO[[#This Row],[ID NOTA]]="","",INDEX(Table1[QB],MATCH(KENKO[[#This Row],[ID NOTA]],Table1[ID],0)))</f>
        <v/>
      </c>
      <c r="E19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685</v>
      </c>
      <c r="F190" s="6"/>
      <c r="G190" s="3" t="str">
        <f>IF(KENKO[[#This Row],[ID NOTA]]="","",INDEX([2]!NOTA[TGL_H],MATCH(KENKO[[#This Row],[ID NOTA]],[2]!NOTA[ID],0)))</f>
        <v/>
      </c>
      <c r="H190" s="3" t="str">
        <f>IF(KENKO[[#This Row],[ID NOTA]]="","",INDEX([2]!NOTA[TGL.NOTA],MATCH(KENKO[[#This Row],[ID NOTA]],[2]!NOTA[ID],0)))</f>
        <v/>
      </c>
      <c r="I190" s="18" t="str">
        <f>IF(KENKO[[#This Row],[ID NOTA]]="","",INDEX([2]!NOTA[NO.NOTA],MATCH(KENKO[[#This Row],[ID NOTA]],[2]!NOTA[ID],0)))</f>
        <v/>
      </c>
      <c r="J190" s="4" t="str">
        <f ca="1">IF(KENKO[[#This Row],[//]]="","",INDEX([4]!db[NB PAJAK],KENKO[[#This Row],[stt]]-1))</f>
        <v>PENSIL KENKO 2B-3181 TRIANGULAR  HITAM CAP MERAH</v>
      </c>
      <c r="K190" s="6" t="str">
        <f>""</f>
        <v/>
      </c>
      <c r="L190" s="6">
        <f ca="1">IF(KENKO[[#This Row],[//]]="","",IF(INDEX([2]!NOTA[QTY],KENKO[//]-2)="",INDEX([2]!NOTA[C],KENKO[//]-2),INDEX([2]!NOTA[QTY],KENKO[//]-2)))</f>
        <v>1</v>
      </c>
      <c r="M190" s="6" t="str">
        <f ca="1">IF(KENKO[[#This Row],[//]]="","",IF(INDEX([2]!NOTA[STN],KENKO[//]-2)="","CTN",INDEX([2]!NOTA[STN],KENKO[//]-2)))</f>
        <v>CTN</v>
      </c>
      <c r="N190" s="5">
        <f ca="1">IF(KENKO[[#This Row],[//]]="","",IF(INDEX([2]!NOTA[HARGA/ CTN],KENKO[[#This Row],[//]]-2)="",INDEX([2]!NOTA[HARGA SATUAN],KENKO[//]-2),INDEX([2]!NOTA[HARGA/ CTN],KENKO[[#This Row],[//]]-2)))</f>
        <v>2112000</v>
      </c>
      <c r="O190" s="7" t="str">
        <f ca="1">IF(KENKO[[#This Row],[//]]="","",IF(INDEX([2]!NOTA[DISC 2],KENKO[[#This Row],[//]]-2)=0,"",INDEX([2]!NOTA[DISC 2],KENKO[[#This Row],[//]]-2)))</f>
        <v/>
      </c>
      <c r="P190" s="7"/>
      <c r="Q190" s="5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190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7599408.0000000009</v>
      </c>
      <c r="S190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37102992</v>
      </c>
      <c r="T1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4" t="str">
        <f ca="1">IF(KENKO[[#This Row],[//]]="","",INDEX([2]!NOTA[NAMA BARANG],KENKO[[#This Row],[//]]-2))</f>
        <v>KENKO PENCIL 2B-3181 HITAM CAP MERAH</v>
      </c>
      <c r="V190" s="4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90" s="6">
        <f ca="1">IF(KENKO[[#This Row],[concat]]="","",MATCH(KENKO[[#This Row],[concat]],[4]!db[NB NOTA_C],0)+1)</f>
        <v>1183</v>
      </c>
      <c r="X190" s="4" t="str">
        <f ca="1">IF(KENKO[[#This Row],[N.B.nota]]="","",ADDRESS(ROW(KENKO[QB]),COLUMN(KENKO[QB]))&amp;":"&amp;ADDRESS(ROW(),COLUMN(KENKO[QB])))</f>
        <v>$D$3:$D$190</v>
      </c>
      <c r="Y190" s="13" t="str">
        <f ca="1">IF(KENKO[[#This Row],[//]]="","",HYPERLINK("[..\\DB.xlsx]DB!e"&amp;KENKO[[#This Row],[stt]],"&gt;"))</f>
        <v>&gt;</v>
      </c>
      <c r="Z190" s="4">
        <f ca="1">IF(KENKO[[#This Row],[//]]="","",IF(KENKO[[#This Row],[ID NOTA]]="",Z181,KENKO[[#This Row],[ID NOTA]]))</f>
        <v>115</v>
      </c>
    </row>
    <row r="191" spans="1:26" ht="15" customHeight="1" x14ac:dyDescent="0.25">
      <c r="A191" s="4"/>
      <c r="B191" s="6" t="str">
        <f>IF(KENKO[[#This Row],[N_ID]]="","",INDEX(Table1[ID],MATCH(KENKO[[#This Row],[N_ID]],Table1[N_ID],0)))</f>
        <v/>
      </c>
      <c r="C191" s="6" t="str">
        <f>IF(KENKO[[#This Row],[ID NOTA]]="","",HYPERLINK("[NOTA_.xlsx]NOTA!e"&amp;INDEX([2]!PAJAK[//],MATCH(KENKO[[#This Row],[ID NOTA]],[2]!PAJAK[ID],0)),"&gt;") )</f>
        <v/>
      </c>
      <c r="D191" s="6" t="str">
        <f>IF(KENKO[[#This Row],[ID NOTA]]="","",INDEX(Table1[QB],MATCH(KENKO[[#This Row],[ID NOTA]],Table1[ID],0)))</f>
        <v/>
      </c>
      <c r="E19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1" s="6"/>
      <c r="G191" s="3" t="str">
        <f>IF(KENKO[[#This Row],[ID NOTA]]="","",INDEX([2]!NOTA[TGL_H],MATCH(KENKO[[#This Row],[ID NOTA]],[2]!NOTA[ID],0)))</f>
        <v/>
      </c>
      <c r="H191" s="3" t="str">
        <f>IF(KENKO[[#This Row],[ID NOTA]]="","",INDEX([2]!NOTA[TGL.NOTA],MATCH(KENKO[[#This Row],[ID NOTA]],[2]!NOTA[ID],0)))</f>
        <v/>
      </c>
      <c r="I191" s="18" t="str">
        <f>IF(KENKO[[#This Row],[ID NOTA]]="","",INDEX([2]!NOTA[NO.NOTA],MATCH(KENKO[[#This Row],[ID NOTA]],[2]!NOTA[ID],0)))</f>
        <v/>
      </c>
      <c r="J191" s="4" t="str">
        <f ca="1">IF(KENKO[[#This Row],[//]]="","",INDEX([4]!db[NB PAJAK],KENKO[[#This Row],[stt]]-1))</f>
        <v/>
      </c>
      <c r="K191" s="6" t="str">
        <f>""</f>
        <v/>
      </c>
      <c r="L191" s="6" t="str">
        <f ca="1">IF(KENKO[[#This Row],[//]]="","",IF(INDEX([2]!NOTA[QTY],KENKO[//]-2)="",INDEX([2]!NOTA[C],KENKO[//]-2),INDEX([2]!NOTA[QTY],KENKO[//]-2)))</f>
        <v/>
      </c>
      <c r="M191" s="6" t="str">
        <f ca="1">IF(KENKO[[#This Row],[//]]="","",IF(INDEX([2]!NOTA[STN],KENKO[//]-2)="","CTN",INDEX([2]!NOTA[STN],KENKO[//]-2)))</f>
        <v/>
      </c>
      <c r="N191" s="5" t="str">
        <f ca="1">IF(KENKO[[#This Row],[//]]="","",IF(INDEX([2]!NOTA[HARGA/ CTN],KENKO[[#This Row],[//]]-2)="",INDEX([2]!NOTA[HARGA SATUAN],KENKO[//]-2),INDEX([2]!NOTA[HARGA/ CTN],KENKO[[#This Row],[//]]-2)))</f>
        <v/>
      </c>
      <c r="O191" s="7" t="str">
        <f ca="1">IF(KENKO[[#This Row],[//]]="","",IF(INDEX([2]!NOTA[DISC 2],KENKO[[#This Row],[//]]-2)=0,"",INDEX([2]!NOTA[DISC 2],KENKO[[#This Row],[//]]-2)))</f>
        <v/>
      </c>
      <c r="P191" s="7"/>
      <c r="Q19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4" t="str">
        <f ca="1">IF(KENKO[[#This Row],[//]]="","",INDEX([2]!NOTA[NAMA BARANG],KENKO[[#This Row],[//]]-2))</f>
        <v/>
      </c>
      <c r="V191" s="4" t="str">
        <f ca="1">LOWER(SUBSTITUTE(SUBSTITUTE(SUBSTITUTE(SUBSTITUTE(SUBSTITUTE(SUBSTITUTE(SUBSTITUTE(SUBSTITUTE(KENKO[[#This Row],[N.B.nota]]," ",""),"-",""),"(",""),")",""),".",""),",",""),"/",""),"""",""))</f>
        <v/>
      </c>
      <c r="W191" s="6" t="str">
        <f ca="1">IF(KENKO[[#This Row],[concat]]="","",MATCH(KENKO[[#This Row],[concat]],[4]!db[NB NOTA_C],0)+1)</f>
        <v/>
      </c>
      <c r="X191" s="4" t="str">
        <f ca="1">IF(KENKO[[#This Row],[N.B.nota]]="","",ADDRESS(ROW(KENKO[QB]),COLUMN(KENKO[QB]))&amp;":"&amp;ADDRESS(ROW(),COLUMN(KENKO[QB])))</f>
        <v/>
      </c>
      <c r="Y191" s="13" t="str">
        <f ca="1">IF(KENKO[[#This Row],[//]]="","",HYPERLINK("[..\\DB.xlsx]DB!e"&amp;KENKO[[#This Row],[stt]],"&gt;"))</f>
        <v/>
      </c>
      <c r="Z191" s="4" t="str">
        <f ca="1">IF(KENKO[[#This Row],[//]]="","",IF(KENKO[[#This Row],[ID NOTA]]="",Z181,KENKO[[#This Row],[ID NOTA]]))</f>
        <v/>
      </c>
    </row>
    <row r="192" spans="1:26" ht="15" customHeight="1" x14ac:dyDescent="0.25">
      <c r="A192" s="4" t="s">
        <v>107</v>
      </c>
      <c r="B192" s="6">
        <f ca="1">IF(KENKO[[#This Row],[N_ID]]="","",INDEX(Table1[ID],MATCH(KENKO[[#This Row],[N_ID]],Table1[N_ID],0)))</f>
        <v>116</v>
      </c>
      <c r="C192" s="6" t="str">
        <f ca="1">IF(KENKO[[#This Row],[ID NOTA]]="","",HYPERLINK("[NOTA_.xlsx]NOTA!e"&amp;INDEX([2]!PAJAK[//],MATCH(KENKO[[#This Row],[ID NOTA]],[2]!PAJAK[ID],0)),"&gt;") )</f>
        <v>&gt;</v>
      </c>
      <c r="D192" s="6">
        <f ca="1">IF(KENKO[[#This Row],[ID NOTA]]="","",INDEX(Table1[QB],MATCH(KENKO[[#This Row],[ID NOTA]],Table1[ID],0)))</f>
        <v>4</v>
      </c>
      <c r="E19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687</v>
      </c>
      <c r="F192" s="6">
        <v>26</v>
      </c>
      <c r="G192" s="3">
        <f ca="1">IF(KENKO[[#This Row],[ID NOTA]]="","",INDEX([2]!NOTA[TGL_H],MATCH(KENKO[[#This Row],[ID NOTA]],[2]!NOTA[ID],0)))</f>
        <v>44830</v>
      </c>
      <c r="H192" s="3">
        <f ca="1">IF(KENKO[[#This Row],[ID NOTA]]="","",INDEX([2]!NOTA[TGL.NOTA],MATCH(KENKO[[#This Row],[ID NOTA]],[2]!NOTA[ID],0)))</f>
        <v>44826</v>
      </c>
      <c r="I192" s="18" t="str">
        <f ca="1">IF(KENKO[[#This Row],[ID NOTA]]="","",INDEX([2]!NOTA[NO.NOTA],MATCH(KENKO[[#This Row],[ID NOTA]],[2]!NOTA[ID],0)))</f>
        <v>22091796</v>
      </c>
      <c r="J192" s="4" t="str">
        <f ca="1">IF(KENKO[[#This Row],[//]]="","",INDEX([4]!db[NB PAJAK],KENKO[[#This Row],[stt]]-1))</f>
        <v>GEL PEN KENKO KE-303 T-GEL TRIANGULAR HITAM</v>
      </c>
      <c r="K192" s="6" t="str">
        <f>""</f>
        <v/>
      </c>
      <c r="L192" s="6">
        <f ca="1">IF(KENKO[[#This Row],[//]]="","",IF(INDEX([2]!NOTA[QTY],KENKO[//]-2)="",INDEX([2]!NOTA[C],KENKO[//]-2),INDEX([2]!NOTA[QTY],KENKO[//]-2)))</f>
        <v>2</v>
      </c>
      <c r="M192" s="6" t="str">
        <f ca="1">IF(KENKO[[#This Row],[//]]="","",IF(INDEX([2]!NOTA[STN],KENKO[//]-2)="","CTN",INDEX([2]!NOTA[STN],KENKO[//]-2)))</f>
        <v>CTN</v>
      </c>
      <c r="N192" s="5">
        <f ca="1">IF(KENKO[[#This Row],[//]]="","",IF(INDEX([2]!NOTA[HARGA/ CTN],KENKO[[#This Row],[//]]-2)="",INDEX([2]!NOTA[HARGA SATUAN],KENKO[//]-2),INDEX([2]!NOTA[HARGA/ CTN],KENKO[[#This Row],[//]]-2)))</f>
        <v>3110400</v>
      </c>
      <c r="O192" s="7" t="str">
        <f ca="1">IF(KENKO[[#This Row],[//]]="","",IF(INDEX([2]!NOTA[DISC 2],KENKO[[#This Row],[//]]-2)=0,"",INDEX([2]!NOTA[DISC 2],KENKO[[#This Row],[//]]-2)))</f>
        <v/>
      </c>
      <c r="P192" s="7"/>
      <c r="Q192" s="5">
        <f ca="1">IF(KENKO[[#This Row],[//]]="","",INDEX([2]!NOTA[JUMLAH],KENKO[[#This Row],[//]]-2)-IF(ISNUMBER(KENKO[[#This Row],[DISC 1 (%)]]),INDEX([2]!NOTA[JUMLAH],KENKO[[#This Row],[//]]-2)*KENKO[[#This Row],[DISC 1 (%)]],0))</f>
        <v>6220800</v>
      </c>
      <c r="R1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4" t="str">
        <f ca="1">IF(KENKO[[#This Row],[//]]="","",INDEX([2]!NOTA[NAMA BARANG],KENKO[[#This Row],[//]]-2))</f>
        <v>KENKO GEL PEN KE-303 T-GEL TRIANGULAR BLACK</v>
      </c>
      <c r="V192" s="4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92" s="6">
        <f ca="1">IF(KENKO[[#This Row],[concat]]="","",MATCH(KENKO[[#This Row],[concat]],[4]!db[NB NOTA_C],0)+1)</f>
        <v>1122</v>
      </c>
      <c r="X192" s="4" t="str">
        <f ca="1">IF(KENKO[[#This Row],[N.B.nota]]="","",ADDRESS(ROW(KENKO[QB]),COLUMN(KENKO[QB]))&amp;":"&amp;ADDRESS(ROW(),COLUMN(KENKO[QB])))</f>
        <v>$D$3:$D$192</v>
      </c>
      <c r="Y192" s="13" t="str">
        <f ca="1">IF(KENKO[[#This Row],[//]]="","",HYPERLINK("[..\\DB.xlsx]DB!e"&amp;KENKO[[#This Row],[stt]],"&gt;"))</f>
        <v>&gt;</v>
      </c>
      <c r="Z192" s="4">
        <f ca="1">IF(KENKO[[#This Row],[//]]="","",IF(KENKO[[#This Row],[ID NOTA]]="",Z181,KENKO[[#This Row],[ID NOTA]]))</f>
        <v>116</v>
      </c>
    </row>
    <row r="193" spans="1:26" ht="15" customHeight="1" x14ac:dyDescent="0.25">
      <c r="A193" s="4"/>
      <c r="B193" s="6" t="str">
        <f>IF(KENKO[[#This Row],[N_ID]]="","",INDEX(Table1[ID],MATCH(KENKO[[#This Row],[N_ID]],Table1[N_ID],0)))</f>
        <v/>
      </c>
      <c r="C193" s="6" t="str">
        <f>IF(KENKO[[#This Row],[ID NOTA]]="","",HYPERLINK("[NOTA_.xlsx]NOTA!e"&amp;INDEX([2]!PAJAK[//],MATCH(KENKO[[#This Row],[ID NOTA]],[2]!PAJAK[ID],0)),"&gt;") )</f>
        <v/>
      </c>
      <c r="D193" s="6" t="str">
        <f>IF(KENKO[[#This Row],[ID NOTA]]="","",INDEX(Table1[QB],MATCH(KENKO[[#This Row],[ID NOTA]],Table1[ID],0)))</f>
        <v/>
      </c>
      <c r="E19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688</v>
      </c>
      <c r="F193" s="6"/>
      <c r="G193" s="3" t="str">
        <f>IF(KENKO[[#This Row],[ID NOTA]]="","",INDEX([2]!NOTA[TGL_H],MATCH(KENKO[[#This Row],[ID NOTA]],[2]!NOTA[ID],0)))</f>
        <v/>
      </c>
      <c r="H193" s="3" t="str">
        <f>IF(KENKO[[#This Row],[ID NOTA]]="","",INDEX([2]!NOTA[TGL.NOTA],MATCH(KENKO[[#This Row],[ID NOTA]],[2]!NOTA[ID],0)))</f>
        <v/>
      </c>
      <c r="I193" s="18" t="str">
        <f>IF(KENKO[[#This Row],[ID NOTA]]="","",INDEX([2]!NOTA[NO.NOTA],MATCH(KENKO[[#This Row],[ID NOTA]],[2]!NOTA[ID],0)))</f>
        <v/>
      </c>
      <c r="J193" s="4" t="str">
        <f ca="1">IF(KENKO[[#This Row],[//]]="","",INDEX([4]!db[NB PAJAK],KENKO[[#This Row],[stt]]-1))</f>
        <v>TAPE DISPENSER KENKO TD-323 (1" &amp; 3" CORE)</v>
      </c>
      <c r="K193" s="6" t="str">
        <f>""</f>
        <v/>
      </c>
      <c r="L193" s="6">
        <f ca="1">IF(KENKO[[#This Row],[//]]="","",IF(INDEX([2]!NOTA[QTY],KENKO[//]-2)="",INDEX([2]!NOTA[C],KENKO[//]-2),INDEX([2]!NOTA[QTY],KENKO[//]-2)))</f>
        <v>5</v>
      </c>
      <c r="M193" s="6" t="str">
        <f ca="1">IF(KENKO[[#This Row],[//]]="","",IF(INDEX([2]!NOTA[STN],KENKO[//]-2)="","CTN",INDEX([2]!NOTA[STN],KENKO[//]-2)))</f>
        <v>CTN</v>
      </c>
      <c r="N193" s="5">
        <f ca="1">IF(KENKO[[#This Row],[//]]="","",IF(INDEX([2]!NOTA[HARGA/ CTN],KENKO[[#This Row],[//]]-2)="",INDEX([2]!NOTA[HARGA SATUAN],KENKO[//]-2),INDEX([2]!NOTA[HARGA/ CTN],KENKO[[#This Row],[//]]-2)))</f>
        <v>462000</v>
      </c>
      <c r="O193" s="7" t="str">
        <f ca="1">IF(KENKO[[#This Row],[//]]="","",IF(INDEX([2]!NOTA[DISC 2],KENKO[[#This Row],[//]]-2)=0,"",INDEX([2]!NOTA[DISC 2],KENKO[[#This Row],[//]]-2)))</f>
        <v/>
      </c>
      <c r="P193" s="7"/>
      <c r="Q193" s="5">
        <f ca="1">IF(KENKO[[#This Row],[//]]="","",INDEX([2]!NOTA[JUMLAH],KENKO[[#This Row],[//]]-2)-IF(ISNUMBER(KENKO[[#This Row],[DISC 1 (%)]]),INDEX([2]!NOTA[JUMLAH],KENKO[[#This Row],[//]]-2)*KENKO[[#This Row],[DISC 1 (%)]],0))</f>
        <v>2310000</v>
      </c>
      <c r="R1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4" t="str">
        <f ca="1">IF(KENKO[[#This Row],[//]]="","",INDEX([2]!NOTA[NAMA BARANG],KENKO[[#This Row],[//]]-2))</f>
        <v>KENKO TAPE DISPENSER TD-323 (1" &amp; 3 " CORE)</v>
      </c>
      <c r="V193" s="4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93" s="6">
        <f ca="1">IF(KENKO[[#This Row],[concat]]="","",MATCH(KENKO[[#This Row],[concat]],[4]!db[NB NOTA_C],0)+1)</f>
        <v>1255</v>
      </c>
      <c r="X193" s="4" t="str">
        <f ca="1">IF(KENKO[[#This Row],[N.B.nota]]="","",ADDRESS(ROW(KENKO[QB]),COLUMN(KENKO[QB]))&amp;":"&amp;ADDRESS(ROW(),COLUMN(KENKO[QB])))</f>
        <v>$D$3:$D$193</v>
      </c>
      <c r="Y193" s="13" t="str">
        <f ca="1">IF(KENKO[[#This Row],[//]]="","",HYPERLINK("[..\\DB.xlsx]DB!e"&amp;KENKO[[#This Row],[stt]],"&gt;"))</f>
        <v>&gt;</v>
      </c>
      <c r="Z193" s="4">
        <f ca="1">IF(KENKO[[#This Row],[//]]="","",IF(KENKO[[#This Row],[ID NOTA]]="",Z192,KENKO[[#This Row],[ID NOTA]]))</f>
        <v>116</v>
      </c>
    </row>
    <row r="194" spans="1:26" ht="15" customHeight="1" x14ac:dyDescent="0.25">
      <c r="A194" s="4"/>
      <c r="B194" s="6" t="str">
        <f>IF(KENKO[[#This Row],[N_ID]]="","",INDEX(Table1[ID],MATCH(KENKO[[#This Row],[N_ID]],Table1[N_ID],0)))</f>
        <v/>
      </c>
      <c r="C194" s="6" t="str">
        <f>IF(KENKO[[#This Row],[ID NOTA]]="","",HYPERLINK("[NOTA_.xlsx]NOTA!e"&amp;INDEX([2]!PAJAK[//],MATCH(KENKO[[#This Row],[ID NOTA]],[2]!PAJAK[ID],0)),"&gt;") )</f>
        <v/>
      </c>
      <c r="D194" s="6" t="str">
        <f>IF(KENKO[[#This Row],[ID NOTA]]="","",INDEX(Table1[QB],MATCH(KENKO[[#This Row],[ID NOTA]],Table1[ID],0)))</f>
        <v/>
      </c>
      <c r="E19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689</v>
      </c>
      <c r="F194" s="6"/>
      <c r="G194" s="3" t="str">
        <f>IF(KENKO[[#This Row],[ID NOTA]]="","",INDEX([2]!NOTA[TGL_H],MATCH(KENKO[[#This Row],[ID NOTA]],[2]!NOTA[ID],0)))</f>
        <v/>
      </c>
      <c r="H194" s="3" t="str">
        <f>IF(KENKO[[#This Row],[ID NOTA]]="","",INDEX([2]!NOTA[TGL.NOTA],MATCH(KENKO[[#This Row],[ID NOTA]],[2]!NOTA[ID],0)))</f>
        <v/>
      </c>
      <c r="I194" s="18" t="str">
        <f>IF(KENKO[[#This Row],[ID NOTA]]="","",INDEX([2]!NOTA[NO.NOTA],MATCH(KENKO[[#This Row],[ID NOTA]],[2]!NOTA[ID],0)))</f>
        <v/>
      </c>
      <c r="J194" s="4" t="str">
        <f ca="1">IF(KENKO[[#This Row],[//]]="","",INDEX([4]!db[NB PAJAK],KENKO[[#This Row],[stt]]-1))</f>
        <v>TAPE DISPENSER KENKO TD-503 (3" CORE)</v>
      </c>
      <c r="K194" s="6" t="str">
        <f>""</f>
        <v/>
      </c>
      <c r="L194" s="6">
        <f ca="1">IF(KENKO[[#This Row],[//]]="","",IF(INDEX([2]!NOTA[QTY],KENKO[//]-2)="",INDEX([2]!NOTA[C],KENKO[//]-2),INDEX([2]!NOTA[QTY],KENKO[//]-2)))</f>
        <v>1</v>
      </c>
      <c r="M194" s="6" t="str">
        <f ca="1">IF(KENKO[[#This Row],[//]]="","",IF(INDEX([2]!NOTA[STN],KENKO[//]-2)="","CTN",INDEX([2]!NOTA[STN],KENKO[//]-2)))</f>
        <v>CTN</v>
      </c>
      <c r="N194" s="5">
        <f ca="1">IF(KENKO[[#This Row],[//]]="","",IF(INDEX([2]!NOTA[HARGA/ CTN],KENKO[[#This Row],[//]]-2)="",INDEX([2]!NOTA[HARGA SATUAN],KENKO[//]-2),INDEX([2]!NOTA[HARGA/ CTN],KENKO[[#This Row],[//]]-2)))</f>
        <v>342000</v>
      </c>
      <c r="O194" s="7" t="str">
        <f ca="1">IF(KENKO[[#This Row],[//]]="","",IF(INDEX([2]!NOTA[DISC 2],KENKO[[#This Row],[//]]-2)=0,"",INDEX([2]!NOTA[DISC 2],KENKO[[#This Row],[//]]-2)))</f>
        <v/>
      </c>
      <c r="P194" s="7"/>
      <c r="Q194" s="5">
        <f ca="1">IF(KENKO[[#This Row],[//]]="","",INDEX([2]!NOTA[JUMLAH],KENKO[[#This Row],[//]]-2)-IF(ISNUMBER(KENKO[[#This Row],[DISC 1 (%)]]),INDEX([2]!NOTA[JUMLAH],KENKO[[#This Row],[//]]-2)*KENKO[[#This Row],[DISC 1 (%)]],0))</f>
        <v>342000</v>
      </c>
      <c r="R1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4" t="str">
        <f ca="1">IF(KENKO[[#This Row],[//]]="","",INDEX([2]!NOTA[NAMA BARANG],KENKO[[#This Row],[//]]-2))</f>
        <v>KENKO TAPE DISPENSER TD-503 (3" CORE)</v>
      </c>
      <c r="V194" s="4" t="str">
        <f ca="1">LOWER(SUBSTITUTE(SUBSTITUTE(SUBSTITUTE(SUBSTITUTE(SUBSTITUTE(SUBSTITUTE(SUBSTITUTE(SUBSTITUTE(KENKO[[#This Row],[N.B.nota]]," ",""),"-",""),"(",""),")",""),".",""),",",""),"/",""),"""",""))</f>
        <v>kenkotapedispensertd5033core</v>
      </c>
      <c r="W194" s="6">
        <f ca="1">IF(KENKO[[#This Row],[concat]]="","",MATCH(KENKO[[#This Row],[concat]],[4]!db[NB NOTA_C],0)+1)</f>
        <v>1258</v>
      </c>
      <c r="X194" s="4" t="str">
        <f ca="1">IF(KENKO[[#This Row],[N.B.nota]]="","",ADDRESS(ROW(KENKO[QB]),COLUMN(KENKO[QB]))&amp;":"&amp;ADDRESS(ROW(),COLUMN(KENKO[QB])))</f>
        <v>$D$3:$D$194</v>
      </c>
      <c r="Y194" s="13" t="str">
        <f ca="1">IF(KENKO[[#This Row],[//]]="","",HYPERLINK("[..\\DB.xlsx]DB!e"&amp;KENKO[[#This Row],[stt]],"&gt;"))</f>
        <v>&gt;</v>
      </c>
      <c r="Z194" s="4">
        <f ca="1">IF(KENKO[[#This Row],[//]]="","",IF(KENKO[[#This Row],[ID NOTA]]="",Z192,KENKO[[#This Row],[ID NOTA]]))</f>
        <v>116</v>
      </c>
    </row>
    <row r="195" spans="1:26" ht="15" customHeight="1" x14ac:dyDescent="0.25">
      <c r="A195" s="4"/>
      <c r="B195" s="6" t="str">
        <f>IF(KENKO[[#This Row],[N_ID]]="","",INDEX(Table1[ID],MATCH(KENKO[[#This Row],[N_ID]],Table1[N_ID],0)))</f>
        <v/>
      </c>
      <c r="C195" s="6" t="str">
        <f>IF(KENKO[[#This Row],[ID NOTA]]="","",HYPERLINK("[NOTA_.xlsx]NOTA!e"&amp;INDEX([2]!PAJAK[//],MATCH(KENKO[[#This Row],[ID NOTA]],[2]!PAJAK[ID],0)),"&gt;") )</f>
        <v/>
      </c>
      <c r="D195" s="6" t="str">
        <f>IF(KENKO[[#This Row],[ID NOTA]]="","",INDEX(Table1[QB],MATCH(KENKO[[#This Row],[ID NOTA]],Table1[ID],0)))</f>
        <v/>
      </c>
      <c r="E19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690</v>
      </c>
      <c r="F195" s="6"/>
      <c r="G195" s="3" t="str">
        <f>IF(KENKO[[#This Row],[ID NOTA]]="","",INDEX([2]!NOTA[TGL_H],MATCH(KENKO[[#This Row],[ID NOTA]],[2]!NOTA[ID],0)))</f>
        <v/>
      </c>
      <c r="H195" s="3" t="str">
        <f>IF(KENKO[[#This Row],[ID NOTA]]="","",INDEX([2]!NOTA[TGL.NOTA],MATCH(KENKO[[#This Row],[ID NOTA]],[2]!NOTA[ID],0)))</f>
        <v/>
      </c>
      <c r="I195" s="18" t="str">
        <f>IF(KENKO[[#This Row],[ID NOTA]]="","",INDEX([2]!NOTA[NO.NOTA],MATCH(KENKO[[#This Row],[ID NOTA]],[2]!NOTA[ID],0)))</f>
        <v/>
      </c>
      <c r="J195" s="4" t="str">
        <f ca="1">IF(KENKO[[#This Row],[//]]="","",INDEX([4]!db[NB PAJAK],KENKO[[#This Row],[stt]]-1))</f>
        <v>ISI CUTTER 18 MM KENKO L-150 (BESAR)</v>
      </c>
      <c r="K195" s="6" t="str">
        <f>""</f>
        <v/>
      </c>
      <c r="L195" s="6">
        <f ca="1">IF(KENKO[[#This Row],[//]]="","",IF(INDEX([2]!NOTA[QTY],KENKO[//]-2)="",INDEX([2]!NOTA[C],KENKO[//]-2),INDEX([2]!NOTA[QTY],KENKO[//]-2)))</f>
        <v>3</v>
      </c>
      <c r="M195" s="6" t="str">
        <f ca="1">IF(KENKO[[#This Row],[//]]="","",IF(INDEX([2]!NOTA[STN],KENKO[//]-2)="","CTN",INDEX([2]!NOTA[STN],KENKO[//]-2)))</f>
        <v>CTN</v>
      </c>
      <c r="N195" s="5">
        <f ca="1">IF(KENKO[[#This Row],[//]]="","",IF(INDEX([2]!NOTA[HARGA/ CTN],KENKO[[#This Row],[//]]-2)="",INDEX([2]!NOTA[HARGA SATUAN],KENKO[//]-2),INDEX([2]!NOTA[HARGA/ CTN],KENKO[[#This Row],[//]]-2)))</f>
        <v>3888000</v>
      </c>
      <c r="O195" s="7" t="str">
        <f ca="1">IF(KENKO[[#This Row],[//]]="","",IF(INDEX([2]!NOTA[DISC 2],KENKO[[#This Row],[//]]-2)=0,"",INDEX([2]!NOTA[DISC 2],KENKO[[#This Row],[//]]-2)))</f>
        <v/>
      </c>
      <c r="P195" s="7"/>
      <c r="Q195" s="5">
        <f ca="1">IF(KENKO[[#This Row],[//]]="","",INDEX([2]!NOTA[JUMLAH],KENKO[[#This Row],[//]]-2)-IF(ISNUMBER(KENKO[[#This Row],[DISC 1 (%)]]),INDEX([2]!NOTA[JUMLAH],KENKO[[#This Row],[//]]-2)*KENKO[[#This Row],[DISC 1 (%)]],0))</f>
        <v>11664000</v>
      </c>
      <c r="R195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3491256.0000000005</v>
      </c>
      <c r="S195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17045544</v>
      </c>
      <c r="T1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4" t="str">
        <f ca="1">IF(KENKO[[#This Row],[//]]="","",INDEX([2]!NOTA[NAMA BARANG],KENKO[[#This Row],[//]]-2))</f>
        <v>KENKO CUTTER BLADE L-150 (18MM)</v>
      </c>
      <c r="V195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95" s="6">
        <f ca="1">IF(KENKO[[#This Row],[concat]]="","",MATCH(KENKO[[#This Row],[concat]],[4]!db[NB NOTA_C],0)+1)</f>
        <v>1084</v>
      </c>
      <c r="X195" s="4" t="str">
        <f ca="1">IF(KENKO[[#This Row],[N.B.nota]]="","",ADDRESS(ROW(KENKO[QB]),COLUMN(KENKO[QB]))&amp;":"&amp;ADDRESS(ROW(),COLUMN(KENKO[QB])))</f>
        <v>$D$3:$D$195</v>
      </c>
      <c r="Y195" s="13" t="str">
        <f ca="1">IF(KENKO[[#This Row],[//]]="","",HYPERLINK("[..\\DB.xlsx]DB!e"&amp;KENKO[[#This Row],[stt]],"&gt;"))</f>
        <v>&gt;</v>
      </c>
      <c r="Z195" s="4">
        <f ca="1">IF(KENKO[[#This Row],[//]]="","",IF(KENKO[[#This Row],[ID NOTA]]="",Z192,KENKO[[#This Row],[ID NOTA]]))</f>
        <v>116</v>
      </c>
    </row>
    <row r="196" spans="1:26" ht="15" customHeight="1" x14ac:dyDescent="0.25">
      <c r="A196" s="4"/>
      <c r="B196" s="6" t="str">
        <f>IF(KENKO[[#This Row],[N_ID]]="","",INDEX(Table1[ID],MATCH(KENKO[[#This Row],[N_ID]],Table1[N_ID],0)))</f>
        <v/>
      </c>
      <c r="C196" s="6" t="str">
        <f>IF(KENKO[[#This Row],[ID NOTA]]="","",HYPERLINK("[NOTA_.xlsx]NOTA!e"&amp;INDEX([2]!PAJAK[//],MATCH(KENKO[[#This Row],[ID NOTA]],[2]!PAJAK[ID],0)),"&gt;") )</f>
        <v/>
      </c>
      <c r="D196" s="6" t="str">
        <f>IF(KENKO[[#This Row],[ID NOTA]]="","",INDEX(Table1[QB],MATCH(KENKO[[#This Row],[ID NOTA]],Table1[ID],0)))</f>
        <v/>
      </c>
      <c r="E19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6" s="6"/>
      <c r="G196" s="3" t="str">
        <f>IF(KENKO[[#This Row],[ID NOTA]]="","",INDEX([2]!NOTA[TGL_H],MATCH(KENKO[[#This Row],[ID NOTA]],[2]!NOTA[ID],0)))</f>
        <v/>
      </c>
      <c r="H196" s="3" t="str">
        <f>IF(KENKO[[#This Row],[ID NOTA]]="","",INDEX([2]!NOTA[TGL.NOTA],MATCH(KENKO[[#This Row],[ID NOTA]],[2]!NOTA[ID],0)))</f>
        <v/>
      </c>
      <c r="I196" s="18" t="str">
        <f>IF(KENKO[[#This Row],[ID NOTA]]="","",INDEX([2]!NOTA[NO.NOTA],MATCH(KENKO[[#This Row],[ID NOTA]],[2]!NOTA[ID],0)))</f>
        <v/>
      </c>
      <c r="J196" s="4" t="str">
        <f ca="1">IF(KENKO[[#This Row],[//]]="","",INDEX([4]!db[NB PAJAK],KENKO[[#This Row],[stt]]-1))</f>
        <v/>
      </c>
      <c r="K196" s="6" t="str">
        <f>""</f>
        <v/>
      </c>
      <c r="L196" s="6" t="str">
        <f ca="1">IF(KENKO[[#This Row],[//]]="","",IF(INDEX([2]!NOTA[QTY],KENKO[//]-2)="",INDEX([2]!NOTA[C],KENKO[//]-2),INDEX([2]!NOTA[QTY],KENKO[//]-2)))</f>
        <v/>
      </c>
      <c r="M196" s="6" t="str">
        <f ca="1">IF(KENKO[[#This Row],[//]]="","",IF(INDEX([2]!NOTA[STN],KENKO[//]-2)="","CTN",INDEX([2]!NOTA[STN],KENKO[//]-2)))</f>
        <v/>
      </c>
      <c r="N196" s="5" t="str">
        <f ca="1">IF(KENKO[[#This Row],[//]]="","",IF(INDEX([2]!NOTA[HARGA/ CTN],KENKO[[#This Row],[//]]-2)="",INDEX([2]!NOTA[HARGA SATUAN],KENKO[//]-2),INDEX([2]!NOTA[HARGA/ CTN],KENKO[[#This Row],[//]]-2)))</f>
        <v/>
      </c>
      <c r="O196" s="7" t="str">
        <f ca="1">IF(KENKO[[#This Row],[//]]="","",IF(INDEX([2]!NOTA[DISC 2],KENKO[[#This Row],[//]]-2)=0,"",INDEX([2]!NOTA[DISC 2],KENKO[[#This Row],[//]]-2)))</f>
        <v/>
      </c>
      <c r="P196" s="7"/>
      <c r="Q19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4" t="str">
        <f ca="1">IF(KENKO[[#This Row],[//]]="","",INDEX([2]!NOTA[NAMA BARANG],KENKO[[#This Row],[//]]-2))</f>
        <v/>
      </c>
      <c r="V196" s="4" t="str">
        <f ca="1">LOWER(SUBSTITUTE(SUBSTITUTE(SUBSTITUTE(SUBSTITUTE(SUBSTITUTE(SUBSTITUTE(SUBSTITUTE(SUBSTITUTE(KENKO[[#This Row],[N.B.nota]]," ",""),"-",""),"(",""),")",""),".",""),",",""),"/",""),"""",""))</f>
        <v/>
      </c>
      <c r="W196" s="6" t="str">
        <f ca="1">IF(KENKO[[#This Row],[concat]]="","",MATCH(KENKO[[#This Row],[concat]],[4]!db[NB NOTA_C],0)+1)</f>
        <v/>
      </c>
      <c r="X196" s="4" t="str">
        <f ca="1">IF(KENKO[[#This Row],[N.B.nota]]="","",ADDRESS(ROW(KENKO[QB]),COLUMN(KENKO[QB]))&amp;":"&amp;ADDRESS(ROW(),COLUMN(KENKO[QB])))</f>
        <v/>
      </c>
      <c r="Y196" s="13" t="str">
        <f ca="1">IF(KENKO[[#This Row],[//]]="","",HYPERLINK("[..\\DB.xlsx]DB!e"&amp;KENKO[[#This Row],[stt]],"&gt;"))</f>
        <v/>
      </c>
      <c r="Z196" s="4" t="str">
        <f ca="1">IF(KENKO[[#This Row],[//]]="","",IF(KENKO[[#This Row],[ID NOTA]]="",Z192,KENKO[[#This Row],[ID NOTA]]))</f>
        <v/>
      </c>
    </row>
    <row r="197" spans="1:26" ht="15" customHeight="1" x14ac:dyDescent="0.25">
      <c r="A197" s="4" t="s">
        <v>108</v>
      </c>
      <c r="B197" s="6">
        <f ca="1">IF(KENKO[[#This Row],[N_ID]]="","",INDEX(Table1[ID],MATCH(KENKO[[#This Row],[N_ID]],Table1[N_ID],0)))</f>
        <v>125</v>
      </c>
      <c r="C197" s="6" t="str">
        <f ca="1">IF(KENKO[[#This Row],[ID NOTA]]="","",HYPERLINK("[NOTA_.xlsx]NOTA!e"&amp;INDEX([2]!PAJAK[//],MATCH(KENKO[[#This Row],[ID NOTA]],[2]!PAJAK[ID],0)),"&gt;") )</f>
        <v>&gt;</v>
      </c>
      <c r="D197" s="6">
        <f ca="1">IF(KENKO[[#This Row],[ID NOTA]]="","",INDEX(Table1[QB],MATCH(KENKO[[#This Row],[ID NOTA]],Table1[ID],0)))</f>
        <v>3</v>
      </c>
      <c r="E19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744</v>
      </c>
      <c r="F197" s="6">
        <v>27</v>
      </c>
      <c r="G197" s="3">
        <f ca="1">IF(KENKO[[#This Row],[ID NOTA]]="","",INDEX([2]!NOTA[TGL_H],MATCH(KENKO[[#This Row],[ID NOTA]],[2]!NOTA[ID],0)))</f>
        <v>44831</v>
      </c>
      <c r="H197" s="3">
        <f ca="1">IF(KENKO[[#This Row],[ID NOTA]]="","",INDEX([2]!NOTA[TGL.NOTA],MATCH(KENKO[[#This Row],[ID NOTA]],[2]!NOTA[ID],0)))</f>
        <v>44827</v>
      </c>
      <c r="I197" s="18" t="str">
        <f ca="1">IF(KENKO[[#This Row],[ID NOTA]]="","",INDEX([2]!NOTA[NO.NOTA],MATCH(KENKO[[#This Row],[ID NOTA]],[2]!NOTA[ID],0)))</f>
        <v>22091890</v>
      </c>
      <c r="J197" s="4" t="str">
        <f ca="1">IF(KENKO[[#This Row],[//]]="","",INDEX([4]!db[NB PAJAK],KENKO[[#This Row],[stt]]-1))</f>
        <v>POCKET NOTE SPIRAL KENKO PN-403</v>
      </c>
      <c r="K197" s="6" t="str">
        <f>""</f>
        <v/>
      </c>
      <c r="L197" s="6">
        <f ca="1">IF(KENKO[[#This Row],[//]]="","",IF(INDEX([2]!NOTA[QTY],KENKO[//]-2)="",INDEX([2]!NOTA[C],KENKO[//]-2),INDEX([2]!NOTA[QTY],KENKO[//]-2)))</f>
        <v>1</v>
      </c>
      <c r="M197" s="6" t="str">
        <f ca="1">IF(KENKO[[#This Row],[//]]="","",IF(INDEX([2]!NOTA[STN],KENKO[//]-2)="","CTN",INDEX([2]!NOTA[STN],KENKO[//]-2)))</f>
        <v>CTN</v>
      </c>
      <c r="N197" s="5">
        <f ca="1">IF(KENKO[[#This Row],[//]]="","",IF(INDEX([2]!NOTA[HARGA/ CTN],KENKO[[#This Row],[//]]-2)="",INDEX([2]!NOTA[HARGA SATUAN],KENKO[//]-2),INDEX([2]!NOTA[HARGA/ CTN],KENKO[[#This Row],[//]]-2)))</f>
        <v>741600</v>
      </c>
      <c r="O197" s="7" t="str">
        <f ca="1">IF(KENKO[[#This Row],[//]]="","",IF(INDEX([2]!NOTA[DISC 2],KENKO[[#This Row],[//]]-2)=0,"",INDEX([2]!NOTA[DISC 2],KENKO[[#This Row],[//]]-2)))</f>
        <v/>
      </c>
      <c r="P197" s="7"/>
      <c r="Q197" s="5">
        <f ca="1">IF(KENKO[[#This Row],[//]]="","",INDEX([2]!NOTA[JUMLAH],KENKO[[#This Row],[//]]-2)-IF(ISNUMBER(KENKO[[#This Row],[DISC 1 (%)]]),INDEX([2]!NOTA[JUMLAH],KENKO[[#This Row],[//]]-2)*KENKO[[#This Row],[DISC 1 (%)]],0))</f>
        <v>741600</v>
      </c>
      <c r="R1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4" t="str">
        <f ca="1">IF(KENKO[[#This Row],[//]]="","",INDEX([2]!NOTA[NAMA BARANG],KENKO[[#This Row],[//]]-2))</f>
        <v>KENKO POCKET NOTE PN-403</v>
      </c>
      <c r="V197" s="4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197" s="6">
        <f ca="1">IF(KENKO[[#This Row],[concat]]="","",MATCH(KENKO[[#This Row],[concat]],[4]!db[NB NOTA_C],0)+1)</f>
        <v>1199</v>
      </c>
      <c r="X197" s="4" t="str">
        <f ca="1">IF(KENKO[[#This Row],[N.B.nota]]="","",ADDRESS(ROW(KENKO[QB]),COLUMN(KENKO[QB]))&amp;":"&amp;ADDRESS(ROW(),COLUMN(KENKO[QB])))</f>
        <v>$D$3:$D$197</v>
      </c>
      <c r="Y197" s="13" t="str">
        <f ca="1">IF(KENKO[[#This Row],[//]]="","",HYPERLINK("[..\\DB.xlsx]DB!e"&amp;KENKO[[#This Row],[stt]],"&gt;"))</f>
        <v>&gt;</v>
      </c>
      <c r="Z197" s="4">
        <f ca="1">IF(KENKO[[#This Row],[//]]="","",IF(KENKO[[#This Row],[ID NOTA]]="",Z192,KENKO[[#This Row],[ID NOTA]]))</f>
        <v>125</v>
      </c>
    </row>
    <row r="198" spans="1:26" ht="15" customHeight="1" x14ac:dyDescent="0.25">
      <c r="A198" s="4"/>
      <c r="B198" s="6" t="str">
        <f>IF(KENKO[[#This Row],[N_ID]]="","",INDEX(Table1[ID],MATCH(KENKO[[#This Row],[N_ID]],Table1[N_ID],0)))</f>
        <v/>
      </c>
      <c r="C198" s="6" t="str">
        <f>IF(KENKO[[#This Row],[ID NOTA]]="","",HYPERLINK("[NOTA_.xlsx]NOTA!e"&amp;INDEX([2]!PAJAK[//],MATCH(KENKO[[#This Row],[ID NOTA]],[2]!PAJAK[ID],0)),"&gt;") )</f>
        <v/>
      </c>
      <c r="D198" s="6" t="str">
        <f>IF(KENKO[[#This Row],[ID NOTA]]="","",INDEX(Table1[QB],MATCH(KENKO[[#This Row],[ID NOTA]],Table1[ID],0)))</f>
        <v/>
      </c>
      <c r="E19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745</v>
      </c>
      <c r="F198" s="6"/>
      <c r="G198" s="3" t="str">
        <f>IF(KENKO[[#This Row],[ID NOTA]]="","",INDEX([2]!NOTA[TGL_H],MATCH(KENKO[[#This Row],[ID NOTA]],[2]!NOTA[ID],0)))</f>
        <v/>
      </c>
      <c r="H198" s="3" t="str">
        <f>IF(KENKO[[#This Row],[ID NOTA]]="","",INDEX([2]!NOTA[TGL.NOTA],MATCH(KENKO[[#This Row],[ID NOTA]],[2]!NOTA[ID],0)))</f>
        <v/>
      </c>
      <c r="I198" s="18" t="str">
        <f>IF(KENKO[[#This Row],[ID NOTA]]="","",INDEX([2]!NOTA[NO.NOTA],MATCH(KENKO[[#This Row],[ID NOTA]],[2]!NOTA[ID],0)))</f>
        <v/>
      </c>
      <c r="J198" s="4" t="str">
        <f ca="1">IF(KENKO[[#This Row],[//]]="","",INDEX([4]!db[NB PAJAK],KENKO[[#This Row],[stt]]-1))</f>
        <v>PAPER CLIP WARNA KENKO 3100</v>
      </c>
      <c r="K198" s="6" t="str">
        <f>""</f>
        <v/>
      </c>
      <c r="L198" s="6">
        <f ca="1">IF(KENKO[[#This Row],[//]]="","",IF(INDEX([2]!NOTA[QTY],KENKO[//]-2)="",INDEX([2]!NOTA[C],KENKO[//]-2),INDEX([2]!NOTA[QTY],KENKO[//]-2)))</f>
        <v>2</v>
      </c>
      <c r="M198" s="6" t="str">
        <f ca="1">IF(KENKO[[#This Row],[//]]="","",IF(INDEX([2]!NOTA[STN],KENKO[//]-2)="","CTN",INDEX([2]!NOTA[STN],KENKO[//]-2)))</f>
        <v>CTN</v>
      </c>
      <c r="N198" s="5">
        <f ca="1">IF(KENKO[[#This Row],[//]]="","",IF(INDEX([2]!NOTA[HARGA/ CTN],KENKO[[#This Row],[//]]-2)="",INDEX([2]!NOTA[HARGA SATUAN],KENKO[//]-2),INDEX([2]!NOTA[HARGA/ CTN],KENKO[[#This Row],[//]]-2)))</f>
        <v>1987200</v>
      </c>
      <c r="O198" s="7" t="str">
        <f ca="1">IF(KENKO[[#This Row],[//]]="","",IF(INDEX([2]!NOTA[DISC 2],KENKO[[#This Row],[//]]-2)=0,"",INDEX([2]!NOTA[DISC 2],KENKO[[#This Row],[//]]-2)))</f>
        <v/>
      </c>
      <c r="P198" s="7"/>
      <c r="Q198" s="5">
        <f ca="1">IF(KENKO[[#This Row],[//]]="","",INDEX([2]!NOTA[JUMLAH],KENKO[[#This Row],[//]]-2)-IF(ISNUMBER(KENKO[[#This Row],[DISC 1 (%)]]),INDEX([2]!NOTA[JUMLAH],KENKO[[#This Row],[//]]-2)*KENKO[[#This Row],[DISC 1 (%)]],0))</f>
        <v>3974400</v>
      </c>
      <c r="R1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4" t="str">
        <f ca="1">IF(KENKO[[#This Row],[//]]="","",INDEX([2]!NOTA[NAMA BARANG],KENKO[[#This Row],[//]]-2))</f>
        <v>KENKO COLOR CLIP 3100</v>
      </c>
      <c r="V198" s="4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198" s="6">
        <f ca="1">IF(KENKO[[#This Row],[concat]]="","",MATCH(KENKO[[#This Row],[concat]],[4]!db[NB NOTA_C],0)+1)</f>
        <v>1043</v>
      </c>
      <c r="X198" s="4" t="str">
        <f ca="1">IF(KENKO[[#This Row],[N.B.nota]]="","",ADDRESS(ROW(KENKO[QB]),COLUMN(KENKO[QB]))&amp;":"&amp;ADDRESS(ROW(),COLUMN(KENKO[QB])))</f>
        <v>$D$3:$D$198</v>
      </c>
      <c r="Y198" s="13" t="str">
        <f ca="1">IF(KENKO[[#This Row],[//]]="","",HYPERLINK("[..\\DB.xlsx]DB!e"&amp;KENKO[[#This Row],[stt]],"&gt;"))</f>
        <v>&gt;</v>
      </c>
      <c r="Z198" s="4">
        <f ca="1">IF(KENKO[[#This Row],[//]]="","",IF(KENKO[[#This Row],[ID NOTA]]="",Z197,KENKO[[#This Row],[ID NOTA]]))</f>
        <v>125</v>
      </c>
    </row>
    <row r="199" spans="1:26" ht="15" customHeight="1" x14ac:dyDescent="0.25">
      <c r="A199" s="4"/>
      <c r="B199" s="6" t="str">
        <f>IF(KENKO[[#This Row],[N_ID]]="","",INDEX(Table1[ID],MATCH(KENKO[[#This Row],[N_ID]],Table1[N_ID],0)))</f>
        <v/>
      </c>
      <c r="C199" s="6" t="str">
        <f>IF(KENKO[[#This Row],[ID NOTA]]="","",HYPERLINK("[NOTA_.xlsx]NOTA!e"&amp;INDEX([2]!PAJAK[//],MATCH(KENKO[[#This Row],[ID NOTA]],[2]!PAJAK[ID],0)),"&gt;") )</f>
        <v/>
      </c>
      <c r="D199" s="6" t="str">
        <f>IF(KENKO[[#This Row],[ID NOTA]]="","",INDEX(Table1[QB],MATCH(KENKO[[#This Row],[ID NOTA]],Table1[ID],0)))</f>
        <v/>
      </c>
      <c r="E19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746</v>
      </c>
      <c r="F199" s="6"/>
      <c r="G199" s="3" t="str">
        <f>IF(KENKO[[#This Row],[ID NOTA]]="","",INDEX([2]!NOTA[TGL_H],MATCH(KENKO[[#This Row],[ID NOTA]],[2]!NOTA[ID],0)))</f>
        <v/>
      </c>
      <c r="H199" s="3" t="str">
        <f>IF(KENKO[[#This Row],[ID NOTA]]="","",INDEX([2]!NOTA[TGL.NOTA],MATCH(KENKO[[#This Row],[ID NOTA]],[2]!NOTA[ID],0)))</f>
        <v/>
      </c>
      <c r="I199" s="18" t="str">
        <f>IF(KENKO[[#This Row],[ID NOTA]]="","",INDEX([2]!NOTA[NO.NOTA],MATCH(KENKO[[#This Row],[ID NOTA]],[2]!NOTA[ID],0)))</f>
        <v/>
      </c>
      <c r="J199" s="4" t="str">
        <f ca="1">IF(KENKO[[#This Row],[//]]="","",INDEX([4]!db[NB PAJAK],KENKO[[#This Row],[stt]]-1))</f>
        <v>GEL PEN KENKO HI-TECH-H 0.28 MM HITAM</v>
      </c>
      <c r="K199" s="6" t="str">
        <f>""</f>
        <v/>
      </c>
      <c r="L199" s="6">
        <f ca="1">IF(KENKO[[#This Row],[//]]="","",IF(INDEX([2]!NOTA[QTY],KENKO[//]-2)="",INDEX([2]!NOTA[C],KENKO[//]-2),INDEX([2]!NOTA[QTY],KENKO[//]-2)))</f>
        <v>10</v>
      </c>
      <c r="M199" s="6" t="str">
        <f ca="1">IF(KENKO[[#This Row],[//]]="","",IF(INDEX([2]!NOTA[STN],KENKO[//]-2)="","CTN",INDEX([2]!NOTA[STN],KENKO[//]-2)))</f>
        <v>CTN</v>
      </c>
      <c r="N199" s="5">
        <f ca="1">IF(KENKO[[#This Row],[//]]="","",IF(INDEX([2]!NOTA[HARGA/ CTN],KENKO[[#This Row],[//]]-2)="",INDEX([2]!NOTA[HARGA SATUAN],KENKO[//]-2),INDEX([2]!NOTA[HARGA/ CTN],KENKO[[#This Row],[//]]-2)))</f>
        <v>5616000</v>
      </c>
      <c r="O199" s="7" t="str">
        <f ca="1">IF(KENKO[[#This Row],[//]]="","",IF(INDEX([2]!NOTA[DISC 2],KENKO[[#This Row],[//]]-2)=0,"",INDEX([2]!NOTA[DISC 2],KENKO[[#This Row],[//]]-2)))</f>
        <v/>
      </c>
      <c r="P199" s="7"/>
      <c r="Q199" s="5">
        <f ca="1">IF(KENKO[[#This Row],[//]]="","",INDEX([2]!NOTA[JUMLAH],KENKO[[#This Row],[//]]-2)-IF(ISNUMBER(KENKO[[#This Row],[DISC 1 (%)]]),INDEX([2]!NOTA[JUMLAH],KENKO[[#This Row],[//]]-2)*KENKO[[#This Row],[DISC 1 (%)]],0))</f>
        <v>56160000</v>
      </c>
      <c r="R199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10348920</v>
      </c>
      <c r="S199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50527080</v>
      </c>
      <c r="T1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4" t="str">
        <f ca="1">IF(KENKO[[#This Row],[//]]="","",INDEX([2]!NOTA[NAMA BARANG],KENKO[[#This Row],[//]]-2))</f>
        <v>KENKO GEL PEN HI-TECH-H 0.28MM BLACK</v>
      </c>
      <c r="V199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99" s="6">
        <f ca="1">IF(KENKO[[#This Row],[concat]]="","",MATCH(KENKO[[#This Row],[concat]],[4]!db[NB NOTA_C],0)+1)</f>
        <v>1103</v>
      </c>
      <c r="X199" s="4" t="str">
        <f ca="1">IF(KENKO[[#This Row],[N.B.nota]]="","",ADDRESS(ROW(KENKO[QB]),COLUMN(KENKO[QB]))&amp;":"&amp;ADDRESS(ROW(),COLUMN(KENKO[QB])))</f>
        <v>$D$3:$D$199</v>
      </c>
      <c r="Y199" s="13" t="str">
        <f ca="1">IF(KENKO[[#This Row],[//]]="","",HYPERLINK("[..\\DB.xlsx]DB!e"&amp;KENKO[[#This Row],[stt]],"&gt;"))</f>
        <v>&gt;</v>
      </c>
      <c r="Z199" s="4">
        <f ca="1">IF(KENKO[[#This Row],[//]]="","",IF(KENKO[[#This Row],[ID NOTA]]="",Z198,KENKO[[#This Row],[ID NOTA]]))</f>
        <v>125</v>
      </c>
    </row>
    <row r="200" spans="1:26" ht="15" customHeight="1" x14ac:dyDescent="0.25">
      <c r="A200" s="4"/>
      <c r="B200" s="6" t="str">
        <f>IF(KENKO[[#This Row],[N_ID]]="","",INDEX(Table1[ID],MATCH(KENKO[[#This Row],[N_ID]],Table1[N_ID],0)))</f>
        <v/>
      </c>
      <c r="C200" s="6" t="str">
        <f>IF(KENKO[[#This Row],[ID NOTA]]="","",HYPERLINK("[NOTA_.xlsx]NOTA!e"&amp;INDEX([2]!PAJAK[//],MATCH(KENKO[[#This Row],[ID NOTA]],[2]!PAJAK[ID],0)),"&gt;") )</f>
        <v/>
      </c>
      <c r="D200" s="6" t="str">
        <f>IF(KENKO[[#This Row],[ID NOTA]]="","",INDEX(Table1[QB],MATCH(KENKO[[#This Row],[ID NOTA]],Table1[ID],0)))</f>
        <v/>
      </c>
      <c r="E20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0" s="6"/>
      <c r="G200" s="3" t="str">
        <f>IF(KENKO[[#This Row],[ID NOTA]]="","",INDEX([2]!NOTA[TGL_H],MATCH(KENKO[[#This Row],[ID NOTA]],[2]!NOTA[ID],0)))</f>
        <v/>
      </c>
      <c r="H200" s="3" t="str">
        <f>IF(KENKO[[#This Row],[ID NOTA]]="","",INDEX([2]!NOTA[TGL.NOTA],MATCH(KENKO[[#This Row],[ID NOTA]],[2]!NOTA[ID],0)))</f>
        <v/>
      </c>
      <c r="I200" s="18" t="str">
        <f>IF(KENKO[[#This Row],[ID NOTA]]="","",INDEX([2]!NOTA[NO.NOTA],MATCH(KENKO[[#This Row],[ID NOTA]],[2]!NOTA[ID],0)))</f>
        <v/>
      </c>
      <c r="J200" s="4" t="str">
        <f ca="1">IF(KENKO[[#This Row],[//]]="","",INDEX([4]!db[NB PAJAK],KENKO[[#This Row],[stt]]-1))</f>
        <v/>
      </c>
      <c r="K200" s="6" t="str">
        <f>""</f>
        <v/>
      </c>
      <c r="L200" s="6" t="str">
        <f ca="1">IF(KENKO[[#This Row],[//]]="","",IF(INDEX([2]!NOTA[QTY],KENKO[//]-2)="",INDEX([2]!NOTA[C],KENKO[//]-2),INDEX([2]!NOTA[QTY],KENKO[//]-2)))</f>
        <v/>
      </c>
      <c r="M200" s="6" t="str">
        <f ca="1">IF(KENKO[[#This Row],[//]]="","",IF(INDEX([2]!NOTA[STN],KENKO[//]-2)="","CTN",INDEX([2]!NOTA[STN],KENKO[//]-2)))</f>
        <v/>
      </c>
      <c r="N200" s="5" t="str">
        <f ca="1">IF(KENKO[[#This Row],[//]]="","",IF(INDEX([2]!NOTA[HARGA/ CTN],KENKO[[#This Row],[//]]-2)="",INDEX([2]!NOTA[HARGA SATUAN],KENKO[//]-2),INDEX([2]!NOTA[HARGA/ CTN],KENKO[[#This Row],[//]]-2)))</f>
        <v/>
      </c>
      <c r="O200" s="7" t="str">
        <f ca="1">IF(KENKO[[#This Row],[//]]="","",IF(INDEX([2]!NOTA[DISC 2],KENKO[[#This Row],[//]]-2)=0,"",INDEX([2]!NOTA[DISC 2],KENKO[[#This Row],[//]]-2)))</f>
        <v/>
      </c>
      <c r="P200" s="7"/>
      <c r="Q20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4" t="str">
        <f ca="1">IF(KENKO[[#This Row],[//]]="","",INDEX([2]!NOTA[NAMA BARANG],KENKO[[#This Row],[//]]-2))</f>
        <v/>
      </c>
      <c r="V200" s="4" t="str">
        <f ca="1">LOWER(SUBSTITUTE(SUBSTITUTE(SUBSTITUTE(SUBSTITUTE(SUBSTITUTE(SUBSTITUTE(SUBSTITUTE(SUBSTITUTE(KENKO[[#This Row],[N.B.nota]]," ",""),"-",""),"(",""),")",""),".",""),",",""),"/",""),"""",""))</f>
        <v/>
      </c>
      <c r="W200" s="6" t="str">
        <f ca="1">IF(KENKO[[#This Row],[concat]]="","",MATCH(KENKO[[#This Row],[concat]],[4]!db[NB NOTA_C],0)+1)</f>
        <v/>
      </c>
      <c r="X200" s="4" t="str">
        <f ca="1">IF(KENKO[[#This Row],[N.B.nota]]="","",ADDRESS(ROW(KENKO[QB]),COLUMN(KENKO[QB]))&amp;":"&amp;ADDRESS(ROW(),COLUMN(KENKO[QB])))</f>
        <v/>
      </c>
      <c r="Y200" s="13" t="str">
        <f ca="1">IF(KENKO[[#This Row],[//]]="","",HYPERLINK("[..\\DB.xlsx]DB!e"&amp;KENKO[[#This Row],[stt]],"&gt;"))</f>
        <v/>
      </c>
      <c r="Z200" s="4" t="str">
        <f ca="1">IF(KENKO[[#This Row],[//]]="","",IF(KENKO[[#This Row],[ID NOTA]]="",Z199,KENKO[[#This Row],[ID NOTA]]))</f>
        <v/>
      </c>
    </row>
    <row r="201" spans="1:26" ht="15" customHeight="1" x14ac:dyDescent="0.25">
      <c r="A201" s="4" t="s">
        <v>123</v>
      </c>
      <c r="B201" s="6">
        <f ca="1">IF(KENKO[[#This Row],[N_ID]]="","",INDEX(Table1[ID],MATCH(KENKO[[#This Row],[N_ID]],Table1[N_ID],0)))</f>
        <v>141</v>
      </c>
      <c r="C201" s="6" t="str">
        <f ca="1">IF(KENKO[[#This Row],[ID NOTA]]="","",HYPERLINK("[NOTA_.xlsx]NOTA!e"&amp;INDEX([2]!PAJAK[//],MATCH(KENKO[[#This Row],[ID NOTA]],[2]!PAJAK[ID],0)),"&gt;") )</f>
        <v>&gt;</v>
      </c>
      <c r="D201" s="6">
        <f ca="1">IF(KENKO[[#This Row],[ID NOTA]]="","",INDEX(Table1[QB],MATCH(KENKO[[#This Row],[ID NOTA]],Table1[ID],0)))</f>
        <v>8</v>
      </c>
      <c r="E20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788</v>
      </c>
      <c r="F201" s="6">
        <v>28</v>
      </c>
      <c r="G201" s="3">
        <f ca="1">IF(KENKO[[#This Row],[ID NOTA]]="","",INDEX([2]!NOTA[TGL_H],MATCH(KENKO[[#This Row],[ID NOTA]],[2]!NOTA[ID],0)))</f>
        <v>44833</v>
      </c>
      <c r="H201" s="3">
        <f ca="1">IF(KENKO[[#This Row],[ID NOTA]]="","",INDEX([2]!NOTA[TGL.NOTA],MATCH(KENKO[[#This Row],[ID NOTA]],[2]!NOTA[ID],0)))</f>
        <v>44828</v>
      </c>
      <c r="I201" s="18" t="str">
        <f ca="1">IF(KENKO[[#This Row],[ID NOTA]]="","",INDEX([2]!NOTA[NO.NOTA],MATCH(KENKO[[#This Row],[ID NOTA]],[2]!NOTA[ID],0)))</f>
        <v>22092001</v>
      </c>
      <c r="J201" s="4" t="str">
        <f ca="1">IF(KENKO[[#This Row],[//]]="","",INDEX([4]!db[NB PAJAK],KENKO[[#This Row],[stt]]-1))</f>
        <v>ASAHAN KENKO SP-71 1 HOLE (isi 12 pc)</v>
      </c>
      <c r="K201" s="6" t="str">
        <f>""</f>
        <v/>
      </c>
      <c r="L201" s="6">
        <f ca="1">IF(KENKO[[#This Row],[//]]="","",IF(INDEX([2]!NOTA[QTY],KENKO[//]-2)="",INDEX([2]!NOTA[C],KENKO[//]-2),INDEX([2]!NOTA[QTY],KENKO[//]-2)))</f>
        <v>1</v>
      </c>
      <c r="M201" s="6" t="str">
        <f ca="1">IF(KENKO[[#This Row],[//]]="","",IF(INDEX([2]!NOTA[STN],KENKO[//]-2)="","CTN",INDEX([2]!NOTA[STN],KENKO[//]-2)))</f>
        <v>CTN</v>
      </c>
      <c r="N201" s="5">
        <f ca="1">IF(KENKO[[#This Row],[//]]="","",IF(INDEX([2]!NOTA[HARGA/ CTN],KENKO[[#This Row],[//]]-2)="",INDEX([2]!NOTA[HARGA SATUAN],KENKO[//]-2),INDEX([2]!NOTA[HARGA/ CTN],KENKO[[#This Row],[//]]-2)))</f>
        <v>1080000</v>
      </c>
      <c r="O201" s="7" t="str">
        <f ca="1">IF(KENKO[[#This Row],[//]]="","",IF(INDEX([2]!NOTA[DISC 2],KENKO[[#This Row],[//]]-2)=0,"",INDEX([2]!NOTA[DISC 2],KENKO[[#This Row],[//]]-2)))</f>
        <v/>
      </c>
      <c r="P201" s="7"/>
      <c r="Q201" s="5">
        <f ca="1">IF(KENKO[[#This Row],[//]]="","",INDEX([2]!NOTA[JUMLAH],KENKO[[#This Row],[//]]-2)-IF(ISNUMBER(KENKO[[#This Row],[DISC 1 (%)]]),INDEX([2]!NOTA[JUMLAH],KENKO[[#This Row],[//]]-2)*KENKO[[#This Row],[DISC 1 (%)]],0))</f>
        <v>1080000</v>
      </c>
      <c r="R2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4" t="str">
        <f ca="1">IF(KENKO[[#This Row],[//]]="","",INDEX([2]!NOTA[NAMA BARANG],KENKO[[#This Row],[//]]-2))</f>
        <v>KENKO SHARPENER SP-71 (1 HOLE, 12 PCS/ BOX)</v>
      </c>
      <c r="V201" s="4" t="str">
        <f ca="1">LOWER(SUBSTITUTE(SUBSTITUTE(SUBSTITUTE(SUBSTITUTE(SUBSTITUTE(SUBSTITUTE(SUBSTITUTE(SUBSTITUTE(KENKO[[#This Row],[N.B.nota]]," ",""),"-",""),"(",""),")",""),".",""),",",""),"/",""),"""",""))</f>
        <v>kenkosharpenersp711hole12pcsbox</v>
      </c>
      <c r="W201" s="6">
        <f ca="1">IF(KENKO[[#This Row],[concat]]="","",MATCH(KENKO[[#This Row],[concat]],[4]!db[NB NOTA_C],0)+1)</f>
        <v>1222</v>
      </c>
      <c r="X201" s="4" t="str">
        <f ca="1">IF(KENKO[[#This Row],[N.B.nota]]="","",ADDRESS(ROW(KENKO[QB]),COLUMN(KENKO[QB]))&amp;":"&amp;ADDRESS(ROW(),COLUMN(KENKO[QB])))</f>
        <v>$D$3:$D$201</v>
      </c>
      <c r="Y201" s="13" t="str">
        <f ca="1">IF(KENKO[[#This Row],[//]]="","",HYPERLINK("[..\\DB.xlsx]DB!e"&amp;KENKO[[#This Row],[stt]],"&gt;"))</f>
        <v>&gt;</v>
      </c>
      <c r="Z201" s="4">
        <f ca="1">IF(KENKO[[#This Row],[//]]="","",IF(KENKO[[#This Row],[ID NOTA]]="",Z200,KENKO[[#This Row],[ID NOTA]]))</f>
        <v>141</v>
      </c>
    </row>
    <row r="202" spans="1:26" ht="15" customHeight="1" x14ac:dyDescent="0.25">
      <c r="A202" s="4"/>
      <c r="B202" s="6" t="str">
        <f>IF(KENKO[[#This Row],[N_ID]]="","",INDEX(Table1[ID],MATCH(KENKO[[#This Row],[N_ID]],Table1[N_ID],0)))</f>
        <v/>
      </c>
      <c r="C202" s="6" t="str">
        <f>IF(KENKO[[#This Row],[ID NOTA]]="","",HYPERLINK("[NOTA_.xlsx]NOTA!e"&amp;INDEX([2]!PAJAK[//],MATCH(KENKO[[#This Row],[ID NOTA]],[2]!PAJAK[ID],0)),"&gt;") )</f>
        <v/>
      </c>
      <c r="D202" s="6" t="str">
        <f>IF(KENKO[[#This Row],[ID NOTA]]="","",INDEX(Table1[QB],MATCH(KENKO[[#This Row],[ID NOTA]],Table1[ID],0)))</f>
        <v/>
      </c>
      <c r="E20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789</v>
      </c>
      <c r="F202" s="6"/>
      <c r="G202" s="3" t="str">
        <f>IF(KENKO[[#This Row],[ID NOTA]]="","",INDEX([2]!NOTA[TGL_H],MATCH(KENKO[[#This Row],[ID NOTA]],[2]!NOTA[ID],0)))</f>
        <v/>
      </c>
      <c r="H202" s="3" t="str">
        <f>IF(KENKO[[#This Row],[ID NOTA]]="","",INDEX([2]!NOTA[TGL.NOTA],MATCH(KENKO[[#This Row],[ID NOTA]],[2]!NOTA[ID],0)))</f>
        <v/>
      </c>
      <c r="I202" s="18" t="str">
        <f>IF(KENKO[[#This Row],[ID NOTA]]="","",INDEX([2]!NOTA[NO.NOTA],MATCH(KENKO[[#This Row],[ID NOTA]],[2]!NOTA[ID],0)))</f>
        <v/>
      </c>
      <c r="J202" s="4" t="str">
        <f ca="1">IF(KENKO[[#This Row],[//]]="","",INDEX([4]!db[NB PAJAK],KENKO[[#This Row],[stt]]-1))</f>
        <v>STIP / PENGHAPUS KENKO ERW-20SQ PUTIH</v>
      </c>
      <c r="K202" s="6" t="str">
        <f>""</f>
        <v/>
      </c>
      <c r="L202" s="6">
        <f ca="1">IF(KENKO[[#This Row],[//]]="","",IF(INDEX([2]!NOTA[QTY],KENKO[//]-2)="",INDEX([2]!NOTA[C],KENKO[//]-2),INDEX([2]!NOTA[QTY],KENKO[//]-2)))</f>
        <v>3</v>
      </c>
      <c r="M202" s="6" t="str">
        <f ca="1">IF(KENKO[[#This Row],[//]]="","",IF(INDEX([2]!NOTA[STN],KENKO[//]-2)="","CTN",INDEX([2]!NOTA[STN],KENKO[//]-2)))</f>
        <v>CTN</v>
      </c>
      <c r="N202" s="5">
        <f ca="1">IF(KENKO[[#This Row],[//]]="","",IF(INDEX([2]!NOTA[HARGA/ CTN],KENKO[[#This Row],[//]]-2)="",INDEX([2]!NOTA[HARGA SATUAN],KENKO[//]-2),INDEX([2]!NOTA[HARGA/ CTN],KENKO[[#This Row],[//]]-2)))</f>
        <v>1500000</v>
      </c>
      <c r="O202" s="7" t="str">
        <f ca="1">IF(KENKO[[#This Row],[//]]="","",IF(INDEX([2]!NOTA[DISC 2],KENKO[[#This Row],[//]]-2)=0,"",INDEX([2]!NOTA[DISC 2],KENKO[[#This Row],[//]]-2)))</f>
        <v/>
      </c>
      <c r="P202" s="7"/>
      <c r="Q202" s="5">
        <f ca="1">IF(KENKO[[#This Row],[//]]="","",INDEX([2]!NOTA[JUMLAH],KENKO[[#This Row],[//]]-2)-IF(ISNUMBER(KENKO[[#This Row],[DISC 1 (%)]]),INDEX([2]!NOTA[JUMLAH],KENKO[[#This Row],[//]]-2)*KENKO[[#This Row],[DISC 1 (%)]],0))</f>
        <v>4500000</v>
      </c>
      <c r="R2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4" t="str">
        <f ca="1">IF(KENKO[[#This Row],[//]]="","",INDEX([2]!NOTA[NAMA BARANG],KENKO[[#This Row],[//]]-2))</f>
        <v>KENKO ERASER ERW-20SQ WHITE</v>
      </c>
      <c r="V202" s="4" t="str">
        <f ca="1">LOWER(SUBSTITUTE(SUBSTITUTE(SUBSTITUTE(SUBSTITUTE(SUBSTITUTE(SUBSTITUTE(SUBSTITUTE(SUBSTITUTE(KENKO[[#This Row],[N.B.nota]]," ",""),"-",""),"(",""),")",""),".",""),",",""),"/",""),"""",""))</f>
        <v>kenkoerasererw20sqwhite</v>
      </c>
      <c r="W202" s="6">
        <f ca="1">IF(KENKO[[#This Row],[concat]]="","",MATCH(KENKO[[#This Row],[concat]],[4]!db[NB NOTA_C],0)+1)</f>
        <v>1263</v>
      </c>
      <c r="X202" s="4" t="str">
        <f ca="1">IF(KENKO[[#This Row],[N.B.nota]]="","",ADDRESS(ROW(KENKO[QB]),COLUMN(KENKO[QB]))&amp;":"&amp;ADDRESS(ROW(),COLUMN(KENKO[QB])))</f>
        <v>$D$3:$D$202</v>
      </c>
      <c r="Y202" s="13" t="str">
        <f ca="1">IF(KENKO[[#This Row],[//]]="","",HYPERLINK("[..\\DB.xlsx]DB!e"&amp;KENKO[[#This Row],[stt]],"&gt;"))</f>
        <v>&gt;</v>
      </c>
      <c r="Z202" s="4">
        <f ca="1">IF(KENKO[[#This Row],[//]]="","",IF(KENKO[[#This Row],[ID NOTA]]="",Z201,KENKO[[#This Row],[ID NOTA]]))</f>
        <v>141</v>
      </c>
    </row>
    <row r="203" spans="1:26" ht="15" customHeight="1" x14ac:dyDescent="0.25">
      <c r="A203" s="4"/>
      <c r="B203" s="6" t="str">
        <f>IF(KENKO[[#This Row],[N_ID]]="","",INDEX(Table1[ID],MATCH(KENKO[[#This Row],[N_ID]],Table1[N_ID],0)))</f>
        <v/>
      </c>
      <c r="C203" s="6" t="str">
        <f>IF(KENKO[[#This Row],[ID NOTA]]="","",HYPERLINK("[NOTA_.xlsx]NOTA!e"&amp;INDEX([2]!PAJAK[//],MATCH(KENKO[[#This Row],[ID NOTA]],[2]!PAJAK[ID],0)),"&gt;") )</f>
        <v/>
      </c>
      <c r="D203" s="6" t="str">
        <f>IF(KENKO[[#This Row],[ID NOTA]]="","",INDEX(Table1[QB],MATCH(KENKO[[#This Row],[ID NOTA]],Table1[ID],0)))</f>
        <v/>
      </c>
      <c r="E20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790</v>
      </c>
      <c r="F203" s="6"/>
      <c r="G203" s="3" t="str">
        <f>IF(KENKO[[#This Row],[ID NOTA]]="","",INDEX([2]!NOTA[TGL_H],MATCH(KENKO[[#This Row],[ID NOTA]],[2]!NOTA[ID],0)))</f>
        <v/>
      </c>
      <c r="H203" s="3" t="str">
        <f>IF(KENKO[[#This Row],[ID NOTA]]="","",INDEX([2]!NOTA[TGL.NOTA],MATCH(KENKO[[#This Row],[ID NOTA]],[2]!NOTA[ID],0)))</f>
        <v/>
      </c>
      <c r="I203" s="18" t="str">
        <f>IF(KENKO[[#This Row],[ID NOTA]]="","",INDEX([2]!NOTA[NO.NOTA],MATCH(KENKO[[#This Row],[ID NOTA]],[2]!NOTA[ID],0)))</f>
        <v/>
      </c>
      <c r="J203" s="4" t="str">
        <f ca="1">IF(KENKO[[#This Row],[//]]="","",INDEX([4]!db[NB PAJAK],KENKO[[#This Row],[stt]]-1))</f>
        <v>STIP / PENGHAPUS KENKO ERB-20SQ HITAM</v>
      </c>
      <c r="K203" s="6" t="str">
        <f>""</f>
        <v/>
      </c>
      <c r="L203" s="6">
        <f ca="1">IF(KENKO[[#This Row],[//]]="","",IF(INDEX([2]!NOTA[QTY],KENKO[//]-2)="",INDEX([2]!NOTA[C],KENKO[//]-2),INDEX([2]!NOTA[QTY],KENKO[//]-2)))</f>
        <v>2</v>
      </c>
      <c r="M203" s="6" t="str">
        <f ca="1">IF(KENKO[[#This Row],[//]]="","",IF(INDEX([2]!NOTA[STN],KENKO[//]-2)="","CTN",INDEX([2]!NOTA[STN],KENKO[//]-2)))</f>
        <v>CTN</v>
      </c>
      <c r="N203" s="5">
        <f ca="1">IF(KENKO[[#This Row],[//]]="","",IF(INDEX([2]!NOTA[HARGA/ CTN],KENKO[[#This Row],[//]]-2)="",INDEX([2]!NOTA[HARGA SATUAN],KENKO[//]-2),INDEX([2]!NOTA[HARGA/ CTN],KENKO[[#This Row],[//]]-2)))</f>
        <v>1500000</v>
      </c>
      <c r="O203" s="7" t="str">
        <f ca="1">IF(KENKO[[#This Row],[//]]="","",IF(INDEX([2]!NOTA[DISC 2],KENKO[[#This Row],[//]]-2)=0,"",INDEX([2]!NOTA[DISC 2],KENKO[[#This Row],[//]]-2)))</f>
        <v/>
      </c>
      <c r="P203" s="7"/>
      <c r="Q203" s="5">
        <f ca="1">IF(KENKO[[#This Row],[//]]="","",INDEX([2]!NOTA[JUMLAH],KENKO[[#This Row],[//]]-2)-IF(ISNUMBER(KENKO[[#This Row],[DISC 1 (%)]]),INDEX([2]!NOTA[JUMLAH],KENKO[[#This Row],[//]]-2)*KENKO[[#This Row],[DISC 1 (%)]],0))</f>
        <v>3000000</v>
      </c>
      <c r="R2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4" t="str">
        <f ca="1">IF(KENKO[[#This Row],[//]]="","",INDEX([2]!NOTA[NAMA BARANG],KENKO[[#This Row],[//]]-2))</f>
        <v>KENKO ERASER ERB-20SQ BLACK</v>
      </c>
      <c r="V203" s="4" t="str">
        <f ca="1">LOWER(SUBSTITUTE(SUBSTITUTE(SUBSTITUTE(SUBSTITUTE(SUBSTITUTE(SUBSTITUTE(SUBSTITUTE(SUBSTITUTE(KENKO[[#This Row],[N.B.nota]]," ",""),"-",""),"(",""),")",""),".",""),",",""),"/",""),"""",""))</f>
        <v>kenkoerasererb20sqblack</v>
      </c>
      <c r="W203" s="6">
        <f ca="1">IF(KENKO[[#This Row],[concat]]="","",MATCH(KENKO[[#This Row],[concat]],[4]!db[NB NOTA_C],0)+1)</f>
        <v>1094</v>
      </c>
      <c r="X203" s="4" t="str">
        <f ca="1">IF(KENKO[[#This Row],[N.B.nota]]="","",ADDRESS(ROW(KENKO[QB]),COLUMN(KENKO[QB]))&amp;":"&amp;ADDRESS(ROW(),COLUMN(KENKO[QB])))</f>
        <v>$D$3:$D$203</v>
      </c>
      <c r="Y203" s="13" t="str">
        <f ca="1">IF(KENKO[[#This Row],[//]]="","",HYPERLINK("[..\\DB.xlsx]DB!e"&amp;KENKO[[#This Row],[stt]],"&gt;"))</f>
        <v>&gt;</v>
      </c>
      <c r="Z203" s="4">
        <f ca="1">IF(KENKO[[#This Row],[//]]="","",IF(KENKO[[#This Row],[ID NOTA]]="",Z201,KENKO[[#This Row],[ID NOTA]]))</f>
        <v>141</v>
      </c>
    </row>
    <row r="204" spans="1:26" ht="15" customHeight="1" x14ac:dyDescent="0.25">
      <c r="A204" s="4"/>
      <c r="B204" s="6" t="str">
        <f>IF(KENKO[[#This Row],[N_ID]]="","",INDEX(Table1[ID],MATCH(KENKO[[#This Row],[N_ID]],Table1[N_ID],0)))</f>
        <v/>
      </c>
      <c r="C204" s="6" t="str">
        <f>IF(KENKO[[#This Row],[ID NOTA]]="","",HYPERLINK("[NOTA_.xlsx]NOTA!e"&amp;INDEX([2]!PAJAK[//],MATCH(KENKO[[#This Row],[ID NOTA]],[2]!PAJAK[ID],0)),"&gt;") )</f>
        <v/>
      </c>
      <c r="D204" s="6" t="str">
        <f>IF(KENKO[[#This Row],[ID NOTA]]="","",INDEX(Table1[QB],MATCH(KENKO[[#This Row],[ID NOTA]],Table1[ID],0)))</f>
        <v/>
      </c>
      <c r="E20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791</v>
      </c>
      <c r="F204" s="6"/>
      <c r="G204" s="3" t="str">
        <f>IF(KENKO[[#This Row],[ID NOTA]]="","",INDEX([2]!NOTA[TGL_H],MATCH(KENKO[[#This Row],[ID NOTA]],[2]!NOTA[ID],0)))</f>
        <v/>
      </c>
      <c r="H204" s="3" t="str">
        <f>IF(KENKO[[#This Row],[ID NOTA]]="","",INDEX([2]!NOTA[TGL.NOTA],MATCH(KENKO[[#This Row],[ID NOTA]],[2]!NOTA[ID],0)))</f>
        <v/>
      </c>
      <c r="I204" s="18" t="str">
        <f>IF(KENKO[[#This Row],[ID NOTA]]="","",INDEX([2]!NOTA[NO.NOTA],MATCH(KENKO[[#This Row],[ID NOTA]],[2]!NOTA[ID],0)))</f>
        <v/>
      </c>
      <c r="J204" s="4" t="str">
        <f ca="1">IF(KENKO[[#This Row],[//]]="","",INDEX([4]!db[NB PAJAK],KENKO[[#This Row],[stt]]-1))</f>
        <v>STIP / PENGHAPUS KENKO ERW-40SQ PUTIH</v>
      </c>
      <c r="K204" s="6" t="str">
        <f>""</f>
        <v/>
      </c>
      <c r="L204" s="6">
        <f ca="1">IF(KENKO[[#This Row],[//]]="","",IF(INDEX([2]!NOTA[QTY],KENKO[//]-2)="",INDEX([2]!NOTA[C],KENKO[//]-2),INDEX([2]!NOTA[QTY],KENKO[//]-2)))</f>
        <v>5</v>
      </c>
      <c r="M204" s="6" t="str">
        <f ca="1">IF(KENKO[[#This Row],[//]]="","",IF(INDEX([2]!NOTA[STN],KENKO[//]-2)="","CTN",INDEX([2]!NOTA[STN],KENKO[//]-2)))</f>
        <v>CTN</v>
      </c>
      <c r="N204" s="5">
        <f ca="1">IF(KENKO[[#This Row],[//]]="","",IF(INDEX([2]!NOTA[HARGA/ CTN],KENKO[[#This Row],[//]]-2)="",INDEX([2]!NOTA[HARGA SATUAN],KENKO[//]-2),INDEX([2]!NOTA[HARGA/ CTN],KENKO[[#This Row],[//]]-2)))</f>
        <v>1375000</v>
      </c>
      <c r="O204" s="7" t="str">
        <f ca="1">IF(KENKO[[#This Row],[//]]="","",IF(INDEX([2]!NOTA[DISC 2],KENKO[[#This Row],[//]]-2)=0,"",INDEX([2]!NOTA[DISC 2],KENKO[[#This Row],[//]]-2)))</f>
        <v/>
      </c>
      <c r="P204" s="7"/>
      <c r="Q204" s="5">
        <f ca="1">IF(KENKO[[#This Row],[//]]="","",INDEX([2]!NOTA[JUMLAH],KENKO[[#This Row],[//]]-2)-IF(ISNUMBER(KENKO[[#This Row],[DISC 1 (%)]]),INDEX([2]!NOTA[JUMLAH],KENKO[[#This Row],[//]]-2)*KENKO[[#This Row],[DISC 1 (%)]],0))</f>
        <v>6875000</v>
      </c>
      <c r="R2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4" t="str">
        <f ca="1">IF(KENKO[[#This Row],[//]]="","",INDEX([2]!NOTA[NAMA BARANG],KENKO[[#This Row],[//]]-2))</f>
        <v>KENKO ERASER ERW-40SQ WHITE</v>
      </c>
      <c r="V204" s="4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204" s="6">
        <f ca="1">IF(KENKO[[#This Row],[concat]]="","",MATCH(KENKO[[#This Row],[concat]],[4]!db[NB NOTA_C],0)+1)</f>
        <v>1096</v>
      </c>
      <c r="X204" s="4" t="str">
        <f ca="1">IF(KENKO[[#This Row],[N.B.nota]]="","",ADDRESS(ROW(KENKO[QB]),COLUMN(KENKO[QB]))&amp;":"&amp;ADDRESS(ROW(),COLUMN(KENKO[QB])))</f>
        <v>$D$3:$D$204</v>
      </c>
      <c r="Y204" s="13" t="str">
        <f ca="1">IF(KENKO[[#This Row],[//]]="","",HYPERLINK("[..\\DB.xlsx]DB!e"&amp;KENKO[[#This Row],[stt]],"&gt;"))</f>
        <v>&gt;</v>
      </c>
      <c r="Z204" s="4">
        <f ca="1">IF(KENKO[[#This Row],[//]]="","",IF(KENKO[[#This Row],[ID NOTA]]="",Z201,KENKO[[#This Row],[ID NOTA]]))</f>
        <v>141</v>
      </c>
    </row>
    <row r="205" spans="1:26" ht="15" customHeight="1" x14ac:dyDescent="0.25">
      <c r="A205" s="4"/>
      <c r="B205" s="6" t="str">
        <f>IF(KENKO[[#This Row],[N_ID]]="","",INDEX(Table1[ID],MATCH(KENKO[[#This Row],[N_ID]],Table1[N_ID],0)))</f>
        <v/>
      </c>
      <c r="C205" s="6" t="str">
        <f>IF(KENKO[[#This Row],[ID NOTA]]="","",HYPERLINK("[NOTA_.xlsx]NOTA!e"&amp;INDEX([2]!PAJAK[//],MATCH(KENKO[[#This Row],[ID NOTA]],[2]!PAJAK[ID],0)),"&gt;") )</f>
        <v/>
      </c>
      <c r="D205" s="6" t="str">
        <f>IF(KENKO[[#This Row],[ID NOTA]]="","",INDEX(Table1[QB],MATCH(KENKO[[#This Row],[ID NOTA]],Table1[ID],0)))</f>
        <v/>
      </c>
      <c r="E20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792</v>
      </c>
      <c r="F205" s="6"/>
      <c r="G205" s="3" t="str">
        <f>IF(KENKO[[#This Row],[ID NOTA]]="","",INDEX([2]!NOTA[TGL_H],MATCH(KENKO[[#This Row],[ID NOTA]],[2]!NOTA[ID],0)))</f>
        <v/>
      </c>
      <c r="H205" s="3" t="str">
        <f>IF(KENKO[[#This Row],[ID NOTA]]="","",INDEX([2]!NOTA[TGL.NOTA],MATCH(KENKO[[#This Row],[ID NOTA]],[2]!NOTA[ID],0)))</f>
        <v/>
      </c>
      <c r="I205" s="18" t="str">
        <f>IF(KENKO[[#This Row],[ID NOTA]]="","",INDEX([2]!NOTA[NO.NOTA],MATCH(KENKO[[#This Row],[ID NOTA]],[2]!NOTA[ID],0)))</f>
        <v/>
      </c>
      <c r="J205" s="4" t="str">
        <f ca="1">IF(KENKO[[#This Row],[//]]="","",INDEX([4]!db[NB PAJAK],KENKO[[#This Row],[stt]]-1))</f>
        <v>STIP / PENGHAPUS KENKO ERB-40SQ HITAM</v>
      </c>
      <c r="K205" s="6" t="str">
        <f>""</f>
        <v/>
      </c>
      <c r="L205" s="6">
        <f ca="1">IF(KENKO[[#This Row],[//]]="","",IF(INDEX([2]!NOTA[QTY],KENKO[//]-2)="",INDEX([2]!NOTA[C],KENKO[//]-2),INDEX([2]!NOTA[QTY],KENKO[//]-2)))</f>
        <v>5</v>
      </c>
      <c r="M205" s="6" t="str">
        <f ca="1">IF(KENKO[[#This Row],[//]]="","",IF(INDEX([2]!NOTA[STN],KENKO[//]-2)="","CTN",INDEX([2]!NOTA[STN],KENKO[//]-2)))</f>
        <v>CTN</v>
      </c>
      <c r="N205" s="5">
        <f ca="1">IF(KENKO[[#This Row],[//]]="","",IF(INDEX([2]!NOTA[HARGA/ CTN],KENKO[[#This Row],[//]]-2)="",INDEX([2]!NOTA[HARGA SATUAN],KENKO[//]-2),INDEX([2]!NOTA[HARGA/ CTN],KENKO[[#This Row],[//]]-2)))</f>
        <v>1375000</v>
      </c>
      <c r="O205" s="7" t="str">
        <f ca="1">IF(KENKO[[#This Row],[//]]="","",IF(INDEX([2]!NOTA[DISC 2],KENKO[[#This Row],[//]]-2)=0,"",INDEX([2]!NOTA[DISC 2],KENKO[[#This Row],[//]]-2)))</f>
        <v/>
      </c>
      <c r="P205" s="7"/>
      <c r="Q205" s="5">
        <f ca="1">IF(KENKO[[#This Row],[//]]="","",INDEX([2]!NOTA[JUMLAH],KENKO[[#This Row],[//]]-2)-IF(ISNUMBER(KENKO[[#This Row],[DISC 1 (%)]]),INDEX([2]!NOTA[JUMLAH],KENKO[[#This Row],[//]]-2)*KENKO[[#This Row],[DISC 1 (%)]],0))</f>
        <v>6875000</v>
      </c>
      <c r="R2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4" t="str">
        <f ca="1">IF(KENKO[[#This Row],[//]]="","",INDEX([2]!NOTA[NAMA BARANG],KENKO[[#This Row],[//]]-2))</f>
        <v>KENKO ERASER ERB-40SQ BLACK</v>
      </c>
      <c r="V205" s="4" t="str">
        <f ca="1">LOWER(SUBSTITUTE(SUBSTITUTE(SUBSTITUTE(SUBSTITUTE(SUBSTITUTE(SUBSTITUTE(SUBSTITUTE(SUBSTITUTE(KENKO[[#This Row],[N.B.nota]]," ",""),"-",""),"(",""),")",""),".",""),",",""),"/",""),"""",""))</f>
        <v>kenkoerasererb40sqblack</v>
      </c>
      <c r="W205" s="6">
        <f ca="1">IF(KENKO[[#This Row],[concat]]="","",MATCH(KENKO[[#This Row],[concat]],[4]!db[NB NOTA_C],0)+1)</f>
        <v>1095</v>
      </c>
      <c r="X205" s="4" t="str">
        <f ca="1">IF(KENKO[[#This Row],[N.B.nota]]="","",ADDRESS(ROW(KENKO[QB]),COLUMN(KENKO[QB]))&amp;":"&amp;ADDRESS(ROW(),COLUMN(KENKO[QB])))</f>
        <v>$D$3:$D$205</v>
      </c>
      <c r="Y205" s="13" t="str">
        <f ca="1">IF(KENKO[[#This Row],[//]]="","",HYPERLINK("[..\\DB.xlsx]DB!e"&amp;KENKO[[#This Row],[stt]],"&gt;"))</f>
        <v>&gt;</v>
      </c>
      <c r="Z205" s="4">
        <f ca="1">IF(KENKO[[#This Row],[//]]="","",IF(KENKO[[#This Row],[ID NOTA]]="",Z201,KENKO[[#This Row],[ID NOTA]]))</f>
        <v>141</v>
      </c>
    </row>
    <row r="206" spans="1:26" ht="15" customHeight="1" x14ac:dyDescent="0.25">
      <c r="A206" s="4"/>
      <c r="B206" s="6" t="str">
        <f>IF(KENKO[[#This Row],[N_ID]]="","",INDEX(Table1[ID],MATCH(KENKO[[#This Row],[N_ID]],Table1[N_ID],0)))</f>
        <v/>
      </c>
      <c r="C206" s="6" t="str">
        <f>IF(KENKO[[#This Row],[ID NOTA]]="","",HYPERLINK("[NOTA_.xlsx]NOTA!e"&amp;INDEX([2]!PAJAK[//],MATCH(KENKO[[#This Row],[ID NOTA]],[2]!PAJAK[ID],0)),"&gt;") )</f>
        <v/>
      </c>
      <c r="D206" s="6" t="str">
        <f>IF(KENKO[[#This Row],[ID NOTA]]="","",INDEX(Table1[QB],MATCH(KENKO[[#This Row],[ID NOTA]],Table1[ID],0)))</f>
        <v/>
      </c>
      <c r="E20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793</v>
      </c>
      <c r="F206" s="6"/>
      <c r="G206" s="3" t="str">
        <f>IF(KENKO[[#This Row],[ID NOTA]]="","",INDEX([2]!NOTA[TGL_H],MATCH(KENKO[[#This Row],[ID NOTA]],[2]!NOTA[ID],0)))</f>
        <v/>
      </c>
      <c r="H206" s="3" t="str">
        <f>IF(KENKO[[#This Row],[ID NOTA]]="","",INDEX([2]!NOTA[TGL.NOTA],MATCH(KENKO[[#This Row],[ID NOTA]],[2]!NOTA[ID],0)))</f>
        <v/>
      </c>
      <c r="I206" s="18" t="str">
        <f>IF(KENKO[[#This Row],[ID NOTA]]="","",INDEX([2]!NOTA[NO.NOTA],MATCH(KENKO[[#This Row],[ID NOTA]],[2]!NOTA[ID],0)))</f>
        <v/>
      </c>
      <c r="J206" s="4" t="str">
        <f ca="1">IF(KENKO[[#This Row],[//]]="","",INDEX([4]!db[NB PAJAK],KENKO[[#This Row],[stt]]-1))</f>
        <v>PENSIL KENKO 2B 0192</v>
      </c>
      <c r="K206" s="6" t="str">
        <f>""</f>
        <v/>
      </c>
      <c r="L206" s="6">
        <f ca="1">IF(KENKO[[#This Row],[//]]="","",IF(INDEX([2]!NOTA[QTY],KENKO[//]-2)="",INDEX([2]!NOTA[C],KENKO[//]-2),INDEX([2]!NOTA[QTY],KENKO[//]-2)))</f>
        <v>1</v>
      </c>
      <c r="M206" s="6" t="str">
        <f ca="1">IF(KENKO[[#This Row],[//]]="","",IF(INDEX([2]!NOTA[STN],KENKO[//]-2)="","CTN",INDEX([2]!NOTA[STN],KENKO[//]-2)))</f>
        <v>CTN</v>
      </c>
      <c r="N206" s="5">
        <f ca="1">IF(KENKO[[#This Row],[//]]="","",IF(INDEX([2]!NOTA[HARGA/ CTN],KENKO[[#This Row],[//]]-2)="",INDEX([2]!NOTA[HARGA SATUAN],KENKO[//]-2),INDEX([2]!NOTA[HARGA/ CTN],KENKO[[#This Row],[//]]-2)))</f>
        <v>2448000</v>
      </c>
      <c r="O206" s="7" t="str">
        <f ca="1">IF(KENKO[[#This Row],[//]]="","",IF(INDEX([2]!NOTA[DISC 2],KENKO[[#This Row],[//]]-2)=0,"",INDEX([2]!NOTA[DISC 2],KENKO[[#This Row],[//]]-2)))</f>
        <v/>
      </c>
      <c r="P206" s="7"/>
      <c r="Q206" s="5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2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4" t="str">
        <f ca="1">IF(KENKO[[#This Row],[//]]="","",INDEX([2]!NOTA[NAMA BARANG],KENKO[[#This Row],[//]]-2))</f>
        <v>KENKO PENCIL 2B-0192</v>
      </c>
      <c r="V206" s="4" t="str">
        <f ca="1">LOWER(SUBSTITUTE(SUBSTITUTE(SUBSTITUTE(SUBSTITUTE(SUBSTITUTE(SUBSTITUTE(SUBSTITUTE(SUBSTITUTE(KENKO[[#This Row],[N.B.nota]]," ",""),"-",""),"(",""),")",""),".",""),",",""),"/",""),"""",""))</f>
        <v>kenkopencil2b0192</v>
      </c>
      <c r="W206" s="6">
        <f ca="1">IF(KENKO[[#This Row],[concat]]="","",MATCH(KENKO[[#This Row],[concat]],[4]!db[NB NOTA_C],0)+1)</f>
        <v>1179</v>
      </c>
      <c r="X206" s="4" t="str">
        <f ca="1">IF(KENKO[[#This Row],[N.B.nota]]="","",ADDRESS(ROW(KENKO[QB]),COLUMN(KENKO[QB]))&amp;":"&amp;ADDRESS(ROW(),COLUMN(KENKO[QB])))</f>
        <v>$D$3:$D$206</v>
      </c>
      <c r="Y206" s="13" t="str">
        <f ca="1">IF(KENKO[[#This Row],[//]]="","",HYPERLINK("[..\\DB.xlsx]DB!e"&amp;KENKO[[#This Row],[stt]],"&gt;"))</f>
        <v>&gt;</v>
      </c>
      <c r="Z206" s="4">
        <f ca="1">IF(KENKO[[#This Row],[//]]="","",IF(KENKO[[#This Row],[ID NOTA]]="",Z201,KENKO[[#This Row],[ID NOTA]]))</f>
        <v>141</v>
      </c>
    </row>
    <row r="207" spans="1:26" ht="15" customHeight="1" x14ac:dyDescent="0.25">
      <c r="A207" s="4"/>
      <c r="B207" s="6" t="str">
        <f>IF(KENKO[[#This Row],[N_ID]]="","",INDEX(Table1[ID],MATCH(KENKO[[#This Row],[N_ID]],Table1[N_ID],0)))</f>
        <v/>
      </c>
      <c r="C207" s="6" t="str">
        <f>IF(KENKO[[#This Row],[ID NOTA]]="","",HYPERLINK("[NOTA_.xlsx]NOTA!e"&amp;INDEX([2]!PAJAK[//],MATCH(KENKO[[#This Row],[ID NOTA]],[2]!PAJAK[ID],0)),"&gt;") )</f>
        <v/>
      </c>
      <c r="D207" s="6" t="str">
        <f>IF(KENKO[[#This Row],[ID NOTA]]="","",INDEX(Table1[QB],MATCH(KENKO[[#This Row],[ID NOTA]],Table1[ID],0)))</f>
        <v/>
      </c>
      <c r="E20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794</v>
      </c>
      <c r="F207" s="6"/>
      <c r="G207" s="3" t="str">
        <f>IF(KENKO[[#This Row],[ID NOTA]]="","",INDEX([2]!NOTA[TGL_H],MATCH(KENKO[[#This Row],[ID NOTA]],[2]!NOTA[ID],0)))</f>
        <v/>
      </c>
      <c r="H207" s="3" t="str">
        <f>IF(KENKO[[#This Row],[ID NOTA]]="","",INDEX([2]!NOTA[TGL.NOTA],MATCH(KENKO[[#This Row],[ID NOTA]],[2]!NOTA[ID],0)))</f>
        <v/>
      </c>
      <c r="I207" s="18" t="str">
        <f>IF(KENKO[[#This Row],[ID NOTA]]="","",INDEX([2]!NOTA[NO.NOTA],MATCH(KENKO[[#This Row],[ID NOTA]],[2]!NOTA[ID],0)))</f>
        <v/>
      </c>
      <c r="J207" s="4" t="str">
        <f ca="1">IF(KENKO[[#This Row],[//]]="","",INDEX([4]!db[NB PAJAK],KENKO[[#This Row],[stt]]-1))</f>
        <v>PENSIL KENKO 2B-6181 BIRU CAP HITAM</v>
      </c>
      <c r="K207" s="6" t="str">
        <f>""</f>
        <v/>
      </c>
      <c r="L207" s="6">
        <f ca="1">IF(KENKO[[#This Row],[//]]="","",IF(INDEX([2]!NOTA[QTY],KENKO[//]-2)="",INDEX([2]!NOTA[C],KENKO[//]-2),INDEX([2]!NOTA[QTY],KENKO[//]-2)))</f>
        <v>1</v>
      </c>
      <c r="M207" s="6" t="str">
        <f ca="1">IF(KENKO[[#This Row],[//]]="","",IF(INDEX([2]!NOTA[STN],KENKO[//]-2)="","CTN",INDEX([2]!NOTA[STN],KENKO[//]-2)))</f>
        <v>CTN</v>
      </c>
      <c r="N207" s="5">
        <f ca="1">IF(KENKO[[#This Row],[//]]="","",IF(INDEX([2]!NOTA[HARGA/ CTN],KENKO[[#This Row],[//]]-2)="",INDEX([2]!NOTA[HARGA SATUAN],KENKO[//]-2),INDEX([2]!NOTA[HARGA/ CTN],KENKO[[#This Row],[//]]-2)))</f>
        <v>2208000</v>
      </c>
      <c r="O207" s="7" t="str">
        <f ca="1">IF(KENKO[[#This Row],[//]]="","",IF(INDEX([2]!NOTA[DISC 2],KENKO[[#This Row],[//]]-2)=0,"",INDEX([2]!NOTA[DISC 2],KENKO[[#This Row],[//]]-2)))</f>
        <v/>
      </c>
      <c r="P207" s="7"/>
      <c r="Q207" s="5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2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4" t="str">
        <f ca="1">IF(KENKO[[#This Row],[//]]="","",INDEX([2]!NOTA[NAMA BARANG],KENKO[[#This Row],[//]]-2))</f>
        <v>KENKO PENCIL 2B-6181 BIRU CAP HITAM</v>
      </c>
      <c r="V207" s="4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207" s="6">
        <f ca="1">IF(KENKO[[#This Row],[concat]]="","",MATCH(KENKO[[#This Row],[concat]],[4]!db[NB NOTA_C],0)+1)</f>
        <v>1185</v>
      </c>
      <c r="X207" s="4" t="str">
        <f ca="1">IF(KENKO[[#This Row],[N.B.nota]]="","",ADDRESS(ROW(KENKO[QB]),COLUMN(KENKO[QB]))&amp;":"&amp;ADDRESS(ROW(),COLUMN(KENKO[QB])))</f>
        <v>$D$3:$D$207</v>
      </c>
      <c r="Y207" s="13" t="str">
        <f ca="1">IF(KENKO[[#This Row],[//]]="","",HYPERLINK("[..\\DB.xlsx]DB!e"&amp;KENKO[[#This Row],[stt]],"&gt;"))</f>
        <v>&gt;</v>
      </c>
      <c r="Z207" s="4">
        <f ca="1">IF(KENKO[[#This Row],[//]]="","",IF(KENKO[[#This Row],[ID NOTA]]="",Z201,KENKO[[#This Row],[ID NOTA]]))</f>
        <v>141</v>
      </c>
    </row>
    <row r="208" spans="1:26" ht="15" customHeight="1" x14ac:dyDescent="0.25">
      <c r="A208" s="4"/>
      <c r="B208" s="6" t="str">
        <f>IF(KENKO[[#This Row],[N_ID]]="","",INDEX(Table1[ID],MATCH(KENKO[[#This Row],[N_ID]],Table1[N_ID],0)))</f>
        <v/>
      </c>
      <c r="C208" s="6" t="str">
        <f>IF(KENKO[[#This Row],[ID NOTA]]="","",HYPERLINK("[NOTA_.xlsx]NOTA!e"&amp;INDEX([2]!PAJAK[//],MATCH(KENKO[[#This Row],[ID NOTA]],[2]!PAJAK[ID],0)),"&gt;") )</f>
        <v/>
      </c>
      <c r="D208" s="6" t="str">
        <f>IF(KENKO[[#This Row],[ID NOTA]]="","",INDEX(Table1[QB],MATCH(KENKO[[#This Row],[ID NOTA]],Table1[ID],0)))</f>
        <v/>
      </c>
      <c r="E20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795</v>
      </c>
      <c r="F208" s="6"/>
      <c r="G208" s="3" t="str">
        <f>IF(KENKO[[#This Row],[ID NOTA]]="","",INDEX([2]!NOTA[TGL_H],MATCH(KENKO[[#This Row],[ID NOTA]],[2]!NOTA[ID],0)))</f>
        <v/>
      </c>
      <c r="H208" s="3" t="str">
        <f>IF(KENKO[[#This Row],[ID NOTA]]="","",INDEX([2]!NOTA[TGL.NOTA],MATCH(KENKO[[#This Row],[ID NOTA]],[2]!NOTA[ID],0)))</f>
        <v/>
      </c>
      <c r="I208" s="18" t="str">
        <f>IF(KENKO[[#This Row],[ID NOTA]]="","",INDEX([2]!NOTA[NO.NOTA],MATCH(KENKO[[#This Row],[ID NOTA]],[2]!NOTA[ID],0)))</f>
        <v/>
      </c>
      <c r="J208" s="4" t="str">
        <f ca="1">IF(KENKO[[#This Row],[//]]="","",INDEX([4]!db[NB PAJAK],KENKO[[#This Row],[stt]]-1))</f>
        <v>PENSIL KENKO 2B-6191 HIJAU CAP HITAM</v>
      </c>
      <c r="K208" s="6" t="str">
        <f>""</f>
        <v/>
      </c>
      <c r="L208" s="6">
        <f ca="1">IF(KENKO[[#This Row],[//]]="","",IF(INDEX([2]!NOTA[QTY],KENKO[//]-2)="",INDEX([2]!NOTA[C],KENKO[//]-2),INDEX([2]!NOTA[QTY],KENKO[//]-2)))</f>
        <v>1</v>
      </c>
      <c r="M208" s="6" t="str">
        <f ca="1">IF(KENKO[[#This Row],[//]]="","",IF(INDEX([2]!NOTA[STN],KENKO[//]-2)="","CTN",INDEX([2]!NOTA[STN],KENKO[//]-2)))</f>
        <v>CTN</v>
      </c>
      <c r="N208" s="5">
        <f ca="1">IF(KENKO[[#This Row],[//]]="","",IF(INDEX([2]!NOTA[HARGA/ CTN],KENKO[[#This Row],[//]]-2)="",INDEX([2]!NOTA[HARGA SATUAN],KENKO[//]-2),INDEX([2]!NOTA[HARGA/ CTN],KENKO[[#This Row],[//]]-2)))</f>
        <v>2208000</v>
      </c>
      <c r="O208" s="7" t="str">
        <f ca="1">IF(KENKO[[#This Row],[//]]="","",IF(INDEX([2]!NOTA[DISC 2],KENKO[[#This Row],[//]]-2)=0,"",INDEX([2]!NOTA[DISC 2],KENKO[[#This Row],[//]]-2)))</f>
        <v/>
      </c>
      <c r="P208" s="7"/>
      <c r="Q208" s="5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208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4962980</v>
      </c>
      <c r="S208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24231020</v>
      </c>
      <c r="T2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4" t="str">
        <f ca="1">IF(KENKO[[#This Row],[//]]="","",INDEX([2]!NOTA[NAMA BARANG],KENKO[[#This Row],[//]]-2))</f>
        <v>KENKO PENCIL 2B-6191 HIJAU CAP HITAM</v>
      </c>
      <c r="V208" s="4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208" s="6">
        <f ca="1">IF(KENKO[[#This Row],[concat]]="","",MATCH(KENKO[[#This Row],[concat]],[4]!db[NB NOTA_C],0)+1)</f>
        <v>1186</v>
      </c>
      <c r="X208" s="4" t="str">
        <f ca="1">IF(KENKO[[#This Row],[N.B.nota]]="","",ADDRESS(ROW(KENKO[QB]),COLUMN(KENKO[QB]))&amp;":"&amp;ADDRESS(ROW(),COLUMN(KENKO[QB])))</f>
        <v>$D$3:$D$208</v>
      </c>
      <c r="Y208" s="13" t="str">
        <f ca="1">IF(KENKO[[#This Row],[//]]="","",HYPERLINK("[..\\DB.xlsx]DB!e"&amp;KENKO[[#This Row],[stt]],"&gt;"))</f>
        <v>&gt;</v>
      </c>
      <c r="Z208" s="4">
        <f ca="1">IF(KENKO[[#This Row],[//]]="","",IF(KENKO[[#This Row],[ID NOTA]]="",Z201,KENKO[[#This Row],[ID NOTA]]))</f>
        <v>141</v>
      </c>
    </row>
    <row r="209" spans="1:26" ht="15" customHeight="1" x14ac:dyDescent="0.25">
      <c r="A209" s="4"/>
      <c r="B209" s="6" t="str">
        <f>IF(KENKO[[#This Row],[N_ID]]="","",INDEX(Table1[ID],MATCH(KENKO[[#This Row],[N_ID]],Table1[N_ID],0)))</f>
        <v/>
      </c>
      <c r="C209" s="6" t="str">
        <f>IF(KENKO[[#This Row],[ID NOTA]]="","",HYPERLINK("[NOTA_.xlsx]NOTA!e"&amp;INDEX([2]!PAJAK[//],MATCH(KENKO[[#This Row],[ID NOTA]],[2]!PAJAK[ID],0)),"&gt;") )</f>
        <v/>
      </c>
      <c r="D209" s="6" t="str">
        <f>IF(KENKO[[#This Row],[ID NOTA]]="","",INDEX(Table1[QB],MATCH(KENKO[[#This Row],[ID NOTA]],Table1[ID],0)))</f>
        <v/>
      </c>
      <c r="E20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9" s="6"/>
      <c r="G209" s="3" t="str">
        <f>IF(KENKO[[#This Row],[ID NOTA]]="","",INDEX([2]!NOTA[TGL_H],MATCH(KENKO[[#This Row],[ID NOTA]],[2]!NOTA[ID],0)))</f>
        <v/>
      </c>
      <c r="H209" s="3" t="str">
        <f>IF(KENKO[[#This Row],[ID NOTA]]="","",INDEX([2]!NOTA[TGL.NOTA],MATCH(KENKO[[#This Row],[ID NOTA]],[2]!NOTA[ID],0)))</f>
        <v/>
      </c>
      <c r="I209" s="18" t="str">
        <f>IF(KENKO[[#This Row],[ID NOTA]]="","",INDEX([2]!NOTA[NO.NOTA],MATCH(KENKO[[#This Row],[ID NOTA]],[2]!NOTA[ID],0)))</f>
        <v/>
      </c>
      <c r="J209" s="4" t="str">
        <f ca="1">IF(KENKO[[#This Row],[//]]="","",INDEX([4]!db[NB PAJAK],KENKO[[#This Row],[stt]]-1))</f>
        <v/>
      </c>
      <c r="K209" s="6" t="str">
        <f>""</f>
        <v/>
      </c>
      <c r="L209" s="6" t="str">
        <f ca="1">IF(KENKO[[#This Row],[//]]="","",IF(INDEX([2]!NOTA[QTY],KENKO[//]-2)="",INDEX([2]!NOTA[C],KENKO[//]-2),INDEX([2]!NOTA[QTY],KENKO[//]-2)))</f>
        <v/>
      </c>
      <c r="M209" s="6" t="str">
        <f ca="1">IF(KENKO[[#This Row],[//]]="","",IF(INDEX([2]!NOTA[STN],KENKO[//]-2)="","CTN",INDEX([2]!NOTA[STN],KENKO[//]-2)))</f>
        <v/>
      </c>
      <c r="N209" s="5" t="str">
        <f ca="1">IF(KENKO[[#This Row],[//]]="","",IF(INDEX([2]!NOTA[HARGA/ CTN],KENKO[[#This Row],[//]]-2)="",INDEX([2]!NOTA[HARGA SATUAN],KENKO[//]-2),INDEX([2]!NOTA[HARGA/ CTN],KENKO[[#This Row],[//]]-2)))</f>
        <v/>
      </c>
      <c r="O209" s="7" t="str">
        <f ca="1">IF(KENKO[[#This Row],[//]]="","",IF(INDEX([2]!NOTA[DISC 2],KENKO[[#This Row],[//]]-2)=0,"",INDEX([2]!NOTA[DISC 2],KENKO[[#This Row],[//]]-2)))</f>
        <v/>
      </c>
      <c r="P209" s="7"/>
      <c r="Q20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4" t="str">
        <f ca="1">IF(KENKO[[#This Row],[//]]="","",INDEX([2]!NOTA[NAMA BARANG],KENKO[[#This Row],[//]]-2))</f>
        <v/>
      </c>
      <c r="V209" s="4" t="str">
        <f ca="1">LOWER(SUBSTITUTE(SUBSTITUTE(SUBSTITUTE(SUBSTITUTE(SUBSTITUTE(SUBSTITUTE(SUBSTITUTE(SUBSTITUTE(KENKO[[#This Row],[N.B.nota]]," ",""),"-",""),"(",""),")",""),".",""),",",""),"/",""),"""",""))</f>
        <v/>
      </c>
      <c r="W209" s="6" t="str">
        <f ca="1">IF(KENKO[[#This Row],[concat]]="","",MATCH(KENKO[[#This Row],[concat]],[4]!db[NB NOTA_C],0)+1)</f>
        <v/>
      </c>
      <c r="X209" s="4" t="str">
        <f ca="1">IF(KENKO[[#This Row],[N.B.nota]]="","",ADDRESS(ROW(KENKO[QB]),COLUMN(KENKO[QB]))&amp;":"&amp;ADDRESS(ROW(),COLUMN(KENKO[QB])))</f>
        <v/>
      </c>
      <c r="Y209" s="13" t="str">
        <f ca="1">IF(KENKO[[#This Row],[//]]="","",HYPERLINK("[..\\DB.xlsx]DB!e"&amp;KENKO[[#This Row],[stt]],"&gt;"))</f>
        <v/>
      </c>
      <c r="Z209" s="4" t="str">
        <f ca="1">IF(KENKO[[#This Row],[//]]="","",IF(KENKO[[#This Row],[ID NOTA]]="",Z208,KENKO[[#This Row],[ID NOTA]]))</f>
        <v/>
      </c>
    </row>
    <row r="210" spans="1:26" ht="15" customHeight="1" x14ac:dyDescent="0.25">
      <c r="A210" s="4" t="s">
        <v>124</v>
      </c>
      <c r="B210" s="6">
        <f ca="1">IF(KENKO[[#This Row],[N_ID]]="","",INDEX(Table1[ID],MATCH(KENKO[[#This Row],[N_ID]],Table1[N_ID],0)))</f>
        <v>142</v>
      </c>
      <c r="C210" s="6" t="str">
        <f ca="1">IF(KENKO[[#This Row],[ID NOTA]]="","",HYPERLINK("[NOTA_.xlsx]NOTA!e"&amp;INDEX([2]!PAJAK[//],MATCH(KENKO[[#This Row],[ID NOTA]],[2]!PAJAK[ID],0)),"&gt;") )</f>
        <v>&gt;</v>
      </c>
      <c r="D210" s="6">
        <f ca="1">IF(KENKO[[#This Row],[ID NOTA]]="","",INDEX(Table1[QB],MATCH(KENKO[[#This Row],[ID NOTA]],Table1[ID],0)))</f>
        <v>7</v>
      </c>
      <c r="E21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797</v>
      </c>
      <c r="F210" s="6">
        <v>29</v>
      </c>
      <c r="G210" s="3">
        <f ca="1">IF(KENKO[[#This Row],[ID NOTA]]="","",INDEX([2]!NOTA[TGL_H],MATCH(KENKO[[#This Row],[ID NOTA]],[2]!NOTA[ID],0)))</f>
        <v>44833</v>
      </c>
      <c r="H210" s="3">
        <f ca="1">IF(KENKO[[#This Row],[ID NOTA]]="","",INDEX([2]!NOTA[TGL.NOTA],MATCH(KENKO[[#This Row],[ID NOTA]],[2]!NOTA[ID],0)))</f>
        <v>44831</v>
      </c>
      <c r="I210" s="18" t="str">
        <f ca="1">IF(KENKO[[#This Row],[ID NOTA]]="","",INDEX([2]!NOTA[NO.NOTA],MATCH(KENKO[[#This Row],[ID NOTA]],[2]!NOTA[ID],0)))</f>
        <v>22092190</v>
      </c>
      <c r="J210" s="4" t="str">
        <f ca="1">IF(KENKO[[#This Row],[//]]="","",INDEX([4]!db[NB PAJAK],KENKO[[#This Row],[stt]]-1))</f>
        <v>STIP / PENGHAPUS KENKO ERW-40SQ PUTIH</v>
      </c>
      <c r="K210" s="6" t="str">
        <f>""</f>
        <v/>
      </c>
      <c r="L210" s="6">
        <f ca="1">IF(KENKO[[#This Row],[//]]="","",IF(INDEX([2]!NOTA[QTY],KENKO[//]-2)="",INDEX([2]!NOTA[C],KENKO[//]-2),INDEX([2]!NOTA[QTY],KENKO[//]-2)))</f>
        <v>1</v>
      </c>
      <c r="M210" s="6" t="str">
        <f ca="1">IF(KENKO[[#This Row],[//]]="","",IF(INDEX([2]!NOTA[STN],KENKO[//]-2)="","CTN",INDEX([2]!NOTA[STN],KENKO[//]-2)))</f>
        <v>CTN</v>
      </c>
      <c r="N210" s="5">
        <f ca="1">IF(KENKO[[#This Row],[//]]="","",IF(INDEX([2]!NOTA[HARGA/ CTN],KENKO[[#This Row],[//]]-2)="",INDEX([2]!NOTA[HARGA SATUAN],KENKO[//]-2),INDEX([2]!NOTA[HARGA/ CTN],KENKO[[#This Row],[//]]-2)))</f>
        <v>1375000</v>
      </c>
      <c r="O210" s="7" t="str">
        <f ca="1">IF(KENKO[[#This Row],[//]]="","",IF(INDEX([2]!NOTA[DISC 2],KENKO[[#This Row],[//]]-2)=0,"",INDEX([2]!NOTA[DISC 2],KENKO[[#This Row],[//]]-2)))</f>
        <v/>
      </c>
      <c r="P210" s="7"/>
      <c r="Q210" s="5">
        <f ca="1">IF(KENKO[[#This Row],[//]]="","",INDEX([2]!NOTA[JUMLAH],KENKO[[#This Row],[//]]-2)-IF(ISNUMBER(KENKO[[#This Row],[DISC 1 (%)]]),INDEX([2]!NOTA[JUMLAH],KENKO[[#This Row],[//]]-2)*KENKO[[#This Row],[DISC 1 (%)]],0))</f>
        <v>1375000</v>
      </c>
      <c r="R2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4" t="str">
        <f ca="1">IF(KENKO[[#This Row],[//]]="","",INDEX([2]!NOTA[NAMA BARANG],KENKO[[#This Row],[//]]-2))</f>
        <v>KENKO ERASER ERW-40SQ WHITE</v>
      </c>
      <c r="V210" s="4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210" s="6">
        <f ca="1">IF(KENKO[[#This Row],[concat]]="","",MATCH(KENKO[[#This Row],[concat]],[4]!db[NB NOTA_C],0)+1)</f>
        <v>1096</v>
      </c>
      <c r="X210" s="4" t="str">
        <f ca="1">IF(KENKO[[#This Row],[N.B.nota]]="","",ADDRESS(ROW(KENKO[QB]),COLUMN(KENKO[QB]))&amp;":"&amp;ADDRESS(ROW(),COLUMN(KENKO[QB])))</f>
        <v>$D$3:$D$210</v>
      </c>
      <c r="Y210" s="13" t="str">
        <f ca="1">IF(KENKO[[#This Row],[//]]="","",HYPERLINK("[..\\DB.xlsx]DB!e"&amp;KENKO[[#This Row],[stt]],"&gt;"))</f>
        <v>&gt;</v>
      </c>
      <c r="Z210" s="4">
        <f ca="1">IF(KENKO[[#This Row],[//]]="","",IF(KENKO[[#This Row],[ID NOTA]]="",Z201,KENKO[[#This Row],[ID NOTA]]))</f>
        <v>142</v>
      </c>
    </row>
    <row r="211" spans="1:26" ht="15" customHeight="1" x14ac:dyDescent="0.25">
      <c r="A211" s="4"/>
      <c r="B211" s="6" t="str">
        <f>IF(KENKO[[#This Row],[N_ID]]="","",INDEX(Table1[ID],MATCH(KENKO[[#This Row],[N_ID]],Table1[N_ID],0)))</f>
        <v/>
      </c>
      <c r="C211" s="6" t="str">
        <f>IF(KENKO[[#This Row],[ID NOTA]]="","",HYPERLINK("[NOTA_.xlsx]NOTA!e"&amp;INDEX([2]!PAJAK[//],MATCH(KENKO[[#This Row],[ID NOTA]],[2]!PAJAK[ID],0)),"&gt;") )</f>
        <v/>
      </c>
      <c r="D211" s="6" t="str">
        <f>IF(KENKO[[#This Row],[ID NOTA]]="","",INDEX(Table1[QB],MATCH(KENKO[[#This Row],[ID NOTA]],Table1[ID],0)))</f>
        <v/>
      </c>
      <c r="E21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798</v>
      </c>
      <c r="F211" s="6"/>
      <c r="G211" s="3" t="str">
        <f>IF(KENKO[[#This Row],[ID NOTA]]="","",INDEX([2]!NOTA[TGL_H],MATCH(KENKO[[#This Row],[ID NOTA]],[2]!NOTA[ID],0)))</f>
        <v/>
      </c>
      <c r="H211" s="3" t="str">
        <f>IF(KENKO[[#This Row],[ID NOTA]]="","",INDEX([2]!NOTA[TGL.NOTA],MATCH(KENKO[[#This Row],[ID NOTA]],[2]!NOTA[ID],0)))</f>
        <v/>
      </c>
      <c r="I211" s="18" t="str">
        <f>IF(KENKO[[#This Row],[ID NOTA]]="","",INDEX([2]!NOTA[NO.NOTA],MATCH(KENKO[[#This Row],[ID NOTA]],[2]!NOTA[ID],0)))</f>
        <v/>
      </c>
      <c r="J211" s="4" t="str">
        <f ca="1">IF(KENKO[[#This Row],[//]]="","",INDEX([4]!db[NB PAJAK],KENKO[[#This Row],[stt]]-1))</f>
        <v>STIP / PENGHAPUS KENKO ERB-40SQ HITAM</v>
      </c>
      <c r="K211" s="6" t="str">
        <f>""</f>
        <v/>
      </c>
      <c r="L211" s="6">
        <f ca="1">IF(KENKO[[#This Row],[//]]="","",IF(INDEX([2]!NOTA[QTY],KENKO[//]-2)="",INDEX([2]!NOTA[C],KENKO[//]-2),INDEX([2]!NOTA[QTY],KENKO[//]-2)))</f>
        <v>1</v>
      </c>
      <c r="M211" s="6" t="str">
        <f ca="1">IF(KENKO[[#This Row],[//]]="","",IF(INDEX([2]!NOTA[STN],KENKO[//]-2)="","CTN",INDEX([2]!NOTA[STN],KENKO[//]-2)))</f>
        <v>CTN</v>
      </c>
      <c r="N211" s="5">
        <f ca="1">IF(KENKO[[#This Row],[//]]="","",IF(INDEX([2]!NOTA[HARGA/ CTN],KENKO[[#This Row],[//]]-2)="",INDEX([2]!NOTA[HARGA SATUAN],KENKO[//]-2),INDEX([2]!NOTA[HARGA/ CTN],KENKO[[#This Row],[//]]-2)))</f>
        <v>1375000</v>
      </c>
      <c r="O211" s="7" t="str">
        <f ca="1">IF(KENKO[[#This Row],[//]]="","",IF(INDEX([2]!NOTA[DISC 2],KENKO[[#This Row],[//]]-2)=0,"",INDEX([2]!NOTA[DISC 2],KENKO[[#This Row],[//]]-2)))</f>
        <v/>
      </c>
      <c r="P211" s="7"/>
      <c r="Q211" s="5">
        <f ca="1">IF(KENKO[[#This Row],[//]]="","",INDEX([2]!NOTA[JUMLAH],KENKO[[#This Row],[//]]-2)-IF(ISNUMBER(KENKO[[#This Row],[DISC 1 (%)]]),INDEX([2]!NOTA[JUMLAH],KENKO[[#This Row],[//]]-2)*KENKO[[#This Row],[DISC 1 (%)]],0))</f>
        <v>1375000</v>
      </c>
      <c r="R2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4" t="str">
        <f ca="1">IF(KENKO[[#This Row],[//]]="","",INDEX([2]!NOTA[NAMA BARANG],KENKO[[#This Row],[//]]-2))</f>
        <v>KENKO ERASER ERB-40SQ BLACK</v>
      </c>
      <c r="V211" s="4" t="str">
        <f ca="1">LOWER(SUBSTITUTE(SUBSTITUTE(SUBSTITUTE(SUBSTITUTE(SUBSTITUTE(SUBSTITUTE(SUBSTITUTE(SUBSTITUTE(KENKO[[#This Row],[N.B.nota]]," ",""),"-",""),"(",""),")",""),".",""),",",""),"/",""),"""",""))</f>
        <v>kenkoerasererb40sqblack</v>
      </c>
      <c r="W211" s="6">
        <f ca="1">IF(KENKO[[#This Row],[concat]]="","",MATCH(KENKO[[#This Row],[concat]],[4]!db[NB NOTA_C],0)+1)</f>
        <v>1095</v>
      </c>
      <c r="X211" s="4" t="str">
        <f ca="1">IF(KENKO[[#This Row],[N.B.nota]]="","",ADDRESS(ROW(KENKO[QB]),COLUMN(KENKO[QB]))&amp;":"&amp;ADDRESS(ROW(),COLUMN(KENKO[QB])))</f>
        <v>$D$3:$D$211</v>
      </c>
      <c r="Y211" s="13" t="str">
        <f ca="1">IF(KENKO[[#This Row],[//]]="","",HYPERLINK("[..\\DB.xlsx]DB!e"&amp;KENKO[[#This Row],[stt]],"&gt;"))</f>
        <v>&gt;</v>
      </c>
      <c r="Z211" s="4">
        <f ca="1">IF(KENKO[[#This Row],[//]]="","",IF(KENKO[[#This Row],[ID NOTA]]="",Z210,KENKO[[#This Row],[ID NOTA]]))</f>
        <v>142</v>
      </c>
    </row>
    <row r="212" spans="1:26" ht="15" customHeight="1" x14ac:dyDescent="0.25">
      <c r="A212" s="4"/>
      <c r="B212" s="6" t="str">
        <f>IF(KENKO[[#This Row],[N_ID]]="","",INDEX(Table1[ID],MATCH(KENKO[[#This Row],[N_ID]],Table1[N_ID],0)))</f>
        <v/>
      </c>
      <c r="C212" s="6" t="str">
        <f>IF(KENKO[[#This Row],[ID NOTA]]="","",HYPERLINK("[NOTA_.xlsx]NOTA!e"&amp;INDEX([2]!PAJAK[//],MATCH(KENKO[[#This Row],[ID NOTA]],[2]!PAJAK[ID],0)),"&gt;") )</f>
        <v/>
      </c>
      <c r="D212" s="6" t="str">
        <f>IF(KENKO[[#This Row],[ID NOTA]]="","",INDEX(Table1[QB],MATCH(KENKO[[#This Row],[ID NOTA]],Table1[ID],0)))</f>
        <v/>
      </c>
      <c r="E21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799</v>
      </c>
      <c r="F212" s="6"/>
      <c r="G212" s="3" t="str">
        <f>IF(KENKO[[#This Row],[ID NOTA]]="","",INDEX([2]!NOTA[TGL_H],MATCH(KENKO[[#This Row],[ID NOTA]],[2]!NOTA[ID],0)))</f>
        <v/>
      </c>
      <c r="H212" s="3" t="str">
        <f>IF(KENKO[[#This Row],[ID NOTA]]="","",INDEX([2]!NOTA[TGL.NOTA],MATCH(KENKO[[#This Row],[ID NOTA]],[2]!NOTA[ID],0)))</f>
        <v/>
      </c>
      <c r="I212" s="18" t="str">
        <f>IF(KENKO[[#This Row],[ID NOTA]]="","",INDEX([2]!NOTA[NO.NOTA],MATCH(KENKO[[#This Row],[ID NOTA]],[2]!NOTA[ID],0)))</f>
        <v/>
      </c>
      <c r="J212" s="4" t="str">
        <f ca="1">IF(KENKO[[#This Row],[//]]="","",INDEX([4]!db[NB PAJAK],KENKO[[#This Row],[stt]]-1))</f>
        <v>PENSIL WARNA KENKO CP-12F CLASSIC (PANJANG)</v>
      </c>
      <c r="K212" s="6" t="str">
        <f>""</f>
        <v/>
      </c>
      <c r="L212" s="6">
        <f ca="1">IF(KENKO[[#This Row],[//]]="","",IF(INDEX([2]!NOTA[QTY],KENKO[//]-2)="",INDEX([2]!NOTA[C],KENKO[//]-2),INDEX([2]!NOTA[QTY],KENKO[//]-2)))</f>
        <v>2</v>
      </c>
      <c r="M212" s="6" t="str">
        <f ca="1">IF(KENKO[[#This Row],[//]]="","",IF(INDEX([2]!NOTA[STN],KENKO[//]-2)="","CTN",INDEX([2]!NOTA[STN],KENKO[//]-2)))</f>
        <v>CTN</v>
      </c>
      <c r="N212" s="5">
        <f ca="1">IF(KENKO[[#This Row],[//]]="","",IF(INDEX([2]!NOTA[HARGA/ CTN],KENKO[[#This Row],[//]]-2)="",INDEX([2]!NOTA[HARGA SATUAN],KENKO[//]-2),INDEX([2]!NOTA[HARGA/ CTN],KENKO[[#This Row],[//]]-2)))</f>
        <v>2980800</v>
      </c>
      <c r="O212" s="7" t="str">
        <f ca="1">IF(KENKO[[#This Row],[//]]="","",IF(INDEX([2]!NOTA[DISC 2],KENKO[[#This Row],[//]]-2)=0,"",INDEX([2]!NOTA[DISC 2],KENKO[[#This Row],[//]]-2)))</f>
        <v/>
      </c>
      <c r="P212" s="7"/>
      <c r="Q212" s="5">
        <f ca="1">IF(KENKO[[#This Row],[//]]="","",INDEX([2]!NOTA[JUMLAH],KENKO[[#This Row],[//]]-2)-IF(ISNUMBER(KENKO[[#This Row],[DISC 1 (%)]]),INDEX([2]!NOTA[JUMLAH],KENKO[[#This Row],[//]]-2)*KENKO[[#This Row],[DISC 1 (%)]],0))</f>
        <v>5961600</v>
      </c>
      <c r="R2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4" t="str">
        <f ca="1">IF(KENKO[[#This Row],[//]]="","",INDEX([2]!NOTA[NAMA BARANG],KENKO[[#This Row],[//]]-2))</f>
        <v>KENKO 12 COLOR PENCIL CP-12F CLASSIC</v>
      </c>
      <c r="V212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212" s="6">
        <f ca="1">IF(KENKO[[#This Row],[concat]]="","",MATCH(KENKO[[#This Row],[concat]],[4]!db[NB NOTA_C],0)+1)</f>
        <v>994</v>
      </c>
      <c r="X212" s="4" t="str">
        <f ca="1">IF(KENKO[[#This Row],[N.B.nota]]="","",ADDRESS(ROW(KENKO[QB]),COLUMN(KENKO[QB]))&amp;":"&amp;ADDRESS(ROW(),COLUMN(KENKO[QB])))</f>
        <v>$D$3:$D$212</v>
      </c>
      <c r="Y212" s="13" t="str">
        <f ca="1">IF(KENKO[[#This Row],[//]]="","",HYPERLINK("[..\\DB.xlsx]DB!e"&amp;KENKO[[#This Row],[stt]],"&gt;"))</f>
        <v>&gt;</v>
      </c>
      <c r="Z212" s="4">
        <f ca="1">IF(KENKO[[#This Row],[//]]="","",IF(KENKO[[#This Row],[ID NOTA]]="",Z211,KENKO[[#This Row],[ID NOTA]]))</f>
        <v>142</v>
      </c>
    </row>
    <row r="213" spans="1:26" ht="15" customHeight="1" x14ac:dyDescent="0.25">
      <c r="A213" s="4"/>
      <c r="B213" s="6" t="str">
        <f>IF(KENKO[[#This Row],[N_ID]]="","",INDEX(Table1[ID],MATCH(KENKO[[#This Row],[N_ID]],Table1[N_ID],0)))</f>
        <v/>
      </c>
      <c r="C213" s="6" t="str">
        <f>IF(KENKO[[#This Row],[ID NOTA]]="","",HYPERLINK("[NOTA_.xlsx]NOTA!e"&amp;INDEX([2]!PAJAK[//],MATCH(KENKO[[#This Row],[ID NOTA]],[2]!PAJAK[ID],0)),"&gt;") )</f>
        <v/>
      </c>
      <c r="D213" s="6" t="str">
        <f>IF(KENKO[[#This Row],[ID NOTA]]="","",INDEX(Table1[QB],MATCH(KENKO[[#This Row],[ID NOTA]],Table1[ID],0)))</f>
        <v/>
      </c>
      <c r="E21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800</v>
      </c>
      <c r="F213" s="6"/>
      <c r="G213" s="3" t="str">
        <f>IF(KENKO[[#This Row],[ID NOTA]]="","",INDEX([2]!NOTA[TGL_H],MATCH(KENKO[[#This Row],[ID NOTA]],[2]!NOTA[ID],0)))</f>
        <v/>
      </c>
      <c r="H213" s="3" t="str">
        <f>IF(KENKO[[#This Row],[ID NOTA]]="","",INDEX([2]!NOTA[TGL.NOTA],MATCH(KENKO[[#This Row],[ID NOTA]],[2]!NOTA[ID],0)))</f>
        <v/>
      </c>
      <c r="I213" s="18" t="str">
        <f>IF(KENKO[[#This Row],[ID NOTA]]="","",INDEX([2]!NOTA[NO.NOTA],MATCH(KENKO[[#This Row],[ID NOTA]],[2]!NOTA[ID],0)))</f>
        <v/>
      </c>
      <c r="J213" s="4" t="str">
        <f ca="1">IF(KENKO[[#This Row],[//]]="","",INDEX([4]!db[NB PAJAK],KENKO[[#This Row],[stt]]-1))</f>
        <v>PENSIL WARNA KENKO CP-24F CLASSIC (PANJANG)</v>
      </c>
      <c r="K213" s="6" t="str">
        <f>""</f>
        <v/>
      </c>
      <c r="L213" s="6">
        <f ca="1">IF(KENKO[[#This Row],[//]]="","",IF(INDEX([2]!NOTA[QTY],KENKO[//]-2)="",INDEX([2]!NOTA[C],KENKO[//]-2),INDEX([2]!NOTA[QTY],KENKO[//]-2)))</f>
        <v>1</v>
      </c>
      <c r="M213" s="6" t="str">
        <f ca="1">IF(KENKO[[#This Row],[//]]="","",IF(INDEX([2]!NOTA[STN],KENKO[//]-2)="","CTN",INDEX([2]!NOTA[STN],KENKO[//]-2)))</f>
        <v>CTN</v>
      </c>
      <c r="N213" s="5">
        <f ca="1">IF(KENKO[[#This Row],[//]]="","",IF(INDEX([2]!NOTA[HARGA/ CTN],KENKO[[#This Row],[//]]-2)="",INDEX([2]!NOTA[HARGA SATUAN],KENKO[//]-2),INDEX([2]!NOTA[HARGA/ CTN],KENKO[[#This Row],[//]]-2)))</f>
        <v>2980800</v>
      </c>
      <c r="O213" s="7" t="str">
        <f ca="1">IF(KENKO[[#This Row],[//]]="","",IF(INDEX([2]!NOTA[DISC 2],KENKO[[#This Row],[//]]-2)=0,"",INDEX([2]!NOTA[DISC 2],KENKO[[#This Row],[//]]-2)))</f>
        <v/>
      </c>
      <c r="P213" s="7"/>
      <c r="Q213" s="5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2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4" t="str">
        <f ca="1">IF(KENKO[[#This Row],[//]]="","",INDEX([2]!NOTA[NAMA BARANG],KENKO[[#This Row],[//]]-2))</f>
        <v>KENKO 24 COLOR PENCIL CP-24 F CLASSIC</v>
      </c>
      <c r="V213" s="4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213" s="6">
        <f ca="1">IF(KENKO[[#This Row],[concat]]="","",MATCH(KENKO[[#This Row],[concat]],[4]!db[NB NOTA_C],0)+1)</f>
        <v>1001</v>
      </c>
      <c r="X213" s="4" t="str">
        <f ca="1">IF(KENKO[[#This Row],[N.B.nota]]="","",ADDRESS(ROW(KENKO[QB]),COLUMN(KENKO[QB]))&amp;":"&amp;ADDRESS(ROW(),COLUMN(KENKO[QB])))</f>
        <v>$D$3:$D$213</v>
      </c>
      <c r="Y213" s="13" t="str">
        <f ca="1">IF(KENKO[[#This Row],[//]]="","",HYPERLINK("[..\\DB.xlsx]DB!e"&amp;KENKO[[#This Row],[stt]],"&gt;"))</f>
        <v>&gt;</v>
      </c>
      <c r="Z213" s="4">
        <f ca="1">IF(KENKO[[#This Row],[//]]="","",IF(KENKO[[#This Row],[ID NOTA]]="",Z212,KENKO[[#This Row],[ID NOTA]]))</f>
        <v>142</v>
      </c>
    </row>
    <row r="214" spans="1:26" ht="15" customHeight="1" x14ac:dyDescent="0.25">
      <c r="A214" s="4"/>
      <c r="B214" s="6" t="str">
        <f>IF(KENKO[[#This Row],[N_ID]]="","",INDEX(Table1[ID],MATCH(KENKO[[#This Row],[N_ID]],Table1[N_ID],0)))</f>
        <v/>
      </c>
      <c r="C214" s="6" t="str">
        <f>IF(KENKO[[#This Row],[ID NOTA]]="","",HYPERLINK("[NOTA_.xlsx]NOTA!e"&amp;INDEX([2]!PAJAK[//],MATCH(KENKO[[#This Row],[ID NOTA]],[2]!PAJAK[ID],0)),"&gt;") )</f>
        <v/>
      </c>
      <c r="D214" s="6" t="str">
        <f>IF(KENKO[[#This Row],[ID NOTA]]="","",INDEX(Table1[QB],MATCH(KENKO[[#This Row],[ID NOTA]],Table1[ID],0)))</f>
        <v/>
      </c>
      <c r="E21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801</v>
      </c>
      <c r="F214" s="6"/>
      <c r="G214" s="3" t="str">
        <f>IF(KENKO[[#This Row],[ID NOTA]]="","",INDEX([2]!NOTA[TGL_H],MATCH(KENKO[[#This Row],[ID NOTA]],[2]!NOTA[ID],0)))</f>
        <v/>
      </c>
      <c r="H214" s="3" t="str">
        <f>IF(KENKO[[#This Row],[ID NOTA]]="","",INDEX([2]!NOTA[TGL.NOTA],MATCH(KENKO[[#This Row],[ID NOTA]],[2]!NOTA[ID],0)))</f>
        <v/>
      </c>
      <c r="I214" s="18" t="str">
        <f>IF(KENKO[[#This Row],[ID NOTA]]="","",INDEX([2]!NOTA[NO.NOTA],MATCH(KENKO[[#This Row],[ID NOTA]],[2]!NOTA[ID],0)))</f>
        <v/>
      </c>
      <c r="J214" s="4" t="str">
        <f ca="1">IF(KENKO[[#This Row],[//]]="","",INDEX([4]!db[NB PAJAK],KENKO[[#This Row],[stt]]-1))</f>
        <v>PENSIL WARNA KENKO BI-COLOR CP-12FBC (12/24) CLASSIC</v>
      </c>
      <c r="K214" s="6" t="str">
        <f>""</f>
        <v/>
      </c>
      <c r="L214" s="6">
        <f ca="1">IF(KENKO[[#This Row],[//]]="","",IF(INDEX([2]!NOTA[QTY],KENKO[//]-2)="",INDEX([2]!NOTA[C],KENKO[//]-2),INDEX([2]!NOTA[QTY],KENKO[//]-2)))</f>
        <v>1</v>
      </c>
      <c r="M214" s="6" t="str">
        <f ca="1">IF(KENKO[[#This Row],[//]]="","",IF(INDEX([2]!NOTA[STN],KENKO[//]-2)="","CTN",INDEX([2]!NOTA[STN],KENKO[//]-2)))</f>
        <v>CTN</v>
      </c>
      <c r="N214" s="5">
        <f ca="1">IF(KENKO[[#This Row],[//]]="","",IF(INDEX([2]!NOTA[HARGA/ CTN],KENKO[[#This Row],[//]]-2)="",INDEX([2]!NOTA[HARGA SATUAN],KENKO[//]-2),INDEX([2]!NOTA[HARGA/ CTN],KENKO[[#This Row],[//]]-2)))</f>
        <v>3571200</v>
      </c>
      <c r="O214" s="7" t="str">
        <f ca="1">IF(KENKO[[#This Row],[//]]="","",IF(INDEX([2]!NOTA[DISC 2],KENKO[[#This Row],[//]]-2)=0,"",INDEX([2]!NOTA[DISC 2],KENKO[[#This Row],[//]]-2)))</f>
        <v/>
      </c>
      <c r="P214" s="7"/>
      <c r="Q214" s="5">
        <f ca="1">IF(KENKO[[#This Row],[//]]="","",INDEX([2]!NOTA[JUMLAH],KENKO[[#This Row],[//]]-2)-IF(ISNUMBER(KENKO[[#This Row],[DISC 1 (%)]]),INDEX([2]!NOTA[JUMLAH],KENKO[[#This Row],[//]]-2)*KENKO[[#This Row],[DISC 1 (%)]],0))</f>
        <v>3571200</v>
      </c>
      <c r="R2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4" t="str">
        <f ca="1">IF(KENKO[[#This Row],[//]]="","",INDEX([2]!NOTA[NAMA BARANG],KENKO[[#This Row],[//]]-2))</f>
        <v>KENKO 12 BI COLOR PENCIL CP 12 FBC CLASSIC</v>
      </c>
      <c r="V214" s="4" t="str">
        <f ca="1">LOWER(SUBSTITUTE(SUBSTITUTE(SUBSTITUTE(SUBSTITUTE(SUBSTITUTE(SUBSTITUTE(SUBSTITUTE(SUBSTITUTE(KENKO[[#This Row],[N.B.nota]]," ",""),"-",""),"(",""),")",""),".",""),",",""),"/",""),"""",""))</f>
        <v>kenko12bicolorpencilcp12fbcclassic</v>
      </c>
      <c r="W214" s="6">
        <f ca="1">IF(KENKO[[#This Row],[concat]]="","",MATCH(KENKO[[#This Row],[concat]],[4]!db[NB NOTA_C],0)+1)</f>
        <v>991</v>
      </c>
      <c r="X214" s="4" t="str">
        <f ca="1">IF(KENKO[[#This Row],[N.B.nota]]="","",ADDRESS(ROW(KENKO[QB]),COLUMN(KENKO[QB]))&amp;":"&amp;ADDRESS(ROW(),COLUMN(KENKO[QB])))</f>
        <v>$D$3:$D$214</v>
      </c>
      <c r="Y214" s="13" t="str">
        <f ca="1">IF(KENKO[[#This Row],[//]]="","",HYPERLINK("[..\\DB.xlsx]DB!e"&amp;KENKO[[#This Row],[stt]],"&gt;"))</f>
        <v>&gt;</v>
      </c>
      <c r="Z214" s="4">
        <f ca="1">IF(KENKO[[#This Row],[//]]="","",IF(KENKO[[#This Row],[ID NOTA]]="",Z213,KENKO[[#This Row],[ID NOTA]]))</f>
        <v>142</v>
      </c>
    </row>
    <row r="215" spans="1:26" ht="15" customHeight="1" x14ac:dyDescent="0.25">
      <c r="A215" s="4"/>
      <c r="B215" s="6" t="str">
        <f>IF(KENKO[[#This Row],[N_ID]]="","",INDEX(Table1[ID],MATCH(KENKO[[#This Row],[N_ID]],Table1[N_ID],0)))</f>
        <v/>
      </c>
      <c r="C215" s="6" t="str">
        <f>IF(KENKO[[#This Row],[ID NOTA]]="","",HYPERLINK("[NOTA_.xlsx]NOTA!e"&amp;INDEX([2]!PAJAK[//],MATCH(KENKO[[#This Row],[ID NOTA]],[2]!PAJAK[ID],0)),"&gt;") )</f>
        <v/>
      </c>
      <c r="D215" s="6" t="str">
        <f>IF(KENKO[[#This Row],[ID NOTA]]="","",INDEX(Table1[QB],MATCH(KENKO[[#This Row],[ID NOTA]],Table1[ID],0)))</f>
        <v/>
      </c>
      <c r="E21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802</v>
      </c>
      <c r="F215" s="6"/>
      <c r="G215" s="3" t="str">
        <f>IF(KENKO[[#This Row],[ID NOTA]]="","",INDEX([2]!NOTA[TGL_H],MATCH(KENKO[[#This Row],[ID NOTA]],[2]!NOTA[ID],0)))</f>
        <v/>
      </c>
      <c r="H215" s="3" t="str">
        <f>IF(KENKO[[#This Row],[ID NOTA]]="","",INDEX([2]!NOTA[TGL.NOTA],MATCH(KENKO[[#This Row],[ID NOTA]],[2]!NOTA[ID],0)))</f>
        <v/>
      </c>
      <c r="I215" s="18" t="str">
        <f>IF(KENKO[[#This Row],[ID NOTA]]="","",INDEX([2]!NOTA[NO.NOTA],MATCH(KENKO[[#This Row],[ID NOTA]],[2]!NOTA[ID],0)))</f>
        <v/>
      </c>
      <c r="J215" s="4" t="str">
        <f ca="1">IF(KENKO[[#This Row],[//]]="","",INDEX([4]!db[NB PAJAK],KENKO[[#This Row],[stt]]-1))</f>
        <v>PENSIL WARNA KALENG KENKO CP-12F TIN CASE CLASSIC</v>
      </c>
      <c r="K215" s="6" t="str">
        <f>""</f>
        <v/>
      </c>
      <c r="L215" s="6">
        <f ca="1">IF(KENKO[[#This Row],[//]]="","",IF(INDEX([2]!NOTA[QTY],KENKO[//]-2)="",INDEX([2]!NOTA[C],KENKO[//]-2),INDEX([2]!NOTA[QTY],KENKO[//]-2)))</f>
        <v>1</v>
      </c>
      <c r="M215" s="6" t="str">
        <f ca="1">IF(KENKO[[#This Row],[//]]="","",IF(INDEX([2]!NOTA[STN],KENKO[//]-2)="","CTN",INDEX([2]!NOTA[STN],KENKO[//]-2)))</f>
        <v>CTN</v>
      </c>
      <c r="N215" s="5">
        <f ca="1">IF(KENKO[[#This Row],[//]]="","",IF(INDEX([2]!NOTA[HARGA/ CTN],KENKO[[#This Row],[//]]-2)="",INDEX([2]!NOTA[HARGA SATUAN],KENKO[//]-2),INDEX([2]!NOTA[HARGA/ CTN],KENKO[[#This Row],[//]]-2)))</f>
        <v>2040000</v>
      </c>
      <c r="O215" s="7" t="str">
        <f ca="1">IF(KENKO[[#This Row],[//]]="","",IF(INDEX([2]!NOTA[DISC 2],KENKO[[#This Row],[//]]-2)=0,"",INDEX([2]!NOTA[DISC 2],KENKO[[#This Row],[//]]-2)))</f>
        <v/>
      </c>
      <c r="P215" s="7"/>
      <c r="Q215" s="5">
        <f ca="1">IF(KENKO[[#This Row],[//]]="","",INDEX([2]!NOTA[JUMLAH],KENKO[[#This Row],[//]]-2)-IF(ISNUMBER(KENKO[[#This Row],[DISC 1 (%)]]),INDEX([2]!NOTA[JUMLAH],KENKO[[#This Row],[//]]-2)*KENKO[[#This Row],[DISC 1 (%)]],0))</f>
        <v>2040000</v>
      </c>
      <c r="R2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4" t="str">
        <f ca="1">IF(KENKO[[#This Row],[//]]="","",INDEX([2]!NOTA[NAMA BARANG],KENKO[[#This Row],[//]]-2))</f>
        <v>KENKO 12 COLOR PENCIL CP-12 F TIN CASE CLASSIC</v>
      </c>
      <c r="V215" s="4" t="str">
        <f ca="1">LOWER(SUBSTITUTE(SUBSTITUTE(SUBSTITUTE(SUBSTITUTE(SUBSTITUTE(SUBSTITUTE(SUBSTITUTE(SUBSTITUTE(KENKO[[#This Row],[N.B.nota]]," ",""),"-",""),"(",""),")",""),".",""),",",""),"/",""),"""",""))</f>
        <v>kenko12colorpencilcp12ftincaseclassic</v>
      </c>
      <c r="W215" s="6">
        <f ca="1">IF(KENKO[[#This Row],[concat]]="","",MATCH(KENKO[[#This Row],[concat]],[4]!db[NB NOTA_C],0)+1)</f>
        <v>998</v>
      </c>
      <c r="X215" s="4" t="str">
        <f ca="1">IF(KENKO[[#This Row],[N.B.nota]]="","",ADDRESS(ROW(KENKO[QB]),COLUMN(KENKO[QB]))&amp;":"&amp;ADDRESS(ROW(),COLUMN(KENKO[QB])))</f>
        <v>$D$3:$D$215</v>
      </c>
      <c r="Y215" s="13" t="str">
        <f ca="1">IF(KENKO[[#This Row],[//]]="","",HYPERLINK("[..\\DB.xlsx]DB!e"&amp;KENKO[[#This Row],[stt]],"&gt;"))</f>
        <v>&gt;</v>
      </c>
      <c r="Z215" s="4">
        <f ca="1">IF(KENKO[[#This Row],[//]]="","",IF(KENKO[[#This Row],[ID NOTA]]="",Z214,KENKO[[#This Row],[ID NOTA]]))</f>
        <v>142</v>
      </c>
    </row>
    <row r="216" spans="1:26" ht="15" customHeight="1" x14ac:dyDescent="0.25">
      <c r="A216" s="4"/>
      <c r="B216" s="6" t="str">
        <f>IF(KENKO[[#This Row],[N_ID]]="","",INDEX(Table1[ID],MATCH(KENKO[[#This Row],[N_ID]],Table1[N_ID],0)))</f>
        <v/>
      </c>
      <c r="C216" s="6" t="str">
        <f>IF(KENKO[[#This Row],[ID NOTA]]="","",HYPERLINK("[NOTA_.xlsx]NOTA!e"&amp;INDEX([2]!PAJAK[//],MATCH(KENKO[[#This Row],[ID NOTA]],[2]!PAJAK[ID],0)),"&gt;") )</f>
        <v/>
      </c>
      <c r="D216" s="6" t="str">
        <f>IF(KENKO[[#This Row],[ID NOTA]]="","",INDEX(Table1[QB],MATCH(KENKO[[#This Row],[ID NOTA]],Table1[ID],0)))</f>
        <v/>
      </c>
      <c r="E21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803</v>
      </c>
      <c r="F216" s="6"/>
      <c r="G216" s="3" t="str">
        <f>IF(KENKO[[#This Row],[ID NOTA]]="","",INDEX([2]!NOTA[TGL_H],MATCH(KENKO[[#This Row],[ID NOTA]],[2]!NOTA[ID],0)))</f>
        <v/>
      </c>
      <c r="H216" s="3" t="str">
        <f>IF(KENKO[[#This Row],[ID NOTA]]="","",INDEX([2]!NOTA[TGL.NOTA],MATCH(KENKO[[#This Row],[ID NOTA]],[2]!NOTA[ID],0)))</f>
        <v/>
      </c>
      <c r="I216" s="18" t="str">
        <f>IF(KENKO[[#This Row],[ID NOTA]]="","",INDEX([2]!NOTA[NO.NOTA],MATCH(KENKO[[#This Row],[ID NOTA]],[2]!NOTA[ID],0)))</f>
        <v/>
      </c>
      <c r="J216" s="4" t="str">
        <f ca="1">IF(KENKO[[#This Row],[//]]="","",INDEX([4]!db[NB PAJAK],KENKO[[#This Row],[stt]]-1))</f>
        <v>PENSIL WARNA KALENG KENKO CP-24F TIN CASE CLASSIC</v>
      </c>
      <c r="K216" s="6" t="str">
        <f>""</f>
        <v/>
      </c>
      <c r="L216" s="6">
        <f ca="1">IF(KENKO[[#This Row],[//]]="","",IF(INDEX([2]!NOTA[QTY],KENKO[//]-2)="",INDEX([2]!NOTA[C],KENKO[//]-2),INDEX([2]!NOTA[QTY],KENKO[//]-2)))</f>
        <v>1</v>
      </c>
      <c r="M216" s="6" t="str">
        <f ca="1">IF(KENKO[[#This Row],[//]]="","",IF(INDEX([2]!NOTA[STN],KENKO[//]-2)="","CTN",INDEX([2]!NOTA[STN],KENKO[//]-2)))</f>
        <v>CTN</v>
      </c>
      <c r="N216" s="5">
        <f ca="1">IF(KENKO[[#This Row],[//]]="","",IF(INDEX([2]!NOTA[HARGA/ CTN],KENKO[[#This Row],[//]]-2)="",INDEX([2]!NOTA[HARGA SATUAN],KENKO[//]-2),INDEX([2]!NOTA[HARGA/ CTN],KENKO[[#This Row],[//]]-2)))</f>
        <v>2040000</v>
      </c>
      <c r="O216" s="7" t="str">
        <f ca="1">IF(KENKO[[#This Row],[//]]="","",IF(INDEX([2]!NOTA[DISC 2],KENKO[[#This Row],[//]]-2)=0,"",INDEX([2]!NOTA[DISC 2],KENKO[[#This Row],[//]]-2)))</f>
        <v/>
      </c>
      <c r="P216" s="7"/>
      <c r="Q216" s="5">
        <f ca="1">IF(KENKO[[#This Row],[//]]="","",INDEX([2]!NOTA[JUMLAH],KENKO[[#This Row],[//]]-2)-IF(ISNUMBER(KENKO[[#This Row],[DISC 1 (%)]]),INDEX([2]!NOTA[JUMLAH],KENKO[[#This Row],[//]]-2)*KENKO[[#This Row],[DISC 1 (%)]],0))</f>
        <v>2040000</v>
      </c>
      <c r="R216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3288412.0000000005</v>
      </c>
      <c r="S216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16055188</v>
      </c>
      <c r="T2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4" t="str">
        <f ca="1">IF(KENKO[[#This Row],[//]]="","",INDEX([2]!NOTA[NAMA BARANG],KENKO[[#This Row],[//]]-2))</f>
        <v>KENKO 24 COLOR PENCIL CP-24 F TIN CASE CLASSIC</v>
      </c>
      <c r="V216" s="4" t="str">
        <f ca="1">LOWER(SUBSTITUTE(SUBSTITUTE(SUBSTITUTE(SUBSTITUTE(SUBSTITUTE(SUBSTITUTE(SUBSTITUTE(SUBSTITUTE(KENKO[[#This Row],[N.B.nota]]," ",""),"-",""),"(",""),")",""),".",""),",",""),"/",""),"""",""))</f>
        <v>kenko24colorpencilcp24ftincaseclassic</v>
      </c>
      <c r="W216" s="6">
        <f ca="1">IF(KENKO[[#This Row],[concat]]="","",MATCH(KENKO[[#This Row],[concat]],[4]!db[NB NOTA_C],0)+1)</f>
        <v>1003</v>
      </c>
      <c r="X216" s="4" t="str">
        <f ca="1">IF(KENKO[[#This Row],[N.B.nota]]="","",ADDRESS(ROW(KENKO[QB]),COLUMN(KENKO[QB]))&amp;":"&amp;ADDRESS(ROW(),COLUMN(KENKO[QB])))</f>
        <v>$D$3:$D$216</v>
      </c>
      <c r="Y216" s="13" t="str">
        <f ca="1">IF(KENKO[[#This Row],[//]]="","",HYPERLINK("[..\\DB.xlsx]DB!e"&amp;KENKO[[#This Row],[stt]],"&gt;"))</f>
        <v>&gt;</v>
      </c>
      <c r="Z216" s="4">
        <f ca="1">IF(KENKO[[#This Row],[//]]="","",IF(KENKO[[#This Row],[ID NOTA]]="",Z215,KENKO[[#This Row],[ID NOTA]]))</f>
        <v>142</v>
      </c>
    </row>
    <row r="217" spans="1:26" ht="15" customHeight="1" x14ac:dyDescent="0.25">
      <c r="A217" s="4"/>
      <c r="B217" s="6" t="str">
        <f>IF(KENKO[[#This Row],[N_ID]]="","",INDEX(Table1[ID],MATCH(KENKO[[#This Row],[N_ID]],Table1[N_ID],0)))</f>
        <v/>
      </c>
      <c r="C217" s="6" t="str">
        <f>IF(KENKO[[#This Row],[ID NOTA]]="","",HYPERLINK("[NOTA_.xlsx]NOTA!e"&amp;INDEX([2]!PAJAK[//],MATCH(KENKO[[#This Row],[ID NOTA]],[2]!PAJAK[ID],0)),"&gt;") )</f>
        <v/>
      </c>
      <c r="D217" s="6" t="str">
        <f>IF(KENKO[[#This Row],[ID NOTA]]="","",INDEX(Table1[QB],MATCH(KENKO[[#This Row],[ID NOTA]],Table1[ID],0)))</f>
        <v/>
      </c>
      <c r="E21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7" s="6"/>
      <c r="G217" s="3" t="str">
        <f>IF(KENKO[[#This Row],[ID NOTA]]="","",INDEX([2]!NOTA[TGL_H],MATCH(KENKO[[#This Row],[ID NOTA]],[2]!NOTA[ID],0)))</f>
        <v/>
      </c>
      <c r="H217" s="3" t="str">
        <f>IF(KENKO[[#This Row],[ID NOTA]]="","",INDEX([2]!NOTA[TGL.NOTA],MATCH(KENKO[[#This Row],[ID NOTA]],[2]!NOTA[ID],0)))</f>
        <v/>
      </c>
      <c r="I217" s="18" t="str">
        <f>IF(KENKO[[#This Row],[ID NOTA]]="","",INDEX([2]!NOTA[NO.NOTA],MATCH(KENKO[[#This Row],[ID NOTA]],[2]!NOTA[ID],0)))</f>
        <v/>
      </c>
      <c r="J217" s="4" t="str">
        <f ca="1">IF(KENKO[[#This Row],[//]]="","",INDEX([4]!db[NB PAJAK],KENKO[[#This Row],[stt]]-1))</f>
        <v/>
      </c>
      <c r="K217" s="6" t="str">
        <f>""</f>
        <v/>
      </c>
      <c r="L217" s="6" t="str">
        <f ca="1">IF(KENKO[[#This Row],[//]]="","",IF(INDEX([2]!NOTA[QTY],KENKO[//]-2)="",INDEX([2]!NOTA[C],KENKO[//]-2),INDEX([2]!NOTA[QTY],KENKO[//]-2)))</f>
        <v/>
      </c>
      <c r="M217" s="6" t="str">
        <f ca="1">IF(KENKO[[#This Row],[//]]="","",IF(INDEX([2]!NOTA[STN],KENKO[//]-2)="","CTN",INDEX([2]!NOTA[STN],KENKO[//]-2)))</f>
        <v/>
      </c>
      <c r="N217" s="5" t="str">
        <f ca="1">IF(KENKO[[#This Row],[//]]="","",IF(INDEX([2]!NOTA[HARGA/ CTN],KENKO[[#This Row],[//]]-2)="",INDEX([2]!NOTA[HARGA SATUAN],KENKO[//]-2),INDEX([2]!NOTA[HARGA/ CTN],KENKO[[#This Row],[//]]-2)))</f>
        <v/>
      </c>
      <c r="O217" s="7" t="str">
        <f ca="1">IF(KENKO[[#This Row],[//]]="","",IF(INDEX([2]!NOTA[DISC 2],KENKO[[#This Row],[//]]-2)=0,"",INDEX([2]!NOTA[DISC 2],KENKO[[#This Row],[//]]-2)))</f>
        <v/>
      </c>
      <c r="P217" s="7"/>
      <c r="Q21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4" t="str">
        <f ca="1">IF(KENKO[[#This Row],[//]]="","",INDEX([2]!NOTA[NAMA BARANG],KENKO[[#This Row],[//]]-2))</f>
        <v/>
      </c>
      <c r="V217" s="4" t="str">
        <f ca="1">LOWER(SUBSTITUTE(SUBSTITUTE(SUBSTITUTE(SUBSTITUTE(SUBSTITUTE(SUBSTITUTE(SUBSTITUTE(SUBSTITUTE(KENKO[[#This Row],[N.B.nota]]," ",""),"-",""),"(",""),")",""),".",""),",",""),"/",""),"""",""))</f>
        <v/>
      </c>
      <c r="W217" s="6" t="str">
        <f ca="1">IF(KENKO[[#This Row],[concat]]="","",MATCH(KENKO[[#This Row],[concat]],[4]!db[NB NOTA_C],0)+1)</f>
        <v/>
      </c>
      <c r="X217" s="4" t="str">
        <f ca="1">IF(KENKO[[#This Row],[N.B.nota]]="","",ADDRESS(ROW(KENKO[QB]),COLUMN(KENKO[QB]))&amp;":"&amp;ADDRESS(ROW(),COLUMN(KENKO[QB])))</f>
        <v/>
      </c>
      <c r="Y217" s="13" t="str">
        <f ca="1">IF(KENKO[[#This Row],[//]]="","",HYPERLINK("[..\\DB.xlsx]DB!e"&amp;KENKO[[#This Row],[stt]],"&gt;"))</f>
        <v/>
      </c>
      <c r="Z217" s="4" t="str">
        <f ca="1">IF(KENKO[[#This Row],[//]]="","",IF(KENKO[[#This Row],[ID NOTA]]="",Z216,KENKO[[#This Row],[ID NOTA]]))</f>
        <v/>
      </c>
    </row>
    <row r="218" spans="1:26" ht="15" customHeight="1" x14ac:dyDescent="0.25">
      <c r="A218" s="4" t="s">
        <v>125</v>
      </c>
      <c r="B218" s="6">
        <f ca="1">IF(KENKO[[#This Row],[N_ID]]="","",INDEX(Table1[ID],MATCH(KENKO[[#This Row],[N_ID]],Table1[N_ID],0)))</f>
        <v>147</v>
      </c>
      <c r="C218" s="6" t="str">
        <f ca="1">IF(KENKO[[#This Row],[ID NOTA]]="","",HYPERLINK("[NOTA_.xlsx]NOTA!e"&amp;INDEX([2]!PAJAK[//],MATCH(KENKO[[#This Row],[ID NOTA]],[2]!PAJAK[ID],0)),"&gt;") )</f>
        <v>&gt;</v>
      </c>
      <c r="D218" s="6">
        <f ca="1">IF(KENKO[[#This Row],[ID NOTA]]="","",INDEX(Table1[QB],MATCH(KENKO[[#This Row],[ID NOTA]],Table1[ID],0)))</f>
        <v>4</v>
      </c>
      <c r="E21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825</v>
      </c>
      <c r="F218" s="6">
        <v>30</v>
      </c>
      <c r="G218" s="3">
        <f ca="1">IF(KENKO[[#This Row],[ID NOTA]]="","",INDEX([2]!NOTA[TGL_H],MATCH(KENKO[[#This Row],[ID NOTA]],[2]!NOTA[ID],0)))</f>
        <v>44835</v>
      </c>
      <c r="H218" s="3">
        <f ca="1">IF(KENKO[[#This Row],[ID NOTA]]="","",INDEX([2]!NOTA[TGL.NOTA],MATCH(KENKO[[#This Row],[ID NOTA]],[2]!NOTA[ID],0)))</f>
        <v>44832</v>
      </c>
      <c r="I218" s="18" t="str">
        <f ca="1">IF(KENKO[[#This Row],[ID NOTA]]="","",INDEX([2]!NOTA[NO.NOTA],MATCH(KENKO[[#This Row],[ID NOTA]],[2]!NOTA[ID],0)))</f>
        <v>22092360</v>
      </c>
      <c r="J218" s="4" t="str">
        <f ca="1">IF(KENKO[[#This Row],[//]]="","",INDEX([4]!db[NB PAJAK],KENKO[[#This Row],[stt]]-1))</f>
        <v>STIP / PENGHAPUS KENKO ERW-20SQ PUTIH</v>
      </c>
      <c r="K218" s="6" t="str">
        <f>""</f>
        <v/>
      </c>
      <c r="L218" s="6">
        <f ca="1">IF(KENKO[[#This Row],[//]]="","",IF(INDEX([2]!NOTA[QTY],KENKO[//]-2)="",INDEX([2]!NOTA[C],KENKO[//]-2),INDEX([2]!NOTA[QTY],KENKO[//]-2)))</f>
        <v>4</v>
      </c>
      <c r="M218" s="6" t="str">
        <f ca="1">IF(KENKO[[#This Row],[//]]="","",IF(INDEX([2]!NOTA[STN],KENKO[//]-2)="","CTN",INDEX([2]!NOTA[STN],KENKO[//]-2)))</f>
        <v>CTN</v>
      </c>
      <c r="N218" s="5">
        <f ca="1">IF(KENKO[[#This Row],[//]]="","",IF(INDEX([2]!NOTA[HARGA/ CTN],KENKO[[#This Row],[//]]-2)="",INDEX([2]!NOTA[HARGA SATUAN],KENKO[//]-2),INDEX([2]!NOTA[HARGA/ CTN],KENKO[[#This Row],[//]]-2)))</f>
        <v>1500000</v>
      </c>
      <c r="O218" s="7" t="str">
        <f ca="1">IF(KENKO[[#This Row],[//]]="","",IF(INDEX([2]!NOTA[DISC 2],KENKO[[#This Row],[//]]-2)=0,"",INDEX([2]!NOTA[DISC 2],KENKO[[#This Row],[//]]-2)))</f>
        <v/>
      </c>
      <c r="P218" s="7"/>
      <c r="Q218" s="5">
        <f ca="1">IF(KENKO[[#This Row],[//]]="","",INDEX([2]!NOTA[JUMLAH],KENKO[[#This Row],[//]]-2)-IF(ISNUMBER(KENKO[[#This Row],[DISC 1 (%)]]),INDEX([2]!NOTA[JUMLAH],KENKO[[#This Row],[//]]-2)*KENKO[[#This Row],[DISC 1 (%)]],0))</f>
        <v>6000000</v>
      </c>
      <c r="R2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8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4" t="str">
        <f ca="1">IF(KENKO[[#This Row],[//]]="","",INDEX([2]!NOTA[NAMA BARANG],KENKO[[#This Row],[//]]-2))</f>
        <v>KENKO ERASER ERW-20SQ WHITE</v>
      </c>
      <c r="V218" s="4" t="str">
        <f ca="1">LOWER(SUBSTITUTE(SUBSTITUTE(SUBSTITUTE(SUBSTITUTE(SUBSTITUTE(SUBSTITUTE(SUBSTITUTE(SUBSTITUTE(KENKO[[#This Row],[N.B.nota]]," ",""),"-",""),"(",""),")",""),".",""),",",""),"/",""),"""",""))</f>
        <v>kenkoerasererw20sqwhite</v>
      </c>
      <c r="W218" s="6">
        <f ca="1">IF(KENKO[[#This Row],[concat]]="","",MATCH(KENKO[[#This Row],[concat]],[4]!db[NB NOTA_C],0)+1)</f>
        <v>1263</v>
      </c>
      <c r="X218" s="4" t="str">
        <f ca="1">IF(KENKO[[#This Row],[N.B.nota]]="","",ADDRESS(ROW(KENKO[QB]),COLUMN(KENKO[QB]))&amp;":"&amp;ADDRESS(ROW(),COLUMN(KENKO[QB])))</f>
        <v>$D$3:$D$218</v>
      </c>
      <c r="Y218" s="56" t="str">
        <f ca="1">IF(KENKO[[#This Row],[//]]="","",HYPERLINK("[..\\DB.xlsx]DB!e"&amp;KENKO[[#This Row],[stt]],"&gt;"))</f>
        <v>&gt;</v>
      </c>
      <c r="Z218" s="4">
        <f ca="1">IF(KENKO[[#This Row],[//]]="","",IF(KENKO[[#This Row],[ID NOTA]]="",Z217,KENKO[[#This Row],[ID NOTA]]))</f>
        <v>147</v>
      </c>
    </row>
    <row r="219" spans="1:26" ht="15" customHeight="1" x14ac:dyDescent="0.25">
      <c r="A219" s="4"/>
      <c r="B219" s="6" t="str">
        <f>IF(KENKO[[#This Row],[N_ID]]="","",INDEX(Table1[ID],MATCH(KENKO[[#This Row],[N_ID]],Table1[N_ID],0)))</f>
        <v/>
      </c>
      <c r="C219" s="6" t="str">
        <f>IF(KENKO[[#This Row],[ID NOTA]]="","",HYPERLINK("[NOTA_.xlsx]NOTA!e"&amp;INDEX([2]!PAJAK[//],MATCH(KENKO[[#This Row],[ID NOTA]],[2]!PAJAK[ID],0)),"&gt;") )</f>
        <v/>
      </c>
      <c r="D219" s="6" t="str">
        <f>IF(KENKO[[#This Row],[ID NOTA]]="","",INDEX(Table1[QB],MATCH(KENKO[[#This Row],[ID NOTA]],Table1[ID],0)))</f>
        <v/>
      </c>
      <c r="E21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826</v>
      </c>
      <c r="F219" s="6"/>
      <c r="G219" s="3" t="str">
        <f>IF(KENKO[[#This Row],[ID NOTA]]="","",INDEX([2]!NOTA[TGL_H],MATCH(KENKO[[#This Row],[ID NOTA]],[2]!NOTA[ID],0)))</f>
        <v/>
      </c>
      <c r="H219" s="3" t="str">
        <f>IF(KENKO[[#This Row],[ID NOTA]]="","",INDEX([2]!NOTA[TGL.NOTA],MATCH(KENKO[[#This Row],[ID NOTA]],[2]!NOTA[ID],0)))</f>
        <v/>
      </c>
      <c r="I219" s="18" t="str">
        <f>IF(KENKO[[#This Row],[ID NOTA]]="","",INDEX([2]!NOTA[NO.NOTA],MATCH(KENKO[[#This Row],[ID NOTA]],[2]!NOTA[ID],0)))</f>
        <v/>
      </c>
      <c r="J219" s="4" t="str">
        <f ca="1">IF(KENKO[[#This Row],[//]]="","",INDEX([4]!db[NB PAJAK],KENKO[[#This Row],[stt]]-1))</f>
        <v>STIP / PENGHAPUS KENKO ERB-20SQ HITAM</v>
      </c>
      <c r="K219" s="6" t="str">
        <f>""</f>
        <v/>
      </c>
      <c r="L219" s="6">
        <f ca="1">IF(KENKO[[#This Row],[//]]="","",IF(INDEX([2]!NOTA[QTY],KENKO[//]-2)="",INDEX([2]!NOTA[C],KENKO[//]-2),INDEX([2]!NOTA[QTY],KENKO[//]-2)))</f>
        <v>2</v>
      </c>
      <c r="M219" s="6" t="str">
        <f ca="1">IF(KENKO[[#This Row],[//]]="","",IF(INDEX([2]!NOTA[STN],KENKO[//]-2)="","CTN",INDEX([2]!NOTA[STN],KENKO[//]-2)))</f>
        <v>CTN</v>
      </c>
      <c r="N219" s="5">
        <f ca="1">IF(KENKO[[#This Row],[//]]="","",IF(INDEX([2]!NOTA[HARGA/ CTN],KENKO[[#This Row],[//]]-2)="",INDEX([2]!NOTA[HARGA SATUAN],KENKO[//]-2),INDEX([2]!NOTA[HARGA/ CTN],KENKO[[#This Row],[//]]-2)))</f>
        <v>1500000</v>
      </c>
      <c r="O219" s="7" t="str">
        <f ca="1">IF(KENKO[[#This Row],[//]]="","",IF(INDEX([2]!NOTA[DISC 2],KENKO[[#This Row],[//]]-2)=0,"",INDEX([2]!NOTA[DISC 2],KENKO[[#This Row],[//]]-2)))</f>
        <v/>
      </c>
      <c r="P219" s="7"/>
      <c r="Q219" s="5">
        <f ca="1">IF(KENKO[[#This Row],[//]]="","",INDEX([2]!NOTA[JUMLAH],KENKO[[#This Row],[//]]-2)-IF(ISNUMBER(KENKO[[#This Row],[DISC 1 (%)]]),INDEX([2]!NOTA[JUMLAH],KENKO[[#This Row],[//]]-2)*KENKO[[#This Row],[DISC 1 (%)]],0))</f>
        <v>3000000</v>
      </c>
      <c r="R2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4" t="str">
        <f ca="1">IF(KENKO[[#This Row],[//]]="","",INDEX([2]!NOTA[NAMA BARANG],KENKO[[#This Row],[//]]-2))</f>
        <v>KENKO ERASER ERB-20SQ BLACK</v>
      </c>
      <c r="V219" s="4" t="str">
        <f ca="1">LOWER(SUBSTITUTE(SUBSTITUTE(SUBSTITUTE(SUBSTITUTE(SUBSTITUTE(SUBSTITUTE(SUBSTITUTE(SUBSTITUTE(KENKO[[#This Row],[N.B.nota]]," ",""),"-",""),"(",""),")",""),".",""),",",""),"/",""),"""",""))</f>
        <v>kenkoerasererb20sqblack</v>
      </c>
      <c r="W219" s="6">
        <f ca="1">IF(KENKO[[#This Row],[concat]]="","",MATCH(KENKO[[#This Row],[concat]],[4]!db[NB NOTA_C],0)+1)</f>
        <v>1094</v>
      </c>
      <c r="X219" s="4" t="str">
        <f ca="1">IF(KENKO[[#This Row],[N.B.nota]]="","",ADDRESS(ROW(KENKO[QB]),COLUMN(KENKO[QB]))&amp;":"&amp;ADDRESS(ROW(),COLUMN(KENKO[QB])))</f>
        <v>$D$3:$D$219</v>
      </c>
      <c r="Y219" s="13" t="str">
        <f ca="1">IF(KENKO[[#This Row],[//]]="","",HYPERLINK("[..\\DB.xlsx]DB!e"&amp;KENKO[[#This Row],[stt]],"&gt;"))</f>
        <v>&gt;</v>
      </c>
      <c r="Z219" s="4">
        <f ca="1">IF(KENKO[[#This Row],[//]]="","",IF(KENKO[[#This Row],[ID NOTA]]="",Z218,KENKO[[#This Row],[ID NOTA]]))</f>
        <v>147</v>
      </c>
    </row>
    <row r="220" spans="1:26" ht="15" customHeight="1" x14ac:dyDescent="0.25">
      <c r="A220" s="4"/>
      <c r="B220" s="6" t="str">
        <f>IF(KENKO[[#This Row],[N_ID]]="","",INDEX(Table1[ID],MATCH(KENKO[[#This Row],[N_ID]],Table1[N_ID],0)))</f>
        <v/>
      </c>
      <c r="C220" s="6" t="str">
        <f>IF(KENKO[[#This Row],[ID NOTA]]="","",HYPERLINK("[NOTA_.xlsx]NOTA!e"&amp;INDEX([2]!PAJAK[//],MATCH(KENKO[[#This Row],[ID NOTA]],[2]!PAJAK[ID],0)),"&gt;") )</f>
        <v/>
      </c>
      <c r="D220" s="6" t="str">
        <f>IF(KENKO[[#This Row],[ID NOTA]]="","",INDEX(Table1[QB],MATCH(KENKO[[#This Row],[ID NOTA]],Table1[ID],0)))</f>
        <v/>
      </c>
      <c r="E22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827</v>
      </c>
      <c r="F220" s="6"/>
      <c r="G220" s="3" t="str">
        <f>IF(KENKO[[#This Row],[ID NOTA]]="","",INDEX([2]!NOTA[TGL_H],MATCH(KENKO[[#This Row],[ID NOTA]],[2]!NOTA[ID],0)))</f>
        <v/>
      </c>
      <c r="H220" s="3" t="str">
        <f>IF(KENKO[[#This Row],[ID NOTA]]="","",INDEX([2]!NOTA[TGL.NOTA],MATCH(KENKO[[#This Row],[ID NOTA]],[2]!NOTA[ID],0)))</f>
        <v/>
      </c>
      <c r="I220" s="18" t="str">
        <f>IF(KENKO[[#This Row],[ID NOTA]]="","",INDEX([2]!NOTA[NO.NOTA],MATCH(KENKO[[#This Row],[ID NOTA]],[2]!NOTA[ID],0)))</f>
        <v/>
      </c>
      <c r="J220" s="4" t="str">
        <f ca="1">IF(KENKO[[#This Row],[//]]="","",INDEX([4]!db[NB PAJAK],KENKO[[#This Row],[stt]]-1))</f>
        <v>STIP / PENGHAPUS KENKO ERW-40SQ PUTIH</v>
      </c>
      <c r="K220" s="6" t="str">
        <f>""</f>
        <v/>
      </c>
      <c r="L220" s="6">
        <f ca="1">IF(KENKO[[#This Row],[//]]="","",IF(INDEX([2]!NOTA[QTY],KENKO[//]-2)="",INDEX([2]!NOTA[C],KENKO[//]-2),INDEX([2]!NOTA[QTY],KENKO[//]-2)))</f>
        <v>5</v>
      </c>
      <c r="M220" s="6" t="str">
        <f ca="1">IF(KENKO[[#This Row],[//]]="","",IF(INDEX([2]!NOTA[STN],KENKO[//]-2)="","CTN",INDEX([2]!NOTA[STN],KENKO[//]-2)))</f>
        <v>CTN</v>
      </c>
      <c r="N220" s="5">
        <f ca="1">IF(KENKO[[#This Row],[//]]="","",IF(INDEX([2]!NOTA[HARGA/ CTN],KENKO[[#This Row],[//]]-2)="",INDEX([2]!NOTA[HARGA SATUAN],KENKO[//]-2),INDEX([2]!NOTA[HARGA/ CTN],KENKO[[#This Row],[//]]-2)))</f>
        <v>1375000</v>
      </c>
      <c r="O220" s="7" t="str">
        <f ca="1">IF(KENKO[[#This Row],[//]]="","",IF(INDEX([2]!NOTA[DISC 2],KENKO[[#This Row],[//]]-2)=0,"",INDEX([2]!NOTA[DISC 2],KENKO[[#This Row],[//]]-2)))</f>
        <v/>
      </c>
      <c r="P220" s="7"/>
      <c r="Q220" s="5">
        <f ca="1">IF(KENKO[[#This Row],[//]]="","",INDEX([2]!NOTA[JUMLAH],KENKO[[#This Row],[//]]-2)-IF(ISNUMBER(KENKO[[#This Row],[DISC 1 (%)]]),INDEX([2]!NOTA[JUMLAH],KENKO[[#This Row],[//]]-2)*KENKO[[#This Row],[DISC 1 (%)]],0))</f>
        <v>6875000</v>
      </c>
      <c r="R2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4" t="str">
        <f ca="1">IF(KENKO[[#This Row],[//]]="","",INDEX([2]!NOTA[NAMA BARANG],KENKO[[#This Row],[//]]-2))</f>
        <v>KENKO ERASER ERW-40SQ WHITE</v>
      </c>
      <c r="V220" s="4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220" s="6">
        <f ca="1">IF(KENKO[[#This Row],[concat]]="","",MATCH(KENKO[[#This Row],[concat]],[4]!db[NB NOTA_C],0)+1)</f>
        <v>1096</v>
      </c>
      <c r="X220" s="4" t="str">
        <f ca="1">IF(KENKO[[#This Row],[N.B.nota]]="","",ADDRESS(ROW(KENKO[QB]),COLUMN(KENKO[QB]))&amp;":"&amp;ADDRESS(ROW(),COLUMN(KENKO[QB])))</f>
        <v>$D$3:$D$220</v>
      </c>
      <c r="Y220" s="13" t="str">
        <f ca="1">IF(KENKO[[#This Row],[//]]="","",HYPERLINK("[..\\DB.xlsx]DB!e"&amp;KENKO[[#This Row],[stt]],"&gt;"))</f>
        <v>&gt;</v>
      </c>
      <c r="Z220" s="4">
        <f ca="1">IF(KENKO[[#This Row],[//]]="","",IF(KENKO[[#This Row],[ID NOTA]]="",Z219,KENKO[[#This Row],[ID NOTA]]))</f>
        <v>147</v>
      </c>
    </row>
    <row r="221" spans="1:26" ht="15" customHeight="1" x14ac:dyDescent="0.25">
      <c r="A221" s="4"/>
      <c r="B221" s="6" t="str">
        <f>IF(KENKO[[#This Row],[N_ID]]="","",INDEX(Table1[ID],MATCH(KENKO[[#This Row],[N_ID]],Table1[N_ID],0)))</f>
        <v/>
      </c>
      <c r="C221" s="6" t="str">
        <f>IF(KENKO[[#This Row],[ID NOTA]]="","",HYPERLINK("[NOTA_.xlsx]NOTA!e"&amp;INDEX([2]!PAJAK[//],MATCH(KENKO[[#This Row],[ID NOTA]],[2]!PAJAK[ID],0)),"&gt;") )</f>
        <v/>
      </c>
      <c r="D221" s="6" t="str">
        <f>IF(KENKO[[#This Row],[ID NOTA]]="","",INDEX(Table1[QB],MATCH(KENKO[[#This Row],[ID NOTA]],Table1[ID],0)))</f>
        <v/>
      </c>
      <c r="E22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828</v>
      </c>
      <c r="F221" s="6"/>
      <c r="G221" s="3" t="str">
        <f>IF(KENKO[[#This Row],[ID NOTA]]="","",INDEX([2]!NOTA[TGL_H],MATCH(KENKO[[#This Row],[ID NOTA]],[2]!NOTA[ID],0)))</f>
        <v/>
      </c>
      <c r="H221" s="3" t="str">
        <f>IF(KENKO[[#This Row],[ID NOTA]]="","",INDEX([2]!NOTA[TGL.NOTA],MATCH(KENKO[[#This Row],[ID NOTA]],[2]!NOTA[ID],0)))</f>
        <v/>
      </c>
      <c r="I221" s="18" t="str">
        <f>IF(KENKO[[#This Row],[ID NOTA]]="","",INDEX([2]!NOTA[NO.NOTA],MATCH(KENKO[[#This Row],[ID NOTA]],[2]!NOTA[ID],0)))</f>
        <v/>
      </c>
      <c r="J221" s="4" t="str">
        <f ca="1">IF(KENKO[[#This Row],[//]]="","",INDEX([4]!db[NB PAJAK],KENKO[[#This Row],[stt]]-1))</f>
        <v>LOOSE LEAF KENKO B5-LL 100-2670</v>
      </c>
      <c r="K221" s="6" t="str">
        <f>""</f>
        <v/>
      </c>
      <c r="L221" s="6">
        <f ca="1">IF(KENKO[[#This Row],[//]]="","",IF(INDEX([2]!NOTA[QTY],KENKO[//]-2)="",INDEX([2]!NOTA[C],KENKO[//]-2),INDEX([2]!NOTA[QTY],KENKO[//]-2)))</f>
        <v>2</v>
      </c>
      <c r="M221" s="6" t="str">
        <f ca="1">IF(KENKO[[#This Row],[//]]="","",IF(INDEX([2]!NOTA[STN],KENKO[//]-2)="","CTN",INDEX([2]!NOTA[STN],KENKO[//]-2)))</f>
        <v>CTN</v>
      </c>
      <c r="N221" s="5">
        <f ca="1">IF(KENKO[[#This Row],[//]]="","",IF(INDEX([2]!NOTA[HARGA/ CTN],KENKO[[#This Row],[//]]-2)="",INDEX([2]!NOTA[HARGA SATUAN],KENKO[//]-2),INDEX([2]!NOTA[HARGA/ CTN],KENKO[[#This Row],[//]]-2)))</f>
        <v>1040000</v>
      </c>
      <c r="O221" s="7" t="str">
        <f ca="1">IF(KENKO[[#This Row],[//]]="","",IF(INDEX([2]!NOTA[DISC 2],KENKO[[#This Row],[//]]-2)=0,"",INDEX([2]!NOTA[DISC 2],KENKO[[#This Row],[//]]-2)))</f>
        <v/>
      </c>
      <c r="P221" s="7"/>
      <c r="Q221" s="5">
        <f ca="1">IF(KENKO[[#This Row],[//]]="","",INDEX([2]!NOTA[JUMLAH],KENKO[[#This Row],[//]]-2)-IF(ISNUMBER(KENKO[[#This Row],[DISC 1 (%)]]),INDEX([2]!NOTA[JUMLAH],KENKO[[#This Row],[//]]-2)*KENKO[[#This Row],[DISC 1 (%)]],0))</f>
        <v>2080000</v>
      </c>
      <c r="R221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3052350</v>
      </c>
      <c r="S221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14902650</v>
      </c>
      <c r="T2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4" t="str">
        <f ca="1">IF(KENKO[[#This Row],[//]]="","",INDEX([2]!NOTA[NAMA BARANG],KENKO[[#This Row],[//]]-2))</f>
        <v>KENKO LOOSE LEAF B5-LL 100-2670</v>
      </c>
      <c r="V221" s="4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221" s="6">
        <f ca="1">IF(KENKO[[#This Row],[concat]]="","",MATCH(KENKO[[#This Row],[concat]],[4]!db[NB NOTA_C],0)+1)</f>
        <v>1165</v>
      </c>
      <c r="X221" s="4" t="str">
        <f ca="1">IF(KENKO[[#This Row],[N.B.nota]]="","",ADDRESS(ROW(KENKO[QB]),COLUMN(KENKO[QB]))&amp;":"&amp;ADDRESS(ROW(),COLUMN(KENKO[QB])))</f>
        <v>$D$3:$D$221</v>
      </c>
      <c r="Y221" s="13" t="str">
        <f ca="1">IF(KENKO[[#This Row],[//]]="","",HYPERLINK("[..\\DB.xlsx]DB!e"&amp;KENKO[[#This Row],[stt]],"&gt;"))</f>
        <v>&gt;</v>
      </c>
      <c r="Z221" s="4">
        <f ca="1">IF(KENKO[[#This Row],[//]]="","",IF(KENKO[[#This Row],[ID NOTA]]="",Z220,KENKO[[#This Row],[ID NOTA]]))</f>
        <v>147</v>
      </c>
    </row>
    <row r="222" spans="1:26" ht="15" customHeight="1" x14ac:dyDescent="0.25">
      <c r="A222" s="4"/>
      <c r="B222" s="6" t="str">
        <f>IF(KENKO[[#This Row],[N_ID]]="","",INDEX(Table1[ID],MATCH(KENKO[[#This Row],[N_ID]],Table1[N_ID],0)))</f>
        <v/>
      </c>
      <c r="C222" s="6" t="str">
        <f>IF(KENKO[[#This Row],[ID NOTA]]="","",HYPERLINK("[NOTA_.xlsx]NOTA!e"&amp;INDEX([2]!PAJAK[//],MATCH(KENKO[[#This Row],[ID NOTA]],[2]!PAJAK[ID],0)),"&gt;") )</f>
        <v/>
      </c>
      <c r="D222" s="6" t="str">
        <f>IF(KENKO[[#This Row],[ID NOTA]]="","",INDEX(Table1[QB],MATCH(KENKO[[#This Row],[ID NOTA]],Table1[ID],0)))</f>
        <v/>
      </c>
      <c r="E22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2" s="6"/>
      <c r="G222" s="3" t="str">
        <f>IF(KENKO[[#This Row],[ID NOTA]]="","",INDEX([2]!NOTA[TGL_H],MATCH(KENKO[[#This Row],[ID NOTA]],[2]!NOTA[ID],0)))</f>
        <v/>
      </c>
      <c r="H222" s="3" t="str">
        <f>IF(KENKO[[#This Row],[ID NOTA]]="","",INDEX([2]!NOTA[TGL.NOTA],MATCH(KENKO[[#This Row],[ID NOTA]],[2]!NOTA[ID],0)))</f>
        <v/>
      </c>
      <c r="I222" s="18" t="str">
        <f>IF(KENKO[[#This Row],[ID NOTA]]="","",INDEX([2]!NOTA[NO.NOTA],MATCH(KENKO[[#This Row],[ID NOTA]],[2]!NOTA[ID],0)))</f>
        <v/>
      </c>
      <c r="J222" s="4" t="str">
        <f ca="1">IF(KENKO[[#This Row],[//]]="","",INDEX([4]!db[NB PAJAK],KENKO[[#This Row],[stt]]-1))</f>
        <v/>
      </c>
      <c r="K222" s="6" t="str">
        <f>""</f>
        <v/>
      </c>
      <c r="L222" s="6" t="str">
        <f ca="1">IF(KENKO[[#This Row],[//]]="","",IF(INDEX([2]!NOTA[QTY],KENKO[//]-2)="",INDEX([2]!NOTA[C],KENKO[//]-2),INDEX([2]!NOTA[QTY],KENKO[//]-2)))</f>
        <v/>
      </c>
      <c r="M222" s="6" t="str">
        <f ca="1">IF(KENKO[[#This Row],[//]]="","",IF(INDEX([2]!NOTA[STN],KENKO[//]-2)="","CTN",INDEX([2]!NOTA[STN],KENKO[//]-2)))</f>
        <v/>
      </c>
      <c r="N222" s="5" t="str">
        <f ca="1">IF(KENKO[[#This Row],[//]]="","",IF(INDEX([2]!NOTA[HARGA/ CTN],KENKO[[#This Row],[//]]-2)="",INDEX([2]!NOTA[HARGA SATUAN],KENKO[//]-2),INDEX([2]!NOTA[HARGA/ CTN],KENKO[[#This Row],[//]]-2)))</f>
        <v/>
      </c>
      <c r="O222" s="7" t="str">
        <f ca="1">IF(KENKO[[#This Row],[//]]="","",IF(INDEX([2]!NOTA[DISC 2],KENKO[[#This Row],[//]]-2)=0,"",INDEX([2]!NOTA[DISC 2],KENKO[[#This Row],[//]]-2)))</f>
        <v/>
      </c>
      <c r="P222" s="7"/>
      <c r="Q22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4" t="str">
        <f ca="1">IF(KENKO[[#This Row],[//]]="","",INDEX([2]!NOTA[NAMA BARANG],KENKO[[#This Row],[//]]-2))</f>
        <v/>
      </c>
      <c r="V222" s="4" t="str">
        <f ca="1">LOWER(SUBSTITUTE(SUBSTITUTE(SUBSTITUTE(SUBSTITUTE(SUBSTITUTE(SUBSTITUTE(SUBSTITUTE(SUBSTITUTE(KENKO[[#This Row],[N.B.nota]]," ",""),"-",""),"(",""),")",""),".",""),",",""),"/",""),"""",""))</f>
        <v/>
      </c>
      <c r="W222" s="6" t="str">
        <f ca="1">IF(KENKO[[#This Row],[concat]]="","",MATCH(KENKO[[#This Row],[concat]],[4]!db[NB NOTA_C],0)+1)</f>
        <v/>
      </c>
      <c r="X222" s="4" t="str">
        <f ca="1">IF(KENKO[[#This Row],[N.B.nota]]="","",ADDRESS(ROW(KENKO[QB]),COLUMN(KENKO[QB]))&amp;":"&amp;ADDRESS(ROW(),COLUMN(KENKO[QB])))</f>
        <v/>
      </c>
      <c r="Y222" s="13" t="str">
        <f ca="1">IF(KENKO[[#This Row],[//]]="","",HYPERLINK("[..\\DB.xlsx]DB!e"&amp;KENKO[[#This Row],[stt]],"&gt;"))</f>
        <v/>
      </c>
      <c r="Z222" s="4" t="str">
        <f ca="1">IF(KENKO[[#This Row],[//]]="","",IF(KENKO[[#This Row],[ID NOTA]]="",Z221,KENKO[[#This Row],[ID NOTA]]))</f>
        <v/>
      </c>
    </row>
    <row r="223" spans="1:26" ht="15" customHeight="1" x14ac:dyDescent="0.25">
      <c r="A223" s="4" t="s">
        <v>133</v>
      </c>
      <c r="B223" s="6">
        <f ca="1">IF(KENKO[[#This Row],[N_ID]]="","",INDEX(Table1[ID],MATCH(KENKO[[#This Row],[N_ID]],Table1[N_ID],0)))</f>
        <v>143</v>
      </c>
      <c r="C223" s="6" t="str">
        <f ca="1">IF(KENKO[[#This Row],[ID NOTA]]="","",HYPERLINK("[NOTA_.xlsx]NOTA!e"&amp;INDEX([2]!PAJAK[//],MATCH(KENKO[[#This Row],[ID NOTA]],[2]!PAJAK[ID],0)),"&gt;") )</f>
        <v>&gt;</v>
      </c>
      <c r="D223" s="6">
        <f ca="1">IF(KENKO[[#This Row],[ID NOTA]]="","",INDEX(Table1[QB],MATCH(KENKO[[#This Row],[ID NOTA]],Table1[ID],0)))</f>
        <v>5</v>
      </c>
      <c r="E22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805</v>
      </c>
      <c r="F223" s="6">
        <v>31</v>
      </c>
      <c r="G223" s="3">
        <f ca="1">IF(KENKO[[#This Row],[ID NOTA]]="","",INDEX([2]!NOTA[TGL_H],MATCH(KENKO[[#This Row],[ID NOTA]],[2]!NOTA[ID],0)))</f>
        <v>44834</v>
      </c>
      <c r="H223" s="3">
        <f ca="1">IF(KENKO[[#This Row],[ID NOTA]]="","",INDEX([2]!NOTA[TGL.NOTA],MATCH(KENKO[[#This Row],[ID NOTA]],[2]!NOTA[ID],0)))</f>
        <v>44830</v>
      </c>
      <c r="I223" s="18" t="str">
        <f ca="1">IF(KENKO[[#This Row],[ID NOTA]]="","",INDEX([2]!NOTA[NO.NOTA],MATCH(KENKO[[#This Row],[ID NOTA]],[2]!NOTA[ID],0)))</f>
        <v>22092145</v>
      </c>
      <c r="J223" s="4" t="str">
        <f ca="1">IF(KENKO[[#This Row],[//]]="","",INDEX([4]!db[NB PAJAK],KENKO[[#This Row],[stt]]-1))</f>
        <v>GEL PEN KENKO HI-TECH-H 0.28 MM HITAM</v>
      </c>
      <c r="K223" s="6" t="str">
        <f>""</f>
        <v/>
      </c>
      <c r="L223" s="6">
        <f ca="1">IF(KENKO[[#This Row],[//]]="","",IF(INDEX([2]!NOTA[QTY],KENKO[//]-2)="",INDEX([2]!NOTA[C],KENKO[//]-2),INDEX([2]!NOTA[QTY],KENKO[//]-2)))</f>
        <v>10</v>
      </c>
      <c r="M223" s="6" t="str">
        <f ca="1">IF(KENKO[[#This Row],[//]]="","",IF(INDEX([2]!NOTA[STN],KENKO[//]-2)="","CTN",INDEX([2]!NOTA[STN],KENKO[//]-2)))</f>
        <v>CTN</v>
      </c>
      <c r="N223" s="5">
        <f ca="1">IF(KENKO[[#This Row],[//]]="","",IF(INDEX([2]!NOTA[HARGA/ CTN],KENKO[[#This Row],[//]]-2)="",INDEX([2]!NOTA[HARGA SATUAN],KENKO[//]-2),INDEX([2]!NOTA[HARGA/ CTN],KENKO[[#This Row],[//]]-2)))</f>
        <v>5616000</v>
      </c>
      <c r="O223" s="7" t="str">
        <f ca="1">IF(KENKO[[#This Row],[//]]="","",IF(INDEX([2]!NOTA[DISC 2],KENKO[[#This Row],[//]]-2)=0,"",INDEX([2]!NOTA[DISC 2],KENKO[[#This Row],[//]]-2)))</f>
        <v/>
      </c>
      <c r="P223" s="7"/>
      <c r="Q223" s="5">
        <f ca="1">IF(KENKO[[#This Row],[//]]="","",INDEX([2]!NOTA[JUMLAH],KENKO[[#This Row],[//]]-2)-IF(ISNUMBER(KENKO[[#This Row],[DISC 1 (%)]]),INDEX([2]!NOTA[JUMLAH],KENKO[[#This Row],[//]]-2)*KENKO[[#This Row],[DISC 1 (%)]],0))</f>
        <v>56160000</v>
      </c>
      <c r="R2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4" t="str">
        <f ca="1">IF(KENKO[[#This Row],[//]]="","",INDEX([2]!NOTA[NAMA BARANG],KENKO[[#This Row],[//]]-2))</f>
        <v>KENKO GEL PEN HI-TECH-H 0.28MM BLACK</v>
      </c>
      <c r="V223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223" s="6">
        <f ca="1">IF(KENKO[[#This Row],[concat]]="","",MATCH(KENKO[[#This Row],[concat]],[4]!db[NB NOTA_C],0)+1)</f>
        <v>1103</v>
      </c>
      <c r="X223" s="4" t="str">
        <f ca="1">IF(KENKO[[#This Row],[N.B.nota]]="","",ADDRESS(ROW(KENKO[QB]),COLUMN(KENKO[QB]))&amp;":"&amp;ADDRESS(ROW(),COLUMN(KENKO[QB])))</f>
        <v>$D$3:$D$223</v>
      </c>
      <c r="Y223" s="13" t="str">
        <f ca="1">IF(KENKO[[#This Row],[//]]="","",HYPERLINK("[..\\DB.xlsx]DB!e"&amp;KENKO[[#This Row],[stt]],"&gt;"))</f>
        <v>&gt;</v>
      </c>
      <c r="Z223" s="4">
        <f ca="1">IF(KENKO[[#This Row],[//]]="","",IF(KENKO[[#This Row],[ID NOTA]]="",Z222,KENKO[[#This Row],[ID NOTA]]))</f>
        <v>143</v>
      </c>
    </row>
    <row r="224" spans="1:26" ht="15" customHeight="1" x14ac:dyDescent="0.25">
      <c r="A224" s="4"/>
      <c r="B224" s="6" t="str">
        <f>IF(KENKO[[#This Row],[N_ID]]="","",INDEX(Table1[ID],MATCH(KENKO[[#This Row],[N_ID]],Table1[N_ID],0)))</f>
        <v/>
      </c>
      <c r="C224" s="6" t="str">
        <f>IF(KENKO[[#This Row],[ID NOTA]]="","",HYPERLINK("[NOTA_.xlsx]NOTA!e"&amp;INDEX([2]!PAJAK[//],MATCH(KENKO[[#This Row],[ID NOTA]],[2]!PAJAK[ID],0)),"&gt;") )</f>
        <v/>
      </c>
      <c r="D224" s="6" t="str">
        <f>IF(KENKO[[#This Row],[ID NOTA]]="","",INDEX(Table1[QB],MATCH(KENKO[[#This Row],[ID NOTA]],Table1[ID],0)))</f>
        <v/>
      </c>
      <c r="E22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806</v>
      </c>
      <c r="F224" s="6"/>
      <c r="G224" s="3" t="str">
        <f>IF(KENKO[[#This Row],[ID NOTA]]="","",INDEX([2]!NOTA[TGL_H],MATCH(KENKO[[#This Row],[ID NOTA]],[2]!NOTA[ID],0)))</f>
        <v/>
      </c>
      <c r="H224" s="3" t="str">
        <f>IF(KENKO[[#This Row],[ID NOTA]]="","",INDEX([2]!NOTA[TGL.NOTA],MATCH(KENKO[[#This Row],[ID NOTA]],[2]!NOTA[ID],0)))</f>
        <v/>
      </c>
      <c r="I224" s="18" t="str">
        <f>IF(KENKO[[#This Row],[ID NOTA]]="","",INDEX([2]!NOTA[NO.NOTA],MATCH(KENKO[[#This Row],[ID NOTA]],[2]!NOTA[ID],0)))</f>
        <v/>
      </c>
      <c r="J224" s="4" t="str">
        <f ca="1">IF(KENKO[[#This Row],[//]]="","",INDEX([4]!db[NB PAJAK],KENKO[[#This Row],[stt]]-1))</f>
        <v>PLAKBAND KAIN HITAM KENKO 48 MM (2") BLUE CORE</v>
      </c>
      <c r="K224" s="6" t="str">
        <f>""</f>
        <v/>
      </c>
      <c r="L224" s="6">
        <f ca="1">IF(KENKO[[#This Row],[//]]="","",IF(INDEX([2]!NOTA[QTY],KENKO[//]-2)="",INDEX([2]!NOTA[C],KENKO[//]-2),INDEX([2]!NOTA[QTY],KENKO[//]-2)))</f>
        <v>4</v>
      </c>
      <c r="M224" s="6" t="str">
        <f ca="1">IF(KENKO[[#This Row],[//]]="","",IF(INDEX([2]!NOTA[STN],KENKO[//]-2)="","CTN",INDEX([2]!NOTA[STN],KENKO[//]-2)))</f>
        <v>CTN</v>
      </c>
      <c r="N224" s="5">
        <f ca="1">IF(KENKO[[#This Row],[//]]="","",IF(INDEX([2]!NOTA[HARGA/ CTN],KENKO[[#This Row],[//]]-2)="",INDEX([2]!NOTA[HARGA SATUAN],KENKO[//]-2),INDEX([2]!NOTA[HARGA/ CTN],KENKO[[#This Row],[//]]-2)))</f>
        <v>732000</v>
      </c>
      <c r="O224" s="7" t="str">
        <f ca="1">IF(KENKO[[#This Row],[//]]="","",IF(INDEX([2]!NOTA[DISC 2],KENKO[[#This Row],[//]]-2)=0,"",INDEX([2]!NOTA[DISC 2],KENKO[[#This Row],[//]]-2)))</f>
        <v/>
      </c>
      <c r="P224" s="7"/>
      <c r="Q224" s="5">
        <f ca="1">IF(KENKO[[#This Row],[//]]="","",INDEX([2]!NOTA[JUMLAH],KENKO[[#This Row],[//]]-2)-IF(ISNUMBER(KENKO[[#This Row],[DISC 1 (%)]]),INDEX([2]!NOTA[JUMLAH],KENKO[[#This Row],[//]]-2)*KENKO[[#This Row],[DISC 1 (%)]],0))</f>
        <v>2928000</v>
      </c>
      <c r="R2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4" t="str">
        <f ca="1">IF(KENKO[[#This Row],[//]]="","",INDEX([2]!NOTA[NAMA BARANG],KENKO[[#This Row],[//]]-2))</f>
        <v>KENKO CLOTH TAPE 48 MM BLUE CORE - BLACK (CARD)</v>
      </c>
      <c r="V224" s="4" t="str">
        <f ca="1">LOWER(SUBSTITUTE(SUBSTITUTE(SUBSTITUTE(SUBSTITUTE(SUBSTITUTE(SUBSTITUTE(SUBSTITUTE(SUBSTITUTE(KENKO[[#This Row],[N.B.nota]]," ",""),"-",""),"(",""),")",""),".",""),",",""),"/",""),"""",""))</f>
        <v>kenkoclothtape48mmbluecoreblackcard</v>
      </c>
      <c r="W224" s="6">
        <f ca="1">IF(KENKO[[#This Row],[concat]]="","",MATCH(KENKO[[#This Row],[concat]],[4]!db[NB NOTA_C],0)+1)</f>
        <v>1041</v>
      </c>
      <c r="X224" s="4" t="str">
        <f ca="1">IF(KENKO[[#This Row],[N.B.nota]]="","",ADDRESS(ROW(KENKO[QB]),COLUMN(KENKO[QB]))&amp;":"&amp;ADDRESS(ROW(),COLUMN(KENKO[QB])))</f>
        <v>$D$3:$D$224</v>
      </c>
      <c r="Y224" s="13" t="str">
        <f ca="1">IF(KENKO[[#This Row],[//]]="","",HYPERLINK("[..\\DB.xlsx]DB!e"&amp;KENKO[[#This Row],[stt]],"&gt;"))</f>
        <v>&gt;</v>
      </c>
      <c r="Z224" s="4">
        <f ca="1">IF(KENKO[[#This Row],[//]]="","",IF(KENKO[[#This Row],[ID NOTA]]="",Z223,KENKO[[#This Row],[ID NOTA]]))</f>
        <v>143</v>
      </c>
    </row>
    <row r="225" spans="1:26" ht="15" customHeight="1" x14ac:dyDescent="0.25">
      <c r="A225" s="4"/>
      <c r="B225" s="6" t="str">
        <f>IF(KENKO[[#This Row],[N_ID]]="","",INDEX(Table1[ID],MATCH(KENKO[[#This Row],[N_ID]],Table1[N_ID],0)))</f>
        <v/>
      </c>
      <c r="C225" s="6" t="str">
        <f>IF(KENKO[[#This Row],[ID NOTA]]="","",HYPERLINK("[NOTA_.xlsx]NOTA!e"&amp;INDEX([2]!PAJAK[//],MATCH(KENKO[[#This Row],[ID NOTA]],[2]!PAJAK[ID],0)),"&gt;") )</f>
        <v/>
      </c>
      <c r="D225" s="6" t="str">
        <f>IF(KENKO[[#This Row],[ID NOTA]]="","",INDEX(Table1[QB],MATCH(KENKO[[#This Row],[ID NOTA]],Table1[ID],0)))</f>
        <v/>
      </c>
      <c r="E22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807</v>
      </c>
      <c r="F225" s="6"/>
      <c r="G225" s="3" t="str">
        <f>IF(KENKO[[#This Row],[ID NOTA]]="","",INDEX([2]!NOTA[TGL_H],MATCH(KENKO[[#This Row],[ID NOTA]],[2]!NOTA[ID],0)))</f>
        <v/>
      </c>
      <c r="H225" s="3" t="str">
        <f>IF(KENKO[[#This Row],[ID NOTA]]="","",INDEX([2]!NOTA[TGL.NOTA],MATCH(KENKO[[#This Row],[ID NOTA]],[2]!NOTA[ID],0)))</f>
        <v/>
      </c>
      <c r="I225" s="18" t="str">
        <f>IF(KENKO[[#This Row],[ID NOTA]]="","",INDEX([2]!NOTA[NO.NOTA],MATCH(KENKO[[#This Row],[ID NOTA]],[2]!NOTA[ID],0)))</f>
        <v/>
      </c>
      <c r="J225" s="4" t="str">
        <f ca="1">IF(KENKO[[#This Row],[//]]="","",INDEX([4]!db[NB PAJAK],KENKO[[#This Row],[stt]]-1))</f>
        <v>PENSIL KENKO 2B-6373 METALIK</v>
      </c>
      <c r="K225" s="6" t="str">
        <f>""</f>
        <v/>
      </c>
      <c r="L225" s="6">
        <f ca="1">IF(KENKO[[#This Row],[//]]="","",IF(INDEX([2]!NOTA[QTY],KENKO[//]-2)="",INDEX([2]!NOTA[C],KENKO[//]-2),INDEX([2]!NOTA[QTY],KENKO[//]-2)))</f>
        <v>1</v>
      </c>
      <c r="M225" s="6" t="str">
        <f ca="1">IF(KENKO[[#This Row],[//]]="","",IF(INDEX([2]!NOTA[STN],KENKO[//]-2)="","CTN",INDEX([2]!NOTA[STN],KENKO[//]-2)))</f>
        <v>CTN</v>
      </c>
      <c r="N225" s="5">
        <f ca="1">IF(KENKO[[#This Row],[//]]="","",IF(INDEX([2]!NOTA[HARGA/ CTN],KENKO[[#This Row],[//]]-2)="",INDEX([2]!NOTA[HARGA SATUAN],KENKO[//]-2),INDEX([2]!NOTA[HARGA/ CTN],KENKO[[#This Row],[//]]-2)))</f>
        <v>2160000</v>
      </c>
      <c r="O225" s="7" t="str">
        <f ca="1">IF(KENKO[[#This Row],[//]]="","",IF(INDEX([2]!NOTA[DISC 2],KENKO[[#This Row],[//]]-2)=0,"",INDEX([2]!NOTA[DISC 2],KENKO[[#This Row],[//]]-2)))</f>
        <v/>
      </c>
      <c r="P225" s="7"/>
      <c r="Q225" s="5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2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5" s="4" t="str">
        <f ca="1">IF(KENKO[[#This Row],[//]]="","",INDEX([2]!NOTA[NAMA BARANG],KENKO[[#This Row],[//]]-2))</f>
        <v>KENKO PENCIL 2B-6373 METALLIC</v>
      </c>
      <c r="V225" s="4" t="str">
        <f ca="1">LOWER(SUBSTITUTE(SUBSTITUTE(SUBSTITUTE(SUBSTITUTE(SUBSTITUTE(SUBSTITUTE(SUBSTITUTE(SUBSTITUTE(KENKO[[#This Row],[N.B.nota]]," ",""),"-",""),"(",""),")",""),".",""),",",""),"/",""),"""",""))</f>
        <v>kenkopencil2b6373metallic</v>
      </c>
      <c r="W225" s="6">
        <f ca="1">IF(KENKO[[#This Row],[concat]]="","",MATCH(KENKO[[#This Row],[concat]],[4]!db[NB NOTA_C],0)+1)</f>
        <v>1188</v>
      </c>
      <c r="X225" s="4" t="str">
        <f ca="1">IF(KENKO[[#This Row],[N.B.nota]]="","",ADDRESS(ROW(KENKO[QB]),COLUMN(KENKO[QB]))&amp;":"&amp;ADDRESS(ROW(),COLUMN(KENKO[QB])))</f>
        <v>$D$3:$D$225</v>
      </c>
      <c r="Y225" s="13" t="str">
        <f ca="1">IF(KENKO[[#This Row],[//]]="","",HYPERLINK("[..\\DB.xlsx]DB!e"&amp;KENKO[[#This Row],[stt]],"&gt;"))</f>
        <v>&gt;</v>
      </c>
      <c r="Z225" s="4">
        <f ca="1">IF(KENKO[[#This Row],[//]]="","",IF(KENKO[[#This Row],[ID NOTA]]="",Z224,KENKO[[#This Row],[ID NOTA]]))</f>
        <v>143</v>
      </c>
    </row>
    <row r="226" spans="1:26" ht="15" customHeight="1" x14ac:dyDescent="0.25">
      <c r="A226" s="4"/>
      <c r="B226" s="6" t="str">
        <f>IF(KENKO[[#This Row],[N_ID]]="","",INDEX(Table1[ID],MATCH(KENKO[[#This Row],[N_ID]],Table1[N_ID],0)))</f>
        <v/>
      </c>
      <c r="C226" s="6" t="str">
        <f>IF(KENKO[[#This Row],[ID NOTA]]="","",HYPERLINK("[NOTA_.xlsx]NOTA!e"&amp;INDEX([2]!PAJAK[//],MATCH(KENKO[[#This Row],[ID NOTA]],[2]!PAJAK[ID],0)),"&gt;") )</f>
        <v/>
      </c>
      <c r="D226" s="6" t="str">
        <f>IF(KENKO[[#This Row],[ID NOTA]]="","",INDEX(Table1[QB],MATCH(KENKO[[#This Row],[ID NOTA]],Table1[ID],0)))</f>
        <v/>
      </c>
      <c r="E22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808</v>
      </c>
      <c r="F226" s="6"/>
      <c r="G226" s="3" t="str">
        <f>IF(KENKO[[#This Row],[ID NOTA]]="","",INDEX([2]!NOTA[TGL_H],MATCH(KENKO[[#This Row],[ID NOTA]],[2]!NOTA[ID],0)))</f>
        <v/>
      </c>
      <c r="H226" s="3" t="str">
        <f>IF(KENKO[[#This Row],[ID NOTA]]="","",INDEX([2]!NOTA[TGL.NOTA],MATCH(KENKO[[#This Row],[ID NOTA]],[2]!NOTA[ID],0)))</f>
        <v/>
      </c>
      <c r="I226" s="18" t="str">
        <f>IF(KENKO[[#This Row],[ID NOTA]]="","",INDEX([2]!NOTA[NO.NOTA],MATCH(KENKO[[#This Row],[ID NOTA]],[2]!NOTA[ID],0)))</f>
        <v/>
      </c>
      <c r="J226" s="4" t="str">
        <f ca="1">IF(KENKO[[#This Row],[//]]="","",INDEX([4]!db[NB PAJAK],KENKO[[#This Row],[stt]]-1))</f>
        <v>PENCIL KENKO 2B-6388 ZOO N ZOO</v>
      </c>
      <c r="K226" s="6" t="str">
        <f>""</f>
        <v/>
      </c>
      <c r="L226" s="6">
        <f ca="1">IF(KENKO[[#This Row],[//]]="","",IF(INDEX([2]!NOTA[QTY],KENKO[//]-2)="",INDEX([2]!NOTA[C],KENKO[//]-2),INDEX([2]!NOTA[QTY],KENKO[//]-2)))</f>
        <v>1</v>
      </c>
      <c r="M226" s="6" t="str">
        <f ca="1">IF(KENKO[[#This Row],[//]]="","",IF(INDEX([2]!NOTA[STN],KENKO[//]-2)="","CTN",INDEX([2]!NOTA[STN],KENKO[//]-2)))</f>
        <v>CTN</v>
      </c>
      <c r="N226" s="5">
        <f ca="1">IF(KENKO[[#This Row],[//]]="","",IF(INDEX([2]!NOTA[HARGA/ CTN],KENKO[[#This Row],[//]]-2)="",INDEX([2]!NOTA[HARGA SATUAN],KENKO[//]-2),INDEX([2]!NOTA[HARGA/ CTN],KENKO[[#This Row],[//]]-2)))</f>
        <v>2256000</v>
      </c>
      <c r="O226" s="7" t="str">
        <f ca="1">IF(KENKO[[#This Row],[//]]="","",IF(INDEX([2]!NOTA[DISC 2],KENKO[[#This Row],[//]]-2)=0,"",INDEX([2]!NOTA[DISC 2],KENKO[[#This Row],[//]]-2)))</f>
        <v/>
      </c>
      <c r="P226" s="7"/>
      <c r="Q226" s="5">
        <f ca="1">IF(KENKO[[#This Row],[//]]="","",INDEX([2]!NOTA[JUMLAH],KENKO[[#This Row],[//]]-2)-IF(ISNUMBER(KENKO[[#This Row],[DISC 1 (%)]]),INDEX([2]!NOTA[JUMLAH],KENKO[[#This Row],[//]]-2)*KENKO[[#This Row],[DISC 1 (%)]],0))</f>
        <v>2256000</v>
      </c>
      <c r="R2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6" s="4" t="str">
        <f ca="1">IF(KENKO[[#This Row],[//]]="","",INDEX([2]!NOTA[NAMA BARANG],KENKO[[#This Row],[//]]-2))</f>
        <v>KENKO PENCIL 2B-6388 ZOO N ZOO</v>
      </c>
      <c r="V226" s="4" t="str">
        <f ca="1">LOWER(SUBSTITUTE(SUBSTITUTE(SUBSTITUTE(SUBSTITUTE(SUBSTITUTE(SUBSTITUTE(SUBSTITUTE(SUBSTITUTE(KENKO[[#This Row],[N.B.nota]]," ",""),"-",""),"(",""),")",""),".",""),",",""),"/",""),"""",""))</f>
        <v>kenkopencil2b6388zoonzoo</v>
      </c>
      <c r="W226" s="6">
        <f ca="1">IF(KENKO[[#This Row],[concat]]="","",MATCH(KENKO[[#This Row],[concat]],[4]!db[NB NOTA_C],0)+1)</f>
        <v>1189</v>
      </c>
      <c r="X226" s="4" t="str">
        <f ca="1">IF(KENKO[[#This Row],[N.B.nota]]="","",ADDRESS(ROW(KENKO[QB]),COLUMN(KENKO[QB]))&amp;":"&amp;ADDRESS(ROW(),COLUMN(KENKO[QB])))</f>
        <v>$D$3:$D$226</v>
      </c>
      <c r="Y226" s="13" t="str">
        <f ca="1">IF(KENKO[[#This Row],[//]]="","",HYPERLINK("[..\\DB.xlsx]DB!e"&amp;KENKO[[#This Row],[stt]],"&gt;"))</f>
        <v>&gt;</v>
      </c>
      <c r="Z226" s="4">
        <f ca="1">IF(KENKO[[#This Row],[//]]="","",IF(KENKO[[#This Row],[ID NOTA]]="",Z225,KENKO[[#This Row],[ID NOTA]]))</f>
        <v>143</v>
      </c>
    </row>
    <row r="227" spans="1:26" ht="15" customHeight="1" x14ac:dyDescent="0.25">
      <c r="A227" s="4"/>
      <c r="B227" s="6" t="str">
        <f>IF(KENKO[[#This Row],[N_ID]]="","",INDEX(Table1[ID],MATCH(KENKO[[#This Row],[N_ID]],Table1[N_ID],0)))</f>
        <v/>
      </c>
      <c r="C227" s="6" t="str">
        <f>IF(KENKO[[#This Row],[ID NOTA]]="","",HYPERLINK("[NOTA_.xlsx]NOTA!e"&amp;INDEX([2]!PAJAK[//],MATCH(KENKO[[#This Row],[ID NOTA]],[2]!PAJAK[ID],0)),"&gt;") )</f>
        <v/>
      </c>
      <c r="D227" s="6" t="str">
        <f>IF(KENKO[[#This Row],[ID NOTA]]="","",INDEX(Table1[QB],MATCH(KENKO[[#This Row],[ID NOTA]],Table1[ID],0)))</f>
        <v/>
      </c>
      <c r="E22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809</v>
      </c>
      <c r="F227" s="6"/>
      <c r="G227" s="3" t="str">
        <f>IF(KENKO[[#This Row],[ID NOTA]]="","",INDEX([2]!NOTA[TGL_H],MATCH(KENKO[[#This Row],[ID NOTA]],[2]!NOTA[ID],0)))</f>
        <v/>
      </c>
      <c r="H227" s="3" t="str">
        <f>IF(KENKO[[#This Row],[ID NOTA]]="","",INDEX([2]!NOTA[TGL.NOTA],MATCH(KENKO[[#This Row],[ID NOTA]],[2]!NOTA[ID],0)))</f>
        <v/>
      </c>
      <c r="I227" s="18" t="str">
        <f>IF(KENKO[[#This Row],[ID NOTA]]="","",INDEX([2]!NOTA[NO.NOTA],MATCH(KENKO[[#This Row],[ID NOTA]],[2]!NOTA[ID],0)))</f>
        <v/>
      </c>
      <c r="J227" s="4" t="str">
        <f ca="1">IF(KENKO[[#This Row],[//]]="","",INDEX([4]!db[NB PAJAK],KENKO[[#This Row],[stt]]-1))</f>
        <v>PENSIL KENKO 2B-3181 TRIANGULAR  HITAM CAP MERAH</v>
      </c>
      <c r="K227" s="6" t="str">
        <f>""</f>
        <v/>
      </c>
      <c r="L227" s="6">
        <f ca="1">IF(KENKO[[#This Row],[//]]="","",IF(INDEX([2]!NOTA[QTY],KENKO[//]-2)="",INDEX([2]!NOTA[C],KENKO[//]-2),INDEX([2]!NOTA[QTY],KENKO[//]-2)))</f>
        <v>1</v>
      </c>
      <c r="M227" s="6" t="str">
        <f ca="1">IF(KENKO[[#This Row],[//]]="","",IF(INDEX([2]!NOTA[STN],KENKO[//]-2)="","CTN",INDEX([2]!NOTA[STN],KENKO[//]-2)))</f>
        <v>CTN</v>
      </c>
      <c r="N227" s="5">
        <f ca="1">IF(KENKO[[#This Row],[//]]="","",IF(INDEX([2]!NOTA[HARGA/ CTN],KENKO[[#This Row],[//]]-2)="",INDEX([2]!NOTA[HARGA SATUAN],KENKO[//]-2),INDEX([2]!NOTA[HARGA/ CTN],KENKO[[#This Row],[//]]-2)))</f>
        <v>2112000</v>
      </c>
      <c r="O227" s="7" t="str">
        <f ca="1">IF(KENKO[[#This Row],[//]]="","",IF(INDEX([2]!NOTA[DISC 2],KENKO[[#This Row],[//]]-2)=0,"",INDEX([2]!NOTA[DISC 2],KENKO[[#This Row],[//]]-2)))</f>
        <v/>
      </c>
      <c r="P227" s="7"/>
      <c r="Q227" s="5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227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11154720</v>
      </c>
      <c r="S227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54461280</v>
      </c>
      <c r="T2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7" s="4" t="str">
        <f ca="1">IF(KENKO[[#This Row],[//]]="","",INDEX([2]!NOTA[NAMA BARANG],KENKO[[#This Row],[//]]-2))</f>
        <v>KENKO PENCIL 2B-3181 HITAM CAP MERAH</v>
      </c>
      <c r="V227" s="4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227" s="6">
        <f ca="1">IF(KENKO[[#This Row],[concat]]="","",MATCH(KENKO[[#This Row],[concat]],[4]!db[NB NOTA_C],0)+1)</f>
        <v>1183</v>
      </c>
      <c r="X227" s="4" t="str">
        <f ca="1">IF(KENKO[[#This Row],[N.B.nota]]="","",ADDRESS(ROW(KENKO[QB]),COLUMN(KENKO[QB]))&amp;":"&amp;ADDRESS(ROW(),COLUMN(KENKO[QB])))</f>
        <v>$D$3:$D$227</v>
      </c>
      <c r="Y227" s="13" t="str">
        <f ca="1">IF(KENKO[[#This Row],[//]]="","",HYPERLINK("[..\\DB.xlsx]DB!e"&amp;KENKO[[#This Row],[stt]],"&gt;"))</f>
        <v>&gt;</v>
      </c>
      <c r="Z227" s="4">
        <f ca="1">IF(KENKO[[#This Row],[//]]="","",IF(KENKO[[#This Row],[ID NOTA]]="",Z226,KENKO[[#This Row],[ID NOTA]]))</f>
        <v>143</v>
      </c>
    </row>
    <row r="228" spans="1:26" ht="15" customHeight="1" x14ac:dyDescent="0.25">
      <c r="A228" s="4"/>
      <c r="B228" s="6" t="str">
        <f>IF(KENKO[[#This Row],[N_ID]]="","",INDEX(Table1[ID],MATCH(KENKO[[#This Row],[N_ID]],Table1[N_ID],0)))</f>
        <v/>
      </c>
      <c r="C228" s="6" t="str">
        <f>IF(KENKO[[#This Row],[ID NOTA]]="","",HYPERLINK("[NOTA_.xlsx]NOTA!e"&amp;INDEX([2]!PAJAK[//],MATCH(KENKO[[#This Row],[ID NOTA]],[2]!PAJAK[ID],0)),"&gt;") )</f>
        <v/>
      </c>
      <c r="D228" s="6" t="str">
        <f>IF(KENKO[[#This Row],[ID NOTA]]="","",INDEX(Table1[QB],MATCH(KENKO[[#This Row],[ID NOTA]],Table1[ID],0)))</f>
        <v/>
      </c>
      <c r="E22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8" s="6"/>
      <c r="G228" s="3" t="str">
        <f>IF(KENKO[[#This Row],[ID NOTA]]="","",INDEX([2]!NOTA[TGL_H],MATCH(KENKO[[#This Row],[ID NOTA]],[2]!NOTA[ID],0)))</f>
        <v/>
      </c>
      <c r="H228" s="3" t="str">
        <f>IF(KENKO[[#This Row],[ID NOTA]]="","",INDEX([2]!NOTA[TGL.NOTA],MATCH(KENKO[[#This Row],[ID NOTA]],[2]!NOTA[ID],0)))</f>
        <v/>
      </c>
      <c r="I228" s="18" t="str">
        <f>IF(KENKO[[#This Row],[ID NOTA]]="","",INDEX([2]!NOTA[NO.NOTA],MATCH(KENKO[[#This Row],[ID NOTA]],[2]!NOTA[ID],0)))</f>
        <v/>
      </c>
      <c r="J228" s="4" t="str">
        <f ca="1">IF(KENKO[[#This Row],[//]]="","",INDEX([4]!db[NB PAJAK],KENKO[[#This Row],[stt]]-1))</f>
        <v/>
      </c>
      <c r="K228" s="6" t="str">
        <f>""</f>
        <v/>
      </c>
      <c r="L228" s="6" t="str">
        <f ca="1">IF(KENKO[[#This Row],[//]]="","",IF(INDEX([2]!NOTA[QTY],KENKO[//]-2)="",INDEX([2]!NOTA[C],KENKO[//]-2),INDEX([2]!NOTA[QTY],KENKO[//]-2)))</f>
        <v/>
      </c>
      <c r="M228" s="6" t="str">
        <f ca="1">IF(KENKO[[#This Row],[//]]="","",IF(INDEX([2]!NOTA[STN],KENKO[//]-2)="","CTN",INDEX([2]!NOTA[STN],KENKO[//]-2)))</f>
        <v/>
      </c>
      <c r="N228" s="5" t="str">
        <f ca="1">IF(KENKO[[#This Row],[//]]="","",IF(INDEX([2]!NOTA[HARGA/ CTN],KENKO[[#This Row],[//]]-2)="",INDEX([2]!NOTA[HARGA SATUAN],KENKO[//]-2),INDEX([2]!NOTA[HARGA/ CTN],KENKO[[#This Row],[//]]-2)))</f>
        <v/>
      </c>
      <c r="O228" s="7" t="str">
        <f ca="1">IF(KENKO[[#This Row],[//]]="","",IF(INDEX([2]!NOTA[DISC 2],KENKO[[#This Row],[//]]-2)=0,"",INDEX([2]!NOTA[DISC 2],KENKO[[#This Row],[//]]-2)))</f>
        <v/>
      </c>
      <c r="P228" s="7"/>
      <c r="Q22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8" s="4" t="str">
        <f ca="1">IF(KENKO[[#This Row],[//]]="","",INDEX([2]!NOTA[NAMA BARANG],KENKO[[#This Row],[//]]-2))</f>
        <v/>
      </c>
      <c r="V228" s="4" t="str">
        <f ca="1">LOWER(SUBSTITUTE(SUBSTITUTE(SUBSTITUTE(SUBSTITUTE(SUBSTITUTE(SUBSTITUTE(SUBSTITUTE(SUBSTITUTE(KENKO[[#This Row],[N.B.nota]]," ",""),"-",""),"(",""),")",""),".",""),",",""),"/",""),"""",""))</f>
        <v/>
      </c>
      <c r="W228" s="6" t="str">
        <f ca="1">IF(KENKO[[#This Row],[concat]]="","",MATCH(KENKO[[#This Row],[concat]],[4]!db[NB NOTA_C],0)+1)</f>
        <v/>
      </c>
      <c r="X228" s="4" t="str">
        <f ca="1">IF(KENKO[[#This Row],[N.B.nota]]="","",ADDRESS(ROW(KENKO[QB]),COLUMN(KENKO[QB]))&amp;":"&amp;ADDRESS(ROW(),COLUMN(KENKO[QB])))</f>
        <v/>
      </c>
      <c r="Y228" s="13" t="str">
        <f ca="1">IF(KENKO[[#This Row],[//]]="","",HYPERLINK("[..\\DB.xlsx]DB!e"&amp;KENKO[[#This Row],[stt]],"&gt;"))</f>
        <v/>
      </c>
      <c r="Z228" s="4" t="str">
        <f ca="1">IF(KENKO[[#This Row],[//]]="","",IF(KENKO[[#This Row],[ID NOTA]]="",Z227,KENKO[[#This Row],[ID NOTA]]))</f>
        <v/>
      </c>
    </row>
    <row r="229" spans="1:26" ht="15" customHeight="1" x14ac:dyDescent="0.25">
      <c r="A229" s="4"/>
      <c r="B229" s="6" t="str">
        <f>IF(KENKO[[#This Row],[N_ID]]="","",INDEX(Table1[ID],MATCH(KENKO[[#This Row],[N_ID]],Table1[N_ID],0)))</f>
        <v/>
      </c>
      <c r="C229" s="6" t="str">
        <f>IF(KENKO[[#This Row],[ID NOTA]]="","",HYPERLINK("[NOTA_.xlsx]NOTA!e"&amp;INDEX([2]!PAJAK[//],MATCH(KENKO[[#This Row],[ID NOTA]],[2]!PAJAK[ID],0)),"&gt;") )</f>
        <v/>
      </c>
      <c r="D229" s="6" t="str">
        <f>IF(KENKO[[#This Row],[ID NOTA]]="","",INDEX(Table1[QB],MATCH(KENKO[[#This Row],[ID NOTA]],Table1[ID],0)))</f>
        <v/>
      </c>
      <c r="E22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9" s="6"/>
      <c r="G229" s="3" t="str">
        <f>IF(KENKO[[#This Row],[ID NOTA]]="","",INDEX([2]!NOTA[TGL_H],MATCH(KENKO[[#This Row],[ID NOTA]],[2]!NOTA[ID],0)))</f>
        <v/>
      </c>
      <c r="H229" s="3" t="str">
        <f>IF(KENKO[[#This Row],[ID NOTA]]="","",INDEX([2]!NOTA[TGL.NOTA],MATCH(KENKO[[#This Row],[ID NOTA]],[2]!NOTA[ID],0)))</f>
        <v/>
      </c>
      <c r="I229" s="18" t="str">
        <f>IF(KENKO[[#This Row],[ID NOTA]]="","",INDEX([2]!NOTA[NO.NOTA],MATCH(KENKO[[#This Row],[ID NOTA]],[2]!NOTA[ID],0)))</f>
        <v/>
      </c>
      <c r="J229" s="4" t="str">
        <f ca="1">IF(KENKO[[#This Row],[//]]="","",INDEX([4]!db[NB PAJAK],KENKO[[#This Row],[stt]]-1))</f>
        <v/>
      </c>
      <c r="K229" s="6" t="str">
        <f>""</f>
        <v/>
      </c>
      <c r="L229" s="6" t="str">
        <f ca="1">IF(KENKO[[#This Row],[//]]="","",IF(INDEX([2]!NOTA[QTY],KENKO[//]-2)="",INDEX([2]!NOTA[C],KENKO[//]-2),INDEX([2]!NOTA[QTY],KENKO[//]-2)))</f>
        <v/>
      </c>
      <c r="M229" s="6" t="str">
        <f ca="1">IF(KENKO[[#This Row],[//]]="","",IF(INDEX([2]!NOTA[STN],KENKO[//]-2)="","CTN",INDEX([2]!NOTA[STN],KENKO[//]-2)))</f>
        <v/>
      </c>
      <c r="N229" s="5" t="str">
        <f ca="1">IF(KENKO[[#This Row],[//]]="","",IF(INDEX([2]!NOTA[HARGA/ CTN],KENKO[[#This Row],[//]]-2)="",INDEX([2]!NOTA[HARGA SATUAN],KENKO[//]-2),INDEX([2]!NOTA[HARGA/ CTN],KENKO[[#This Row],[//]]-2)))</f>
        <v/>
      </c>
      <c r="O229" s="7" t="str">
        <f ca="1">IF(KENKO[[#This Row],[//]]="","",IF(INDEX([2]!NOTA[DISC 2],KENKO[[#This Row],[//]]-2)=0,"",INDEX([2]!NOTA[DISC 2],KENKO[[#This Row],[//]]-2)))</f>
        <v/>
      </c>
      <c r="P229" s="7"/>
      <c r="Q22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9" s="4" t="str">
        <f ca="1">IF(KENKO[[#This Row],[//]]="","",INDEX([2]!NOTA[NAMA BARANG],KENKO[[#This Row],[//]]-2))</f>
        <v/>
      </c>
      <c r="V229" s="4" t="str">
        <f ca="1">LOWER(SUBSTITUTE(SUBSTITUTE(SUBSTITUTE(SUBSTITUTE(SUBSTITUTE(SUBSTITUTE(SUBSTITUTE(SUBSTITUTE(KENKO[[#This Row],[N.B.nota]]," ",""),"-",""),"(",""),")",""),".",""),",",""),"/",""),"""",""))</f>
        <v/>
      </c>
      <c r="W229" s="6" t="str">
        <f ca="1">IF(KENKO[[#This Row],[concat]]="","",MATCH(KENKO[[#This Row],[concat]],[4]!db[NB NOTA_C],0)+1)</f>
        <v/>
      </c>
      <c r="X229" s="4" t="str">
        <f ca="1">IF(KENKO[[#This Row],[N.B.nota]]="","",ADDRESS(ROW(KENKO[QB]),COLUMN(KENKO[QB]))&amp;":"&amp;ADDRESS(ROW(),COLUMN(KENKO[QB])))</f>
        <v/>
      </c>
      <c r="Y229" s="13" t="str">
        <f ca="1">IF(KENKO[[#This Row],[//]]="","",HYPERLINK("[..\\DB.xlsx]DB!e"&amp;KENKO[[#This Row],[stt]],"&gt;"))</f>
        <v/>
      </c>
      <c r="Z229" s="4" t="str">
        <f ca="1">IF(KENKO[[#This Row],[//]]="","",IF(KENKO[[#This Row],[ID NOTA]]="",Z228,KENKO[[#This Row],[ID NOTA]]))</f>
        <v/>
      </c>
    </row>
    <row r="230" spans="1:26" ht="15" customHeight="1" x14ac:dyDescent="0.25">
      <c r="A230" s="4"/>
      <c r="B230" s="6" t="str">
        <f>IF(KENKO[[#This Row],[N_ID]]="","",INDEX(Table1[ID],MATCH(KENKO[[#This Row],[N_ID]],Table1[N_ID],0)))</f>
        <v/>
      </c>
      <c r="C230" s="6" t="str">
        <f>IF(KENKO[[#This Row],[ID NOTA]]="","",HYPERLINK("[NOTA_.xlsx]NOTA!e"&amp;INDEX([2]!PAJAK[//],MATCH(KENKO[[#This Row],[ID NOTA]],[2]!PAJAK[ID],0)),"&gt;") )</f>
        <v/>
      </c>
      <c r="D230" s="6" t="str">
        <f>IF(KENKO[[#This Row],[ID NOTA]]="","",INDEX(Table1[QB],MATCH(KENKO[[#This Row],[ID NOTA]],Table1[ID],0)))</f>
        <v/>
      </c>
      <c r="E2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0" s="6"/>
      <c r="G230" s="3" t="str">
        <f>IF(KENKO[[#This Row],[ID NOTA]]="","",INDEX([2]!NOTA[TGL_H],MATCH(KENKO[[#This Row],[ID NOTA]],[2]!NOTA[ID],0)))</f>
        <v/>
      </c>
      <c r="H230" s="3" t="str">
        <f>IF(KENKO[[#This Row],[ID NOTA]]="","",INDEX([2]!NOTA[TGL.NOTA],MATCH(KENKO[[#This Row],[ID NOTA]],[2]!NOTA[ID],0)))</f>
        <v/>
      </c>
      <c r="I230" s="18" t="str">
        <f>IF(KENKO[[#This Row],[ID NOTA]]="","",INDEX([2]!NOTA[NO.NOTA],MATCH(KENKO[[#This Row],[ID NOTA]],[2]!NOTA[ID],0)))</f>
        <v/>
      </c>
      <c r="J230" s="4" t="str">
        <f ca="1">IF(KENKO[[#This Row],[//]]="","",INDEX([4]!db[NB PAJAK],KENKO[[#This Row],[stt]]-1))</f>
        <v/>
      </c>
      <c r="K230" s="6" t="str">
        <f>""</f>
        <v/>
      </c>
      <c r="L230" s="6" t="str">
        <f ca="1">IF(KENKO[[#This Row],[//]]="","",IF(INDEX([2]!NOTA[QTY],KENKO[//]-2)="",INDEX([2]!NOTA[C],KENKO[//]-2),INDEX([2]!NOTA[QTY],KENKO[//]-2)))</f>
        <v/>
      </c>
      <c r="M230" s="6" t="str">
        <f ca="1">IF(KENKO[[#This Row],[//]]="","",IF(INDEX([2]!NOTA[STN],KENKO[//]-2)="","CTN",INDEX([2]!NOTA[STN],KENKO[//]-2)))</f>
        <v/>
      </c>
      <c r="N230" s="5" t="str">
        <f ca="1">IF(KENKO[[#This Row],[//]]="","",IF(INDEX([2]!NOTA[HARGA/ CTN],KENKO[[#This Row],[//]]-2)="",INDEX([2]!NOTA[HARGA SATUAN],KENKO[//]-2),INDEX([2]!NOTA[HARGA/ CTN],KENKO[[#This Row],[//]]-2)))</f>
        <v/>
      </c>
      <c r="O230" s="7" t="str">
        <f ca="1">IF(KENKO[[#This Row],[//]]="","",IF(INDEX([2]!NOTA[DISC 2],KENKO[[#This Row],[//]]-2)=0,"",INDEX([2]!NOTA[DISC 2],KENKO[[#This Row],[//]]-2)))</f>
        <v/>
      </c>
      <c r="P230" s="7"/>
      <c r="Q23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0" s="4" t="str">
        <f ca="1">IF(KENKO[[#This Row],[//]]="","",INDEX([2]!NOTA[NAMA BARANG],KENKO[[#This Row],[//]]-2))</f>
        <v/>
      </c>
      <c r="V230" s="4" t="str">
        <f ca="1">LOWER(SUBSTITUTE(SUBSTITUTE(SUBSTITUTE(SUBSTITUTE(SUBSTITUTE(SUBSTITUTE(SUBSTITUTE(SUBSTITUTE(KENKO[[#This Row],[N.B.nota]]," ",""),"-",""),"(",""),")",""),".",""),",",""),"/",""),"""",""))</f>
        <v/>
      </c>
      <c r="W230" s="6" t="str">
        <f ca="1">IF(KENKO[[#This Row],[concat]]="","",MATCH(KENKO[[#This Row],[concat]],[4]!db[NB NOTA_C],0)+1)</f>
        <v/>
      </c>
      <c r="X230" s="4" t="str">
        <f ca="1">IF(KENKO[[#This Row],[N.B.nota]]="","",ADDRESS(ROW(KENKO[QB]),COLUMN(KENKO[QB]))&amp;":"&amp;ADDRESS(ROW(),COLUMN(KENKO[QB])))</f>
        <v/>
      </c>
      <c r="Y230" s="13" t="str">
        <f ca="1">IF(KENKO[[#This Row],[//]]="","",HYPERLINK("[..\\DB.xlsx]DB!e"&amp;KENKO[[#This Row],[stt]],"&gt;"))</f>
        <v/>
      </c>
      <c r="Z230" s="4" t="str">
        <f ca="1">IF(KENKO[[#This Row],[//]]="","",IF(KENKO[[#This Row],[ID NOTA]]="",Z229,KENKO[[#This Row],[ID NOTA]]))</f>
        <v/>
      </c>
    </row>
    <row r="231" spans="1:26" ht="15" customHeight="1" x14ac:dyDescent="0.25">
      <c r="A231" s="4"/>
      <c r="B231" s="6" t="str">
        <f>IF(KENKO[[#This Row],[N_ID]]="","",INDEX(Table1[ID],MATCH(KENKO[[#This Row],[N_ID]],Table1[N_ID],0)))</f>
        <v/>
      </c>
      <c r="C231" s="6" t="str">
        <f>IF(KENKO[[#This Row],[ID NOTA]]="","",HYPERLINK("[NOTA_.xlsx]NOTA!e"&amp;INDEX([2]!PAJAK[//],MATCH(KENKO[[#This Row],[ID NOTA]],[2]!PAJAK[ID],0)),"&gt;") )</f>
        <v/>
      </c>
      <c r="D231" s="6" t="str">
        <f>IF(KENKO[[#This Row],[ID NOTA]]="","",INDEX(Table1[QB],MATCH(KENKO[[#This Row],[ID NOTA]],Table1[ID],0)))</f>
        <v/>
      </c>
      <c r="E23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1" s="6"/>
      <c r="G231" s="3" t="str">
        <f>IF(KENKO[[#This Row],[ID NOTA]]="","",INDEX([2]!NOTA[TGL_H],MATCH(KENKO[[#This Row],[ID NOTA]],[2]!NOTA[ID],0)))</f>
        <v/>
      </c>
      <c r="H231" s="3" t="str">
        <f>IF(KENKO[[#This Row],[ID NOTA]]="","",INDEX([2]!NOTA[TGL.NOTA],MATCH(KENKO[[#This Row],[ID NOTA]],[2]!NOTA[ID],0)))</f>
        <v/>
      </c>
      <c r="I231" s="18" t="str">
        <f>IF(KENKO[[#This Row],[ID NOTA]]="","",INDEX([2]!NOTA[NO.NOTA],MATCH(KENKO[[#This Row],[ID NOTA]],[2]!NOTA[ID],0)))</f>
        <v/>
      </c>
      <c r="J231" s="4" t="str">
        <f ca="1">IF(KENKO[[#This Row],[//]]="","",INDEX([4]!db[NB PAJAK],KENKO[[#This Row],[stt]]-1))</f>
        <v/>
      </c>
      <c r="K231" s="6" t="str">
        <f>""</f>
        <v/>
      </c>
      <c r="L231" s="6" t="str">
        <f ca="1">IF(KENKO[[#This Row],[//]]="","",IF(INDEX([2]!NOTA[QTY],KENKO[//]-2)="",INDEX([2]!NOTA[C],KENKO[//]-2),INDEX([2]!NOTA[QTY],KENKO[//]-2)))</f>
        <v/>
      </c>
      <c r="M231" s="6" t="str">
        <f ca="1">IF(KENKO[[#This Row],[//]]="","",IF(INDEX([2]!NOTA[STN],KENKO[//]-2)="","CTN",INDEX([2]!NOTA[STN],KENKO[//]-2)))</f>
        <v/>
      </c>
      <c r="N231" s="5" t="str">
        <f ca="1">IF(KENKO[[#This Row],[//]]="","",IF(INDEX([2]!NOTA[HARGA/ CTN],KENKO[[#This Row],[//]]-2)="",INDEX([2]!NOTA[HARGA SATUAN],KENKO[//]-2),INDEX([2]!NOTA[HARGA/ CTN],KENKO[[#This Row],[//]]-2)))</f>
        <v/>
      </c>
      <c r="O231" s="7" t="str">
        <f ca="1">IF(KENKO[[#This Row],[//]]="","",IF(INDEX([2]!NOTA[DISC 2],KENKO[[#This Row],[//]]-2)=0,"",INDEX([2]!NOTA[DISC 2],KENKO[[#This Row],[//]]-2)))</f>
        <v/>
      </c>
      <c r="P231" s="7"/>
      <c r="Q23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1" s="4" t="str">
        <f ca="1">IF(KENKO[[#This Row],[//]]="","",INDEX([2]!NOTA[NAMA BARANG],KENKO[[#This Row],[//]]-2))</f>
        <v/>
      </c>
      <c r="V231" s="4" t="str">
        <f ca="1">LOWER(SUBSTITUTE(SUBSTITUTE(SUBSTITUTE(SUBSTITUTE(SUBSTITUTE(SUBSTITUTE(SUBSTITUTE(SUBSTITUTE(KENKO[[#This Row],[N.B.nota]]," ",""),"-",""),"(",""),")",""),".",""),",",""),"/",""),"""",""))</f>
        <v/>
      </c>
      <c r="W231" s="6" t="str">
        <f ca="1">IF(KENKO[[#This Row],[concat]]="","",MATCH(KENKO[[#This Row],[concat]],[4]!db[NB NOTA_C],0)+1)</f>
        <v/>
      </c>
      <c r="X231" s="4" t="str">
        <f ca="1">IF(KENKO[[#This Row],[N.B.nota]]="","",ADDRESS(ROW(KENKO[QB]),COLUMN(KENKO[QB]))&amp;":"&amp;ADDRESS(ROW(),COLUMN(KENKO[QB])))</f>
        <v/>
      </c>
      <c r="Y231" s="13" t="str">
        <f ca="1">IF(KENKO[[#This Row],[//]]="","",HYPERLINK("[..\\DB.xlsx]DB!e"&amp;KENKO[[#This Row],[stt]],"&gt;"))</f>
        <v/>
      </c>
      <c r="Z231" s="4" t="str">
        <f ca="1">IF(KENKO[[#This Row],[//]]="","",IF(KENKO[[#This Row],[ID NOTA]]="",Z230,KENKO[[#This Row],[ID NOTA]]))</f>
        <v/>
      </c>
    </row>
    <row r="232" spans="1:26" ht="15" customHeight="1" x14ac:dyDescent="0.25">
      <c r="A232" s="4"/>
      <c r="B232" s="6" t="str">
        <f>IF(KENKO[[#This Row],[N_ID]]="","",INDEX(Table1[ID],MATCH(KENKO[[#This Row],[N_ID]],Table1[N_ID],0)))</f>
        <v/>
      </c>
      <c r="C232" s="6" t="str">
        <f>IF(KENKO[[#This Row],[ID NOTA]]="","",HYPERLINK("[NOTA_.xlsx]NOTA!e"&amp;INDEX([2]!PAJAK[//],MATCH(KENKO[[#This Row],[ID NOTA]],[2]!PAJAK[ID],0)),"&gt;") )</f>
        <v/>
      </c>
      <c r="D232" s="6" t="str">
        <f>IF(KENKO[[#This Row],[ID NOTA]]="","",INDEX(Table1[QB],MATCH(KENKO[[#This Row],[ID NOTA]],Table1[ID],0)))</f>
        <v/>
      </c>
      <c r="E23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2" s="6"/>
      <c r="G232" s="3" t="str">
        <f>IF(KENKO[[#This Row],[ID NOTA]]="","",INDEX([2]!NOTA[TGL_H],MATCH(KENKO[[#This Row],[ID NOTA]],[2]!NOTA[ID],0)))</f>
        <v/>
      </c>
      <c r="H232" s="3" t="str">
        <f>IF(KENKO[[#This Row],[ID NOTA]]="","",INDEX([2]!NOTA[TGL.NOTA],MATCH(KENKO[[#This Row],[ID NOTA]],[2]!NOTA[ID],0)))</f>
        <v/>
      </c>
      <c r="I232" s="18" t="str">
        <f>IF(KENKO[[#This Row],[ID NOTA]]="","",INDEX([2]!NOTA[NO.NOTA],MATCH(KENKO[[#This Row],[ID NOTA]],[2]!NOTA[ID],0)))</f>
        <v/>
      </c>
      <c r="J232" s="4" t="str">
        <f ca="1">IF(KENKO[[#This Row],[//]]="","",INDEX([4]!db[NB PAJAK],KENKO[[#This Row],[stt]]-1))</f>
        <v/>
      </c>
      <c r="K232" s="6" t="str">
        <f>""</f>
        <v/>
      </c>
      <c r="L232" s="6" t="str">
        <f ca="1">IF(KENKO[[#This Row],[//]]="","",IF(INDEX([2]!NOTA[QTY],KENKO[//]-2)="",INDEX([2]!NOTA[C],KENKO[//]-2),INDEX([2]!NOTA[QTY],KENKO[//]-2)))</f>
        <v/>
      </c>
      <c r="M232" s="6" t="str">
        <f ca="1">IF(KENKO[[#This Row],[//]]="","",IF(INDEX([2]!NOTA[STN],KENKO[//]-2)="","CTN",INDEX([2]!NOTA[STN],KENKO[//]-2)))</f>
        <v/>
      </c>
      <c r="N232" s="5" t="str">
        <f ca="1">IF(KENKO[[#This Row],[//]]="","",IF(INDEX([2]!NOTA[HARGA/ CTN],KENKO[[#This Row],[//]]-2)="",INDEX([2]!NOTA[HARGA SATUAN],KENKO[//]-2),INDEX([2]!NOTA[HARGA/ CTN],KENKO[[#This Row],[//]]-2)))</f>
        <v/>
      </c>
      <c r="O232" s="7" t="str">
        <f ca="1">IF(KENKO[[#This Row],[//]]="","",IF(INDEX([2]!NOTA[DISC 2],KENKO[[#This Row],[//]]-2)=0,"",INDEX([2]!NOTA[DISC 2],KENKO[[#This Row],[//]]-2)))</f>
        <v/>
      </c>
      <c r="P232" s="7"/>
      <c r="Q23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2" s="4" t="str">
        <f ca="1">IF(KENKO[[#This Row],[//]]="","",INDEX([2]!NOTA[NAMA BARANG],KENKO[[#This Row],[//]]-2))</f>
        <v/>
      </c>
      <c r="V232" s="4" t="str">
        <f ca="1">LOWER(SUBSTITUTE(SUBSTITUTE(SUBSTITUTE(SUBSTITUTE(SUBSTITUTE(SUBSTITUTE(SUBSTITUTE(SUBSTITUTE(KENKO[[#This Row],[N.B.nota]]," ",""),"-",""),"(",""),")",""),".",""),",",""),"/",""),"""",""))</f>
        <v/>
      </c>
      <c r="W232" s="6" t="str">
        <f ca="1">IF(KENKO[[#This Row],[concat]]="","",MATCH(KENKO[[#This Row],[concat]],[4]!db[NB NOTA_C],0)+1)</f>
        <v/>
      </c>
      <c r="X232" s="4" t="str">
        <f ca="1">IF(KENKO[[#This Row],[N.B.nota]]="","",ADDRESS(ROW(KENKO[QB]),COLUMN(KENKO[QB]))&amp;":"&amp;ADDRESS(ROW(),COLUMN(KENKO[QB])))</f>
        <v/>
      </c>
      <c r="Y232" s="13" t="str">
        <f ca="1">IF(KENKO[[#This Row],[//]]="","",HYPERLINK("[..\\DB.xlsx]DB!e"&amp;KENKO[[#This Row],[stt]],"&gt;"))</f>
        <v/>
      </c>
      <c r="Z232" s="4" t="str">
        <f ca="1">IF(KENKO[[#This Row],[//]]="","",IF(KENKO[[#This Row],[ID NOTA]]="",Z231,KENKO[[#This Row],[ID NOTA]]))</f>
        <v/>
      </c>
    </row>
    <row r="233" spans="1:26" ht="15" customHeight="1" x14ac:dyDescent="0.25">
      <c r="A233" s="4"/>
      <c r="B233" s="6" t="str">
        <f>IF(KENKO[[#This Row],[N_ID]]="","",INDEX(Table1[ID],MATCH(KENKO[[#This Row],[N_ID]],Table1[N_ID],0)))</f>
        <v/>
      </c>
      <c r="C233" s="6" t="str">
        <f>IF(KENKO[[#This Row],[ID NOTA]]="","",HYPERLINK("[NOTA_.xlsx]NOTA!e"&amp;INDEX([2]!PAJAK[//],MATCH(KENKO[[#This Row],[ID NOTA]],[2]!PAJAK[ID],0)),"&gt;") )</f>
        <v/>
      </c>
      <c r="D233" s="6" t="str">
        <f>IF(KENKO[[#This Row],[ID NOTA]]="","",INDEX(Table1[QB],MATCH(KENKO[[#This Row],[ID NOTA]],Table1[ID],0)))</f>
        <v/>
      </c>
      <c r="E23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3" s="6"/>
      <c r="G233" s="3" t="str">
        <f>IF(KENKO[[#This Row],[ID NOTA]]="","",INDEX([2]!NOTA[TGL_H],MATCH(KENKO[[#This Row],[ID NOTA]],[2]!NOTA[ID],0)))</f>
        <v/>
      </c>
      <c r="H233" s="3" t="str">
        <f>IF(KENKO[[#This Row],[ID NOTA]]="","",INDEX([2]!NOTA[TGL.NOTA],MATCH(KENKO[[#This Row],[ID NOTA]],[2]!NOTA[ID],0)))</f>
        <v/>
      </c>
      <c r="I233" s="18" t="str">
        <f>IF(KENKO[[#This Row],[ID NOTA]]="","",INDEX([2]!NOTA[NO.NOTA],MATCH(KENKO[[#This Row],[ID NOTA]],[2]!NOTA[ID],0)))</f>
        <v/>
      </c>
      <c r="J233" s="4" t="str">
        <f ca="1">IF(KENKO[[#This Row],[//]]="","",INDEX([4]!db[NB PAJAK],KENKO[[#This Row],[stt]]-1))</f>
        <v/>
      </c>
      <c r="K233" s="6" t="str">
        <f>""</f>
        <v/>
      </c>
      <c r="L233" s="6" t="str">
        <f ca="1">IF(KENKO[[#This Row],[//]]="","",IF(INDEX([2]!NOTA[QTY],KENKO[//]-2)="",INDEX([2]!NOTA[C],KENKO[//]-2),INDEX([2]!NOTA[QTY],KENKO[//]-2)))</f>
        <v/>
      </c>
      <c r="M233" s="6" t="str">
        <f ca="1">IF(KENKO[[#This Row],[//]]="","",IF(INDEX([2]!NOTA[STN],KENKO[//]-2)="","CTN",INDEX([2]!NOTA[STN],KENKO[//]-2)))</f>
        <v/>
      </c>
      <c r="N233" s="5" t="str">
        <f ca="1">IF(KENKO[[#This Row],[//]]="","",IF(INDEX([2]!NOTA[HARGA/ CTN],KENKO[[#This Row],[//]]-2)="",INDEX([2]!NOTA[HARGA SATUAN],KENKO[//]-2),INDEX([2]!NOTA[HARGA/ CTN],KENKO[[#This Row],[//]]-2)))</f>
        <v/>
      </c>
      <c r="O233" s="7" t="str">
        <f ca="1">IF(KENKO[[#This Row],[//]]="","",IF(INDEX([2]!NOTA[DISC 2],KENKO[[#This Row],[//]]-2)=0,"",INDEX([2]!NOTA[DISC 2],KENKO[[#This Row],[//]]-2)))</f>
        <v/>
      </c>
      <c r="P233" s="7"/>
      <c r="Q23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3" s="4" t="str">
        <f ca="1">IF(KENKO[[#This Row],[//]]="","",INDEX([2]!NOTA[NAMA BARANG],KENKO[[#This Row],[//]]-2))</f>
        <v/>
      </c>
      <c r="V233" s="4" t="str">
        <f ca="1">LOWER(SUBSTITUTE(SUBSTITUTE(SUBSTITUTE(SUBSTITUTE(SUBSTITUTE(SUBSTITUTE(SUBSTITUTE(SUBSTITUTE(KENKO[[#This Row],[N.B.nota]]," ",""),"-",""),"(",""),")",""),".",""),",",""),"/",""),"""",""))</f>
        <v/>
      </c>
      <c r="W233" s="6" t="str">
        <f ca="1">IF(KENKO[[#This Row],[concat]]="","",MATCH(KENKO[[#This Row],[concat]],[4]!db[NB NOTA_C],0)+1)</f>
        <v/>
      </c>
      <c r="X233" s="4" t="str">
        <f ca="1">IF(KENKO[[#This Row],[N.B.nota]]="","",ADDRESS(ROW(KENKO[QB]),COLUMN(KENKO[QB]))&amp;":"&amp;ADDRESS(ROW(),COLUMN(KENKO[QB])))</f>
        <v/>
      </c>
      <c r="Y233" s="13" t="str">
        <f ca="1">IF(KENKO[[#This Row],[//]]="","",HYPERLINK("[..\\DB.xlsx]DB!e"&amp;KENKO[[#This Row],[stt]],"&gt;"))</f>
        <v/>
      </c>
      <c r="Z233" s="4" t="str">
        <f ca="1">IF(KENKO[[#This Row],[//]]="","",IF(KENKO[[#This Row],[ID NOTA]]="",Z232,KENKO[[#This Row],[ID NOTA]]))</f>
        <v/>
      </c>
    </row>
    <row r="234" spans="1:26" ht="15" customHeight="1" x14ac:dyDescent="0.25">
      <c r="A234" s="4"/>
      <c r="B234" s="6" t="str">
        <f>IF(KENKO[[#This Row],[N_ID]]="","",INDEX(Table1[ID],MATCH(KENKO[[#This Row],[N_ID]],Table1[N_ID],0)))</f>
        <v/>
      </c>
      <c r="C234" s="6" t="str">
        <f>IF(KENKO[[#This Row],[ID NOTA]]="","",HYPERLINK("[NOTA_.xlsx]NOTA!e"&amp;INDEX([2]!PAJAK[//],MATCH(KENKO[[#This Row],[ID NOTA]],[2]!PAJAK[ID],0)),"&gt;") )</f>
        <v/>
      </c>
      <c r="D234" s="6" t="str">
        <f>IF(KENKO[[#This Row],[ID NOTA]]="","",INDEX(Table1[QB],MATCH(KENKO[[#This Row],[ID NOTA]],Table1[ID],0)))</f>
        <v/>
      </c>
      <c r="E23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4" s="6"/>
      <c r="G234" s="3" t="str">
        <f>IF(KENKO[[#This Row],[ID NOTA]]="","",INDEX([2]!NOTA[TGL_H],MATCH(KENKO[[#This Row],[ID NOTA]],[2]!NOTA[ID],0)))</f>
        <v/>
      </c>
      <c r="H234" s="3" t="str">
        <f>IF(KENKO[[#This Row],[ID NOTA]]="","",INDEX([2]!NOTA[TGL.NOTA],MATCH(KENKO[[#This Row],[ID NOTA]],[2]!NOTA[ID],0)))</f>
        <v/>
      </c>
      <c r="I234" s="18" t="str">
        <f>IF(KENKO[[#This Row],[ID NOTA]]="","",INDEX([2]!NOTA[NO.NOTA],MATCH(KENKO[[#This Row],[ID NOTA]],[2]!NOTA[ID],0)))</f>
        <v/>
      </c>
      <c r="J234" s="4" t="str">
        <f ca="1">IF(KENKO[[#This Row],[//]]="","",INDEX([4]!db[NB PAJAK],KENKO[[#This Row],[stt]]-1))</f>
        <v/>
      </c>
      <c r="K234" s="6" t="str">
        <f>""</f>
        <v/>
      </c>
      <c r="L234" s="6" t="str">
        <f ca="1">IF(KENKO[[#This Row],[//]]="","",IF(INDEX([2]!NOTA[QTY],KENKO[//]-2)="",INDEX([2]!NOTA[C],KENKO[//]-2),INDEX([2]!NOTA[QTY],KENKO[//]-2)))</f>
        <v/>
      </c>
      <c r="M234" s="6" t="str">
        <f ca="1">IF(KENKO[[#This Row],[//]]="","",IF(INDEX([2]!NOTA[STN],KENKO[//]-2)="","CTN",INDEX([2]!NOTA[STN],KENKO[//]-2)))</f>
        <v/>
      </c>
      <c r="N234" s="5" t="str">
        <f ca="1">IF(KENKO[[#This Row],[//]]="","",IF(INDEX([2]!NOTA[HARGA/ CTN],KENKO[[#This Row],[//]]-2)="",INDEX([2]!NOTA[HARGA SATUAN],KENKO[//]-2),INDEX([2]!NOTA[HARGA/ CTN],KENKO[[#This Row],[//]]-2)))</f>
        <v/>
      </c>
      <c r="O234" s="7" t="str">
        <f ca="1">IF(KENKO[[#This Row],[//]]="","",IF(INDEX([2]!NOTA[DISC 2],KENKO[[#This Row],[//]]-2)=0,"",INDEX([2]!NOTA[DISC 2],KENKO[[#This Row],[//]]-2)))</f>
        <v/>
      </c>
      <c r="P234" s="7"/>
      <c r="Q23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4" s="4" t="str">
        <f ca="1">IF(KENKO[[#This Row],[//]]="","",INDEX([2]!NOTA[NAMA BARANG],KENKO[[#This Row],[//]]-2))</f>
        <v/>
      </c>
      <c r="V234" s="4" t="str">
        <f ca="1">LOWER(SUBSTITUTE(SUBSTITUTE(SUBSTITUTE(SUBSTITUTE(SUBSTITUTE(SUBSTITUTE(SUBSTITUTE(SUBSTITUTE(KENKO[[#This Row],[N.B.nota]]," ",""),"-",""),"(",""),")",""),".",""),",",""),"/",""),"""",""))</f>
        <v/>
      </c>
      <c r="W234" s="6" t="str">
        <f ca="1">IF(KENKO[[#This Row],[concat]]="","",MATCH(KENKO[[#This Row],[concat]],[4]!db[NB NOTA_C],0)+1)</f>
        <v/>
      </c>
      <c r="X234" s="4" t="str">
        <f ca="1">IF(KENKO[[#This Row],[N.B.nota]]="","",ADDRESS(ROW(KENKO[QB]),COLUMN(KENKO[QB]))&amp;":"&amp;ADDRESS(ROW(),COLUMN(KENKO[QB])))</f>
        <v/>
      </c>
      <c r="Y234" s="13" t="str">
        <f ca="1">IF(KENKO[[#This Row],[//]]="","",HYPERLINK("[..\\DB.xlsx]DB!e"&amp;KENKO[[#This Row],[stt]],"&gt;"))</f>
        <v/>
      </c>
      <c r="Z234" s="4" t="str">
        <f ca="1">IF(KENKO[[#This Row],[//]]="","",IF(KENKO[[#This Row],[ID NOTA]]="",Z233,KENKO[[#This Row],[ID NOTA]]))</f>
        <v/>
      </c>
    </row>
    <row r="235" spans="1:26" ht="15" customHeight="1" x14ac:dyDescent="0.25">
      <c r="A235" s="4"/>
      <c r="B235" s="6" t="str">
        <f>IF(KENKO[[#This Row],[N_ID]]="","",INDEX(Table1[ID],MATCH(KENKO[[#This Row],[N_ID]],Table1[N_ID],0)))</f>
        <v/>
      </c>
      <c r="C235" s="6" t="str">
        <f>IF(KENKO[[#This Row],[ID NOTA]]="","",HYPERLINK("[NOTA_.xlsx]NOTA!e"&amp;INDEX([2]!PAJAK[//],MATCH(KENKO[[#This Row],[ID NOTA]],[2]!PAJAK[ID],0)),"&gt;") )</f>
        <v/>
      </c>
      <c r="D235" s="6" t="str">
        <f>IF(KENKO[[#This Row],[ID NOTA]]="","",INDEX(Table1[QB],MATCH(KENKO[[#This Row],[ID NOTA]],Table1[ID],0)))</f>
        <v/>
      </c>
      <c r="E23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5" s="6"/>
      <c r="G235" s="3" t="str">
        <f>IF(KENKO[[#This Row],[ID NOTA]]="","",INDEX([2]!NOTA[TGL_H],MATCH(KENKO[[#This Row],[ID NOTA]],[2]!NOTA[ID],0)))</f>
        <v/>
      </c>
      <c r="H235" s="3" t="str">
        <f>IF(KENKO[[#This Row],[ID NOTA]]="","",INDEX([2]!NOTA[TGL.NOTA],MATCH(KENKO[[#This Row],[ID NOTA]],[2]!NOTA[ID],0)))</f>
        <v/>
      </c>
      <c r="I235" s="18" t="str">
        <f>IF(KENKO[[#This Row],[ID NOTA]]="","",INDEX([2]!NOTA[NO.NOTA],MATCH(KENKO[[#This Row],[ID NOTA]],[2]!NOTA[ID],0)))</f>
        <v/>
      </c>
      <c r="J235" s="4" t="str">
        <f ca="1">IF(KENKO[[#This Row],[//]]="","",INDEX([4]!db[NB PAJAK],KENKO[[#This Row],[stt]]-1))</f>
        <v/>
      </c>
      <c r="K235" s="6" t="str">
        <f>""</f>
        <v/>
      </c>
      <c r="L235" s="6" t="str">
        <f ca="1">IF(KENKO[[#This Row],[//]]="","",IF(INDEX([2]!NOTA[QTY],KENKO[//]-2)="",INDEX([2]!NOTA[C],KENKO[//]-2),INDEX([2]!NOTA[QTY],KENKO[//]-2)))</f>
        <v/>
      </c>
      <c r="M235" s="6" t="str">
        <f ca="1">IF(KENKO[[#This Row],[//]]="","",IF(INDEX([2]!NOTA[STN],KENKO[//]-2)="","CTN",INDEX([2]!NOTA[STN],KENKO[//]-2)))</f>
        <v/>
      </c>
      <c r="N235" s="5" t="str">
        <f ca="1">IF(KENKO[[#This Row],[//]]="","",IF(INDEX([2]!NOTA[HARGA/ CTN],KENKO[[#This Row],[//]]-2)="",INDEX([2]!NOTA[HARGA SATUAN],KENKO[//]-2),INDEX([2]!NOTA[HARGA/ CTN],KENKO[[#This Row],[//]]-2)))</f>
        <v/>
      </c>
      <c r="O235" s="7" t="str">
        <f ca="1">IF(KENKO[[#This Row],[//]]="","",IF(INDEX([2]!NOTA[DISC 2],KENKO[[#This Row],[//]]-2)=0,"",INDEX([2]!NOTA[DISC 2],KENKO[[#This Row],[//]]-2)))</f>
        <v/>
      </c>
      <c r="P235" s="7"/>
      <c r="Q23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5" s="4" t="str">
        <f ca="1">IF(KENKO[[#This Row],[//]]="","",INDEX([2]!NOTA[NAMA BARANG],KENKO[[#This Row],[//]]-2))</f>
        <v/>
      </c>
      <c r="V235" s="4" t="str">
        <f ca="1">LOWER(SUBSTITUTE(SUBSTITUTE(SUBSTITUTE(SUBSTITUTE(SUBSTITUTE(SUBSTITUTE(SUBSTITUTE(SUBSTITUTE(KENKO[[#This Row],[N.B.nota]]," ",""),"-",""),"(",""),")",""),".",""),",",""),"/",""),"""",""))</f>
        <v/>
      </c>
      <c r="W235" s="6" t="str">
        <f ca="1">IF(KENKO[[#This Row],[concat]]="","",MATCH(KENKO[[#This Row],[concat]],[4]!db[NB NOTA_C],0)+1)</f>
        <v/>
      </c>
      <c r="X235" s="4" t="str">
        <f ca="1">IF(KENKO[[#This Row],[N.B.nota]]="","",ADDRESS(ROW(KENKO[QB]),COLUMN(KENKO[QB]))&amp;":"&amp;ADDRESS(ROW(),COLUMN(KENKO[QB])))</f>
        <v/>
      </c>
      <c r="Y235" s="13" t="str">
        <f ca="1">IF(KENKO[[#This Row],[//]]="","",HYPERLINK("[..\\DB.xlsx]DB!e"&amp;KENKO[[#This Row],[stt]],"&gt;"))</f>
        <v/>
      </c>
      <c r="Z235" s="4" t="str">
        <f ca="1">IF(KENKO[[#This Row],[//]]="","",IF(KENKO[[#This Row],[ID NOTA]]="",Z234,KENKO[[#This Row],[ID NOTA]]))</f>
        <v/>
      </c>
    </row>
    <row r="236" spans="1:26" ht="15" customHeight="1" x14ac:dyDescent="0.25">
      <c r="A236" s="4"/>
      <c r="B236" s="6" t="str">
        <f>IF(KENKO[[#This Row],[N_ID]]="","",INDEX(Table1[ID],MATCH(KENKO[[#This Row],[N_ID]],Table1[N_ID],0)))</f>
        <v/>
      </c>
      <c r="C236" s="6" t="str">
        <f>IF(KENKO[[#This Row],[ID NOTA]]="","",HYPERLINK("[NOTA_.xlsx]NOTA!e"&amp;INDEX([2]!PAJAK[//],MATCH(KENKO[[#This Row],[ID NOTA]],[2]!PAJAK[ID],0)),"&gt;") )</f>
        <v/>
      </c>
      <c r="D236" s="6" t="str">
        <f>IF(KENKO[[#This Row],[ID NOTA]]="","",INDEX(Table1[QB],MATCH(KENKO[[#This Row],[ID NOTA]],Table1[ID],0)))</f>
        <v/>
      </c>
      <c r="E23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6" s="6"/>
      <c r="G236" s="3" t="str">
        <f>IF(KENKO[[#This Row],[ID NOTA]]="","",INDEX([2]!NOTA[TGL_H],MATCH(KENKO[[#This Row],[ID NOTA]],[2]!NOTA[ID],0)))</f>
        <v/>
      </c>
      <c r="H236" s="3" t="str">
        <f>IF(KENKO[[#This Row],[ID NOTA]]="","",INDEX([2]!NOTA[TGL.NOTA],MATCH(KENKO[[#This Row],[ID NOTA]],[2]!NOTA[ID],0)))</f>
        <v/>
      </c>
      <c r="I236" s="18" t="str">
        <f>IF(KENKO[[#This Row],[ID NOTA]]="","",INDEX([2]!NOTA[NO.NOTA],MATCH(KENKO[[#This Row],[ID NOTA]],[2]!NOTA[ID],0)))</f>
        <v/>
      </c>
      <c r="J236" s="4" t="str">
        <f ca="1">IF(KENKO[[#This Row],[//]]="","",INDEX([4]!db[NB PAJAK],KENKO[[#This Row],[stt]]-1))</f>
        <v/>
      </c>
      <c r="K236" s="6" t="str">
        <f>""</f>
        <v/>
      </c>
      <c r="L236" s="6" t="str">
        <f ca="1">IF(KENKO[[#This Row],[//]]="","",IF(INDEX([2]!NOTA[QTY],KENKO[//]-2)="",INDEX([2]!NOTA[C],KENKO[//]-2),INDEX([2]!NOTA[QTY],KENKO[//]-2)))</f>
        <v/>
      </c>
      <c r="M236" s="6" t="str">
        <f ca="1">IF(KENKO[[#This Row],[//]]="","",IF(INDEX([2]!NOTA[STN],KENKO[//]-2)="","CTN",INDEX([2]!NOTA[STN],KENKO[//]-2)))</f>
        <v/>
      </c>
      <c r="N236" s="5" t="str">
        <f ca="1">IF(KENKO[[#This Row],[//]]="","",IF(INDEX([2]!NOTA[HARGA/ CTN],KENKO[[#This Row],[//]]-2)="",INDEX([2]!NOTA[HARGA SATUAN],KENKO[//]-2),INDEX([2]!NOTA[HARGA/ CTN],KENKO[[#This Row],[//]]-2)))</f>
        <v/>
      </c>
      <c r="O236" s="7" t="str">
        <f ca="1">IF(KENKO[[#This Row],[//]]="","",IF(INDEX([2]!NOTA[DISC 2],KENKO[[#This Row],[//]]-2)=0,"",INDEX([2]!NOTA[DISC 2],KENKO[[#This Row],[//]]-2)))</f>
        <v/>
      </c>
      <c r="P236" s="7"/>
      <c r="Q23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6" s="4" t="str">
        <f ca="1">IF(KENKO[[#This Row],[//]]="","",INDEX([2]!NOTA[NAMA BARANG],KENKO[[#This Row],[//]]-2))</f>
        <v/>
      </c>
      <c r="V236" s="4" t="str">
        <f ca="1">LOWER(SUBSTITUTE(SUBSTITUTE(SUBSTITUTE(SUBSTITUTE(SUBSTITUTE(SUBSTITUTE(SUBSTITUTE(SUBSTITUTE(KENKO[[#This Row],[N.B.nota]]," ",""),"-",""),"(",""),")",""),".",""),",",""),"/",""),"""",""))</f>
        <v/>
      </c>
      <c r="W236" s="6" t="str">
        <f ca="1">IF(KENKO[[#This Row],[concat]]="","",MATCH(KENKO[[#This Row],[concat]],[4]!db[NB NOTA_C],0)+1)</f>
        <v/>
      </c>
      <c r="X236" s="4" t="str">
        <f ca="1">IF(KENKO[[#This Row],[N.B.nota]]="","",ADDRESS(ROW(KENKO[QB]),COLUMN(KENKO[QB]))&amp;":"&amp;ADDRESS(ROW(),COLUMN(KENKO[QB])))</f>
        <v/>
      </c>
      <c r="Y236" s="13" t="str">
        <f ca="1">IF(KENKO[[#This Row],[//]]="","",HYPERLINK("[..\\DB.xlsx]DB!e"&amp;KENKO[[#This Row],[stt]],"&gt;"))</f>
        <v/>
      </c>
      <c r="Z236" s="4" t="str">
        <f ca="1">IF(KENKO[[#This Row],[//]]="","",IF(KENKO[[#This Row],[ID NOTA]]="",Z235,KENKO[[#This Row],[ID NOTA]]))</f>
        <v/>
      </c>
    </row>
    <row r="237" spans="1:26" ht="15" customHeight="1" x14ac:dyDescent="0.25">
      <c r="A237" s="4"/>
      <c r="B237" s="6" t="str">
        <f>IF(KENKO[[#This Row],[N_ID]]="","",INDEX(Table1[ID],MATCH(KENKO[[#This Row],[N_ID]],Table1[N_ID],0)))</f>
        <v/>
      </c>
      <c r="C237" s="6" t="str">
        <f>IF(KENKO[[#This Row],[ID NOTA]]="","",HYPERLINK("[NOTA_.xlsx]NOTA!e"&amp;INDEX([2]!PAJAK[//],MATCH(KENKO[[#This Row],[ID NOTA]],[2]!PAJAK[ID],0)),"&gt;") )</f>
        <v/>
      </c>
      <c r="D237" s="6" t="str">
        <f>IF(KENKO[[#This Row],[ID NOTA]]="","",INDEX(Table1[QB],MATCH(KENKO[[#This Row],[ID NOTA]],Table1[ID],0)))</f>
        <v/>
      </c>
      <c r="E23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7" s="6"/>
      <c r="G237" s="3" t="str">
        <f>IF(KENKO[[#This Row],[ID NOTA]]="","",INDEX([2]!NOTA[TGL_H],MATCH(KENKO[[#This Row],[ID NOTA]],[2]!NOTA[ID],0)))</f>
        <v/>
      </c>
      <c r="H237" s="3" t="str">
        <f>IF(KENKO[[#This Row],[ID NOTA]]="","",INDEX([2]!NOTA[TGL.NOTA],MATCH(KENKO[[#This Row],[ID NOTA]],[2]!NOTA[ID],0)))</f>
        <v/>
      </c>
      <c r="I237" s="18" t="str">
        <f>IF(KENKO[[#This Row],[ID NOTA]]="","",INDEX([2]!NOTA[NO.NOTA],MATCH(KENKO[[#This Row],[ID NOTA]],[2]!NOTA[ID],0)))</f>
        <v/>
      </c>
      <c r="J237" s="4" t="str">
        <f ca="1">IF(KENKO[[#This Row],[//]]="","",INDEX([4]!db[NB PAJAK],KENKO[[#This Row],[stt]]-1))</f>
        <v/>
      </c>
      <c r="K237" s="6" t="str">
        <f>""</f>
        <v/>
      </c>
      <c r="L237" s="6" t="str">
        <f ca="1">IF(KENKO[[#This Row],[//]]="","",IF(INDEX([2]!NOTA[QTY],KENKO[//]-2)="",INDEX([2]!NOTA[C],KENKO[//]-2),INDEX([2]!NOTA[QTY],KENKO[//]-2)))</f>
        <v/>
      </c>
      <c r="M237" s="6" t="str">
        <f ca="1">IF(KENKO[[#This Row],[//]]="","",IF(INDEX([2]!NOTA[STN],KENKO[//]-2)="","CTN",INDEX([2]!NOTA[STN],KENKO[//]-2)))</f>
        <v/>
      </c>
      <c r="N237" s="5" t="str">
        <f ca="1">IF(KENKO[[#This Row],[//]]="","",IF(INDEX([2]!NOTA[HARGA/ CTN],KENKO[[#This Row],[//]]-2)="",INDEX([2]!NOTA[HARGA SATUAN],KENKO[//]-2),INDEX([2]!NOTA[HARGA/ CTN],KENKO[[#This Row],[//]]-2)))</f>
        <v/>
      </c>
      <c r="O237" s="7" t="str">
        <f ca="1">IF(KENKO[[#This Row],[//]]="","",IF(INDEX([2]!NOTA[DISC 2],KENKO[[#This Row],[//]]-2)=0,"",INDEX([2]!NOTA[DISC 2],KENKO[[#This Row],[//]]-2)))</f>
        <v/>
      </c>
      <c r="P237" s="7"/>
      <c r="Q23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7" s="4" t="str">
        <f ca="1">IF(KENKO[[#This Row],[//]]="","",INDEX([2]!NOTA[NAMA BARANG],KENKO[[#This Row],[//]]-2))</f>
        <v/>
      </c>
      <c r="V237" s="4" t="str">
        <f ca="1">LOWER(SUBSTITUTE(SUBSTITUTE(SUBSTITUTE(SUBSTITUTE(SUBSTITUTE(SUBSTITUTE(SUBSTITUTE(SUBSTITUTE(KENKO[[#This Row],[N.B.nota]]," ",""),"-",""),"(",""),")",""),".",""),",",""),"/",""),"""",""))</f>
        <v/>
      </c>
      <c r="W237" s="6" t="str">
        <f ca="1">IF(KENKO[[#This Row],[concat]]="","",MATCH(KENKO[[#This Row],[concat]],[4]!db[NB NOTA_C],0)+1)</f>
        <v/>
      </c>
      <c r="X237" s="4" t="str">
        <f ca="1">IF(KENKO[[#This Row],[N.B.nota]]="","",ADDRESS(ROW(KENKO[QB]),COLUMN(KENKO[QB]))&amp;":"&amp;ADDRESS(ROW(),COLUMN(KENKO[QB])))</f>
        <v/>
      </c>
      <c r="Y237" s="13" t="str">
        <f ca="1">IF(KENKO[[#This Row],[//]]="","",HYPERLINK("[..\\DB.xlsx]DB!e"&amp;KENKO[[#This Row],[stt]],"&gt;"))</f>
        <v/>
      </c>
      <c r="Z237" s="4" t="str">
        <f ca="1">IF(KENKO[[#This Row],[//]]="","",IF(KENKO[[#This Row],[ID NOTA]]="",Z236,KENKO[[#This Row],[ID NOTA]]))</f>
        <v/>
      </c>
    </row>
    <row r="238" spans="1:26" ht="15" customHeight="1" x14ac:dyDescent="0.25">
      <c r="A238" s="4"/>
      <c r="B238" s="6" t="str">
        <f>IF(KENKO[[#This Row],[N_ID]]="","",INDEX(Table1[ID],MATCH(KENKO[[#This Row],[N_ID]],Table1[N_ID],0)))</f>
        <v/>
      </c>
      <c r="C238" s="6" t="str">
        <f>IF(KENKO[[#This Row],[ID NOTA]]="","",HYPERLINK("[NOTA_.xlsx]NOTA!e"&amp;INDEX([2]!PAJAK[//],MATCH(KENKO[[#This Row],[ID NOTA]],[2]!PAJAK[ID],0)),"&gt;") )</f>
        <v/>
      </c>
      <c r="D238" s="6" t="str">
        <f>IF(KENKO[[#This Row],[ID NOTA]]="","",INDEX(Table1[QB],MATCH(KENKO[[#This Row],[ID NOTA]],Table1[ID],0)))</f>
        <v/>
      </c>
      <c r="E23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8" s="6"/>
      <c r="G238" s="3" t="str">
        <f>IF(KENKO[[#This Row],[ID NOTA]]="","",INDEX([2]!NOTA[TGL_H],MATCH(KENKO[[#This Row],[ID NOTA]],[2]!NOTA[ID],0)))</f>
        <v/>
      </c>
      <c r="H238" s="3" t="str">
        <f>IF(KENKO[[#This Row],[ID NOTA]]="","",INDEX([2]!NOTA[TGL.NOTA],MATCH(KENKO[[#This Row],[ID NOTA]],[2]!NOTA[ID],0)))</f>
        <v/>
      </c>
      <c r="I238" s="18" t="str">
        <f>IF(KENKO[[#This Row],[ID NOTA]]="","",INDEX([2]!NOTA[NO.NOTA],MATCH(KENKO[[#This Row],[ID NOTA]],[2]!NOTA[ID],0)))</f>
        <v/>
      </c>
      <c r="J238" s="4" t="str">
        <f ca="1">IF(KENKO[[#This Row],[//]]="","",INDEX([4]!db[NB PAJAK],KENKO[[#This Row],[stt]]-1))</f>
        <v/>
      </c>
      <c r="K238" s="6" t="str">
        <f>""</f>
        <v/>
      </c>
      <c r="L238" s="6" t="str">
        <f ca="1">IF(KENKO[[#This Row],[//]]="","",IF(INDEX([2]!NOTA[QTY],KENKO[//]-2)="",INDEX([2]!NOTA[C],KENKO[//]-2),INDEX([2]!NOTA[QTY],KENKO[//]-2)))</f>
        <v/>
      </c>
      <c r="M238" s="6" t="str">
        <f ca="1">IF(KENKO[[#This Row],[//]]="","",IF(INDEX([2]!NOTA[STN],KENKO[//]-2)="","CTN",INDEX([2]!NOTA[STN],KENKO[//]-2)))</f>
        <v/>
      </c>
      <c r="N238" s="5" t="str">
        <f ca="1">IF(KENKO[[#This Row],[//]]="","",IF(INDEX([2]!NOTA[HARGA/ CTN],KENKO[[#This Row],[//]]-2)="",INDEX([2]!NOTA[HARGA SATUAN],KENKO[//]-2),INDEX([2]!NOTA[HARGA/ CTN],KENKO[[#This Row],[//]]-2)))</f>
        <v/>
      </c>
      <c r="O238" s="7" t="str">
        <f ca="1">IF(KENKO[[#This Row],[//]]="","",IF(INDEX([2]!NOTA[DISC 2],KENKO[[#This Row],[//]]-2)=0,"",INDEX([2]!NOTA[DISC 2],KENKO[[#This Row],[//]]-2)))</f>
        <v/>
      </c>
      <c r="P238" s="7"/>
      <c r="Q23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8" s="4" t="str">
        <f ca="1">IF(KENKO[[#This Row],[//]]="","",INDEX([2]!NOTA[NAMA BARANG],KENKO[[#This Row],[//]]-2))</f>
        <v/>
      </c>
      <c r="V238" s="4" t="str">
        <f ca="1">LOWER(SUBSTITUTE(SUBSTITUTE(SUBSTITUTE(SUBSTITUTE(SUBSTITUTE(SUBSTITUTE(SUBSTITUTE(SUBSTITUTE(KENKO[[#This Row],[N.B.nota]]," ",""),"-",""),"(",""),")",""),".",""),",",""),"/",""),"""",""))</f>
        <v/>
      </c>
      <c r="W238" s="6" t="str">
        <f ca="1">IF(KENKO[[#This Row],[concat]]="","",MATCH(KENKO[[#This Row],[concat]],[4]!db[NB NOTA_C],0)+1)</f>
        <v/>
      </c>
      <c r="X238" s="4" t="str">
        <f ca="1">IF(KENKO[[#This Row],[N.B.nota]]="","",ADDRESS(ROW(KENKO[QB]),COLUMN(KENKO[QB]))&amp;":"&amp;ADDRESS(ROW(),COLUMN(KENKO[QB])))</f>
        <v/>
      </c>
      <c r="Y238" s="13" t="str">
        <f ca="1">IF(KENKO[[#This Row],[//]]="","",HYPERLINK("[..\\DB.xlsx]DB!e"&amp;KENKO[[#This Row],[stt]],"&gt;"))</f>
        <v/>
      </c>
      <c r="Z238" s="4" t="str">
        <f ca="1">IF(KENKO[[#This Row],[//]]="","",IF(KENKO[[#This Row],[ID NOTA]]="",Z237,KENKO[[#This Row],[ID NOTA]]))</f>
        <v/>
      </c>
    </row>
    <row r="239" spans="1:26" ht="15" customHeight="1" x14ac:dyDescent="0.25">
      <c r="A239" s="4"/>
      <c r="B239" s="6" t="str">
        <f>IF(KENKO[[#This Row],[N_ID]]="","",INDEX(Table1[ID],MATCH(KENKO[[#This Row],[N_ID]],Table1[N_ID],0)))</f>
        <v/>
      </c>
      <c r="C239" s="6" t="str">
        <f>IF(KENKO[[#This Row],[ID NOTA]]="","",HYPERLINK("[NOTA_.xlsx]NOTA!e"&amp;INDEX([2]!PAJAK[//],MATCH(KENKO[[#This Row],[ID NOTA]],[2]!PAJAK[ID],0)),"&gt;") )</f>
        <v/>
      </c>
      <c r="D239" s="6" t="str">
        <f>IF(KENKO[[#This Row],[ID NOTA]]="","",INDEX(Table1[QB],MATCH(KENKO[[#This Row],[ID NOTA]],Table1[ID],0)))</f>
        <v/>
      </c>
      <c r="E23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9" s="6"/>
      <c r="G239" s="3" t="str">
        <f>IF(KENKO[[#This Row],[ID NOTA]]="","",INDEX([2]!NOTA[TGL_H],MATCH(KENKO[[#This Row],[ID NOTA]],[2]!NOTA[ID],0)))</f>
        <v/>
      </c>
      <c r="H239" s="3" t="str">
        <f>IF(KENKO[[#This Row],[ID NOTA]]="","",INDEX([2]!NOTA[TGL.NOTA],MATCH(KENKO[[#This Row],[ID NOTA]],[2]!NOTA[ID],0)))</f>
        <v/>
      </c>
      <c r="I239" s="18" t="str">
        <f>IF(KENKO[[#This Row],[ID NOTA]]="","",INDEX([2]!NOTA[NO.NOTA],MATCH(KENKO[[#This Row],[ID NOTA]],[2]!NOTA[ID],0)))</f>
        <v/>
      </c>
      <c r="J239" s="4" t="str">
        <f ca="1">IF(KENKO[[#This Row],[//]]="","",INDEX([4]!db[NB PAJAK],KENKO[[#This Row],[stt]]-1))</f>
        <v/>
      </c>
      <c r="K239" s="6" t="str">
        <f>""</f>
        <v/>
      </c>
      <c r="L239" s="6" t="str">
        <f ca="1">IF(KENKO[[#This Row],[//]]="","",IF(INDEX([2]!NOTA[QTY],KENKO[//]-2)="",INDEX([2]!NOTA[C],KENKO[//]-2),INDEX([2]!NOTA[QTY],KENKO[//]-2)))</f>
        <v/>
      </c>
      <c r="M239" s="6" t="str">
        <f ca="1">IF(KENKO[[#This Row],[//]]="","",IF(INDEX([2]!NOTA[STN],KENKO[//]-2)="","CTN",INDEX([2]!NOTA[STN],KENKO[//]-2)))</f>
        <v/>
      </c>
      <c r="N239" s="5" t="str">
        <f ca="1">IF(KENKO[[#This Row],[//]]="","",IF(INDEX([2]!NOTA[HARGA/ CTN],KENKO[[#This Row],[//]]-2)="",INDEX([2]!NOTA[HARGA SATUAN],KENKO[//]-2),INDEX([2]!NOTA[HARGA/ CTN],KENKO[[#This Row],[//]]-2)))</f>
        <v/>
      </c>
      <c r="O239" s="7" t="str">
        <f ca="1">IF(KENKO[[#This Row],[//]]="","",IF(INDEX([2]!NOTA[DISC 2],KENKO[[#This Row],[//]]-2)=0,"",INDEX([2]!NOTA[DISC 2],KENKO[[#This Row],[//]]-2)))</f>
        <v/>
      </c>
      <c r="P239" s="7"/>
      <c r="Q23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9" s="4" t="str">
        <f ca="1">IF(KENKO[[#This Row],[//]]="","",INDEX([2]!NOTA[NAMA BARANG],KENKO[[#This Row],[//]]-2))</f>
        <v/>
      </c>
      <c r="V239" s="4" t="str">
        <f ca="1">LOWER(SUBSTITUTE(SUBSTITUTE(SUBSTITUTE(SUBSTITUTE(SUBSTITUTE(SUBSTITUTE(SUBSTITUTE(SUBSTITUTE(KENKO[[#This Row],[N.B.nota]]," ",""),"-",""),"(",""),")",""),".",""),",",""),"/",""),"""",""))</f>
        <v/>
      </c>
      <c r="W239" s="6" t="str">
        <f ca="1">IF(KENKO[[#This Row],[concat]]="","",MATCH(KENKO[[#This Row],[concat]],[4]!db[NB NOTA_C],0)+1)</f>
        <v/>
      </c>
      <c r="X239" s="4" t="str">
        <f ca="1">IF(KENKO[[#This Row],[N.B.nota]]="","",ADDRESS(ROW(KENKO[QB]),COLUMN(KENKO[QB]))&amp;":"&amp;ADDRESS(ROW(),COLUMN(KENKO[QB])))</f>
        <v/>
      </c>
      <c r="Y239" s="13" t="str">
        <f ca="1">IF(KENKO[[#This Row],[//]]="","",HYPERLINK("[..\\DB.xlsx]DB!e"&amp;KENKO[[#This Row],[stt]],"&gt;"))</f>
        <v/>
      </c>
      <c r="Z239" s="4" t="str">
        <f ca="1">IF(KENKO[[#This Row],[//]]="","",IF(KENKO[[#This Row],[ID NOTA]]="",Z238,KENKO[[#This Row],[ID NOTA]]))</f>
        <v/>
      </c>
    </row>
    <row r="240" spans="1:26" ht="15" customHeight="1" x14ac:dyDescent="0.25">
      <c r="A240" s="4"/>
      <c r="B240" s="6" t="str">
        <f>IF(KENKO[[#This Row],[N_ID]]="","",INDEX(Table1[ID],MATCH(KENKO[[#This Row],[N_ID]],Table1[N_ID],0)))</f>
        <v/>
      </c>
      <c r="C240" s="6" t="str">
        <f>IF(KENKO[[#This Row],[ID NOTA]]="","",HYPERLINK("[NOTA_.xlsx]NOTA!e"&amp;INDEX([2]!PAJAK[//],MATCH(KENKO[[#This Row],[ID NOTA]],[2]!PAJAK[ID],0)),"&gt;") )</f>
        <v/>
      </c>
      <c r="D240" s="6" t="str">
        <f>IF(KENKO[[#This Row],[ID NOTA]]="","",INDEX(Table1[QB],MATCH(KENKO[[#This Row],[ID NOTA]],Table1[ID],0)))</f>
        <v/>
      </c>
      <c r="E2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0" s="6"/>
      <c r="G240" s="3" t="str">
        <f>IF(KENKO[[#This Row],[ID NOTA]]="","",INDEX([2]!NOTA[TGL_H],MATCH(KENKO[[#This Row],[ID NOTA]],[2]!NOTA[ID],0)))</f>
        <v/>
      </c>
      <c r="H240" s="3" t="str">
        <f>IF(KENKO[[#This Row],[ID NOTA]]="","",INDEX([2]!NOTA[TGL.NOTA],MATCH(KENKO[[#This Row],[ID NOTA]],[2]!NOTA[ID],0)))</f>
        <v/>
      </c>
      <c r="I240" s="18" t="str">
        <f>IF(KENKO[[#This Row],[ID NOTA]]="","",INDEX([2]!NOTA[NO.NOTA],MATCH(KENKO[[#This Row],[ID NOTA]],[2]!NOTA[ID],0)))</f>
        <v/>
      </c>
      <c r="J240" s="4" t="str">
        <f ca="1">IF(KENKO[[#This Row],[//]]="","",INDEX([4]!db[NB PAJAK],KENKO[[#This Row],[stt]]-1))</f>
        <v/>
      </c>
      <c r="K240" s="6" t="str">
        <f>""</f>
        <v/>
      </c>
      <c r="L240" s="6" t="str">
        <f ca="1">IF(KENKO[[#This Row],[//]]="","",IF(INDEX([2]!NOTA[QTY],KENKO[//]-2)="",INDEX([2]!NOTA[C],KENKO[//]-2),INDEX([2]!NOTA[QTY],KENKO[//]-2)))</f>
        <v/>
      </c>
      <c r="M240" s="6" t="str">
        <f ca="1">IF(KENKO[[#This Row],[//]]="","",IF(INDEX([2]!NOTA[STN],KENKO[//]-2)="","CTN",INDEX([2]!NOTA[STN],KENKO[//]-2)))</f>
        <v/>
      </c>
      <c r="N240" s="5" t="str">
        <f ca="1">IF(KENKO[[#This Row],[//]]="","",IF(INDEX([2]!NOTA[HARGA/ CTN],KENKO[[#This Row],[//]]-2)="",INDEX([2]!NOTA[HARGA SATUAN],KENKO[//]-2),INDEX([2]!NOTA[HARGA/ CTN],KENKO[[#This Row],[//]]-2)))</f>
        <v/>
      </c>
      <c r="O240" s="7" t="str">
        <f ca="1">IF(KENKO[[#This Row],[//]]="","",IF(INDEX([2]!NOTA[DISC 2],KENKO[[#This Row],[//]]-2)=0,"",INDEX([2]!NOTA[DISC 2],KENKO[[#This Row],[//]]-2)))</f>
        <v/>
      </c>
      <c r="P240" s="7"/>
      <c r="Q24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0" s="4" t="str">
        <f ca="1">IF(KENKO[[#This Row],[//]]="","",INDEX([2]!NOTA[NAMA BARANG],KENKO[[#This Row],[//]]-2))</f>
        <v/>
      </c>
      <c r="V240" s="4" t="str">
        <f ca="1">LOWER(SUBSTITUTE(SUBSTITUTE(SUBSTITUTE(SUBSTITUTE(SUBSTITUTE(SUBSTITUTE(SUBSTITUTE(SUBSTITUTE(KENKO[[#This Row],[N.B.nota]]," ",""),"-",""),"(",""),")",""),".",""),",",""),"/",""),"""",""))</f>
        <v/>
      </c>
      <c r="W240" s="6" t="str">
        <f ca="1">IF(KENKO[[#This Row],[concat]]="","",MATCH(KENKO[[#This Row],[concat]],[4]!db[NB NOTA_C],0)+1)</f>
        <v/>
      </c>
      <c r="X240" s="4" t="str">
        <f ca="1">IF(KENKO[[#This Row],[N.B.nota]]="","",ADDRESS(ROW(KENKO[QB]),COLUMN(KENKO[QB]))&amp;":"&amp;ADDRESS(ROW(),COLUMN(KENKO[QB])))</f>
        <v/>
      </c>
      <c r="Y240" s="13" t="str">
        <f ca="1">IF(KENKO[[#This Row],[//]]="","",HYPERLINK("[..\\DB.xlsx]DB!e"&amp;KENKO[[#This Row],[stt]],"&gt;"))</f>
        <v/>
      </c>
      <c r="Z240" s="4" t="str">
        <f ca="1">IF(KENKO[[#This Row],[//]]="","",IF(KENKO[[#This Row],[ID NOTA]]="",Z239,KENKO[[#This Row],[ID NOTA]]))</f>
        <v/>
      </c>
    </row>
    <row r="241" spans="1:26" ht="15" customHeight="1" x14ac:dyDescent="0.25">
      <c r="A241" s="4"/>
      <c r="B241" s="6" t="str">
        <f>IF(KENKO[[#This Row],[N_ID]]="","",INDEX(Table1[ID],MATCH(KENKO[[#This Row],[N_ID]],Table1[N_ID],0)))</f>
        <v/>
      </c>
      <c r="C241" s="6" t="str">
        <f>IF(KENKO[[#This Row],[ID NOTA]]="","",HYPERLINK("[NOTA_.xlsx]NOTA!e"&amp;INDEX([2]!PAJAK[//],MATCH(KENKO[[#This Row],[ID NOTA]],[2]!PAJAK[ID],0)),"&gt;") )</f>
        <v/>
      </c>
      <c r="D241" s="6" t="str">
        <f>IF(KENKO[[#This Row],[ID NOTA]]="","",INDEX(Table1[QB],MATCH(KENKO[[#This Row],[ID NOTA]],Table1[ID],0)))</f>
        <v/>
      </c>
      <c r="E24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1" s="6"/>
      <c r="G241" s="3" t="str">
        <f>IF(KENKO[[#This Row],[ID NOTA]]="","",INDEX([2]!NOTA[TGL_H],MATCH(KENKO[[#This Row],[ID NOTA]],[2]!NOTA[ID],0)))</f>
        <v/>
      </c>
      <c r="H241" s="3" t="str">
        <f>IF(KENKO[[#This Row],[ID NOTA]]="","",INDEX([2]!NOTA[TGL.NOTA],MATCH(KENKO[[#This Row],[ID NOTA]],[2]!NOTA[ID],0)))</f>
        <v/>
      </c>
      <c r="I241" s="18" t="str">
        <f>IF(KENKO[[#This Row],[ID NOTA]]="","",INDEX([2]!NOTA[NO.NOTA],MATCH(KENKO[[#This Row],[ID NOTA]],[2]!NOTA[ID],0)))</f>
        <v/>
      </c>
      <c r="J241" s="4" t="str">
        <f ca="1">IF(KENKO[[#This Row],[//]]="","",INDEX([4]!db[NB PAJAK],KENKO[[#This Row],[stt]]-1))</f>
        <v/>
      </c>
      <c r="K241" s="6" t="str">
        <f>""</f>
        <v/>
      </c>
      <c r="L241" s="6" t="str">
        <f ca="1">IF(KENKO[[#This Row],[//]]="","",IF(INDEX([2]!NOTA[QTY],KENKO[//]-2)="",INDEX([2]!NOTA[C],KENKO[//]-2),INDEX([2]!NOTA[QTY],KENKO[//]-2)))</f>
        <v/>
      </c>
      <c r="M241" s="6" t="str">
        <f ca="1">IF(KENKO[[#This Row],[//]]="","",IF(INDEX([2]!NOTA[STN],KENKO[//]-2)="","CTN",INDEX([2]!NOTA[STN],KENKO[//]-2)))</f>
        <v/>
      </c>
      <c r="N241" s="5" t="str">
        <f ca="1">IF(KENKO[[#This Row],[//]]="","",IF(INDEX([2]!NOTA[HARGA/ CTN],KENKO[[#This Row],[//]]-2)="",INDEX([2]!NOTA[HARGA SATUAN],KENKO[//]-2),INDEX([2]!NOTA[HARGA/ CTN],KENKO[[#This Row],[//]]-2)))</f>
        <v/>
      </c>
      <c r="O241" s="7" t="str">
        <f ca="1">IF(KENKO[[#This Row],[//]]="","",IF(INDEX([2]!NOTA[DISC 2],KENKO[[#This Row],[//]]-2)=0,"",INDEX([2]!NOTA[DISC 2],KENKO[[#This Row],[//]]-2)))</f>
        <v/>
      </c>
      <c r="P241" s="7"/>
      <c r="Q24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1" s="4" t="str">
        <f ca="1">IF(KENKO[[#This Row],[//]]="","",INDEX([2]!NOTA[NAMA BARANG],KENKO[[#This Row],[//]]-2))</f>
        <v/>
      </c>
      <c r="V241" s="4" t="str">
        <f ca="1">LOWER(SUBSTITUTE(SUBSTITUTE(SUBSTITUTE(SUBSTITUTE(SUBSTITUTE(SUBSTITUTE(SUBSTITUTE(SUBSTITUTE(KENKO[[#This Row],[N.B.nota]]," ",""),"-",""),"(",""),")",""),".",""),",",""),"/",""),"""",""))</f>
        <v/>
      </c>
      <c r="W241" s="6" t="str">
        <f ca="1">IF(KENKO[[#This Row],[concat]]="","",MATCH(KENKO[[#This Row],[concat]],[4]!db[NB NOTA_C],0)+1)</f>
        <v/>
      </c>
      <c r="X241" s="4" t="str">
        <f ca="1">IF(KENKO[[#This Row],[N.B.nota]]="","",ADDRESS(ROW(KENKO[QB]),COLUMN(KENKO[QB]))&amp;":"&amp;ADDRESS(ROW(),COLUMN(KENKO[QB])))</f>
        <v/>
      </c>
      <c r="Y241" s="13" t="str">
        <f ca="1">IF(KENKO[[#This Row],[//]]="","",HYPERLINK("[..\\DB.xlsx]DB!e"&amp;KENKO[[#This Row],[stt]],"&gt;"))</f>
        <v/>
      </c>
      <c r="Z241" s="4" t="str">
        <f ca="1">IF(KENKO[[#This Row],[//]]="","",IF(KENKO[[#This Row],[ID NOTA]]="",Z240,KENKO[[#This Row],[ID NOTA]]))</f>
        <v/>
      </c>
    </row>
    <row r="242" spans="1:26" ht="15" customHeight="1" x14ac:dyDescent="0.25">
      <c r="A242" s="4"/>
      <c r="B242" s="6" t="str">
        <f>IF(KENKO[[#This Row],[N_ID]]="","",INDEX(Table1[ID],MATCH(KENKO[[#This Row],[N_ID]],Table1[N_ID],0)))</f>
        <v/>
      </c>
      <c r="C242" s="6" t="str">
        <f>IF(KENKO[[#This Row],[ID NOTA]]="","",HYPERLINK("[NOTA_.xlsx]NOTA!e"&amp;INDEX([2]!PAJAK[//],MATCH(KENKO[[#This Row],[ID NOTA]],[2]!PAJAK[ID],0)),"&gt;") )</f>
        <v/>
      </c>
      <c r="D242" s="6" t="str">
        <f>IF(KENKO[[#This Row],[ID NOTA]]="","",INDEX(Table1[QB],MATCH(KENKO[[#This Row],[ID NOTA]],Table1[ID],0)))</f>
        <v/>
      </c>
      <c r="E24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2" s="6"/>
      <c r="G242" s="3" t="str">
        <f>IF(KENKO[[#This Row],[ID NOTA]]="","",INDEX([2]!NOTA[TGL_H],MATCH(KENKO[[#This Row],[ID NOTA]],[2]!NOTA[ID],0)))</f>
        <v/>
      </c>
      <c r="H242" s="3" t="str">
        <f>IF(KENKO[[#This Row],[ID NOTA]]="","",INDEX([2]!NOTA[TGL.NOTA],MATCH(KENKO[[#This Row],[ID NOTA]],[2]!NOTA[ID],0)))</f>
        <v/>
      </c>
      <c r="I242" s="18" t="str">
        <f>IF(KENKO[[#This Row],[ID NOTA]]="","",INDEX([2]!NOTA[NO.NOTA],MATCH(KENKO[[#This Row],[ID NOTA]],[2]!NOTA[ID],0)))</f>
        <v/>
      </c>
      <c r="J242" s="4" t="str">
        <f ca="1">IF(KENKO[[#This Row],[//]]="","",INDEX([4]!db[NB PAJAK],KENKO[[#This Row],[stt]]-1))</f>
        <v/>
      </c>
      <c r="K242" s="6" t="str">
        <f>""</f>
        <v/>
      </c>
      <c r="L242" s="6" t="str">
        <f ca="1">IF(KENKO[[#This Row],[//]]="","",IF(INDEX([2]!NOTA[QTY],KENKO[//]-2)="",INDEX([2]!NOTA[C],KENKO[//]-2),INDEX([2]!NOTA[QTY],KENKO[//]-2)))</f>
        <v/>
      </c>
      <c r="M242" s="6" t="str">
        <f ca="1">IF(KENKO[[#This Row],[//]]="","",IF(INDEX([2]!NOTA[STN],KENKO[//]-2)="","CTN",INDEX([2]!NOTA[STN],KENKO[//]-2)))</f>
        <v/>
      </c>
      <c r="N242" s="5" t="str">
        <f ca="1">IF(KENKO[[#This Row],[//]]="","",IF(INDEX([2]!NOTA[HARGA/ CTN],KENKO[[#This Row],[//]]-2)="",INDEX([2]!NOTA[HARGA SATUAN],KENKO[//]-2),INDEX([2]!NOTA[HARGA/ CTN],KENKO[[#This Row],[//]]-2)))</f>
        <v/>
      </c>
      <c r="O242" s="7" t="str">
        <f ca="1">IF(KENKO[[#This Row],[//]]="","",IF(INDEX([2]!NOTA[DISC 2],KENKO[[#This Row],[//]]-2)=0,"",INDEX([2]!NOTA[DISC 2],KENKO[[#This Row],[//]]-2)))</f>
        <v/>
      </c>
      <c r="P242" s="7"/>
      <c r="Q24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2" s="4" t="str">
        <f ca="1">IF(KENKO[[#This Row],[//]]="","",INDEX([2]!NOTA[NAMA BARANG],KENKO[[#This Row],[//]]-2))</f>
        <v/>
      </c>
      <c r="V242" s="4" t="str">
        <f ca="1">LOWER(SUBSTITUTE(SUBSTITUTE(SUBSTITUTE(SUBSTITUTE(SUBSTITUTE(SUBSTITUTE(SUBSTITUTE(SUBSTITUTE(KENKO[[#This Row],[N.B.nota]]," ",""),"-",""),"(",""),")",""),".",""),",",""),"/",""),"""",""))</f>
        <v/>
      </c>
      <c r="W242" s="6" t="str">
        <f ca="1">IF(KENKO[[#This Row],[concat]]="","",MATCH(KENKO[[#This Row],[concat]],[4]!db[NB NOTA_C],0)+1)</f>
        <v/>
      </c>
      <c r="X242" s="4" t="str">
        <f ca="1">IF(KENKO[[#This Row],[N.B.nota]]="","",ADDRESS(ROW(KENKO[QB]),COLUMN(KENKO[QB]))&amp;":"&amp;ADDRESS(ROW(),COLUMN(KENKO[QB])))</f>
        <v/>
      </c>
      <c r="Y242" s="13" t="str">
        <f ca="1">IF(KENKO[[#This Row],[//]]="","",HYPERLINK("[..\\DB.xlsx]DB!e"&amp;KENKO[[#This Row],[stt]],"&gt;"))</f>
        <v/>
      </c>
      <c r="Z242" s="4" t="str">
        <f ca="1">IF(KENKO[[#This Row],[//]]="","",IF(KENKO[[#This Row],[ID NOTA]]="",Z241,KENKO[[#This Row],[ID NOTA]]))</f>
        <v/>
      </c>
    </row>
    <row r="243" spans="1:26" ht="15" customHeight="1" x14ac:dyDescent="0.25">
      <c r="A243" s="4"/>
      <c r="B243" s="6" t="str">
        <f>IF(KENKO[[#This Row],[N_ID]]="","",INDEX(Table1[ID],MATCH(KENKO[[#This Row],[N_ID]],Table1[N_ID],0)))</f>
        <v/>
      </c>
      <c r="C243" s="6" t="str">
        <f>IF(KENKO[[#This Row],[ID NOTA]]="","",HYPERLINK("[NOTA_.xlsx]NOTA!e"&amp;INDEX([2]!PAJAK[//],MATCH(KENKO[[#This Row],[ID NOTA]],[2]!PAJAK[ID],0)),"&gt;") )</f>
        <v/>
      </c>
      <c r="D243" s="6" t="str">
        <f>IF(KENKO[[#This Row],[ID NOTA]]="","",INDEX(Table1[QB],MATCH(KENKO[[#This Row],[ID NOTA]],Table1[ID],0)))</f>
        <v/>
      </c>
      <c r="E2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3" s="8"/>
      <c r="G243" s="3" t="str">
        <f>IF(KENKO[[#This Row],[ID NOTA]]="","",INDEX([2]!NOTA[TGL_H],MATCH(KENKO[[#This Row],[ID NOTA]],[2]!NOTA[ID],0)))</f>
        <v/>
      </c>
      <c r="H243" s="3" t="str">
        <f>IF(KENKO[[#This Row],[ID NOTA]]="","",INDEX([2]!NOTA[TGL.NOTA],MATCH(KENKO[[#This Row],[ID NOTA]],[2]!NOTA[ID],0)))</f>
        <v/>
      </c>
      <c r="I243" s="18" t="str">
        <f>IF(KENKO[[#This Row],[ID NOTA]]="","",INDEX([2]!NOTA[NO.NOTA],MATCH(KENKO[[#This Row],[ID NOTA]],[2]!NOTA[ID],0)))</f>
        <v/>
      </c>
      <c r="J243" s="4" t="str">
        <f ca="1">IF(KENKO[[#This Row],[//]]="","",INDEX([4]!db[NB PAJAK],KENKO[[#This Row],[stt]]-1))</f>
        <v/>
      </c>
      <c r="K243" s="6" t="str">
        <f>""</f>
        <v/>
      </c>
      <c r="L243" s="6" t="str">
        <f ca="1">IF(KENKO[[#This Row],[//]]="","",IF(INDEX([2]!NOTA[QTY],KENKO[//]-2)="",INDEX([2]!NOTA[C],KENKO[//]-2),INDEX([2]!NOTA[QTY],KENKO[//]-2)))</f>
        <v/>
      </c>
      <c r="M243" s="6" t="str">
        <f ca="1">IF(KENKO[[#This Row],[//]]="","",IF(INDEX([2]!NOTA[STN],KENKO[//]-2)="","CTN",INDEX([2]!NOTA[STN],KENKO[//]-2)))</f>
        <v/>
      </c>
      <c r="N243" s="5" t="str">
        <f ca="1">IF(KENKO[[#This Row],[//]]="","",IF(INDEX([2]!NOTA[HARGA/ CTN],KENKO[[#This Row],[//]]-2)="",INDEX([2]!NOTA[HARGA SATUAN],KENKO[//]-2),INDEX([2]!NOTA[HARGA/ CTN],KENKO[[#This Row],[//]]-2)))</f>
        <v/>
      </c>
      <c r="O243" s="7" t="str">
        <f ca="1">IF(KENKO[[#This Row],[//]]="","",IF(INDEX([2]!NOTA[DISC 2],KENKO[[#This Row],[//]]-2)=0,"",INDEX([2]!NOTA[DISC 2],KENKO[[#This Row],[//]]-2)))</f>
        <v/>
      </c>
      <c r="P243" s="7"/>
      <c r="Q24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3" s="4" t="str">
        <f ca="1">IF(KENKO[[#This Row],[//]]="","",INDEX([2]!NOTA[NAMA BARANG],KENKO[[#This Row],[//]]-2))</f>
        <v/>
      </c>
      <c r="V243" s="4" t="str">
        <f ca="1">LOWER(SUBSTITUTE(SUBSTITUTE(SUBSTITUTE(SUBSTITUTE(SUBSTITUTE(SUBSTITUTE(SUBSTITUTE(SUBSTITUTE(KENKO[[#This Row],[N.B.nota]]," ",""),"-",""),"(",""),")",""),".",""),",",""),"/",""),"""",""))</f>
        <v/>
      </c>
      <c r="W243" s="6" t="str">
        <f ca="1">IF(KENKO[[#This Row],[concat]]="","",MATCH(KENKO[[#This Row],[concat]],[4]!db[NB NOTA_C],0)+1)</f>
        <v/>
      </c>
      <c r="X243" s="4" t="str">
        <f ca="1">IF(KENKO[[#This Row],[N.B.nota]]="","",ADDRESS(ROW(KENKO[QB]),COLUMN(KENKO[QB]))&amp;":"&amp;ADDRESS(ROW(),COLUMN(KENKO[QB])))</f>
        <v/>
      </c>
      <c r="Y243" s="13" t="str">
        <f ca="1">IF(KENKO[[#This Row],[//]]="","",HYPERLINK("[..\\DB.xlsx]DB!e"&amp;KENKO[[#This Row],[stt]],"&gt;"))</f>
        <v/>
      </c>
      <c r="Z243" s="4" t="str">
        <f ca="1">IF(KENKO[[#This Row],[//]]="","",IF(KENKO[[#This Row],[ID NOTA]]="",Z242,KENKO[[#This Row],[ID NOTA]]))</f>
        <v/>
      </c>
    </row>
    <row r="244" spans="1:26" ht="15" customHeight="1" x14ac:dyDescent="0.25">
      <c r="A244" s="4"/>
      <c r="B244" s="6" t="str">
        <f>IF(KENKO[[#This Row],[N_ID]]="","",INDEX(Table1[ID],MATCH(KENKO[[#This Row],[N_ID]],Table1[N_ID],0)))</f>
        <v/>
      </c>
      <c r="C244" s="6" t="str">
        <f>IF(KENKO[[#This Row],[ID NOTA]]="","",HYPERLINK("[NOTA_.xlsx]NOTA!e"&amp;INDEX([2]!PAJAK[//],MATCH(KENKO[[#This Row],[ID NOTA]],[2]!PAJAK[ID],0)),"&gt;") )</f>
        <v/>
      </c>
      <c r="D244" s="6" t="str">
        <f>IF(KENKO[[#This Row],[ID NOTA]]="","",INDEX(Table1[QB],MATCH(KENKO[[#This Row],[ID NOTA]],Table1[ID],0)))</f>
        <v/>
      </c>
      <c r="E2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4" s="8"/>
      <c r="G244" s="3" t="str">
        <f>IF(KENKO[[#This Row],[ID NOTA]]="","",INDEX([2]!NOTA[TGL_H],MATCH(KENKO[[#This Row],[ID NOTA]],[2]!NOTA[ID],0)))</f>
        <v/>
      </c>
      <c r="H244" s="3" t="str">
        <f>IF(KENKO[[#This Row],[ID NOTA]]="","",INDEX([2]!NOTA[TGL.NOTA],MATCH(KENKO[[#This Row],[ID NOTA]],[2]!NOTA[ID],0)))</f>
        <v/>
      </c>
      <c r="I244" s="18" t="str">
        <f>IF(KENKO[[#This Row],[ID NOTA]]="","",INDEX([2]!NOTA[NO.NOTA],MATCH(KENKO[[#This Row],[ID NOTA]],[2]!NOTA[ID],0)))</f>
        <v/>
      </c>
      <c r="J244" s="4" t="str">
        <f ca="1">IF(KENKO[[#This Row],[//]]="","",INDEX([4]!db[NB PAJAK],KENKO[[#This Row],[stt]]-1))</f>
        <v/>
      </c>
      <c r="K244" s="6" t="str">
        <f>""</f>
        <v/>
      </c>
      <c r="L244" s="6" t="str">
        <f ca="1">IF(KENKO[[#This Row],[//]]="","",IF(INDEX([2]!NOTA[QTY],KENKO[//]-2)="",INDEX([2]!NOTA[C],KENKO[//]-2),INDEX([2]!NOTA[QTY],KENKO[//]-2)))</f>
        <v/>
      </c>
      <c r="M244" s="6" t="str">
        <f ca="1">IF(KENKO[[#This Row],[//]]="","",IF(INDEX([2]!NOTA[STN],KENKO[//]-2)="","CTN",INDEX([2]!NOTA[STN],KENKO[//]-2)))</f>
        <v/>
      </c>
      <c r="N244" s="5" t="str">
        <f ca="1">IF(KENKO[[#This Row],[//]]="","",IF(INDEX([2]!NOTA[HARGA/ CTN],KENKO[[#This Row],[//]]-2)="",INDEX([2]!NOTA[HARGA SATUAN],KENKO[//]-2),INDEX([2]!NOTA[HARGA/ CTN],KENKO[[#This Row],[//]]-2)))</f>
        <v/>
      </c>
      <c r="O244" s="7" t="str">
        <f ca="1">IF(KENKO[[#This Row],[//]]="","",IF(INDEX([2]!NOTA[DISC 2],KENKO[[#This Row],[//]]-2)=0,"",INDEX([2]!NOTA[DISC 2],KENKO[[#This Row],[//]]-2)))</f>
        <v/>
      </c>
      <c r="P244" s="7"/>
      <c r="Q24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4" s="4" t="str">
        <f ca="1">IF(KENKO[[#This Row],[//]]="","",INDEX([2]!NOTA[NAMA BARANG],KENKO[[#This Row],[//]]-2))</f>
        <v/>
      </c>
      <c r="V244" s="4" t="str">
        <f ca="1">LOWER(SUBSTITUTE(SUBSTITUTE(SUBSTITUTE(SUBSTITUTE(SUBSTITUTE(SUBSTITUTE(SUBSTITUTE(SUBSTITUTE(KENKO[[#This Row],[N.B.nota]]," ",""),"-",""),"(",""),")",""),".",""),",",""),"/",""),"""",""))</f>
        <v/>
      </c>
      <c r="W244" s="6" t="str">
        <f ca="1">IF(KENKO[[#This Row],[concat]]="","",MATCH(KENKO[[#This Row],[concat]],[4]!db[NB NOTA_C],0)+1)</f>
        <v/>
      </c>
      <c r="X244" s="4" t="str">
        <f ca="1">IF(KENKO[[#This Row],[N.B.nota]]="","",ADDRESS(ROW(KENKO[QB]),COLUMN(KENKO[QB]))&amp;":"&amp;ADDRESS(ROW(),COLUMN(KENKO[QB])))</f>
        <v/>
      </c>
      <c r="Y244" s="13" t="str">
        <f ca="1">IF(KENKO[[#This Row],[//]]="","",HYPERLINK("[..\\DB.xlsx]DB!e"&amp;KENKO[[#This Row],[stt]],"&gt;"))</f>
        <v/>
      </c>
      <c r="Z244" s="4" t="str">
        <f ca="1">IF(KENKO[[#This Row],[//]]="","",IF(KENKO[[#This Row],[ID NOTA]]="",Z243,KENKO[[#This Row],[ID NOTA]]))</f>
        <v/>
      </c>
    </row>
    <row r="245" spans="1:26" ht="15" customHeight="1" x14ac:dyDescent="0.25">
      <c r="A245" s="4"/>
      <c r="B245" s="6" t="str">
        <f>IF(KENKO[[#This Row],[N_ID]]="","",INDEX(Table1[ID],MATCH(KENKO[[#This Row],[N_ID]],Table1[N_ID],0)))</f>
        <v/>
      </c>
      <c r="C245" s="6" t="str">
        <f>IF(KENKO[[#This Row],[ID NOTA]]="","",HYPERLINK("[NOTA_.xlsx]NOTA!e"&amp;INDEX([2]!PAJAK[//],MATCH(KENKO[[#This Row],[ID NOTA]],[2]!PAJAK[ID],0)),"&gt;") )</f>
        <v/>
      </c>
      <c r="D245" s="6" t="str">
        <f>IF(KENKO[[#This Row],[ID NOTA]]="","",INDEX(Table1[QB],MATCH(KENKO[[#This Row],[ID NOTA]],Table1[ID],0)))</f>
        <v/>
      </c>
      <c r="E24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5" s="8"/>
      <c r="G245" s="3" t="str">
        <f>IF(KENKO[[#This Row],[ID NOTA]]="","",INDEX([2]!NOTA[TGL_H],MATCH(KENKO[[#This Row],[ID NOTA]],[2]!NOTA[ID],0)))</f>
        <v/>
      </c>
      <c r="H245" s="3" t="str">
        <f>IF(KENKO[[#This Row],[ID NOTA]]="","",INDEX([2]!NOTA[TGL.NOTA],MATCH(KENKO[[#This Row],[ID NOTA]],[2]!NOTA[ID],0)))</f>
        <v/>
      </c>
      <c r="I245" s="18" t="str">
        <f>IF(KENKO[[#This Row],[ID NOTA]]="","",INDEX([2]!NOTA[NO.NOTA],MATCH(KENKO[[#This Row],[ID NOTA]],[2]!NOTA[ID],0)))</f>
        <v/>
      </c>
      <c r="J245" s="4" t="str">
        <f ca="1">IF(KENKO[[#This Row],[//]]="","",INDEX([4]!db[NB PAJAK],KENKO[[#This Row],[stt]]-1))</f>
        <v/>
      </c>
      <c r="K245" s="6" t="str">
        <f>""</f>
        <v/>
      </c>
      <c r="L245" s="6" t="str">
        <f ca="1">IF(KENKO[[#This Row],[//]]="","",IF(INDEX([2]!NOTA[QTY],KENKO[//]-2)="",INDEX([2]!NOTA[C],KENKO[//]-2),INDEX([2]!NOTA[QTY],KENKO[//]-2)))</f>
        <v/>
      </c>
      <c r="M245" s="6" t="str">
        <f ca="1">IF(KENKO[[#This Row],[//]]="","",IF(INDEX([2]!NOTA[STN],KENKO[//]-2)="","CTN",INDEX([2]!NOTA[STN],KENKO[//]-2)))</f>
        <v/>
      </c>
      <c r="N245" s="5" t="str">
        <f ca="1">IF(KENKO[[#This Row],[//]]="","",IF(INDEX([2]!NOTA[HARGA/ CTN],KENKO[[#This Row],[//]]-2)="",INDEX([2]!NOTA[HARGA SATUAN],KENKO[//]-2),INDEX([2]!NOTA[HARGA/ CTN],KENKO[[#This Row],[//]]-2)))</f>
        <v/>
      </c>
      <c r="O245" s="7" t="str">
        <f ca="1">IF(KENKO[[#This Row],[//]]="","",IF(INDEX([2]!NOTA[DISC 2],KENKO[[#This Row],[//]]-2)=0,"",INDEX([2]!NOTA[DISC 2],KENKO[[#This Row],[//]]-2)))</f>
        <v/>
      </c>
      <c r="P245" s="7"/>
      <c r="Q24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5" s="4" t="str">
        <f ca="1">IF(KENKO[[#This Row],[//]]="","",INDEX([2]!NOTA[NAMA BARANG],KENKO[[#This Row],[//]]-2))</f>
        <v/>
      </c>
      <c r="V245" s="4" t="str">
        <f ca="1">LOWER(SUBSTITUTE(SUBSTITUTE(SUBSTITUTE(SUBSTITUTE(SUBSTITUTE(SUBSTITUTE(SUBSTITUTE(SUBSTITUTE(KENKO[[#This Row],[N.B.nota]]," ",""),"-",""),"(",""),")",""),".",""),",",""),"/",""),"""",""))</f>
        <v/>
      </c>
      <c r="W245" s="6" t="str">
        <f ca="1">IF(KENKO[[#This Row],[concat]]="","",MATCH(KENKO[[#This Row],[concat]],[4]!db[NB NOTA_C],0)+1)</f>
        <v/>
      </c>
      <c r="X245" s="4" t="str">
        <f ca="1">IF(KENKO[[#This Row],[N.B.nota]]="","",ADDRESS(ROW(KENKO[QB]),COLUMN(KENKO[QB]))&amp;":"&amp;ADDRESS(ROW(),COLUMN(KENKO[QB])))</f>
        <v/>
      </c>
      <c r="Y245" s="13" t="str">
        <f ca="1">IF(KENKO[[#This Row],[//]]="","",HYPERLINK("[..\\DB.xlsx]DB!e"&amp;KENKO[[#This Row],[stt]],"&gt;"))</f>
        <v/>
      </c>
      <c r="Z245" s="4" t="str">
        <f ca="1">IF(KENKO[[#This Row],[//]]="","",IF(KENKO[[#This Row],[ID NOTA]]="",Z244,KENKO[[#This Row],[ID NOTA]]))</f>
        <v/>
      </c>
    </row>
    <row r="246" spans="1:26" ht="15" customHeight="1" x14ac:dyDescent="0.25">
      <c r="A246" s="4"/>
      <c r="B246" s="6" t="str">
        <f>IF(KENKO[[#This Row],[N_ID]]="","",INDEX(Table1[ID],MATCH(KENKO[[#This Row],[N_ID]],Table1[N_ID],0)))</f>
        <v/>
      </c>
      <c r="C246" s="6" t="str">
        <f>IF(KENKO[[#This Row],[ID NOTA]]="","",HYPERLINK("[NOTA_.xlsx]NOTA!e"&amp;INDEX([2]!PAJAK[//],MATCH(KENKO[[#This Row],[ID NOTA]],[2]!PAJAK[ID],0)),"&gt;") )</f>
        <v/>
      </c>
      <c r="D246" s="6" t="str">
        <f>IF(KENKO[[#This Row],[ID NOTA]]="","",INDEX(Table1[QB],MATCH(KENKO[[#This Row],[ID NOTA]],Table1[ID],0)))</f>
        <v/>
      </c>
      <c r="E24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6" s="8"/>
      <c r="G246" s="3" t="str">
        <f>IF(KENKO[[#This Row],[ID NOTA]]="","",INDEX([2]!NOTA[TGL_H],MATCH(KENKO[[#This Row],[ID NOTA]],[2]!NOTA[ID],0)))</f>
        <v/>
      </c>
      <c r="H246" s="3" t="str">
        <f>IF(KENKO[[#This Row],[ID NOTA]]="","",INDEX([2]!NOTA[TGL.NOTA],MATCH(KENKO[[#This Row],[ID NOTA]],[2]!NOTA[ID],0)))</f>
        <v/>
      </c>
      <c r="I246" s="18" t="str">
        <f>IF(KENKO[[#This Row],[ID NOTA]]="","",INDEX([2]!NOTA[NO.NOTA],MATCH(KENKO[[#This Row],[ID NOTA]],[2]!NOTA[ID],0)))</f>
        <v/>
      </c>
      <c r="J246" s="4" t="str">
        <f ca="1">IF(KENKO[[#This Row],[//]]="","",INDEX([4]!db[NB PAJAK],KENKO[[#This Row],[stt]]-1))</f>
        <v/>
      </c>
      <c r="K246" s="6" t="str">
        <f>""</f>
        <v/>
      </c>
      <c r="L246" s="6" t="str">
        <f ca="1">IF(KENKO[[#This Row],[//]]="","",IF(INDEX([2]!NOTA[QTY],KENKO[//]-2)="",INDEX([2]!NOTA[C],KENKO[//]-2),INDEX([2]!NOTA[QTY],KENKO[//]-2)))</f>
        <v/>
      </c>
      <c r="M246" s="6" t="str">
        <f ca="1">IF(KENKO[[#This Row],[//]]="","",IF(INDEX([2]!NOTA[STN],KENKO[//]-2)="","CTN",INDEX([2]!NOTA[STN],KENKO[//]-2)))</f>
        <v/>
      </c>
      <c r="N246" s="5" t="str">
        <f ca="1">IF(KENKO[[#This Row],[//]]="","",IF(INDEX([2]!NOTA[HARGA/ CTN],KENKO[[#This Row],[//]]-2)="",INDEX([2]!NOTA[HARGA SATUAN],KENKO[//]-2),INDEX([2]!NOTA[HARGA/ CTN],KENKO[[#This Row],[//]]-2)))</f>
        <v/>
      </c>
      <c r="O246" s="7" t="str">
        <f ca="1">IF(KENKO[[#This Row],[//]]="","",IF(INDEX([2]!NOTA[DISC 2],KENKO[[#This Row],[//]]-2)=0,"",INDEX([2]!NOTA[DISC 2],KENKO[[#This Row],[//]]-2)))</f>
        <v/>
      </c>
      <c r="P246" s="7"/>
      <c r="Q24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6" s="4" t="str">
        <f ca="1">IF(KENKO[[#This Row],[//]]="","",INDEX([2]!NOTA[NAMA BARANG],KENKO[[#This Row],[//]]-2))</f>
        <v/>
      </c>
      <c r="V246" s="4" t="str">
        <f ca="1">LOWER(SUBSTITUTE(SUBSTITUTE(SUBSTITUTE(SUBSTITUTE(SUBSTITUTE(SUBSTITUTE(SUBSTITUTE(SUBSTITUTE(KENKO[[#This Row],[N.B.nota]]," ",""),"-",""),"(",""),")",""),".",""),",",""),"/",""),"""",""))</f>
        <v/>
      </c>
      <c r="W246" s="6" t="str">
        <f ca="1">IF(KENKO[[#This Row],[concat]]="","",MATCH(KENKO[[#This Row],[concat]],[4]!db[NB NOTA_C],0)+1)</f>
        <v/>
      </c>
      <c r="X246" s="4" t="str">
        <f ca="1">IF(KENKO[[#This Row],[N.B.nota]]="","",ADDRESS(ROW(KENKO[QB]),COLUMN(KENKO[QB]))&amp;":"&amp;ADDRESS(ROW(),COLUMN(KENKO[QB])))</f>
        <v/>
      </c>
      <c r="Y246" s="13" t="str">
        <f ca="1">IF(KENKO[[#This Row],[//]]="","",HYPERLINK("[..\\DB.xlsx]DB!e"&amp;KENKO[[#This Row],[stt]],"&gt;"))</f>
        <v/>
      </c>
      <c r="Z246" s="4" t="str">
        <f ca="1">IF(KENKO[[#This Row],[//]]="","",IF(KENKO[[#This Row],[ID NOTA]]="",Z245,KENKO[[#This Row],[ID NOTA]]))</f>
        <v/>
      </c>
    </row>
    <row r="247" spans="1:26" ht="15" customHeight="1" x14ac:dyDescent="0.25">
      <c r="A247" s="4"/>
      <c r="B247" s="6" t="str">
        <f>IF(KENKO[[#This Row],[N_ID]]="","",INDEX(Table1[ID],MATCH(KENKO[[#This Row],[N_ID]],Table1[N_ID],0)))</f>
        <v/>
      </c>
      <c r="C247" s="6" t="str">
        <f>IF(KENKO[[#This Row],[ID NOTA]]="","",HYPERLINK("[NOTA_.xlsx]NOTA!e"&amp;INDEX([2]!PAJAK[//],MATCH(KENKO[[#This Row],[ID NOTA]],[2]!PAJAK[ID],0)),"&gt;") )</f>
        <v/>
      </c>
      <c r="D247" s="6" t="str">
        <f>IF(KENKO[[#This Row],[ID NOTA]]="","",INDEX(Table1[QB],MATCH(KENKO[[#This Row],[ID NOTA]],Table1[ID],0)))</f>
        <v/>
      </c>
      <c r="E24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7" s="8"/>
      <c r="G247" s="3" t="str">
        <f>IF(KENKO[[#This Row],[ID NOTA]]="","",INDEX([2]!NOTA[TGL_H],MATCH(KENKO[[#This Row],[ID NOTA]],[2]!NOTA[ID],0)))</f>
        <v/>
      </c>
      <c r="H247" s="3" t="str">
        <f>IF(KENKO[[#This Row],[ID NOTA]]="","",INDEX([2]!NOTA[TGL.NOTA],MATCH(KENKO[[#This Row],[ID NOTA]],[2]!NOTA[ID],0)))</f>
        <v/>
      </c>
      <c r="I247" s="18" t="str">
        <f>IF(KENKO[[#This Row],[ID NOTA]]="","",INDEX([2]!NOTA[NO.NOTA],MATCH(KENKO[[#This Row],[ID NOTA]],[2]!NOTA[ID],0)))</f>
        <v/>
      </c>
      <c r="J247" s="4" t="str">
        <f ca="1">IF(KENKO[[#This Row],[//]]="","",INDEX([4]!db[NB PAJAK],KENKO[[#This Row],[stt]]-1))</f>
        <v/>
      </c>
      <c r="K247" s="6" t="str">
        <f>""</f>
        <v/>
      </c>
      <c r="L247" s="6" t="str">
        <f ca="1">IF(KENKO[[#This Row],[//]]="","",IF(INDEX([2]!NOTA[QTY],KENKO[//]-2)="",INDEX([2]!NOTA[C],KENKO[//]-2),INDEX([2]!NOTA[QTY],KENKO[//]-2)))</f>
        <v/>
      </c>
      <c r="M247" s="6" t="str">
        <f ca="1">IF(KENKO[[#This Row],[//]]="","",IF(INDEX([2]!NOTA[STN],KENKO[//]-2)="","CTN",INDEX([2]!NOTA[STN],KENKO[//]-2)))</f>
        <v/>
      </c>
      <c r="N247" s="5" t="str">
        <f ca="1">IF(KENKO[[#This Row],[//]]="","",IF(INDEX([2]!NOTA[HARGA/ CTN],KENKO[[#This Row],[//]]-2)="",INDEX([2]!NOTA[HARGA SATUAN],KENKO[//]-2),INDEX([2]!NOTA[HARGA/ CTN],KENKO[[#This Row],[//]]-2)))</f>
        <v/>
      </c>
      <c r="O247" s="7" t="str">
        <f ca="1">IF(KENKO[[#This Row],[//]]="","",IF(INDEX([2]!NOTA[DISC 2],KENKO[[#This Row],[//]]-2)=0,"",INDEX([2]!NOTA[DISC 2],KENKO[[#This Row],[//]]-2)))</f>
        <v/>
      </c>
      <c r="P247" s="7"/>
      <c r="Q24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7" s="4" t="str">
        <f ca="1">IF(KENKO[[#This Row],[//]]="","",INDEX([2]!NOTA[NAMA BARANG],KENKO[[#This Row],[//]]-2))</f>
        <v/>
      </c>
      <c r="V247" s="4" t="str">
        <f ca="1">LOWER(SUBSTITUTE(SUBSTITUTE(SUBSTITUTE(SUBSTITUTE(SUBSTITUTE(SUBSTITUTE(SUBSTITUTE(SUBSTITUTE(KENKO[[#This Row],[N.B.nota]]," ",""),"-",""),"(",""),")",""),".",""),",",""),"/",""),"""",""))</f>
        <v/>
      </c>
      <c r="W247" s="6" t="str">
        <f ca="1">IF(KENKO[[#This Row],[concat]]="","",MATCH(KENKO[[#This Row],[concat]],[4]!db[NB NOTA_C],0)+1)</f>
        <v/>
      </c>
      <c r="X247" s="4" t="str">
        <f ca="1">IF(KENKO[[#This Row],[N.B.nota]]="","",ADDRESS(ROW(KENKO[QB]),COLUMN(KENKO[QB]))&amp;":"&amp;ADDRESS(ROW(),COLUMN(KENKO[QB])))</f>
        <v/>
      </c>
      <c r="Y247" s="13" t="str">
        <f ca="1">IF(KENKO[[#This Row],[//]]="","",HYPERLINK("[..\\DB.xlsx]DB!e"&amp;KENKO[[#This Row],[stt]],"&gt;"))</f>
        <v/>
      </c>
      <c r="Z247" s="4" t="str">
        <f ca="1">IF(KENKO[[#This Row],[//]]="","",IF(KENKO[[#This Row],[ID NOTA]]="",Z246,KENKO[[#This Row],[ID NOTA]]))</f>
        <v/>
      </c>
    </row>
    <row r="248" spans="1:26" ht="15" customHeight="1" x14ac:dyDescent="0.25">
      <c r="A248" s="4"/>
      <c r="B248" s="6" t="str">
        <f>IF(KENKO[[#This Row],[N_ID]]="","",INDEX(Table1[ID],MATCH(KENKO[[#This Row],[N_ID]],Table1[N_ID],0)))</f>
        <v/>
      </c>
      <c r="C248" s="6" t="str">
        <f>IF(KENKO[[#This Row],[ID NOTA]]="","",HYPERLINK("[NOTA_.xlsx]NOTA!e"&amp;INDEX([2]!PAJAK[//],MATCH(KENKO[[#This Row],[ID NOTA]],[2]!PAJAK[ID],0)),"&gt;") )</f>
        <v/>
      </c>
      <c r="D248" s="6" t="str">
        <f>IF(KENKO[[#This Row],[ID NOTA]]="","",INDEX(Table1[QB],MATCH(KENKO[[#This Row],[ID NOTA]],Table1[ID],0)))</f>
        <v/>
      </c>
      <c r="E2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8" s="8"/>
      <c r="G248" s="3" t="str">
        <f>IF(KENKO[[#This Row],[ID NOTA]]="","",INDEX([2]!NOTA[TGL_H],MATCH(KENKO[[#This Row],[ID NOTA]],[2]!NOTA[ID],0)))</f>
        <v/>
      </c>
      <c r="H248" s="3" t="str">
        <f>IF(KENKO[[#This Row],[ID NOTA]]="","",INDEX([2]!NOTA[TGL.NOTA],MATCH(KENKO[[#This Row],[ID NOTA]],[2]!NOTA[ID],0)))</f>
        <v/>
      </c>
      <c r="I248" s="18" t="str">
        <f>IF(KENKO[[#This Row],[ID NOTA]]="","",INDEX([2]!NOTA[NO.NOTA],MATCH(KENKO[[#This Row],[ID NOTA]],[2]!NOTA[ID],0)))</f>
        <v/>
      </c>
      <c r="J248" s="4" t="str">
        <f ca="1">IF(KENKO[[#This Row],[//]]="","",INDEX([4]!db[NB PAJAK],KENKO[[#This Row],[stt]]-1))</f>
        <v/>
      </c>
      <c r="K248" s="6" t="str">
        <f>""</f>
        <v/>
      </c>
      <c r="L248" s="6" t="str">
        <f ca="1">IF(KENKO[[#This Row],[//]]="","",IF(INDEX([2]!NOTA[QTY],KENKO[//]-2)="",INDEX([2]!NOTA[C],KENKO[//]-2),INDEX([2]!NOTA[QTY],KENKO[//]-2)))</f>
        <v/>
      </c>
      <c r="M248" s="6" t="str">
        <f ca="1">IF(KENKO[[#This Row],[//]]="","",IF(INDEX([2]!NOTA[STN],KENKO[//]-2)="","CTN",INDEX([2]!NOTA[STN],KENKO[//]-2)))</f>
        <v/>
      </c>
      <c r="N248" s="5" t="str">
        <f ca="1">IF(KENKO[[#This Row],[//]]="","",IF(INDEX([2]!NOTA[HARGA/ CTN],KENKO[[#This Row],[//]]-2)="",INDEX([2]!NOTA[HARGA SATUAN],KENKO[//]-2),INDEX([2]!NOTA[HARGA/ CTN],KENKO[[#This Row],[//]]-2)))</f>
        <v/>
      </c>
      <c r="O248" s="7" t="str">
        <f ca="1">IF(KENKO[[#This Row],[//]]="","",IF(INDEX([2]!NOTA[DISC 2],KENKO[[#This Row],[//]]-2)=0,"",INDEX([2]!NOTA[DISC 2],KENKO[[#This Row],[//]]-2)))</f>
        <v/>
      </c>
      <c r="P248" s="7"/>
      <c r="Q24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8" s="4" t="str">
        <f ca="1">IF(KENKO[[#This Row],[//]]="","",INDEX([2]!NOTA[NAMA BARANG],KENKO[[#This Row],[//]]-2))</f>
        <v/>
      </c>
      <c r="V248" s="4" t="str">
        <f ca="1">LOWER(SUBSTITUTE(SUBSTITUTE(SUBSTITUTE(SUBSTITUTE(SUBSTITUTE(SUBSTITUTE(SUBSTITUTE(SUBSTITUTE(KENKO[[#This Row],[N.B.nota]]," ",""),"-",""),"(",""),")",""),".",""),",",""),"/",""),"""",""))</f>
        <v/>
      </c>
      <c r="W248" s="6" t="str">
        <f ca="1">IF(KENKO[[#This Row],[concat]]="","",MATCH(KENKO[[#This Row],[concat]],[4]!db[NB NOTA_C],0)+1)</f>
        <v/>
      </c>
      <c r="X248" s="4" t="str">
        <f ca="1">IF(KENKO[[#This Row],[N.B.nota]]="","",ADDRESS(ROW(KENKO[QB]),COLUMN(KENKO[QB]))&amp;":"&amp;ADDRESS(ROW(),COLUMN(KENKO[QB])))</f>
        <v/>
      </c>
      <c r="Y248" s="13" t="str">
        <f ca="1">IF(KENKO[[#This Row],[//]]="","",HYPERLINK("[..\\DB.xlsx]DB!e"&amp;KENKO[[#This Row],[stt]],"&gt;"))</f>
        <v/>
      </c>
      <c r="Z248" s="4" t="str">
        <f ca="1">IF(KENKO[[#This Row],[//]]="","",IF(KENKO[[#This Row],[ID NOTA]]="",Z247,KENKO[[#This Row],[ID NOTA]]))</f>
        <v/>
      </c>
    </row>
    <row r="249" spans="1:26" ht="15" customHeight="1" x14ac:dyDescent="0.25">
      <c r="A249" s="4"/>
      <c r="B249" s="6" t="str">
        <f>IF(KENKO[[#This Row],[N_ID]]="","",INDEX(Table1[ID],MATCH(KENKO[[#This Row],[N_ID]],Table1[N_ID],0)))</f>
        <v/>
      </c>
      <c r="C249" s="6" t="str">
        <f>IF(KENKO[[#This Row],[ID NOTA]]="","",HYPERLINK("[NOTA_.xlsx]NOTA!e"&amp;INDEX([2]!PAJAK[//],MATCH(KENKO[[#This Row],[ID NOTA]],[2]!PAJAK[ID],0)),"&gt;") )</f>
        <v/>
      </c>
      <c r="D249" s="6" t="str">
        <f>IF(KENKO[[#This Row],[ID NOTA]]="","",INDEX(Table1[QB],MATCH(KENKO[[#This Row],[ID NOTA]],Table1[ID],0)))</f>
        <v/>
      </c>
      <c r="E24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9" s="8"/>
      <c r="G249" s="3" t="str">
        <f>IF(KENKO[[#This Row],[ID NOTA]]="","",INDEX([2]!NOTA[TGL_H],MATCH(KENKO[[#This Row],[ID NOTA]],[2]!NOTA[ID],0)))</f>
        <v/>
      </c>
      <c r="H249" s="3" t="str">
        <f>IF(KENKO[[#This Row],[ID NOTA]]="","",INDEX([2]!NOTA[TGL.NOTA],MATCH(KENKO[[#This Row],[ID NOTA]],[2]!NOTA[ID],0)))</f>
        <v/>
      </c>
      <c r="I249" s="18" t="str">
        <f>IF(KENKO[[#This Row],[ID NOTA]]="","",INDEX([2]!NOTA[NO.NOTA],MATCH(KENKO[[#This Row],[ID NOTA]],[2]!NOTA[ID],0)))</f>
        <v/>
      </c>
      <c r="J249" s="4" t="str">
        <f ca="1">IF(KENKO[[#This Row],[//]]="","",INDEX([4]!db[NB PAJAK],KENKO[[#This Row],[stt]]-1))</f>
        <v/>
      </c>
      <c r="K249" s="6" t="str">
        <f>""</f>
        <v/>
      </c>
      <c r="L249" s="6" t="str">
        <f ca="1">IF(KENKO[[#This Row],[//]]="","",IF(INDEX([2]!NOTA[QTY],KENKO[//]-2)="",INDEX([2]!NOTA[C],KENKO[//]-2),INDEX([2]!NOTA[QTY],KENKO[//]-2)))</f>
        <v/>
      </c>
      <c r="M249" s="6" t="str">
        <f ca="1">IF(KENKO[[#This Row],[//]]="","",IF(INDEX([2]!NOTA[STN],KENKO[//]-2)="","CTN",INDEX([2]!NOTA[STN],KENKO[//]-2)))</f>
        <v/>
      </c>
      <c r="N249" s="5" t="str">
        <f ca="1">IF(KENKO[[#This Row],[//]]="","",IF(INDEX([2]!NOTA[HARGA/ CTN],KENKO[[#This Row],[//]]-2)="",INDEX([2]!NOTA[HARGA SATUAN],KENKO[//]-2),INDEX([2]!NOTA[HARGA/ CTN],KENKO[[#This Row],[//]]-2)))</f>
        <v/>
      </c>
      <c r="O249" s="7" t="str">
        <f ca="1">IF(KENKO[[#This Row],[//]]="","",IF(INDEX([2]!NOTA[DISC 2],KENKO[[#This Row],[//]]-2)=0,"",INDEX([2]!NOTA[DISC 2],KENKO[[#This Row],[//]]-2)))</f>
        <v/>
      </c>
      <c r="P249" s="7"/>
      <c r="Q24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9" s="4" t="str">
        <f ca="1">IF(KENKO[[#This Row],[//]]="","",INDEX([2]!NOTA[NAMA BARANG],KENKO[[#This Row],[//]]-2))</f>
        <v/>
      </c>
      <c r="V249" s="4" t="str">
        <f ca="1">LOWER(SUBSTITUTE(SUBSTITUTE(SUBSTITUTE(SUBSTITUTE(SUBSTITUTE(SUBSTITUTE(SUBSTITUTE(SUBSTITUTE(KENKO[[#This Row],[N.B.nota]]," ",""),"-",""),"(",""),")",""),".",""),",",""),"/",""),"""",""))</f>
        <v/>
      </c>
      <c r="W249" s="6" t="str">
        <f ca="1">IF(KENKO[[#This Row],[concat]]="","",MATCH(KENKO[[#This Row],[concat]],[4]!db[NB NOTA_C],0)+1)</f>
        <v/>
      </c>
      <c r="X249" s="4" t="str">
        <f ca="1">IF(KENKO[[#This Row],[N.B.nota]]="","",ADDRESS(ROW(KENKO[QB]),COLUMN(KENKO[QB]))&amp;":"&amp;ADDRESS(ROW(),COLUMN(KENKO[QB])))</f>
        <v/>
      </c>
      <c r="Y249" s="13" t="str">
        <f ca="1">IF(KENKO[[#This Row],[//]]="","",HYPERLINK("[..\\DB.xlsx]DB!e"&amp;KENKO[[#This Row],[stt]],"&gt;"))</f>
        <v/>
      </c>
      <c r="Z249" s="4" t="str">
        <f ca="1">IF(KENKO[[#This Row],[//]]="","",IF(KENKO[[#This Row],[ID NOTA]]="",Z248,KENKO[[#This Row],[ID NOTA]]))</f>
        <v/>
      </c>
    </row>
    <row r="250" spans="1:26" ht="15" customHeight="1" x14ac:dyDescent="0.25">
      <c r="A250" s="4"/>
      <c r="B250" s="6" t="str">
        <f>IF(KENKO[[#This Row],[N_ID]]="","",INDEX(Table1[ID],MATCH(KENKO[[#This Row],[N_ID]],Table1[N_ID],0)))</f>
        <v/>
      </c>
      <c r="C250" s="6" t="str">
        <f>IF(KENKO[[#This Row],[ID NOTA]]="","",HYPERLINK("[NOTA_.xlsx]NOTA!e"&amp;INDEX([2]!PAJAK[//],MATCH(KENKO[[#This Row],[ID NOTA]],[2]!PAJAK[ID],0)),"&gt;") )</f>
        <v/>
      </c>
      <c r="D250" s="6" t="str">
        <f>IF(KENKO[[#This Row],[ID NOTA]]="","",INDEX(Table1[QB],MATCH(KENKO[[#This Row],[ID NOTA]],Table1[ID],0)))</f>
        <v/>
      </c>
      <c r="E25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0" s="8"/>
      <c r="G250" s="3" t="str">
        <f>IF(KENKO[[#This Row],[ID NOTA]]="","",INDEX([2]!NOTA[TGL_H],MATCH(KENKO[[#This Row],[ID NOTA]],[2]!NOTA[ID],0)))</f>
        <v/>
      </c>
      <c r="H250" s="3" t="str">
        <f>IF(KENKO[[#This Row],[ID NOTA]]="","",INDEX([2]!NOTA[TGL.NOTA],MATCH(KENKO[[#This Row],[ID NOTA]],[2]!NOTA[ID],0)))</f>
        <v/>
      </c>
      <c r="I250" s="18" t="str">
        <f>IF(KENKO[[#This Row],[ID NOTA]]="","",INDEX([2]!NOTA[NO.NOTA],MATCH(KENKO[[#This Row],[ID NOTA]],[2]!NOTA[ID],0)))</f>
        <v/>
      </c>
      <c r="J250" s="4" t="str">
        <f ca="1">IF(KENKO[[#This Row],[//]]="","",INDEX([4]!db[NB PAJAK],KENKO[[#This Row],[stt]]-1))</f>
        <v/>
      </c>
      <c r="K250" s="6" t="str">
        <f>""</f>
        <v/>
      </c>
      <c r="L250" s="6" t="str">
        <f ca="1">IF(KENKO[[#This Row],[//]]="","",IF(INDEX([2]!NOTA[QTY],KENKO[//]-2)="",INDEX([2]!NOTA[C],KENKO[//]-2),INDEX([2]!NOTA[QTY],KENKO[//]-2)))</f>
        <v/>
      </c>
      <c r="M250" s="6" t="str">
        <f ca="1">IF(KENKO[[#This Row],[//]]="","",IF(INDEX([2]!NOTA[STN],KENKO[//]-2)="","CTN",INDEX([2]!NOTA[STN],KENKO[//]-2)))</f>
        <v/>
      </c>
      <c r="N250" s="5" t="str">
        <f ca="1">IF(KENKO[[#This Row],[//]]="","",IF(INDEX([2]!NOTA[HARGA/ CTN],KENKO[[#This Row],[//]]-2)="",INDEX([2]!NOTA[HARGA SATUAN],KENKO[//]-2),INDEX([2]!NOTA[HARGA/ CTN],KENKO[[#This Row],[//]]-2)))</f>
        <v/>
      </c>
      <c r="O250" s="7" t="str">
        <f ca="1">IF(KENKO[[#This Row],[//]]="","",IF(INDEX([2]!NOTA[DISC 2],KENKO[[#This Row],[//]]-2)=0,"",INDEX([2]!NOTA[DISC 2],KENKO[[#This Row],[//]]-2)))</f>
        <v/>
      </c>
      <c r="P250" s="7"/>
      <c r="Q25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0" s="4" t="str">
        <f ca="1">IF(KENKO[[#This Row],[//]]="","",INDEX([2]!NOTA[NAMA BARANG],KENKO[[#This Row],[//]]-2))</f>
        <v/>
      </c>
      <c r="V250" s="4" t="str">
        <f ca="1">LOWER(SUBSTITUTE(SUBSTITUTE(SUBSTITUTE(SUBSTITUTE(SUBSTITUTE(SUBSTITUTE(SUBSTITUTE(SUBSTITUTE(KENKO[[#This Row],[N.B.nota]]," ",""),"-",""),"(",""),")",""),".",""),",",""),"/",""),"""",""))</f>
        <v/>
      </c>
      <c r="W250" s="6" t="str">
        <f ca="1">IF(KENKO[[#This Row],[concat]]="","",MATCH(KENKO[[#This Row],[concat]],[4]!db[NB NOTA_C],0)+1)</f>
        <v/>
      </c>
      <c r="X250" s="4" t="str">
        <f ca="1">IF(KENKO[[#This Row],[N.B.nota]]="","",ADDRESS(ROW(KENKO[QB]),COLUMN(KENKO[QB]))&amp;":"&amp;ADDRESS(ROW(),COLUMN(KENKO[QB])))</f>
        <v/>
      </c>
      <c r="Y250" s="13" t="str">
        <f ca="1">IF(KENKO[[#This Row],[//]]="","",HYPERLINK("[..\\DB.xlsx]DB!e"&amp;KENKO[[#This Row],[stt]],"&gt;"))</f>
        <v/>
      </c>
      <c r="Z250" s="4" t="str">
        <f ca="1">IF(KENKO[[#This Row],[//]]="","",IF(KENKO[[#This Row],[ID NOTA]]="",Z249,KENKO[[#This Row],[ID NOTA]]))</f>
        <v/>
      </c>
    </row>
    <row r="251" spans="1:26" ht="15" customHeight="1" x14ac:dyDescent="0.25">
      <c r="A251" s="4"/>
      <c r="B251" s="6" t="str">
        <f>IF(KENKO[[#This Row],[N_ID]]="","",INDEX(Table1[ID],MATCH(KENKO[[#This Row],[N_ID]],Table1[N_ID],0)))</f>
        <v/>
      </c>
      <c r="C251" s="6" t="str">
        <f>IF(KENKO[[#This Row],[ID NOTA]]="","",HYPERLINK("[NOTA_.xlsx]NOTA!e"&amp;INDEX([2]!PAJAK[//],MATCH(KENKO[[#This Row],[ID NOTA]],[2]!PAJAK[ID],0)),"&gt;") )</f>
        <v/>
      </c>
      <c r="D251" s="6" t="str">
        <f>IF(KENKO[[#This Row],[ID NOTA]]="","",INDEX(Table1[QB],MATCH(KENKO[[#This Row],[ID NOTA]],Table1[ID],0)))</f>
        <v/>
      </c>
      <c r="E25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1" s="8"/>
      <c r="G251" s="3" t="str">
        <f>IF(KENKO[[#This Row],[ID NOTA]]="","",INDEX([2]!NOTA[TGL_H],MATCH(KENKO[[#This Row],[ID NOTA]],[2]!NOTA[ID],0)))</f>
        <v/>
      </c>
      <c r="H251" s="3" t="str">
        <f>IF(KENKO[[#This Row],[ID NOTA]]="","",INDEX([2]!NOTA[TGL.NOTA],MATCH(KENKO[[#This Row],[ID NOTA]],[2]!NOTA[ID],0)))</f>
        <v/>
      </c>
      <c r="I251" s="18" t="str">
        <f>IF(KENKO[[#This Row],[ID NOTA]]="","",INDEX([2]!NOTA[NO.NOTA],MATCH(KENKO[[#This Row],[ID NOTA]],[2]!NOTA[ID],0)))</f>
        <v/>
      </c>
      <c r="J251" s="4" t="str">
        <f ca="1">IF(KENKO[[#This Row],[//]]="","",INDEX([4]!db[NB PAJAK],KENKO[[#This Row],[stt]]-1))</f>
        <v/>
      </c>
      <c r="K251" s="6" t="str">
        <f>""</f>
        <v/>
      </c>
      <c r="L251" s="6" t="str">
        <f ca="1">IF(KENKO[[#This Row],[//]]="","",IF(INDEX([2]!NOTA[QTY],KENKO[//]-2)="",INDEX([2]!NOTA[C],KENKO[//]-2),INDEX([2]!NOTA[QTY],KENKO[//]-2)))</f>
        <v/>
      </c>
      <c r="M251" s="6" t="str">
        <f ca="1">IF(KENKO[[#This Row],[//]]="","",IF(INDEX([2]!NOTA[STN],KENKO[//]-2)="","CTN",INDEX([2]!NOTA[STN],KENKO[//]-2)))</f>
        <v/>
      </c>
      <c r="N251" s="5" t="str">
        <f ca="1">IF(KENKO[[#This Row],[//]]="","",IF(INDEX([2]!NOTA[HARGA/ CTN],KENKO[[#This Row],[//]]-2)="",INDEX([2]!NOTA[HARGA SATUAN],KENKO[//]-2),INDEX([2]!NOTA[HARGA/ CTN],KENKO[[#This Row],[//]]-2)))</f>
        <v/>
      </c>
      <c r="O251" s="7" t="str">
        <f ca="1">IF(KENKO[[#This Row],[//]]="","",IF(INDEX([2]!NOTA[DISC 2],KENKO[[#This Row],[//]]-2)=0,"",INDEX([2]!NOTA[DISC 2],KENKO[[#This Row],[//]]-2)))</f>
        <v/>
      </c>
      <c r="P251" s="7"/>
      <c r="Q25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1" s="4" t="str">
        <f ca="1">IF(KENKO[[#This Row],[//]]="","",INDEX([2]!NOTA[NAMA BARANG],KENKO[[#This Row],[//]]-2))</f>
        <v/>
      </c>
      <c r="V251" s="4" t="str">
        <f ca="1">LOWER(SUBSTITUTE(SUBSTITUTE(SUBSTITUTE(SUBSTITUTE(SUBSTITUTE(SUBSTITUTE(SUBSTITUTE(SUBSTITUTE(KENKO[[#This Row],[N.B.nota]]," ",""),"-",""),"(",""),")",""),".",""),",",""),"/",""),"""",""))</f>
        <v/>
      </c>
      <c r="W251" s="6" t="str">
        <f ca="1">IF(KENKO[[#This Row],[concat]]="","",MATCH(KENKO[[#This Row],[concat]],[4]!db[NB NOTA_C],0)+1)</f>
        <v/>
      </c>
      <c r="X251" s="4" t="str">
        <f ca="1">IF(KENKO[[#This Row],[N.B.nota]]="","",ADDRESS(ROW(KENKO[QB]),COLUMN(KENKO[QB]))&amp;":"&amp;ADDRESS(ROW(),COLUMN(KENKO[QB])))</f>
        <v/>
      </c>
      <c r="Y251" s="13" t="str">
        <f ca="1">IF(KENKO[[#This Row],[//]]="","",HYPERLINK("[..\\DB.xlsx]DB!e"&amp;KENKO[[#This Row],[stt]],"&gt;"))</f>
        <v/>
      </c>
      <c r="Z251" s="4" t="str">
        <f ca="1">IF(KENKO[[#This Row],[//]]="","",IF(KENKO[[#This Row],[ID NOTA]]="",Z250,KENKO[[#This Row],[ID NOTA]]))</f>
        <v/>
      </c>
    </row>
    <row r="252" spans="1:26" ht="15" customHeight="1" x14ac:dyDescent="0.25">
      <c r="A252" s="4"/>
      <c r="B252" s="6" t="str">
        <f>IF(KENKO[[#This Row],[N_ID]]="","",INDEX(Table1[ID],MATCH(KENKO[[#This Row],[N_ID]],Table1[N_ID],0)))</f>
        <v/>
      </c>
      <c r="C252" s="6" t="str">
        <f>IF(KENKO[[#This Row],[ID NOTA]]="","",HYPERLINK("[NOTA_.xlsx]NOTA!e"&amp;INDEX([2]!PAJAK[//],MATCH(KENKO[[#This Row],[ID NOTA]],[2]!PAJAK[ID],0)),"&gt;") )</f>
        <v/>
      </c>
      <c r="D252" s="6" t="str">
        <f>IF(KENKO[[#This Row],[ID NOTA]]="","",INDEX(Table1[QB],MATCH(KENKO[[#This Row],[ID NOTA]],Table1[ID],0)))</f>
        <v/>
      </c>
      <c r="E25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2" s="8"/>
      <c r="G252" s="3" t="str">
        <f>IF(KENKO[[#This Row],[ID NOTA]]="","",INDEX([2]!NOTA[TGL_H],MATCH(KENKO[[#This Row],[ID NOTA]],[2]!NOTA[ID],0)))</f>
        <v/>
      </c>
      <c r="H252" s="3" t="str">
        <f>IF(KENKO[[#This Row],[ID NOTA]]="","",INDEX([2]!NOTA[TGL.NOTA],MATCH(KENKO[[#This Row],[ID NOTA]],[2]!NOTA[ID],0)))</f>
        <v/>
      </c>
      <c r="I252" s="18" t="str">
        <f>IF(KENKO[[#This Row],[ID NOTA]]="","",INDEX([2]!NOTA[NO.NOTA],MATCH(KENKO[[#This Row],[ID NOTA]],[2]!NOTA[ID],0)))</f>
        <v/>
      </c>
      <c r="J252" s="4" t="str">
        <f ca="1">IF(KENKO[[#This Row],[//]]="","",INDEX([4]!db[NB PAJAK],KENKO[[#This Row],[stt]]-1))</f>
        <v/>
      </c>
      <c r="K252" s="6" t="str">
        <f>""</f>
        <v/>
      </c>
      <c r="L252" s="6" t="str">
        <f ca="1">IF(KENKO[[#This Row],[//]]="","",IF(INDEX([2]!NOTA[QTY],KENKO[//]-2)="",INDEX([2]!NOTA[C],KENKO[//]-2),INDEX([2]!NOTA[QTY],KENKO[//]-2)))</f>
        <v/>
      </c>
      <c r="M252" s="6" t="str">
        <f ca="1">IF(KENKO[[#This Row],[//]]="","",IF(INDEX([2]!NOTA[STN],KENKO[//]-2)="","CTN",INDEX([2]!NOTA[STN],KENKO[//]-2)))</f>
        <v/>
      </c>
      <c r="N252" s="5" t="str">
        <f ca="1">IF(KENKO[[#This Row],[//]]="","",IF(INDEX([2]!NOTA[HARGA/ CTN],KENKO[[#This Row],[//]]-2)="",INDEX([2]!NOTA[HARGA SATUAN],KENKO[//]-2),INDEX([2]!NOTA[HARGA/ CTN],KENKO[[#This Row],[//]]-2)))</f>
        <v/>
      </c>
      <c r="O252" s="7" t="str">
        <f ca="1">IF(KENKO[[#This Row],[//]]="","",IF(INDEX([2]!NOTA[DISC 2],KENKO[[#This Row],[//]]-2)=0,"",INDEX([2]!NOTA[DISC 2],KENKO[[#This Row],[//]]-2)))</f>
        <v/>
      </c>
      <c r="P252" s="7"/>
      <c r="Q25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2" s="4" t="str">
        <f ca="1">IF(KENKO[[#This Row],[//]]="","",INDEX([2]!NOTA[NAMA BARANG],KENKO[[#This Row],[//]]-2))</f>
        <v/>
      </c>
      <c r="V252" s="4" t="str">
        <f ca="1">LOWER(SUBSTITUTE(SUBSTITUTE(SUBSTITUTE(SUBSTITUTE(SUBSTITUTE(SUBSTITUTE(SUBSTITUTE(SUBSTITUTE(KENKO[[#This Row],[N.B.nota]]," ",""),"-",""),"(",""),")",""),".",""),",",""),"/",""),"""",""))</f>
        <v/>
      </c>
      <c r="W252" s="6" t="str">
        <f ca="1">IF(KENKO[[#This Row],[concat]]="","",MATCH(KENKO[[#This Row],[concat]],[4]!db[NB NOTA_C],0)+1)</f>
        <v/>
      </c>
      <c r="X252" s="4" t="str">
        <f ca="1">IF(KENKO[[#This Row],[N.B.nota]]="","",ADDRESS(ROW(KENKO[QB]),COLUMN(KENKO[QB]))&amp;":"&amp;ADDRESS(ROW(),COLUMN(KENKO[QB])))</f>
        <v/>
      </c>
      <c r="Y252" s="13" t="str">
        <f ca="1">IF(KENKO[[#This Row],[//]]="","",HYPERLINK("[..\\DB.xlsx]DB!e"&amp;KENKO[[#This Row],[stt]],"&gt;"))</f>
        <v/>
      </c>
      <c r="Z252" s="4" t="str">
        <f ca="1">IF(KENKO[[#This Row],[//]]="","",IF(KENKO[[#This Row],[ID NOTA]]="",Z251,KENKO[[#This Row],[ID NOTA]]))</f>
        <v/>
      </c>
    </row>
    <row r="253" spans="1:26" ht="15" customHeight="1" x14ac:dyDescent="0.25">
      <c r="A253" s="4"/>
      <c r="B253" s="6" t="str">
        <f>IF(KENKO[[#This Row],[N_ID]]="","",INDEX(Table1[ID],MATCH(KENKO[[#This Row],[N_ID]],Table1[N_ID],0)))</f>
        <v/>
      </c>
      <c r="C253" s="6" t="str">
        <f>IF(KENKO[[#This Row],[ID NOTA]]="","",HYPERLINK("[NOTA_.xlsx]NOTA!e"&amp;INDEX([2]!PAJAK[//],MATCH(KENKO[[#This Row],[ID NOTA]],[2]!PAJAK[ID],0)),"&gt;") )</f>
        <v/>
      </c>
      <c r="D253" s="6" t="str">
        <f>IF(KENKO[[#This Row],[ID NOTA]]="","",INDEX(Table1[QB],MATCH(KENKO[[#This Row],[ID NOTA]],Table1[ID],0)))</f>
        <v/>
      </c>
      <c r="E2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3" s="8"/>
      <c r="G253" s="3" t="str">
        <f>IF(KENKO[[#This Row],[ID NOTA]]="","",INDEX([2]!NOTA[TGL_H],MATCH(KENKO[[#This Row],[ID NOTA]],[2]!NOTA[ID],0)))</f>
        <v/>
      </c>
      <c r="H253" s="3" t="str">
        <f>IF(KENKO[[#This Row],[ID NOTA]]="","",INDEX([2]!NOTA[TGL.NOTA],MATCH(KENKO[[#This Row],[ID NOTA]],[2]!NOTA[ID],0)))</f>
        <v/>
      </c>
      <c r="I253" s="18" t="str">
        <f>IF(KENKO[[#This Row],[ID NOTA]]="","",INDEX([2]!NOTA[NO.NOTA],MATCH(KENKO[[#This Row],[ID NOTA]],[2]!NOTA[ID],0)))</f>
        <v/>
      </c>
      <c r="J253" s="4" t="str">
        <f ca="1">IF(KENKO[[#This Row],[//]]="","",INDEX([4]!db[NB PAJAK],KENKO[[#This Row],[stt]]-1))</f>
        <v/>
      </c>
      <c r="K253" s="6" t="str">
        <f>""</f>
        <v/>
      </c>
      <c r="L253" s="6" t="str">
        <f ca="1">IF(KENKO[[#This Row],[//]]="","",IF(INDEX([2]!NOTA[QTY],KENKO[//]-2)="",INDEX([2]!NOTA[C],KENKO[//]-2),INDEX([2]!NOTA[QTY],KENKO[//]-2)))</f>
        <v/>
      </c>
      <c r="M253" s="6" t="str">
        <f ca="1">IF(KENKO[[#This Row],[//]]="","",IF(INDEX([2]!NOTA[STN],KENKO[//]-2)="","CTN",INDEX([2]!NOTA[STN],KENKO[//]-2)))</f>
        <v/>
      </c>
      <c r="N253" s="5" t="str">
        <f ca="1">IF(KENKO[[#This Row],[//]]="","",IF(INDEX([2]!NOTA[HARGA/ CTN],KENKO[[#This Row],[//]]-2)="",INDEX([2]!NOTA[HARGA SATUAN],KENKO[//]-2),INDEX([2]!NOTA[HARGA/ CTN],KENKO[[#This Row],[//]]-2)))</f>
        <v/>
      </c>
      <c r="O253" s="7" t="str">
        <f ca="1">IF(KENKO[[#This Row],[//]]="","",IF(INDEX([2]!NOTA[DISC 2],KENKO[[#This Row],[//]]-2)=0,"",INDEX([2]!NOTA[DISC 2],KENKO[[#This Row],[//]]-2)))</f>
        <v/>
      </c>
      <c r="P253" s="7"/>
      <c r="Q25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3" s="4" t="str">
        <f ca="1">IF(KENKO[[#This Row],[//]]="","",INDEX([2]!NOTA[NAMA BARANG],KENKO[[#This Row],[//]]-2))</f>
        <v/>
      </c>
      <c r="V253" s="4" t="str">
        <f ca="1">LOWER(SUBSTITUTE(SUBSTITUTE(SUBSTITUTE(SUBSTITUTE(SUBSTITUTE(SUBSTITUTE(SUBSTITUTE(SUBSTITUTE(KENKO[[#This Row],[N.B.nota]]," ",""),"-",""),"(",""),")",""),".",""),",",""),"/",""),"""",""))</f>
        <v/>
      </c>
      <c r="W253" s="6" t="str">
        <f ca="1">IF(KENKO[[#This Row],[concat]]="","",MATCH(KENKO[[#This Row],[concat]],[4]!db[NB NOTA_C],0)+1)</f>
        <v/>
      </c>
      <c r="X253" s="4" t="str">
        <f ca="1">IF(KENKO[[#This Row],[N.B.nota]]="","",ADDRESS(ROW(KENKO[QB]),COLUMN(KENKO[QB]))&amp;":"&amp;ADDRESS(ROW(),COLUMN(KENKO[QB])))</f>
        <v/>
      </c>
      <c r="Y253" s="13" t="str">
        <f ca="1">IF(KENKO[[#This Row],[//]]="","",HYPERLINK("[..\\DB.xlsx]DB!e"&amp;KENKO[[#This Row],[stt]],"&gt;"))</f>
        <v/>
      </c>
      <c r="Z253" s="4" t="str">
        <f ca="1">IF(KENKO[[#This Row],[//]]="","",IF(KENKO[[#This Row],[ID NOTA]]="",Z252,KENKO[[#This Row],[ID NOTA]]))</f>
        <v/>
      </c>
    </row>
    <row r="254" spans="1:26" ht="15" customHeight="1" x14ac:dyDescent="0.25">
      <c r="A254" s="4"/>
      <c r="B254" s="6" t="str">
        <f>IF(KENKO[[#This Row],[N_ID]]="","",INDEX(Table1[ID],MATCH(KENKO[[#This Row],[N_ID]],Table1[N_ID],0)))</f>
        <v/>
      </c>
      <c r="C254" s="6" t="str">
        <f>IF(KENKO[[#This Row],[ID NOTA]]="","",HYPERLINK("[NOTA_.xlsx]NOTA!e"&amp;INDEX([2]!PAJAK[//],MATCH(KENKO[[#This Row],[ID NOTA]],[2]!PAJAK[ID],0)),"&gt;") )</f>
        <v/>
      </c>
      <c r="D254" s="6" t="str">
        <f>IF(KENKO[[#This Row],[ID NOTA]]="","",INDEX(Table1[QB],MATCH(KENKO[[#This Row],[ID NOTA]],Table1[ID],0)))</f>
        <v/>
      </c>
      <c r="E2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4" s="8"/>
      <c r="G254" s="3" t="str">
        <f>IF(KENKO[[#This Row],[ID NOTA]]="","",INDEX([2]!NOTA[TGL_H],MATCH(KENKO[[#This Row],[ID NOTA]],[2]!NOTA[ID],0)))</f>
        <v/>
      </c>
      <c r="H254" s="3" t="str">
        <f>IF(KENKO[[#This Row],[ID NOTA]]="","",INDEX([2]!NOTA[TGL.NOTA],MATCH(KENKO[[#This Row],[ID NOTA]],[2]!NOTA[ID],0)))</f>
        <v/>
      </c>
      <c r="I254" s="18" t="str">
        <f>IF(KENKO[[#This Row],[ID NOTA]]="","",INDEX([2]!NOTA[NO.NOTA],MATCH(KENKO[[#This Row],[ID NOTA]],[2]!NOTA[ID],0)))</f>
        <v/>
      </c>
      <c r="J254" s="4" t="str">
        <f ca="1">IF(KENKO[[#This Row],[//]]="","",INDEX([4]!db[NB PAJAK],KENKO[[#This Row],[stt]]-1))</f>
        <v/>
      </c>
      <c r="K254" s="6" t="str">
        <f>""</f>
        <v/>
      </c>
      <c r="L254" s="6" t="str">
        <f ca="1">IF(KENKO[[#This Row],[//]]="","",IF(INDEX([2]!NOTA[QTY],KENKO[//]-2)="",INDEX([2]!NOTA[C],KENKO[//]-2),INDEX([2]!NOTA[QTY],KENKO[//]-2)))</f>
        <v/>
      </c>
      <c r="M254" s="6" t="str">
        <f ca="1">IF(KENKO[[#This Row],[//]]="","",IF(INDEX([2]!NOTA[STN],KENKO[//]-2)="","CTN",INDEX([2]!NOTA[STN],KENKO[//]-2)))</f>
        <v/>
      </c>
      <c r="N254" s="5" t="str">
        <f ca="1">IF(KENKO[[#This Row],[//]]="","",IF(INDEX([2]!NOTA[HARGA/ CTN],KENKO[[#This Row],[//]]-2)="",INDEX([2]!NOTA[HARGA SATUAN],KENKO[//]-2),INDEX([2]!NOTA[HARGA/ CTN],KENKO[[#This Row],[//]]-2)))</f>
        <v/>
      </c>
      <c r="O254" s="7" t="str">
        <f ca="1">IF(KENKO[[#This Row],[//]]="","",IF(INDEX([2]!NOTA[DISC 2],KENKO[[#This Row],[//]]-2)=0,"",INDEX([2]!NOTA[DISC 2],KENKO[[#This Row],[//]]-2)))</f>
        <v/>
      </c>
      <c r="P254" s="7"/>
      <c r="Q25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4" s="4" t="str">
        <f ca="1">IF(KENKO[[#This Row],[//]]="","",INDEX([2]!NOTA[NAMA BARANG],KENKO[[#This Row],[//]]-2))</f>
        <v/>
      </c>
      <c r="V254" s="4" t="str">
        <f ca="1">LOWER(SUBSTITUTE(SUBSTITUTE(SUBSTITUTE(SUBSTITUTE(SUBSTITUTE(SUBSTITUTE(SUBSTITUTE(SUBSTITUTE(KENKO[[#This Row],[N.B.nota]]," ",""),"-",""),"(",""),")",""),".",""),",",""),"/",""),"""",""))</f>
        <v/>
      </c>
      <c r="W254" s="6" t="str">
        <f ca="1">IF(KENKO[[#This Row],[concat]]="","",MATCH(KENKO[[#This Row],[concat]],[4]!db[NB NOTA_C],0)+1)</f>
        <v/>
      </c>
      <c r="X254" s="4" t="str">
        <f ca="1">IF(KENKO[[#This Row],[N.B.nota]]="","",ADDRESS(ROW(KENKO[QB]),COLUMN(KENKO[QB]))&amp;":"&amp;ADDRESS(ROW(),COLUMN(KENKO[QB])))</f>
        <v/>
      </c>
      <c r="Y254" s="13" t="str">
        <f ca="1">IF(KENKO[[#This Row],[//]]="","",HYPERLINK("[..\\DB.xlsx]DB!e"&amp;KENKO[[#This Row],[stt]],"&gt;"))</f>
        <v/>
      </c>
      <c r="Z254" s="4" t="str">
        <f ca="1">IF(KENKO[[#This Row],[//]]="","",IF(KENKO[[#This Row],[ID NOTA]]="",Z253,KENKO[[#This Row],[ID NOTA]]))</f>
        <v/>
      </c>
    </row>
    <row r="255" spans="1:26" ht="15" customHeight="1" x14ac:dyDescent="0.25">
      <c r="A255" s="4"/>
      <c r="B255" s="6" t="str">
        <f>IF(KENKO[[#This Row],[N_ID]]="","",INDEX(Table1[ID],MATCH(KENKO[[#This Row],[N_ID]],Table1[N_ID],0)))</f>
        <v/>
      </c>
      <c r="C255" s="6" t="str">
        <f>IF(KENKO[[#This Row],[ID NOTA]]="","",HYPERLINK("[NOTA_.xlsx]NOTA!e"&amp;INDEX([2]!PAJAK[//],MATCH(KENKO[[#This Row],[ID NOTA]],[2]!PAJAK[ID],0)),"&gt;") )</f>
        <v/>
      </c>
      <c r="D255" s="6" t="str">
        <f>IF(KENKO[[#This Row],[ID NOTA]]="","",INDEX(Table1[QB],MATCH(KENKO[[#This Row],[ID NOTA]],Table1[ID],0)))</f>
        <v/>
      </c>
      <c r="E25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5" s="8"/>
      <c r="G255" s="3" t="str">
        <f>IF(KENKO[[#This Row],[ID NOTA]]="","",INDEX([2]!NOTA[TGL_H],MATCH(KENKO[[#This Row],[ID NOTA]],[2]!NOTA[ID],0)))</f>
        <v/>
      </c>
      <c r="H255" s="3" t="str">
        <f>IF(KENKO[[#This Row],[ID NOTA]]="","",INDEX([2]!NOTA[TGL.NOTA],MATCH(KENKO[[#This Row],[ID NOTA]],[2]!NOTA[ID],0)))</f>
        <v/>
      </c>
      <c r="I255" s="18" t="str">
        <f>IF(KENKO[[#This Row],[ID NOTA]]="","",INDEX([2]!NOTA[NO.NOTA],MATCH(KENKO[[#This Row],[ID NOTA]],[2]!NOTA[ID],0)))</f>
        <v/>
      </c>
      <c r="J255" s="4" t="str">
        <f ca="1">IF(KENKO[[#This Row],[//]]="","",INDEX([4]!db[NB PAJAK],KENKO[[#This Row],[stt]]-1))</f>
        <v/>
      </c>
      <c r="K255" s="6" t="str">
        <f>""</f>
        <v/>
      </c>
      <c r="L255" s="6" t="str">
        <f ca="1">IF(KENKO[[#This Row],[//]]="","",IF(INDEX([2]!NOTA[QTY],KENKO[//]-2)="",INDEX([2]!NOTA[C],KENKO[//]-2),INDEX([2]!NOTA[QTY],KENKO[//]-2)))</f>
        <v/>
      </c>
      <c r="M255" s="6" t="str">
        <f ca="1">IF(KENKO[[#This Row],[//]]="","",IF(INDEX([2]!NOTA[STN],KENKO[//]-2)="","CTN",INDEX([2]!NOTA[STN],KENKO[//]-2)))</f>
        <v/>
      </c>
      <c r="N255" s="5" t="str">
        <f ca="1">IF(KENKO[[#This Row],[//]]="","",IF(INDEX([2]!NOTA[HARGA/ CTN],KENKO[[#This Row],[//]]-2)="",INDEX([2]!NOTA[HARGA SATUAN],KENKO[//]-2),INDEX([2]!NOTA[HARGA/ CTN],KENKO[[#This Row],[//]]-2)))</f>
        <v/>
      </c>
      <c r="O255" s="7" t="str">
        <f ca="1">IF(KENKO[[#This Row],[//]]="","",IF(INDEX([2]!NOTA[DISC 2],KENKO[[#This Row],[//]]-2)=0,"",INDEX([2]!NOTA[DISC 2],KENKO[[#This Row],[//]]-2)))</f>
        <v/>
      </c>
      <c r="P255" s="7"/>
      <c r="Q25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5" s="4" t="str">
        <f ca="1">IF(KENKO[[#This Row],[//]]="","",INDEX([2]!NOTA[NAMA BARANG],KENKO[[#This Row],[//]]-2))</f>
        <v/>
      </c>
      <c r="V255" s="4" t="str">
        <f ca="1">LOWER(SUBSTITUTE(SUBSTITUTE(SUBSTITUTE(SUBSTITUTE(SUBSTITUTE(SUBSTITUTE(SUBSTITUTE(SUBSTITUTE(KENKO[[#This Row],[N.B.nota]]," ",""),"-",""),"(",""),")",""),".",""),",",""),"/",""),"""",""))</f>
        <v/>
      </c>
      <c r="W255" s="6" t="str">
        <f ca="1">IF(KENKO[[#This Row],[concat]]="","",MATCH(KENKO[[#This Row],[concat]],[4]!db[NB NOTA_C],0)+1)</f>
        <v/>
      </c>
      <c r="X255" s="4" t="str">
        <f ca="1">IF(KENKO[[#This Row],[N.B.nota]]="","",ADDRESS(ROW(KENKO[QB]),COLUMN(KENKO[QB]))&amp;":"&amp;ADDRESS(ROW(),COLUMN(KENKO[QB])))</f>
        <v/>
      </c>
      <c r="Y255" s="13" t="str">
        <f ca="1">IF(KENKO[[#This Row],[//]]="","",HYPERLINK("[..\\DB.xlsx]DB!e"&amp;KENKO[[#This Row],[stt]],"&gt;"))</f>
        <v/>
      </c>
      <c r="Z255" s="4" t="str">
        <f ca="1">IF(KENKO[[#This Row],[//]]="","",IF(KENKO[[#This Row],[ID NOTA]]="",Z254,KENKO[[#This Row],[ID NOTA]]))</f>
        <v/>
      </c>
    </row>
    <row r="256" spans="1:26" ht="15" customHeight="1" x14ac:dyDescent="0.25">
      <c r="A256" s="4"/>
      <c r="B256" s="6" t="str">
        <f>IF(KENKO[[#This Row],[N_ID]]="","",INDEX(Table1[ID],MATCH(KENKO[[#This Row],[N_ID]],Table1[N_ID],0)))</f>
        <v/>
      </c>
      <c r="C256" s="6" t="str">
        <f>IF(KENKO[[#This Row],[ID NOTA]]="","",HYPERLINK("[NOTA_.xlsx]NOTA!e"&amp;INDEX([2]!PAJAK[//],MATCH(KENKO[[#This Row],[ID NOTA]],[2]!PAJAK[ID],0)),"&gt;") )</f>
        <v/>
      </c>
      <c r="D256" s="6" t="str">
        <f>IF(KENKO[[#This Row],[ID NOTA]]="","",INDEX(Table1[QB],MATCH(KENKO[[#This Row],[ID NOTA]],Table1[ID],0)))</f>
        <v/>
      </c>
      <c r="E25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6" s="8"/>
      <c r="G256" s="3" t="str">
        <f>IF(KENKO[[#This Row],[ID NOTA]]="","",INDEX([2]!NOTA[TGL_H],MATCH(KENKO[[#This Row],[ID NOTA]],[2]!NOTA[ID],0)))</f>
        <v/>
      </c>
      <c r="H256" s="3" t="str">
        <f>IF(KENKO[[#This Row],[ID NOTA]]="","",INDEX([2]!NOTA[TGL.NOTA],MATCH(KENKO[[#This Row],[ID NOTA]],[2]!NOTA[ID],0)))</f>
        <v/>
      </c>
      <c r="I256" s="18" t="str">
        <f>IF(KENKO[[#This Row],[ID NOTA]]="","",INDEX([2]!NOTA[NO.NOTA],MATCH(KENKO[[#This Row],[ID NOTA]],[2]!NOTA[ID],0)))</f>
        <v/>
      </c>
      <c r="J256" s="4" t="str">
        <f ca="1">IF(KENKO[[#This Row],[//]]="","",INDEX([4]!db[NB PAJAK],KENKO[[#This Row],[stt]]-1))</f>
        <v/>
      </c>
      <c r="K256" s="6" t="str">
        <f>""</f>
        <v/>
      </c>
      <c r="L256" s="6" t="str">
        <f ca="1">IF(KENKO[[#This Row],[//]]="","",IF(INDEX([2]!NOTA[QTY],KENKO[//]-2)="",INDEX([2]!NOTA[C],KENKO[//]-2),INDEX([2]!NOTA[QTY],KENKO[//]-2)))</f>
        <v/>
      </c>
      <c r="M256" s="6" t="str">
        <f ca="1">IF(KENKO[[#This Row],[//]]="","",IF(INDEX([2]!NOTA[STN],KENKO[//]-2)="","CTN",INDEX([2]!NOTA[STN],KENKO[//]-2)))</f>
        <v/>
      </c>
      <c r="N256" s="5" t="str">
        <f ca="1">IF(KENKO[[#This Row],[//]]="","",IF(INDEX([2]!NOTA[HARGA/ CTN],KENKO[[#This Row],[//]]-2)="",INDEX([2]!NOTA[HARGA SATUAN],KENKO[//]-2),INDEX([2]!NOTA[HARGA/ CTN],KENKO[[#This Row],[//]]-2)))</f>
        <v/>
      </c>
      <c r="O256" s="7" t="str">
        <f ca="1">IF(KENKO[[#This Row],[//]]="","",IF(INDEX([2]!NOTA[DISC 2],KENKO[[#This Row],[//]]-2)=0,"",INDEX([2]!NOTA[DISC 2],KENKO[[#This Row],[//]]-2)))</f>
        <v/>
      </c>
      <c r="P256" s="7"/>
      <c r="Q25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6" s="4" t="str">
        <f ca="1">IF(KENKO[[#This Row],[//]]="","",INDEX([2]!NOTA[NAMA BARANG],KENKO[[#This Row],[//]]-2))</f>
        <v/>
      </c>
      <c r="V256" s="4" t="str">
        <f ca="1">LOWER(SUBSTITUTE(SUBSTITUTE(SUBSTITUTE(SUBSTITUTE(SUBSTITUTE(SUBSTITUTE(SUBSTITUTE(SUBSTITUTE(KENKO[[#This Row],[N.B.nota]]," ",""),"-",""),"(",""),")",""),".",""),",",""),"/",""),"""",""))</f>
        <v/>
      </c>
      <c r="W256" s="6" t="str">
        <f ca="1">IF(KENKO[[#This Row],[concat]]="","",MATCH(KENKO[[#This Row],[concat]],[4]!db[NB NOTA_C],0)+1)</f>
        <v/>
      </c>
      <c r="X256" s="4" t="str">
        <f ca="1">IF(KENKO[[#This Row],[N.B.nota]]="","",ADDRESS(ROW(KENKO[QB]),COLUMN(KENKO[QB]))&amp;":"&amp;ADDRESS(ROW(),COLUMN(KENKO[QB])))</f>
        <v/>
      </c>
      <c r="Y256" s="13" t="str">
        <f ca="1">IF(KENKO[[#This Row],[//]]="","",HYPERLINK("[..\\DB.xlsx]DB!e"&amp;KENKO[[#This Row],[stt]],"&gt;"))</f>
        <v/>
      </c>
      <c r="Z256" s="4" t="str">
        <f ca="1">IF(KENKO[[#This Row],[//]]="","",IF(KENKO[[#This Row],[ID NOTA]]="",Z255,KENKO[[#This Row],[ID NOTA]]))</f>
        <v/>
      </c>
    </row>
    <row r="257" spans="1:26" ht="15" customHeight="1" x14ac:dyDescent="0.25">
      <c r="A257" s="4"/>
      <c r="B257" s="6" t="str">
        <f>IF(KENKO[[#This Row],[N_ID]]="","",INDEX(Table1[ID],MATCH(KENKO[[#This Row],[N_ID]],Table1[N_ID],0)))</f>
        <v/>
      </c>
      <c r="C257" s="6" t="str">
        <f>IF(KENKO[[#This Row],[ID NOTA]]="","",HYPERLINK("[NOTA_.xlsx]NOTA!e"&amp;INDEX([2]!PAJAK[//],MATCH(KENKO[[#This Row],[ID NOTA]],[2]!PAJAK[ID],0)),"&gt;") )</f>
        <v/>
      </c>
      <c r="D257" s="6" t="str">
        <f>IF(KENKO[[#This Row],[ID NOTA]]="","",INDEX(Table1[QB],MATCH(KENKO[[#This Row],[ID NOTA]],Table1[ID],0)))</f>
        <v/>
      </c>
      <c r="E25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7" s="8"/>
      <c r="G257" s="3" t="str">
        <f>IF(KENKO[[#This Row],[ID NOTA]]="","",INDEX([2]!NOTA[TGL_H],MATCH(KENKO[[#This Row],[ID NOTA]],[2]!NOTA[ID],0)))</f>
        <v/>
      </c>
      <c r="H257" s="3" t="str">
        <f>IF(KENKO[[#This Row],[ID NOTA]]="","",INDEX([2]!NOTA[TGL.NOTA],MATCH(KENKO[[#This Row],[ID NOTA]],[2]!NOTA[ID],0)))</f>
        <v/>
      </c>
      <c r="I257" s="18" t="str">
        <f>IF(KENKO[[#This Row],[ID NOTA]]="","",INDEX([2]!NOTA[NO.NOTA],MATCH(KENKO[[#This Row],[ID NOTA]],[2]!NOTA[ID],0)))</f>
        <v/>
      </c>
      <c r="J257" s="4" t="str">
        <f ca="1">IF(KENKO[[#This Row],[//]]="","",INDEX([4]!db[NB PAJAK],KENKO[[#This Row],[stt]]-1))</f>
        <v/>
      </c>
      <c r="K257" s="6" t="str">
        <f>""</f>
        <v/>
      </c>
      <c r="L257" s="6" t="str">
        <f ca="1">IF(KENKO[[#This Row],[//]]="","",IF(INDEX([2]!NOTA[QTY],KENKO[//]-2)="",INDEX([2]!NOTA[C],KENKO[//]-2),INDEX([2]!NOTA[QTY],KENKO[//]-2)))</f>
        <v/>
      </c>
      <c r="M257" s="6" t="str">
        <f ca="1">IF(KENKO[[#This Row],[//]]="","",IF(INDEX([2]!NOTA[STN],KENKO[//]-2)="","CTN",INDEX([2]!NOTA[STN],KENKO[//]-2)))</f>
        <v/>
      </c>
      <c r="N257" s="5" t="str">
        <f ca="1">IF(KENKO[[#This Row],[//]]="","",IF(INDEX([2]!NOTA[HARGA/ CTN],KENKO[[#This Row],[//]]-2)="",INDEX([2]!NOTA[HARGA SATUAN],KENKO[//]-2),INDEX([2]!NOTA[HARGA/ CTN],KENKO[[#This Row],[//]]-2)))</f>
        <v/>
      </c>
      <c r="O257" s="7" t="str">
        <f ca="1">IF(KENKO[[#This Row],[//]]="","",IF(INDEX([2]!NOTA[DISC 2],KENKO[[#This Row],[//]]-2)=0,"",INDEX([2]!NOTA[DISC 2],KENKO[[#This Row],[//]]-2)))</f>
        <v/>
      </c>
      <c r="P257" s="7"/>
      <c r="Q25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7" s="4" t="str">
        <f ca="1">IF(KENKO[[#This Row],[//]]="","",INDEX([2]!NOTA[NAMA BARANG],KENKO[[#This Row],[//]]-2))</f>
        <v/>
      </c>
      <c r="V257" s="4" t="str">
        <f ca="1">LOWER(SUBSTITUTE(SUBSTITUTE(SUBSTITUTE(SUBSTITUTE(SUBSTITUTE(SUBSTITUTE(SUBSTITUTE(SUBSTITUTE(KENKO[[#This Row],[N.B.nota]]," ",""),"-",""),"(",""),")",""),".",""),",",""),"/",""),"""",""))</f>
        <v/>
      </c>
      <c r="W257" s="6" t="str">
        <f ca="1">IF(KENKO[[#This Row],[concat]]="","",MATCH(KENKO[[#This Row],[concat]],[4]!db[NB NOTA_C],0)+1)</f>
        <v/>
      </c>
      <c r="X257" s="4" t="str">
        <f ca="1">IF(KENKO[[#This Row],[N.B.nota]]="","",ADDRESS(ROW(KENKO[QB]),COLUMN(KENKO[QB]))&amp;":"&amp;ADDRESS(ROW(),COLUMN(KENKO[QB])))</f>
        <v/>
      </c>
      <c r="Y257" s="13" t="str">
        <f ca="1">IF(KENKO[[#This Row],[//]]="","",HYPERLINK("[..\\DB.xlsx]DB!e"&amp;KENKO[[#This Row],[stt]],"&gt;"))</f>
        <v/>
      </c>
      <c r="Z257" s="4" t="str">
        <f ca="1">IF(KENKO[[#This Row],[//]]="","",IF(KENKO[[#This Row],[ID NOTA]]="",Z256,KENKO[[#This Row],[ID NOTA]]))</f>
        <v/>
      </c>
    </row>
    <row r="258" spans="1:26" ht="15" customHeight="1" x14ac:dyDescent="0.25">
      <c r="A258" s="4"/>
      <c r="B258" s="6" t="str">
        <f>IF(KENKO[[#This Row],[N_ID]]="","",INDEX(Table1[ID],MATCH(KENKO[[#This Row],[N_ID]],Table1[N_ID],0)))</f>
        <v/>
      </c>
      <c r="C258" s="6" t="str">
        <f>IF(KENKO[[#This Row],[ID NOTA]]="","",HYPERLINK("[NOTA_.xlsx]NOTA!e"&amp;INDEX([2]!PAJAK[//],MATCH(KENKO[[#This Row],[ID NOTA]],[2]!PAJAK[ID],0)),"&gt;") )</f>
        <v/>
      </c>
      <c r="D258" s="6" t="str">
        <f>IF(KENKO[[#This Row],[ID NOTA]]="","",INDEX(Table1[QB],MATCH(KENKO[[#This Row],[ID NOTA]],Table1[ID],0)))</f>
        <v/>
      </c>
      <c r="E25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8" s="8"/>
      <c r="G258" s="3" t="str">
        <f>IF(KENKO[[#This Row],[ID NOTA]]="","",INDEX([2]!NOTA[TGL_H],MATCH(KENKO[[#This Row],[ID NOTA]],[2]!NOTA[ID],0)))</f>
        <v/>
      </c>
      <c r="H258" s="3" t="str">
        <f>IF(KENKO[[#This Row],[ID NOTA]]="","",INDEX([2]!NOTA[TGL.NOTA],MATCH(KENKO[[#This Row],[ID NOTA]],[2]!NOTA[ID],0)))</f>
        <v/>
      </c>
      <c r="I258" s="18" t="str">
        <f>IF(KENKO[[#This Row],[ID NOTA]]="","",INDEX([2]!NOTA[NO.NOTA],MATCH(KENKO[[#This Row],[ID NOTA]],[2]!NOTA[ID],0)))</f>
        <v/>
      </c>
      <c r="J258" s="4" t="str">
        <f ca="1">IF(KENKO[[#This Row],[//]]="","",INDEX([4]!db[NB PAJAK],KENKO[[#This Row],[stt]]-1))</f>
        <v/>
      </c>
      <c r="K258" s="6" t="str">
        <f>""</f>
        <v/>
      </c>
      <c r="L258" s="6" t="str">
        <f ca="1">IF(KENKO[[#This Row],[//]]="","",IF(INDEX([2]!NOTA[QTY],KENKO[//]-2)="",INDEX([2]!NOTA[C],KENKO[//]-2),INDEX([2]!NOTA[QTY],KENKO[//]-2)))</f>
        <v/>
      </c>
      <c r="M258" s="6" t="str">
        <f ca="1">IF(KENKO[[#This Row],[//]]="","",IF(INDEX([2]!NOTA[STN],KENKO[//]-2)="","CTN",INDEX([2]!NOTA[STN],KENKO[//]-2)))</f>
        <v/>
      </c>
      <c r="N258" s="5" t="str">
        <f ca="1">IF(KENKO[[#This Row],[//]]="","",IF(INDEX([2]!NOTA[HARGA/ CTN],KENKO[[#This Row],[//]]-2)="",INDEX([2]!NOTA[HARGA SATUAN],KENKO[//]-2),INDEX([2]!NOTA[HARGA/ CTN],KENKO[[#This Row],[//]]-2)))</f>
        <v/>
      </c>
      <c r="O258" s="7" t="str">
        <f ca="1">IF(KENKO[[#This Row],[//]]="","",IF(INDEX([2]!NOTA[DISC 2],KENKO[[#This Row],[//]]-2)=0,"",INDEX([2]!NOTA[DISC 2],KENKO[[#This Row],[//]]-2)))</f>
        <v/>
      </c>
      <c r="P258" s="7"/>
      <c r="Q25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8" s="4" t="str">
        <f ca="1">IF(KENKO[[#This Row],[//]]="","",INDEX([2]!NOTA[NAMA BARANG],KENKO[[#This Row],[//]]-2))</f>
        <v/>
      </c>
      <c r="V258" s="4" t="str">
        <f ca="1">LOWER(SUBSTITUTE(SUBSTITUTE(SUBSTITUTE(SUBSTITUTE(SUBSTITUTE(SUBSTITUTE(SUBSTITUTE(SUBSTITUTE(KENKO[[#This Row],[N.B.nota]]," ",""),"-",""),"(",""),")",""),".",""),",",""),"/",""),"""",""))</f>
        <v/>
      </c>
      <c r="W258" s="6" t="str">
        <f ca="1">IF(KENKO[[#This Row],[concat]]="","",MATCH(KENKO[[#This Row],[concat]],[4]!db[NB NOTA_C],0)+1)</f>
        <v/>
      </c>
      <c r="X258" s="4" t="str">
        <f ca="1">IF(KENKO[[#This Row],[N.B.nota]]="","",ADDRESS(ROW(KENKO[QB]),COLUMN(KENKO[QB]))&amp;":"&amp;ADDRESS(ROW(),COLUMN(KENKO[QB])))</f>
        <v/>
      </c>
      <c r="Y258" s="13" t="str">
        <f ca="1">IF(KENKO[[#This Row],[//]]="","",HYPERLINK("[..\\DB.xlsx]DB!e"&amp;KENKO[[#This Row],[stt]],"&gt;"))</f>
        <v/>
      </c>
      <c r="Z258" s="4" t="str">
        <f ca="1">IF(KENKO[[#This Row],[//]]="","",IF(KENKO[[#This Row],[ID NOTA]]="",Z257,KENKO[[#This Row],[ID NOTA]]))</f>
        <v/>
      </c>
    </row>
    <row r="259" spans="1:26" ht="15" customHeight="1" x14ac:dyDescent="0.25">
      <c r="A259" s="4"/>
      <c r="B259" s="6" t="str">
        <f>IF(KENKO[[#This Row],[N_ID]]="","",INDEX(Table1[ID],MATCH(KENKO[[#This Row],[N_ID]],Table1[N_ID],0)))</f>
        <v/>
      </c>
      <c r="C259" s="6" t="str">
        <f>IF(KENKO[[#This Row],[ID NOTA]]="","",HYPERLINK("[NOTA_.xlsx]NOTA!e"&amp;INDEX([2]!PAJAK[//],MATCH(KENKO[[#This Row],[ID NOTA]],[2]!PAJAK[ID],0)),"&gt;") )</f>
        <v/>
      </c>
      <c r="D259" s="6" t="str">
        <f>IF(KENKO[[#This Row],[ID NOTA]]="","",INDEX(Table1[QB],MATCH(KENKO[[#This Row],[ID NOTA]],Table1[ID],0)))</f>
        <v/>
      </c>
      <c r="E25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9" s="8"/>
      <c r="G259" s="3" t="str">
        <f>IF(KENKO[[#This Row],[ID NOTA]]="","",INDEX([2]!NOTA[TGL_H],MATCH(KENKO[[#This Row],[ID NOTA]],[2]!NOTA[ID],0)))</f>
        <v/>
      </c>
      <c r="H259" s="3" t="str">
        <f>IF(KENKO[[#This Row],[ID NOTA]]="","",INDEX([2]!NOTA[TGL.NOTA],MATCH(KENKO[[#This Row],[ID NOTA]],[2]!NOTA[ID],0)))</f>
        <v/>
      </c>
      <c r="I259" s="18" t="str">
        <f>IF(KENKO[[#This Row],[ID NOTA]]="","",INDEX([2]!NOTA[NO.NOTA],MATCH(KENKO[[#This Row],[ID NOTA]],[2]!NOTA[ID],0)))</f>
        <v/>
      </c>
      <c r="J259" s="4" t="str">
        <f ca="1">IF(KENKO[[#This Row],[//]]="","",INDEX([4]!db[NB PAJAK],KENKO[[#This Row],[stt]]-1))</f>
        <v/>
      </c>
      <c r="K259" s="6" t="str">
        <f>""</f>
        <v/>
      </c>
      <c r="L259" s="6" t="str">
        <f ca="1">IF(KENKO[[#This Row],[//]]="","",IF(INDEX([2]!NOTA[QTY],KENKO[//]-2)="",INDEX([2]!NOTA[C],KENKO[//]-2),INDEX([2]!NOTA[QTY],KENKO[//]-2)))</f>
        <v/>
      </c>
      <c r="M259" s="6" t="str">
        <f ca="1">IF(KENKO[[#This Row],[//]]="","",IF(INDEX([2]!NOTA[STN],KENKO[//]-2)="","CTN",INDEX([2]!NOTA[STN],KENKO[//]-2)))</f>
        <v/>
      </c>
      <c r="N259" s="5" t="str">
        <f ca="1">IF(KENKO[[#This Row],[//]]="","",IF(INDEX([2]!NOTA[HARGA/ CTN],KENKO[[#This Row],[//]]-2)="",INDEX([2]!NOTA[HARGA SATUAN],KENKO[//]-2),INDEX([2]!NOTA[HARGA/ CTN],KENKO[[#This Row],[//]]-2)))</f>
        <v/>
      </c>
      <c r="O259" s="7" t="str">
        <f ca="1">IF(KENKO[[#This Row],[//]]="","",IF(INDEX([2]!NOTA[DISC 2],KENKO[[#This Row],[//]]-2)=0,"",INDEX([2]!NOTA[DISC 2],KENKO[[#This Row],[//]]-2)))</f>
        <v/>
      </c>
      <c r="P259" s="7"/>
      <c r="Q25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9" s="4" t="str">
        <f ca="1">IF(KENKO[[#This Row],[//]]="","",INDEX([2]!NOTA[NAMA BARANG],KENKO[[#This Row],[//]]-2))</f>
        <v/>
      </c>
      <c r="V259" s="4" t="str">
        <f ca="1">LOWER(SUBSTITUTE(SUBSTITUTE(SUBSTITUTE(SUBSTITUTE(SUBSTITUTE(SUBSTITUTE(SUBSTITUTE(SUBSTITUTE(KENKO[[#This Row],[N.B.nota]]," ",""),"-",""),"(",""),")",""),".",""),",",""),"/",""),"""",""))</f>
        <v/>
      </c>
      <c r="W259" s="6" t="str">
        <f ca="1">IF(KENKO[[#This Row],[concat]]="","",MATCH(KENKO[[#This Row],[concat]],[4]!db[NB NOTA_C],0)+1)</f>
        <v/>
      </c>
      <c r="X259" s="4" t="str">
        <f ca="1">IF(KENKO[[#This Row],[N.B.nota]]="","",ADDRESS(ROW(KENKO[QB]),COLUMN(KENKO[QB]))&amp;":"&amp;ADDRESS(ROW(),COLUMN(KENKO[QB])))</f>
        <v/>
      </c>
      <c r="Y259" s="13" t="str">
        <f ca="1">IF(KENKO[[#This Row],[//]]="","",HYPERLINK("[..\\DB.xlsx]DB!e"&amp;KENKO[[#This Row],[stt]],"&gt;"))</f>
        <v/>
      </c>
      <c r="Z259" s="4" t="str">
        <f ca="1">IF(KENKO[[#This Row],[//]]="","",IF(KENKO[[#This Row],[ID NOTA]]="",Z258,KENKO[[#This Row],[ID NOTA]]))</f>
        <v/>
      </c>
    </row>
    <row r="260" spans="1:26" ht="15" customHeight="1" x14ac:dyDescent="0.25">
      <c r="A260" s="4"/>
      <c r="B260" s="6" t="str">
        <f>IF(KENKO[[#This Row],[N_ID]]="","",INDEX(Table1[ID],MATCH(KENKO[[#This Row],[N_ID]],Table1[N_ID],0)))</f>
        <v/>
      </c>
      <c r="C260" s="6" t="str">
        <f>IF(KENKO[[#This Row],[ID NOTA]]="","",HYPERLINK("[NOTA_.xlsx]NOTA!e"&amp;INDEX([2]!PAJAK[//],MATCH(KENKO[[#This Row],[ID NOTA]],[2]!PAJAK[ID],0)),"&gt;") )</f>
        <v/>
      </c>
      <c r="D260" s="6" t="str">
        <f>IF(KENKO[[#This Row],[ID NOTA]]="","",INDEX(Table1[QB],MATCH(KENKO[[#This Row],[ID NOTA]],Table1[ID],0)))</f>
        <v/>
      </c>
      <c r="E26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0" s="8"/>
      <c r="G260" s="3" t="str">
        <f>IF(KENKO[[#This Row],[ID NOTA]]="","",INDEX([2]!NOTA[TGL_H],MATCH(KENKO[[#This Row],[ID NOTA]],[2]!NOTA[ID],0)))</f>
        <v/>
      </c>
      <c r="H260" s="3" t="str">
        <f>IF(KENKO[[#This Row],[ID NOTA]]="","",INDEX([2]!NOTA[TGL.NOTA],MATCH(KENKO[[#This Row],[ID NOTA]],[2]!NOTA[ID],0)))</f>
        <v/>
      </c>
      <c r="I260" s="18" t="str">
        <f>IF(KENKO[[#This Row],[ID NOTA]]="","",INDEX([2]!NOTA[NO.NOTA],MATCH(KENKO[[#This Row],[ID NOTA]],[2]!NOTA[ID],0)))</f>
        <v/>
      </c>
      <c r="J260" s="4" t="str">
        <f ca="1">IF(KENKO[[#This Row],[//]]="","",INDEX([4]!db[NB PAJAK],KENKO[[#This Row],[stt]]-1))</f>
        <v/>
      </c>
      <c r="K260" s="6" t="str">
        <f>""</f>
        <v/>
      </c>
      <c r="L260" s="6" t="str">
        <f ca="1">IF(KENKO[[#This Row],[//]]="","",IF(INDEX([2]!NOTA[QTY],KENKO[//]-2)="",INDEX([2]!NOTA[C],KENKO[//]-2),INDEX([2]!NOTA[QTY],KENKO[//]-2)))</f>
        <v/>
      </c>
      <c r="M260" s="6" t="str">
        <f ca="1">IF(KENKO[[#This Row],[//]]="","",IF(INDEX([2]!NOTA[STN],KENKO[//]-2)="","CTN",INDEX([2]!NOTA[STN],KENKO[//]-2)))</f>
        <v/>
      </c>
      <c r="N260" s="5" t="str">
        <f ca="1">IF(KENKO[[#This Row],[//]]="","",IF(INDEX([2]!NOTA[HARGA/ CTN],KENKO[[#This Row],[//]]-2)="",INDEX([2]!NOTA[HARGA SATUAN],KENKO[//]-2),INDEX([2]!NOTA[HARGA/ CTN],KENKO[[#This Row],[//]]-2)))</f>
        <v/>
      </c>
      <c r="O260" s="7" t="str">
        <f ca="1">IF(KENKO[[#This Row],[//]]="","",IF(INDEX([2]!NOTA[DISC 2],KENKO[[#This Row],[//]]-2)=0,"",INDEX([2]!NOTA[DISC 2],KENKO[[#This Row],[//]]-2)))</f>
        <v/>
      </c>
      <c r="P260" s="7"/>
      <c r="Q26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0" s="4" t="str">
        <f ca="1">IF(KENKO[[#This Row],[//]]="","",INDEX([2]!NOTA[NAMA BARANG],KENKO[[#This Row],[//]]-2))</f>
        <v/>
      </c>
      <c r="V260" s="4" t="str">
        <f ca="1">LOWER(SUBSTITUTE(SUBSTITUTE(SUBSTITUTE(SUBSTITUTE(SUBSTITUTE(SUBSTITUTE(SUBSTITUTE(SUBSTITUTE(KENKO[[#This Row],[N.B.nota]]," ",""),"-",""),"(",""),")",""),".",""),",",""),"/",""),"""",""))</f>
        <v/>
      </c>
      <c r="W260" s="6" t="str">
        <f ca="1">IF(KENKO[[#This Row],[concat]]="","",MATCH(KENKO[[#This Row],[concat]],[4]!db[NB NOTA_C],0)+1)</f>
        <v/>
      </c>
      <c r="X260" s="4" t="str">
        <f ca="1">IF(KENKO[[#This Row],[N.B.nota]]="","",ADDRESS(ROW(KENKO[QB]),COLUMN(KENKO[QB]))&amp;":"&amp;ADDRESS(ROW(),COLUMN(KENKO[QB])))</f>
        <v/>
      </c>
      <c r="Y260" s="13" t="str">
        <f ca="1">IF(KENKO[[#This Row],[//]]="","",HYPERLINK("[..\\DB.xlsx]DB!e"&amp;KENKO[[#This Row],[stt]],"&gt;"))</f>
        <v/>
      </c>
      <c r="Z260" s="4" t="str">
        <f ca="1">IF(KENKO[[#This Row],[//]]="","",IF(KENKO[[#This Row],[ID NOTA]]="",Z259,KENKO[[#This Row],[ID NOTA]]))</f>
        <v/>
      </c>
    </row>
    <row r="261" spans="1:26" ht="15" customHeight="1" x14ac:dyDescent="0.25">
      <c r="A261" s="4"/>
      <c r="B261" s="6" t="str">
        <f>IF(KENKO[[#This Row],[N_ID]]="","",INDEX(Table1[ID],MATCH(KENKO[[#This Row],[N_ID]],Table1[N_ID],0)))</f>
        <v/>
      </c>
      <c r="C261" s="6" t="str">
        <f>IF(KENKO[[#This Row],[ID NOTA]]="","",HYPERLINK("[NOTA_.xlsx]NOTA!e"&amp;INDEX([2]!PAJAK[//],MATCH(KENKO[[#This Row],[ID NOTA]],[2]!PAJAK[ID],0)),"&gt;") )</f>
        <v/>
      </c>
      <c r="D261" s="6" t="str">
        <f>IF(KENKO[[#This Row],[ID NOTA]]="","",INDEX(Table1[QB],MATCH(KENKO[[#This Row],[ID NOTA]],Table1[ID],0)))</f>
        <v/>
      </c>
      <c r="E26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1" s="8"/>
      <c r="G261" s="3" t="str">
        <f>IF(KENKO[[#This Row],[ID NOTA]]="","",INDEX([2]!NOTA[TGL_H],MATCH(KENKO[[#This Row],[ID NOTA]],[2]!NOTA[ID],0)))</f>
        <v/>
      </c>
      <c r="H261" s="3" t="str">
        <f>IF(KENKO[[#This Row],[ID NOTA]]="","",INDEX([2]!NOTA[TGL.NOTA],MATCH(KENKO[[#This Row],[ID NOTA]],[2]!NOTA[ID],0)))</f>
        <v/>
      </c>
      <c r="I261" s="18" t="str">
        <f>IF(KENKO[[#This Row],[ID NOTA]]="","",INDEX([2]!NOTA[NO.NOTA],MATCH(KENKO[[#This Row],[ID NOTA]],[2]!NOTA[ID],0)))</f>
        <v/>
      </c>
      <c r="J261" s="4" t="str">
        <f ca="1">IF(KENKO[[#This Row],[//]]="","",INDEX([4]!db[NB PAJAK],KENKO[[#This Row],[stt]]-1))</f>
        <v/>
      </c>
      <c r="K261" s="6" t="str">
        <f>""</f>
        <v/>
      </c>
      <c r="L261" s="6" t="str">
        <f ca="1">IF(KENKO[[#This Row],[//]]="","",IF(INDEX([2]!NOTA[QTY],KENKO[//]-2)="",INDEX([2]!NOTA[C],KENKO[//]-2),INDEX([2]!NOTA[QTY],KENKO[//]-2)))</f>
        <v/>
      </c>
      <c r="M261" s="6" t="str">
        <f ca="1">IF(KENKO[[#This Row],[//]]="","",IF(INDEX([2]!NOTA[STN],KENKO[//]-2)="","CTN",INDEX([2]!NOTA[STN],KENKO[//]-2)))</f>
        <v/>
      </c>
      <c r="N261" s="5" t="str">
        <f ca="1">IF(KENKO[[#This Row],[//]]="","",IF(INDEX([2]!NOTA[HARGA/ CTN],KENKO[[#This Row],[//]]-2)="",INDEX([2]!NOTA[HARGA SATUAN],KENKO[//]-2),INDEX([2]!NOTA[HARGA/ CTN],KENKO[[#This Row],[//]]-2)))</f>
        <v/>
      </c>
      <c r="O261" s="7" t="str">
        <f ca="1">IF(KENKO[[#This Row],[//]]="","",IF(INDEX([2]!NOTA[DISC 2],KENKO[[#This Row],[//]]-2)=0,"",INDEX([2]!NOTA[DISC 2],KENKO[[#This Row],[//]]-2)))</f>
        <v/>
      </c>
      <c r="P261" s="7"/>
      <c r="Q26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1" s="4" t="str">
        <f ca="1">IF(KENKO[[#This Row],[//]]="","",INDEX([2]!NOTA[NAMA BARANG],KENKO[[#This Row],[//]]-2))</f>
        <v/>
      </c>
      <c r="V261" s="4" t="str">
        <f ca="1">LOWER(SUBSTITUTE(SUBSTITUTE(SUBSTITUTE(SUBSTITUTE(SUBSTITUTE(SUBSTITUTE(SUBSTITUTE(SUBSTITUTE(KENKO[[#This Row],[N.B.nota]]," ",""),"-",""),"(",""),")",""),".",""),",",""),"/",""),"""",""))</f>
        <v/>
      </c>
      <c r="W261" s="6" t="str">
        <f ca="1">IF(KENKO[[#This Row],[concat]]="","",MATCH(KENKO[[#This Row],[concat]],[4]!db[NB NOTA_C],0)+1)</f>
        <v/>
      </c>
      <c r="X261" s="4" t="str">
        <f ca="1">IF(KENKO[[#This Row],[N.B.nota]]="","",ADDRESS(ROW(KENKO[QB]),COLUMN(KENKO[QB]))&amp;":"&amp;ADDRESS(ROW(),COLUMN(KENKO[QB])))</f>
        <v/>
      </c>
      <c r="Y261" s="13" t="str">
        <f ca="1">IF(KENKO[[#This Row],[//]]="","",HYPERLINK("[..\\DB.xlsx]DB!e"&amp;KENKO[[#This Row],[stt]],"&gt;"))</f>
        <v/>
      </c>
      <c r="Z261" s="4" t="str">
        <f ca="1">IF(KENKO[[#This Row],[//]]="","",IF(KENKO[[#This Row],[ID NOTA]]="",Z260,KENKO[[#This Row],[ID NOTA]]))</f>
        <v/>
      </c>
    </row>
    <row r="262" spans="1:26" ht="15" customHeight="1" x14ac:dyDescent="0.25">
      <c r="A262" s="4"/>
      <c r="B262" s="6" t="str">
        <f>IF(KENKO[[#This Row],[N_ID]]="","",INDEX(Table1[ID],MATCH(KENKO[[#This Row],[N_ID]],Table1[N_ID],0)))</f>
        <v/>
      </c>
      <c r="C262" s="6" t="str">
        <f>IF(KENKO[[#This Row],[ID NOTA]]="","",HYPERLINK("[NOTA_.xlsx]NOTA!e"&amp;INDEX([2]!PAJAK[//],MATCH(KENKO[[#This Row],[ID NOTA]],[2]!PAJAK[ID],0)),"&gt;") )</f>
        <v/>
      </c>
      <c r="D262" s="6" t="str">
        <f>IF(KENKO[[#This Row],[ID NOTA]]="","",INDEX(Table1[QB],MATCH(KENKO[[#This Row],[ID NOTA]],Table1[ID],0)))</f>
        <v/>
      </c>
      <c r="E26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2" s="8"/>
      <c r="G262" s="3" t="str">
        <f>IF(KENKO[[#This Row],[ID NOTA]]="","",INDEX([2]!NOTA[TGL_H],MATCH(KENKO[[#This Row],[ID NOTA]],[2]!NOTA[ID],0)))</f>
        <v/>
      </c>
      <c r="H262" s="3" t="str">
        <f>IF(KENKO[[#This Row],[ID NOTA]]="","",INDEX([2]!NOTA[TGL.NOTA],MATCH(KENKO[[#This Row],[ID NOTA]],[2]!NOTA[ID],0)))</f>
        <v/>
      </c>
      <c r="I262" s="18" t="str">
        <f>IF(KENKO[[#This Row],[ID NOTA]]="","",INDEX([2]!NOTA[NO.NOTA],MATCH(KENKO[[#This Row],[ID NOTA]],[2]!NOTA[ID],0)))</f>
        <v/>
      </c>
      <c r="J262" s="4" t="str">
        <f ca="1">IF(KENKO[[#This Row],[//]]="","",INDEX([4]!db[NB PAJAK],KENKO[[#This Row],[stt]]-1))</f>
        <v/>
      </c>
      <c r="K262" s="6" t="str">
        <f>""</f>
        <v/>
      </c>
      <c r="L262" s="6" t="str">
        <f ca="1">IF(KENKO[[#This Row],[//]]="","",IF(INDEX([2]!NOTA[QTY],KENKO[//]-2)="",INDEX([2]!NOTA[C],KENKO[//]-2),INDEX([2]!NOTA[QTY],KENKO[//]-2)))</f>
        <v/>
      </c>
      <c r="M262" s="6" t="str">
        <f ca="1">IF(KENKO[[#This Row],[//]]="","",IF(INDEX([2]!NOTA[STN],KENKO[//]-2)="","CTN",INDEX([2]!NOTA[STN],KENKO[//]-2)))</f>
        <v/>
      </c>
      <c r="N262" s="5" t="str">
        <f ca="1">IF(KENKO[[#This Row],[//]]="","",IF(INDEX([2]!NOTA[HARGA/ CTN],KENKO[[#This Row],[//]]-2)="",INDEX([2]!NOTA[HARGA SATUAN],KENKO[//]-2),INDEX([2]!NOTA[HARGA/ CTN],KENKO[[#This Row],[//]]-2)))</f>
        <v/>
      </c>
      <c r="O262" s="7" t="str">
        <f ca="1">IF(KENKO[[#This Row],[//]]="","",IF(INDEX([2]!NOTA[DISC 2],KENKO[[#This Row],[//]]-2)=0,"",INDEX([2]!NOTA[DISC 2],KENKO[[#This Row],[//]]-2)))</f>
        <v/>
      </c>
      <c r="P262" s="7"/>
      <c r="Q26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2" s="4" t="str">
        <f ca="1">IF(KENKO[[#This Row],[//]]="","",INDEX([2]!NOTA[NAMA BARANG],KENKO[[#This Row],[//]]-2))</f>
        <v/>
      </c>
      <c r="V262" s="4" t="str">
        <f ca="1">LOWER(SUBSTITUTE(SUBSTITUTE(SUBSTITUTE(SUBSTITUTE(SUBSTITUTE(SUBSTITUTE(SUBSTITUTE(SUBSTITUTE(KENKO[[#This Row],[N.B.nota]]," ",""),"-",""),"(",""),")",""),".",""),",",""),"/",""),"""",""))</f>
        <v/>
      </c>
      <c r="W262" s="6" t="str">
        <f ca="1">IF(KENKO[[#This Row],[concat]]="","",MATCH(KENKO[[#This Row],[concat]],[4]!db[NB NOTA_C],0)+1)</f>
        <v/>
      </c>
      <c r="X262" s="4" t="str">
        <f ca="1">IF(KENKO[[#This Row],[N.B.nota]]="","",ADDRESS(ROW(KENKO[QB]),COLUMN(KENKO[QB]))&amp;":"&amp;ADDRESS(ROW(),COLUMN(KENKO[QB])))</f>
        <v/>
      </c>
      <c r="Y262" s="13" t="str">
        <f ca="1">IF(KENKO[[#This Row],[//]]="","",HYPERLINK("[..\\DB.xlsx]DB!e"&amp;KENKO[[#This Row],[stt]],"&gt;"))</f>
        <v/>
      </c>
      <c r="Z262" s="4" t="str">
        <f ca="1">IF(KENKO[[#This Row],[//]]="","",IF(KENKO[[#This Row],[ID NOTA]]="",Z261,KENKO[[#This Row],[ID NOTA]]))</f>
        <v/>
      </c>
    </row>
    <row r="263" spans="1:26" ht="15" customHeight="1" x14ac:dyDescent="0.25">
      <c r="A263" s="4"/>
      <c r="B263" s="6" t="str">
        <f>IF(KENKO[[#This Row],[N_ID]]="","",INDEX(Table1[ID],MATCH(KENKO[[#This Row],[N_ID]],Table1[N_ID],0)))</f>
        <v/>
      </c>
      <c r="C263" s="6" t="str">
        <f>IF(KENKO[[#This Row],[ID NOTA]]="","",HYPERLINK("[NOTA_.xlsx]NOTA!e"&amp;INDEX([2]!PAJAK[//],MATCH(KENKO[[#This Row],[ID NOTA]],[2]!PAJAK[ID],0)),"&gt;") )</f>
        <v/>
      </c>
      <c r="D263" s="6" t="str">
        <f>IF(KENKO[[#This Row],[ID NOTA]]="","",INDEX(Table1[QB],MATCH(KENKO[[#This Row],[ID NOTA]],Table1[ID],0)))</f>
        <v/>
      </c>
      <c r="E26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3" s="8"/>
      <c r="G263" s="3" t="str">
        <f>IF(KENKO[[#This Row],[ID NOTA]]="","",INDEX([2]!NOTA[TGL_H],MATCH(KENKO[[#This Row],[ID NOTA]],[2]!NOTA[ID],0)))</f>
        <v/>
      </c>
      <c r="H263" s="3" t="str">
        <f>IF(KENKO[[#This Row],[ID NOTA]]="","",INDEX([2]!NOTA[TGL.NOTA],MATCH(KENKO[[#This Row],[ID NOTA]],[2]!NOTA[ID],0)))</f>
        <v/>
      </c>
      <c r="I263" s="18" t="str">
        <f>IF(KENKO[[#This Row],[ID NOTA]]="","",INDEX([2]!NOTA[NO.NOTA],MATCH(KENKO[[#This Row],[ID NOTA]],[2]!NOTA[ID],0)))</f>
        <v/>
      </c>
      <c r="J263" s="4" t="str">
        <f ca="1">IF(KENKO[[#This Row],[//]]="","",INDEX([4]!db[NB PAJAK],KENKO[[#This Row],[stt]]-1))</f>
        <v/>
      </c>
      <c r="K263" s="6" t="str">
        <f>""</f>
        <v/>
      </c>
      <c r="L263" s="6" t="str">
        <f ca="1">IF(KENKO[[#This Row],[//]]="","",IF(INDEX([2]!NOTA[QTY],KENKO[//]-2)="",INDEX([2]!NOTA[C],KENKO[//]-2),INDEX([2]!NOTA[QTY],KENKO[//]-2)))</f>
        <v/>
      </c>
      <c r="M263" s="6" t="str">
        <f ca="1">IF(KENKO[[#This Row],[//]]="","",IF(INDEX([2]!NOTA[STN],KENKO[//]-2)="","CTN",INDEX([2]!NOTA[STN],KENKO[//]-2)))</f>
        <v/>
      </c>
      <c r="N263" s="5" t="str">
        <f ca="1">IF(KENKO[[#This Row],[//]]="","",IF(INDEX([2]!NOTA[HARGA/ CTN],KENKO[[#This Row],[//]]-2)="",INDEX([2]!NOTA[HARGA SATUAN],KENKO[//]-2),INDEX([2]!NOTA[HARGA/ CTN],KENKO[[#This Row],[//]]-2)))</f>
        <v/>
      </c>
      <c r="O263" s="7" t="str">
        <f ca="1">IF(KENKO[[#This Row],[//]]="","",IF(INDEX([2]!NOTA[DISC 2],KENKO[[#This Row],[//]]-2)=0,"",INDEX([2]!NOTA[DISC 2],KENKO[[#This Row],[//]]-2)))</f>
        <v/>
      </c>
      <c r="P263" s="7"/>
      <c r="Q26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3" s="4" t="str">
        <f ca="1">IF(KENKO[[#This Row],[//]]="","",INDEX([2]!NOTA[NAMA BARANG],KENKO[[#This Row],[//]]-2))</f>
        <v/>
      </c>
      <c r="V263" s="4" t="str">
        <f ca="1">LOWER(SUBSTITUTE(SUBSTITUTE(SUBSTITUTE(SUBSTITUTE(SUBSTITUTE(SUBSTITUTE(SUBSTITUTE(SUBSTITUTE(KENKO[[#This Row],[N.B.nota]]," ",""),"-",""),"(",""),")",""),".",""),",",""),"/",""),"""",""))</f>
        <v/>
      </c>
      <c r="W263" s="6" t="str">
        <f ca="1">IF(KENKO[[#This Row],[concat]]="","",MATCH(KENKO[[#This Row],[concat]],[4]!db[NB NOTA_C],0)+1)</f>
        <v/>
      </c>
      <c r="X263" s="4" t="str">
        <f ca="1">IF(KENKO[[#This Row],[N.B.nota]]="","",ADDRESS(ROW(KENKO[QB]),COLUMN(KENKO[QB]))&amp;":"&amp;ADDRESS(ROW(),COLUMN(KENKO[QB])))</f>
        <v/>
      </c>
      <c r="Y263" s="13" t="str">
        <f ca="1">IF(KENKO[[#This Row],[//]]="","",HYPERLINK("[..\\DB.xlsx]DB!e"&amp;KENKO[[#This Row],[stt]],"&gt;"))</f>
        <v/>
      </c>
      <c r="Z263" s="4" t="str">
        <f ca="1">IF(KENKO[[#This Row],[//]]="","",IF(KENKO[[#This Row],[ID NOTA]]="",Z262,KENKO[[#This Row],[ID NOTA]]))</f>
        <v/>
      </c>
    </row>
    <row r="264" spans="1:26" ht="15" customHeight="1" x14ac:dyDescent="0.25">
      <c r="A264" s="4"/>
      <c r="B264" s="6" t="str">
        <f>IF(KENKO[[#This Row],[N_ID]]="","",INDEX(Table1[ID],MATCH(KENKO[[#This Row],[N_ID]],Table1[N_ID],0)))</f>
        <v/>
      </c>
      <c r="C264" s="6" t="str">
        <f>IF(KENKO[[#This Row],[ID NOTA]]="","",HYPERLINK("[NOTA_.xlsx]NOTA!e"&amp;INDEX([2]!PAJAK[//],MATCH(KENKO[[#This Row],[ID NOTA]],[2]!PAJAK[ID],0)),"&gt;") )</f>
        <v/>
      </c>
      <c r="D264" s="6" t="str">
        <f>IF(KENKO[[#This Row],[ID NOTA]]="","",INDEX(Table1[QB],MATCH(KENKO[[#This Row],[ID NOTA]],Table1[ID],0)))</f>
        <v/>
      </c>
      <c r="E26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4" s="8"/>
      <c r="G264" s="3" t="str">
        <f>IF(KENKO[[#This Row],[ID NOTA]]="","",INDEX([2]!NOTA[TGL_H],MATCH(KENKO[[#This Row],[ID NOTA]],[2]!NOTA[ID],0)))</f>
        <v/>
      </c>
      <c r="H264" s="3" t="str">
        <f>IF(KENKO[[#This Row],[ID NOTA]]="","",INDEX([2]!NOTA[TGL.NOTA],MATCH(KENKO[[#This Row],[ID NOTA]],[2]!NOTA[ID],0)))</f>
        <v/>
      </c>
      <c r="I264" s="18" t="str">
        <f>IF(KENKO[[#This Row],[ID NOTA]]="","",INDEX([2]!NOTA[NO.NOTA],MATCH(KENKO[[#This Row],[ID NOTA]],[2]!NOTA[ID],0)))</f>
        <v/>
      </c>
      <c r="J264" s="4" t="str">
        <f ca="1">IF(KENKO[[#This Row],[//]]="","",INDEX([4]!db[NB PAJAK],KENKO[[#This Row],[stt]]-1))</f>
        <v/>
      </c>
      <c r="K264" s="6" t="str">
        <f>""</f>
        <v/>
      </c>
      <c r="L264" s="6" t="str">
        <f ca="1">IF(KENKO[[#This Row],[//]]="","",IF(INDEX([2]!NOTA[QTY],KENKO[//]-2)="",INDEX([2]!NOTA[C],KENKO[//]-2),INDEX([2]!NOTA[QTY],KENKO[//]-2)))</f>
        <v/>
      </c>
      <c r="M264" s="6" t="str">
        <f ca="1">IF(KENKO[[#This Row],[//]]="","",IF(INDEX([2]!NOTA[STN],KENKO[//]-2)="","CTN",INDEX([2]!NOTA[STN],KENKO[//]-2)))</f>
        <v/>
      </c>
      <c r="N264" s="5" t="str">
        <f ca="1">IF(KENKO[[#This Row],[//]]="","",IF(INDEX([2]!NOTA[HARGA/ CTN],KENKO[[#This Row],[//]]-2)="",INDEX([2]!NOTA[HARGA SATUAN],KENKO[//]-2),INDEX([2]!NOTA[HARGA/ CTN],KENKO[[#This Row],[//]]-2)))</f>
        <v/>
      </c>
      <c r="O264" s="7" t="str">
        <f ca="1">IF(KENKO[[#This Row],[//]]="","",IF(INDEX([2]!NOTA[DISC 2],KENKO[[#This Row],[//]]-2)=0,"",INDEX([2]!NOTA[DISC 2],KENKO[[#This Row],[//]]-2)))</f>
        <v/>
      </c>
      <c r="P264" s="7"/>
      <c r="Q26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4" s="4" t="str">
        <f ca="1">IF(KENKO[[#This Row],[//]]="","",INDEX([2]!NOTA[NAMA BARANG],KENKO[[#This Row],[//]]-2))</f>
        <v/>
      </c>
      <c r="V264" s="4" t="str">
        <f ca="1">LOWER(SUBSTITUTE(SUBSTITUTE(SUBSTITUTE(SUBSTITUTE(SUBSTITUTE(SUBSTITUTE(SUBSTITUTE(SUBSTITUTE(KENKO[[#This Row],[N.B.nota]]," ",""),"-",""),"(",""),")",""),".",""),",",""),"/",""),"""",""))</f>
        <v/>
      </c>
      <c r="W264" s="6" t="str">
        <f ca="1">IF(KENKO[[#This Row],[concat]]="","",MATCH(KENKO[[#This Row],[concat]],[4]!db[NB NOTA_C],0)+1)</f>
        <v/>
      </c>
      <c r="X264" s="4" t="str">
        <f ca="1">IF(KENKO[[#This Row],[N.B.nota]]="","",ADDRESS(ROW(KENKO[QB]),COLUMN(KENKO[QB]))&amp;":"&amp;ADDRESS(ROW(),COLUMN(KENKO[QB])))</f>
        <v/>
      </c>
      <c r="Y264" s="13" t="str">
        <f ca="1">IF(KENKO[[#This Row],[//]]="","",HYPERLINK("[..\\DB.xlsx]DB!e"&amp;KENKO[[#This Row],[stt]],"&gt;"))</f>
        <v/>
      </c>
      <c r="Z264" s="4" t="str">
        <f ca="1">IF(KENKO[[#This Row],[//]]="","",IF(KENKO[[#This Row],[ID NOTA]]="",Z263,KENKO[[#This Row],[ID NOTA]]))</f>
        <v/>
      </c>
    </row>
    <row r="265" spans="1:26" ht="15" customHeight="1" x14ac:dyDescent="0.25">
      <c r="A265" s="4"/>
      <c r="B265" s="6" t="str">
        <f>IF(KENKO[[#This Row],[N_ID]]="","",INDEX(Table1[ID],MATCH(KENKO[[#This Row],[N_ID]],Table1[N_ID],0)))</f>
        <v/>
      </c>
      <c r="C265" s="6" t="str">
        <f>IF(KENKO[[#This Row],[ID NOTA]]="","",HYPERLINK("[NOTA_.xlsx]NOTA!e"&amp;INDEX([2]!PAJAK[//],MATCH(KENKO[[#This Row],[ID NOTA]],[2]!PAJAK[ID],0)),"&gt;") )</f>
        <v/>
      </c>
      <c r="D265" s="6" t="str">
        <f>IF(KENKO[[#This Row],[ID NOTA]]="","",INDEX(Table1[QB],MATCH(KENKO[[#This Row],[ID NOTA]],Table1[ID],0)))</f>
        <v/>
      </c>
      <c r="E2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5" s="8"/>
      <c r="G265" s="3" t="str">
        <f>IF(KENKO[[#This Row],[ID NOTA]]="","",INDEX([2]!NOTA[TGL_H],MATCH(KENKO[[#This Row],[ID NOTA]],[2]!NOTA[ID],0)))</f>
        <v/>
      </c>
      <c r="H265" s="3" t="str">
        <f>IF(KENKO[[#This Row],[ID NOTA]]="","",INDEX([2]!NOTA[TGL.NOTA],MATCH(KENKO[[#This Row],[ID NOTA]],[2]!NOTA[ID],0)))</f>
        <v/>
      </c>
      <c r="I265" s="18" t="str">
        <f>IF(KENKO[[#This Row],[ID NOTA]]="","",INDEX([2]!NOTA[NO.NOTA],MATCH(KENKO[[#This Row],[ID NOTA]],[2]!NOTA[ID],0)))</f>
        <v/>
      </c>
      <c r="J265" s="4" t="str">
        <f ca="1">IF(KENKO[[#This Row],[//]]="","",INDEX([4]!db[NB PAJAK],KENKO[[#This Row],[stt]]-1))</f>
        <v/>
      </c>
      <c r="K265" s="6" t="str">
        <f>""</f>
        <v/>
      </c>
      <c r="L265" s="6" t="str">
        <f ca="1">IF(KENKO[[#This Row],[//]]="","",IF(INDEX([2]!NOTA[QTY],KENKO[//]-2)="",INDEX([2]!NOTA[C],KENKO[//]-2),INDEX([2]!NOTA[QTY],KENKO[//]-2)))</f>
        <v/>
      </c>
      <c r="M265" s="6" t="str">
        <f ca="1">IF(KENKO[[#This Row],[//]]="","",IF(INDEX([2]!NOTA[STN],KENKO[//]-2)="","CTN",INDEX([2]!NOTA[STN],KENKO[//]-2)))</f>
        <v/>
      </c>
      <c r="N265" s="5" t="str">
        <f ca="1">IF(KENKO[[#This Row],[//]]="","",IF(INDEX([2]!NOTA[HARGA/ CTN],KENKO[[#This Row],[//]]-2)="",INDEX([2]!NOTA[HARGA SATUAN],KENKO[//]-2),INDEX([2]!NOTA[HARGA/ CTN],KENKO[[#This Row],[//]]-2)))</f>
        <v/>
      </c>
      <c r="O265" s="7" t="str">
        <f ca="1">IF(KENKO[[#This Row],[//]]="","",IF(INDEX([2]!NOTA[DISC 2],KENKO[[#This Row],[//]]-2)=0,"",INDEX([2]!NOTA[DISC 2],KENKO[[#This Row],[//]]-2)))</f>
        <v/>
      </c>
      <c r="P265" s="7"/>
      <c r="Q26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5" s="4" t="str">
        <f ca="1">IF(KENKO[[#This Row],[//]]="","",INDEX([2]!NOTA[NAMA BARANG],KENKO[[#This Row],[//]]-2))</f>
        <v/>
      </c>
      <c r="V265" s="4" t="str">
        <f ca="1">LOWER(SUBSTITUTE(SUBSTITUTE(SUBSTITUTE(SUBSTITUTE(SUBSTITUTE(SUBSTITUTE(SUBSTITUTE(SUBSTITUTE(KENKO[[#This Row],[N.B.nota]]," ",""),"-",""),"(",""),")",""),".",""),",",""),"/",""),"""",""))</f>
        <v/>
      </c>
      <c r="W265" s="6" t="str">
        <f ca="1">IF(KENKO[[#This Row],[concat]]="","",MATCH(KENKO[[#This Row],[concat]],[4]!db[NB NOTA_C],0)+1)</f>
        <v/>
      </c>
      <c r="X265" s="4" t="str">
        <f ca="1">IF(KENKO[[#This Row],[N.B.nota]]="","",ADDRESS(ROW(KENKO[QB]),COLUMN(KENKO[QB]))&amp;":"&amp;ADDRESS(ROW(),COLUMN(KENKO[QB])))</f>
        <v/>
      </c>
      <c r="Y265" s="13" t="str">
        <f ca="1">IF(KENKO[[#This Row],[//]]="","",HYPERLINK("[..\\DB.xlsx]DB!e"&amp;KENKO[[#This Row],[stt]],"&gt;"))</f>
        <v/>
      </c>
      <c r="Z265" s="4" t="str">
        <f ca="1">IF(KENKO[[#This Row],[//]]="","",IF(KENKO[[#This Row],[ID NOTA]]="",Z264,KENKO[[#This Row],[ID NOTA]]))</f>
        <v/>
      </c>
    </row>
    <row r="266" spans="1:26" ht="15" customHeight="1" x14ac:dyDescent="0.25">
      <c r="A266" s="4"/>
      <c r="B266" s="6" t="str">
        <f>IF(KENKO[[#This Row],[N_ID]]="","",INDEX(Table1[ID],MATCH(KENKO[[#This Row],[N_ID]],Table1[N_ID],0)))</f>
        <v/>
      </c>
      <c r="C266" s="6" t="str">
        <f>IF(KENKO[[#This Row],[ID NOTA]]="","",HYPERLINK("[NOTA_.xlsx]NOTA!e"&amp;INDEX([2]!PAJAK[//],MATCH(KENKO[[#This Row],[ID NOTA]],[2]!PAJAK[ID],0)),"&gt;") )</f>
        <v/>
      </c>
      <c r="D266" s="6" t="str">
        <f>IF(KENKO[[#This Row],[ID NOTA]]="","",INDEX(Table1[QB],MATCH(KENKO[[#This Row],[ID NOTA]],Table1[ID],0)))</f>
        <v/>
      </c>
      <c r="E26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6" s="8"/>
      <c r="G266" s="3" t="str">
        <f>IF(KENKO[[#This Row],[ID NOTA]]="","",INDEX([2]!NOTA[TGL_H],MATCH(KENKO[[#This Row],[ID NOTA]],[2]!NOTA[ID],0)))</f>
        <v/>
      </c>
      <c r="H266" s="3" t="str">
        <f>IF(KENKO[[#This Row],[ID NOTA]]="","",INDEX([2]!NOTA[TGL.NOTA],MATCH(KENKO[[#This Row],[ID NOTA]],[2]!NOTA[ID],0)))</f>
        <v/>
      </c>
      <c r="I266" s="18" t="str">
        <f>IF(KENKO[[#This Row],[ID NOTA]]="","",INDEX([2]!NOTA[NO.NOTA],MATCH(KENKO[[#This Row],[ID NOTA]],[2]!NOTA[ID],0)))</f>
        <v/>
      </c>
      <c r="J266" s="4" t="str">
        <f ca="1">IF(KENKO[[#This Row],[//]]="","",INDEX([4]!db[NB PAJAK],KENKO[[#This Row],[stt]]-1))</f>
        <v/>
      </c>
      <c r="K266" s="6" t="str">
        <f>""</f>
        <v/>
      </c>
      <c r="L266" s="6" t="str">
        <f ca="1">IF(KENKO[[#This Row],[//]]="","",IF(INDEX([2]!NOTA[QTY],KENKO[//]-2)="",INDEX([2]!NOTA[C],KENKO[//]-2),INDEX([2]!NOTA[QTY],KENKO[//]-2)))</f>
        <v/>
      </c>
      <c r="M266" s="6" t="str">
        <f ca="1">IF(KENKO[[#This Row],[//]]="","",IF(INDEX([2]!NOTA[STN],KENKO[//]-2)="","CTN",INDEX([2]!NOTA[STN],KENKO[//]-2)))</f>
        <v/>
      </c>
      <c r="N266" s="5" t="str">
        <f ca="1">IF(KENKO[[#This Row],[//]]="","",IF(INDEX([2]!NOTA[HARGA/ CTN],KENKO[[#This Row],[//]]-2)="",INDEX([2]!NOTA[HARGA SATUAN],KENKO[//]-2),INDEX([2]!NOTA[HARGA/ CTN],KENKO[[#This Row],[//]]-2)))</f>
        <v/>
      </c>
      <c r="O266" s="7" t="str">
        <f ca="1">IF(KENKO[[#This Row],[//]]="","",IF(INDEX([2]!NOTA[DISC 2],KENKO[[#This Row],[//]]-2)=0,"",INDEX([2]!NOTA[DISC 2],KENKO[[#This Row],[//]]-2)))</f>
        <v/>
      </c>
      <c r="P266" s="7"/>
      <c r="Q26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6" s="4" t="str">
        <f ca="1">IF(KENKO[[#This Row],[//]]="","",INDEX([2]!NOTA[NAMA BARANG],KENKO[[#This Row],[//]]-2))</f>
        <v/>
      </c>
      <c r="V266" s="4" t="str">
        <f ca="1">LOWER(SUBSTITUTE(SUBSTITUTE(SUBSTITUTE(SUBSTITUTE(SUBSTITUTE(SUBSTITUTE(SUBSTITUTE(SUBSTITUTE(KENKO[[#This Row],[N.B.nota]]," ",""),"-",""),"(",""),")",""),".",""),",",""),"/",""),"""",""))</f>
        <v/>
      </c>
      <c r="W266" s="6" t="str">
        <f ca="1">IF(KENKO[[#This Row],[concat]]="","",MATCH(KENKO[[#This Row],[concat]],[4]!db[NB NOTA_C],0)+1)</f>
        <v/>
      </c>
      <c r="X266" s="4" t="str">
        <f ca="1">IF(KENKO[[#This Row],[N.B.nota]]="","",ADDRESS(ROW(KENKO[QB]),COLUMN(KENKO[QB]))&amp;":"&amp;ADDRESS(ROW(),COLUMN(KENKO[QB])))</f>
        <v/>
      </c>
      <c r="Y266" s="13" t="str">
        <f ca="1">IF(KENKO[[#This Row],[//]]="","",HYPERLINK("[..\\DB.xlsx]DB!e"&amp;KENKO[[#This Row],[stt]],"&gt;"))</f>
        <v/>
      </c>
      <c r="Z266" s="4" t="str">
        <f ca="1">IF(KENKO[[#This Row],[//]]="","",IF(KENKO[[#This Row],[ID NOTA]]="",Z265,KENKO[[#This Row],[ID NOTA]]))</f>
        <v/>
      </c>
    </row>
    <row r="267" spans="1:26" ht="15" customHeight="1" x14ac:dyDescent="0.25">
      <c r="A267" s="4"/>
      <c r="B267" s="6" t="str">
        <f>IF(KENKO[[#This Row],[N_ID]]="","",INDEX(Table1[ID],MATCH(KENKO[[#This Row],[N_ID]],Table1[N_ID],0)))</f>
        <v/>
      </c>
      <c r="C267" s="6" t="str">
        <f>IF(KENKO[[#This Row],[ID NOTA]]="","",HYPERLINK("[NOTA_.xlsx]NOTA!e"&amp;INDEX([2]!PAJAK[//],MATCH(KENKO[[#This Row],[ID NOTA]],[2]!PAJAK[ID],0)),"&gt;") )</f>
        <v/>
      </c>
      <c r="D267" s="6" t="str">
        <f>IF(KENKO[[#This Row],[ID NOTA]]="","",INDEX(Table1[QB],MATCH(KENKO[[#This Row],[ID NOTA]],Table1[ID],0)))</f>
        <v/>
      </c>
      <c r="E26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7" s="6"/>
      <c r="G267" s="3" t="str">
        <f>IF(KENKO[[#This Row],[ID NOTA]]="","",INDEX([2]!NOTA[TGL_H],MATCH(KENKO[[#This Row],[ID NOTA]],[2]!NOTA[ID],0)))</f>
        <v/>
      </c>
      <c r="H267" s="3" t="str">
        <f>IF(KENKO[[#This Row],[ID NOTA]]="","",INDEX([2]!NOTA[TGL.NOTA],MATCH(KENKO[[#This Row],[ID NOTA]],[2]!NOTA[ID],0)))</f>
        <v/>
      </c>
      <c r="I267" s="18" t="str">
        <f>IF(KENKO[[#This Row],[ID NOTA]]="","",INDEX([2]!NOTA[NO.NOTA],MATCH(KENKO[[#This Row],[ID NOTA]],[2]!NOTA[ID],0)))</f>
        <v/>
      </c>
      <c r="J267" s="4" t="str">
        <f ca="1">IF(KENKO[[#This Row],[//]]="","",INDEX([4]!db[NB PAJAK],KENKO[[#This Row],[stt]]-1))</f>
        <v/>
      </c>
      <c r="K267" s="6" t="str">
        <f>""</f>
        <v/>
      </c>
      <c r="L267" s="6" t="str">
        <f ca="1">IF(KENKO[[#This Row],[//]]="","",IF(INDEX([2]!NOTA[QTY],KENKO[//]-2)="",INDEX([2]!NOTA[C],KENKO[//]-2),INDEX([2]!NOTA[QTY],KENKO[//]-2)))</f>
        <v/>
      </c>
      <c r="M267" s="6" t="str">
        <f ca="1">IF(KENKO[[#This Row],[//]]="","",IF(INDEX([2]!NOTA[STN],KENKO[//]-2)="","CTN",INDEX([2]!NOTA[STN],KENKO[//]-2)))</f>
        <v/>
      </c>
      <c r="N267" s="5" t="str">
        <f ca="1">IF(KENKO[[#This Row],[//]]="","",IF(INDEX([2]!NOTA[HARGA/ CTN],KENKO[[#This Row],[//]]-2)="",INDEX([2]!NOTA[HARGA SATUAN],KENKO[//]-2),INDEX([2]!NOTA[HARGA/ CTN],KENKO[[#This Row],[//]]-2)))</f>
        <v/>
      </c>
      <c r="O267" s="7" t="str">
        <f ca="1">IF(KENKO[[#This Row],[//]]="","",IF(INDEX([2]!NOTA[DISC 2],KENKO[[#This Row],[//]]-2)=0,"",INDEX([2]!NOTA[DISC 2],KENKO[[#This Row],[//]]-2)))</f>
        <v/>
      </c>
      <c r="P267" s="7"/>
      <c r="Q26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7" s="4" t="str">
        <f ca="1">IF(KENKO[[#This Row],[//]]="","",INDEX([2]!NOTA[NAMA BARANG],KENKO[[#This Row],[//]]-2))</f>
        <v/>
      </c>
      <c r="V267" s="4" t="str">
        <f ca="1">LOWER(SUBSTITUTE(SUBSTITUTE(SUBSTITUTE(SUBSTITUTE(SUBSTITUTE(SUBSTITUTE(SUBSTITUTE(SUBSTITUTE(KENKO[[#This Row],[N.B.nota]]," ",""),"-",""),"(",""),")",""),".",""),",",""),"/",""),"""",""))</f>
        <v/>
      </c>
      <c r="W267" s="6" t="str">
        <f ca="1">IF(KENKO[[#This Row],[concat]]="","",MATCH(KENKO[[#This Row],[concat]],[4]!db[NB NOTA_C],0)+1)</f>
        <v/>
      </c>
      <c r="X267" s="4" t="str">
        <f ca="1">IF(KENKO[[#This Row],[N.B.nota]]="","",ADDRESS(ROW(KENKO[QB]),COLUMN(KENKO[QB]))&amp;":"&amp;ADDRESS(ROW(),COLUMN(KENKO[QB])))</f>
        <v/>
      </c>
      <c r="Y267" s="13" t="str">
        <f ca="1">IF(KENKO[[#This Row],[//]]="","",HYPERLINK("[..\\DB.xlsx]DB!e"&amp;KENKO[[#This Row],[stt]],"&gt;"))</f>
        <v/>
      </c>
      <c r="Z267" s="4" t="str">
        <f ca="1">IF(KENKO[[#This Row],[//]]="","",IF(KENKO[[#This Row],[ID NOTA]]="",Z266,KENKO[[#This Row],[ID NOTA]]))</f>
        <v/>
      </c>
    </row>
    <row r="268" spans="1:26" ht="15" customHeight="1" x14ac:dyDescent="0.25">
      <c r="A268" s="4"/>
      <c r="B268" s="6" t="str">
        <f>IF(KENKO[[#This Row],[N_ID]]="","",INDEX(Table1[ID],MATCH(KENKO[[#This Row],[N_ID]],Table1[N_ID],0)))</f>
        <v/>
      </c>
      <c r="C268" s="6" t="str">
        <f>IF(KENKO[[#This Row],[ID NOTA]]="","",HYPERLINK("[NOTA_.xlsx]NOTA!e"&amp;INDEX([2]!PAJAK[//],MATCH(KENKO[[#This Row],[ID NOTA]],[2]!PAJAK[ID],0)),"&gt;") )</f>
        <v/>
      </c>
      <c r="D268" s="6" t="str">
        <f>IF(KENKO[[#This Row],[ID NOTA]]="","",INDEX(Table1[QB],MATCH(KENKO[[#This Row],[ID NOTA]],Table1[ID],0)))</f>
        <v/>
      </c>
      <c r="E26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8" s="6"/>
      <c r="G268" s="3" t="str">
        <f>IF(KENKO[[#This Row],[ID NOTA]]="","",INDEX([2]!NOTA[TGL_H],MATCH(KENKO[[#This Row],[ID NOTA]],[2]!NOTA[ID],0)))</f>
        <v/>
      </c>
      <c r="H268" s="3" t="str">
        <f>IF(KENKO[[#This Row],[ID NOTA]]="","",INDEX([2]!NOTA[TGL.NOTA],MATCH(KENKO[[#This Row],[ID NOTA]],[2]!NOTA[ID],0)))</f>
        <v/>
      </c>
      <c r="I268" s="18" t="str">
        <f>IF(KENKO[[#This Row],[ID NOTA]]="","",INDEX([2]!NOTA[NO.NOTA],MATCH(KENKO[[#This Row],[ID NOTA]],[2]!NOTA[ID],0)))</f>
        <v/>
      </c>
      <c r="J268" s="4" t="str">
        <f ca="1">IF(KENKO[[#This Row],[//]]="","",INDEX([4]!db[NB PAJAK],KENKO[[#This Row],[stt]]-1))</f>
        <v/>
      </c>
      <c r="K268" s="6" t="str">
        <f>""</f>
        <v/>
      </c>
      <c r="L268" s="6" t="str">
        <f ca="1">IF(KENKO[[#This Row],[//]]="","",IF(INDEX([2]!NOTA[QTY],KENKO[//]-2)="",INDEX([2]!NOTA[C],KENKO[//]-2),INDEX([2]!NOTA[QTY],KENKO[//]-2)))</f>
        <v/>
      </c>
      <c r="M268" s="6" t="str">
        <f ca="1">IF(KENKO[[#This Row],[//]]="","",IF(INDEX([2]!NOTA[STN],KENKO[//]-2)="","CTN",INDEX([2]!NOTA[STN],KENKO[//]-2)))</f>
        <v/>
      </c>
      <c r="N268" s="5" t="str">
        <f ca="1">IF(KENKO[[#This Row],[//]]="","",IF(INDEX([2]!NOTA[HARGA/ CTN],KENKO[[#This Row],[//]]-2)="",INDEX([2]!NOTA[HARGA SATUAN],KENKO[//]-2),INDEX([2]!NOTA[HARGA/ CTN],KENKO[[#This Row],[//]]-2)))</f>
        <v/>
      </c>
      <c r="O268" s="7" t="str">
        <f ca="1">IF(KENKO[[#This Row],[//]]="","",IF(INDEX([2]!NOTA[DISC 2],KENKO[[#This Row],[//]]-2)=0,"",INDEX([2]!NOTA[DISC 2],KENKO[[#This Row],[//]]-2)))</f>
        <v/>
      </c>
      <c r="P268" s="7"/>
      <c r="Q26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8" s="4" t="str">
        <f ca="1">IF(KENKO[[#This Row],[//]]="","",INDEX([2]!NOTA[NAMA BARANG],KENKO[[#This Row],[//]]-2))</f>
        <v/>
      </c>
      <c r="V268" s="4" t="str">
        <f ca="1">LOWER(SUBSTITUTE(SUBSTITUTE(SUBSTITUTE(SUBSTITUTE(SUBSTITUTE(SUBSTITUTE(SUBSTITUTE(SUBSTITUTE(KENKO[[#This Row],[N.B.nota]]," ",""),"-",""),"(",""),")",""),".",""),",",""),"/",""),"""",""))</f>
        <v/>
      </c>
      <c r="W268" s="6" t="str">
        <f ca="1">IF(KENKO[[#This Row],[concat]]="","",MATCH(KENKO[[#This Row],[concat]],[4]!db[NB NOTA_C],0)+1)</f>
        <v/>
      </c>
      <c r="X268" s="4" t="str">
        <f ca="1">IF(KENKO[[#This Row],[N.B.nota]]="","",ADDRESS(ROW(KENKO[QB]),COLUMN(KENKO[QB]))&amp;":"&amp;ADDRESS(ROW(),COLUMN(KENKO[QB])))</f>
        <v/>
      </c>
      <c r="Y268" s="13" t="str">
        <f ca="1">IF(KENKO[[#This Row],[//]]="","",HYPERLINK("[..\\DB.xlsx]DB!e"&amp;KENKO[[#This Row],[stt]],"&gt;"))</f>
        <v/>
      </c>
      <c r="Z268" s="4" t="str">
        <f ca="1">IF(KENKO[[#This Row],[//]]="","",IF(KENKO[[#This Row],[ID NOTA]]="",Z267,KENKO[[#This Row],[ID NOTA]]))</f>
        <v/>
      </c>
    </row>
    <row r="269" spans="1:26" ht="15" customHeight="1" x14ac:dyDescent="0.25">
      <c r="A269" s="4"/>
      <c r="B269" s="6" t="str">
        <f>IF(KENKO[[#This Row],[N_ID]]="","",INDEX(Table1[ID],MATCH(KENKO[[#This Row],[N_ID]],Table1[N_ID],0)))</f>
        <v/>
      </c>
      <c r="C269" s="6" t="str">
        <f>IF(KENKO[[#This Row],[ID NOTA]]="","",HYPERLINK("[NOTA_.xlsx]NOTA!e"&amp;INDEX([2]!PAJAK[//],MATCH(KENKO[[#This Row],[ID NOTA]],[2]!PAJAK[ID],0)),"&gt;") )</f>
        <v/>
      </c>
      <c r="D269" s="6" t="str">
        <f>IF(KENKO[[#This Row],[ID NOTA]]="","",INDEX(Table1[QB],MATCH(KENKO[[#This Row],[ID NOTA]],Table1[ID],0)))</f>
        <v/>
      </c>
      <c r="E2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9" s="6"/>
      <c r="G269" s="3" t="str">
        <f>IF(KENKO[[#This Row],[ID NOTA]]="","",INDEX([2]!NOTA[TGL_H],MATCH(KENKO[[#This Row],[ID NOTA]],[2]!NOTA[ID],0)))</f>
        <v/>
      </c>
      <c r="H269" s="3" t="str">
        <f>IF(KENKO[[#This Row],[ID NOTA]]="","",INDEX([2]!NOTA[TGL.NOTA],MATCH(KENKO[[#This Row],[ID NOTA]],[2]!NOTA[ID],0)))</f>
        <v/>
      </c>
      <c r="I269" s="18" t="str">
        <f>IF(KENKO[[#This Row],[ID NOTA]]="","",INDEX([2]!NOTA[NO.NOTA],MATCH(KENKO[[#This Row],[ID NOTA]],[2]!NOTA[ID],0)))</f>
        <v/>
      </c>
      <c r="J269" s="4" t="str">
        <f ca="1">IF(KENKO[[#This Row],[//]]="","",INDEX([4]!db[NB PAJAK],KENKO[[#This Row],[stt]]-1))</f>
        <v/>
      </c>
      <c r="K269" s="6" t="str">
        <f>""</f>
        <v/>
      </c>
      <c r="L269" s="6" t="str">
        <f ca="1">IF(KENKO[[#This Row],[//]]="","",IF(INDEX([2]!NOTA[QTY],KENKO[//]-2)="",INDEX([2]!NOTA[C],KENKO[//]-2),INDEX([2]!NOTA[QTY],KENKO[//]-2)))</f>
        <v/>
      </c>
      <c r="M269" s="6" t="str">
        <f ca="1">IF(KENKO[[#This Row],[//]]="","",IF(INDEX([2]!NOTA[STN],KENKO[//]-2)="","CTN",INDEX([2]!NOTA[STN],KENKO[//]-2)))</f>
        <v/>
      </c>
      <c r="N269" s="5" t="str">
        <f ca="1">IF(KENKO[[#This Row],[//]]="","",IF(INDEX([2]!NOTA[HARGA/ CTN],KENKO[[#This Row],[//]]-2)="",INDEX([2]!NOTA[HARGA SATUAN],KENKO[//]-2),INDEX([2]!NOTA[HARGA/ CTN],KENKO[[#This Row],[//]]-2)))</f>
        <v/>
      </c>
      <c r="O269" s="7" t="str">
        <f ca="1">IF(KENKO[[#This Row],[//]]="","",IF(INDEX([2]!NOTA[DISC 2],KENKO[[#This Row],[//]]-2)=0,"",INDEX([2]!NOTA[DISC 2],KENKO[[#This Row],[//]]-2)))</f>
        <v/>
      </c>
      <c r="P269" s="7"/>
      <c r="Q26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9" s="4" t="str">
        <f ca="1">IF(KENKO[[#This Row],[//]]="","",INDEX([2]!NOTA[NAMA BARANG],KENKO[[#This Row],[//]]-2))</f>
        <v/>
      </c>
      <c r="V269" s="4" t="str">
        <f ca="1">LOWER(SUBSTITUTE(SUBSTITUTE(SUBSTITUTE(SUBSTITUTE(SUBSTITUTE(SUBSTITUTE(SUBSTITUTE(SUBSTITUTE(KENKO[[#This Row],[N.B.nota]]," ",""),"-",""),"(",""),")",""),".",""),",",""),"/",""),"""",""))</f>
        <v/>
      </c>
      <c r="W269" s="6" t="str">
        <f ca="1">IF(KENKO[[#This Row],[concat]]="","",MATCH(KENKO[[#This Row],[concat]],[4]!db[NB NOTA_C],0)+1)</f>
        <v/>
      </c>
      <c r="X269" s="4" t="str">
        <f ca="1">IF(KENKO[[#This Row],[N.B.nota]]="","",ADDRESS(ROW(KENKO[QB]),COLUMN(KENKO[QB]))&amp;":"&amp;ADDRESS(ROW(),COLUMN(KENKO[QB])))</f>
        <v/>
      </c>
      <c r="Y269" s="13" t="str">
        <f ca="1">IF(KENKO[[#This Row],[//]]="","",HYPERLINK("[..\\DB.xlsx]DB!e"&amp;KENKO[[#This Row],[stt]],"&gt;"))</f>
        <v/>
      </c>
      <c r="Z269" s="4" t="str">
        <f ca="1">IF(KENKO[[#This Row],[//]]="","",IF(KENKO[[#This Row],[ID NOTA]]="",Z268,KENKO[[#This Row],[ID NOTA]]))</f>
        <v/>
      </c>
    </row>
    <row r="270" spans="1:26" ht="15" customHeight="1" x14ac:dyDescent="0.25">
      <c r="A270" s="4"/>
      <c r="B270" s="6" t="str">
        <f>IF(KENKO[[#This Row],[N_ID]]="","",INDEX(Table1[ID],MATCH(KENKO[[#This Row],[N_ID]],Table1[N_ID],0)))</f>
        <v/>
      </c>
      <c r="C270" s="6" t="str">
        <f>IF(KENKO[[#This Row],[ID NOTA]]="","",HYPERLINK("[NOTA_.xlsx]NOTA!e"&amp;INDEX([2]!PAJAK[//],MATCH(KENKO[[#This Row],[ID NOTA]],[2]!PAJAK[ID],0)),"&gt;") )</f>
        <v/>
      </c>
      <c r="D270" s="6" t="str">
        <f>IF(KENKO[[#This Row],[ID NOTA]]="","",INDEX(Table1[QB],MATCH(KENKO[[#This Row],[ID NOTA]],Table1[ID],0)))</f>
        <v/>
      </c>
      <c r="E27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0" s="6"/>
      <c r="G270" s="3" t="str">
        <f>IF(KENKO[[#This Row],[ID NOTA]]="","",INDEX([2]!NOTA[TGL_H],MATCH(KENKO[[#This Row],[ID NOTA]],[2]!NOTA[ID],0)))</f>
        <v/>
      </c>
      <c r="H270" s="3" t="str">
        <f>IF(KENKO[[#This Row],[ID NOTA]]="","",INDEX([2]!NOTA[TGL.NOTA],MATCH(KENKO[[#This Row],[ID NOTA]],[2]!NOTA[ID],0)))</f>
        <v/>
      </c>
      <c r="I270" s="18" t="str">
        <f>IF(KENKO[[#This Row],[ID NOTA]]="","",INDEX([2]!NOTA[NO.NOTA],MATCH(KENKO[[#This Row],[ID NOTA]],[2]!NOTA[ID],0)))</f>
        <v/>
      </c>
      <c r="J270" s="4" t="str">
        <f ca="1">IF(KENKO[[#This Row],[//]]="","",INDEX([4]!db[NB PAJAK],KENKO[[#This Row],[stt]]-1))</f>
        <v/>
      </c>
      <c r="K270" s="6" t="str">
        <f>""</f>
        <v/>
      </c>
      <c r="L270" s="6" t="str">
        <f ca="1">IF(KENKO[[#This Row],[//]]="","",IF(INDEX([2]!NOTA[QTY],KENKO[//]-2)="",INDEX([2]!NOTA[C],KENKO[//]-2),INDEX([2]!NOTA[QTY],KENKO[//]-2)))</f>
        <v/>
      </c>
      <c r="M270" s="6" t="str">
        <f ca="1">IF(KENKO[[#This Row],[//]]="","",IF(INDEX([2]!NOTA[STN],KENKO[//]-2)="","CTN",INDEX([2]!NOTA[STN],KENKO[//]-2)))</f>
        <v/>
      </c>
      <c r="N270" s="5" t="str">
        <f ca="1">IF(KENKO[[#This Row],[//]]="","",IF(INDEX([2]!NOTA[HARGA/ CTN],KENKO[[#This Row],[//]]-2)="",INDEX([2]!NOTA[HARGA SATUAN],KENKO[//]-2),INDEX([2]!NOTA[HARGA/ CTN],KENKO[[#This Row],[//]]-2)))</f>
        <v/>
      </c>
      <c r="O270" s="7" t="str">
        <f ca="1">IF(KENKO[[#This Row],[//]]="","",IF(INDEX([2]!NOTA[DISC 2],KENKO[[#This Row],[//]]-2)=0,"",INDEX([2]!NOTA[DISC 2],KENKO[[#This Row],[//]]-2)))</f>
        <v/>
      </c>
      <c r="P270" s="7"/>
      <c r="Q27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0" s="4" t="str">
        <f ca="1">IF(KENKO[[#This Row],[//]]="","",INDEX([2]!NOTA[NAMA BARANG],KENKO[[#This Row],[//]]-2))</f>
        <v/>
      </c>
      <c r="V270" s="4" t="str">
        <f ca="1">LOWER(SUBSTITUTE(SUBSTITUTE(SUBSTITUTE(SUBSTITUTE(SUBSTITUTE(SUBSTITUTE(SUBSTITUTE(SUBSTITUTE(KENKO[[#This Row],[N.B.nota]]," ",""),"-",""),"(",""),")",""),".",""),",",""),"/",""),"""",""))</f>
        <v/>
      </c>
      <c r="W270" s="6" t="str">
        <f ca="1">IF(KENKO[[#This Row],[concat]]="","",MATCH(KENKO[[#This Row],[concat]],[4]!db[NB NOTA_C],0)+1)</f>
        <v/>
      </c>
      <c r="X270" s="4" t="str">
        <f ca="1">IF(KENKO[[#This Row],[N.B.nota]]="","",ADDRESS(ROW(KENKO[QB]),COLUMN(KENKO[QB]))&amp;":"&amp;ADDRESS(ROW(),COLUMN(KENKO[QB])))</f>
        <v/>
      </c>
      <c r="Y270" s="13" t="str">
        <f ca="1">IF(KENKO[[#This Row],[//]]="","",HYPERLINK("[..\\DB.xlsx]DB!e"&amp;KENKO[[#This Row],[stt]],"&gt;"))</f>
        <v/>
      </c>
      <c r="Z270" s="4" t="str">
        <f ca="1">IF(KENKO[[#This Row],[//]]="","",IF(KENKO[[#This Row],[ID NOTA]]="",Z269,KENKO[[#This Row],[ID NOTA]]))</f>
        <v/>
      </c>
    </row>
    <row r="271" spans="1:26" ht="15" customHeight="1" x14ac:dyDescent="0.25">
      <c r="A271" s="4"/>
      <c r="B271" s="6" t="str">
        <f>IF(KENKO[[#This Row],[N_ID]]="","",INDEX(Table1[ID],MATCH(KENKO[[#This Row],[N_ID]],Table1[N_ID],0)))</f>
        <v/>
      </c>
      <c r="C271" s="6" t="str">
        <f>IF(KENKO[[#This Row],[ID NOTA]]="","",HYPERLINK("[NOTA_.xlsx]NOTA!e"&amp;INDEX([2]!PAJAK[//],MATCH(KENKO[[#This Row],[ID NOTA]],[2]!PAJAK[ID],0)),"&gt;") )</f>
        <v/>
      </c>
      <c r="D271" s="6" t="str">
        <f>IF(KENKO[[#This Row],[ID NOTA]]="","",INDEX(Table1[QB],MATCH(KENKO[[#This Row],[ID NOTA]],Table1[ID],0)))</f>
        <v/>
      </c>
      <c r="E27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1" s="6"/>
      <c r="G271" s="3" t="str">
        <f>IF(KENKO[[#This Row],[ID NOTA]]="","",INDEX([2]!NOTA[TGL_H],MATCH(KENKO[[#This Row],[ID NOTA]],[2]!NOTA[ID],0)))</f>
        <v/>
      </c>
      <c r="H271" s="3" t="str">
        <f>IF(KENKO[[#This Row],[ID NOTA]]="","",INDEX([2]!NOTA[TGL.NOTA],MATCH(KENKO[[#This Row],[ID NOTA]],[2]!NOTA[ID],0)))</f>
        <v/>
      </c>
      <c r="I271" s="18" t="str">
        <f>IF(KENKO[[#This Row],[ID NOTA]]="","",INDEX([2]!NOTA[NO.NOTA],MATCH(KENKO[[#This Row],[ID NOTA]],[2]!NOTA[ID],0)))</f>
        <v/>
      </c>
      <c r="J271" s="4" t="str">
        <f ca="1">IF(KENKO[[#This Row],[//]]="","",INDEX([4]!db[NB PAJAK],KENKO[[#This Row],[stt]]-1))</f>
        <v/>
      </c>
      <c r="K271" s="6" t="str">
        <f>""</f>
        <v/>
      </c>
      <c r="L271" s="6" t="str">
        <f ca="1">IF(KENKO[[#This Row],[//]]="","",IF(INDEX([2]!NOTA[QTY],KENKO[//]-2)="",INDEX([2]!NOTA[C],KENKO[//]-2),INDEX([2]!NOTA[QTY],KENKO[//]-2)))</f>
        <v/>
      </c>
      <c r="M271" s="6" t="str">
        <f ca="1">IF(KENKO[[#This Row],[//]]="","",IF(INDEX([2]!NOTA[STN],KENKO[//]-2)="","CTN",INDEX([2]!NOTA[STN],KENKO[//]-2)))</f>
        <v/>
      </c>
      <c r="N271" s="5" t="str">
        <f ca="1">IF(KENKO[[#This Row],[//]]="","",IF(INDEX([2]!NOTA[HARGA/ CTN],KENKO[[#This Row],[//]]-2)="",INDEX([2]!NOTA[HARGA SATUAN],KENKO[//]-2),INDEX([2]!NOTA[HARGA/ CTN],KENKO[[#This Row],[//]]-2)))</f>
        <v/>
      </c>
      <c r="O271" s="7" t="str">
        <f ca="1">IF(KENKO[[#This Row],[//]]="","",IF(INDEX([2]!NOTA[DISC 2],KENKO[[#This Row],[//]]-2)=0,"",INDEX([2]!NOTA[DISC 2],KENKO[[#This Row],[//]]-2)))</f>
        <v/>
      </c>
      <c r="P271" s="7"/>
      <c r="Q27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1" s="4" t="str">
        <f ca="1">IF(KENKO[[#This Row],[//]]="","",INDEX([2]!NOTA[NAMA BARANG],KENKO[[#This Row],[//]]-2))</f>
        <v/>
      </c>
      <c r="V271" s="4" t="str">
        <f ca="1">LOWER(SUBSTITUTE(SUBSTITUTE(SUBSTITUTE(SUBSTITUTE(SUBSTITUTE(SUBSTITUTE(SUBSTITUTE(SUBSTITUTE(KENKO[[#This Row],[N.B.nota]]," ",""),"-",""),"(",""),")",""),".",""),",",""),"/",""),"""",""))</f>
        <v/>
      </c>
      <c r="W271" s="6" t="str">
        <f ca="1">IF(KENKO[[#This Row],[concat]]="","",MATCH(KENKO[[#This Row],[concat]],[4]!db[NB NOTA_C],0)+1)</f>
        <v/>
      </c>
      <c r="X271" s="4" t="str">
        <f ca="1">IF(KENKO[[#This Row],[N.B.nota]]="","",ADDRESS(ROW(KENKO[QB]),COLUMN(KENKO[QB]))&amp;":"&amp;ADDRESS(ROW(),COLUMN(KENKO[QB])))</f>
        <v/>
      </c>
      <c r="Y271" s="13" t="str">
        <f ca="1">IF(KENKO[[#This Row],[//]]="","",HYPERLINK("[..\\DB.xlsx]DB!e"&amp;KENKO[[#This Row],[stt]],"&gt;"))</f>
        <v/>
      </c>
      <c r="Z271" s="4" t="str">
        <f ca="1">IF(KENKO[[#This Row],[//]]="","",IF(KENKO[[#This Row],[ID NOTA]]="",Z270,KENKO[[#This Row],[ID NOTA]]))</f>
        <v/>
      </c>
    </row>
    <row r="272" spans="1:26" ht="15" customHeight="1" x14ac:dyDescent="0.25">
      <c r="A272" s="4"/>
      <c r="B272" s="6" t="str">
        <f>IF(KENKO[[#This Row],[N_ID]]="","",INDEX(Table1[ID],MATCH(KENKO[[#This Row],[N_ID]],Table1[N_ID],0)))</f>
        <v/>
      </c>
      <c r="C272" s="6" t="str">
        <f>IF(KENKO[[#This Row],[ID NOTA]]="","",HYPERLINK("[NOTA_.xlsx]NOTA!e"&amp;INDEX([2]!PAJAK[//],MATCH(KENKO[[#This Row],[ID NOTA]],[2]!PAJAK[ID],0)),"&gt;") )</f>
        <v/>
      </c>
      <c r="D272" s="6" t="str">
        <f>IF(KENKO[[#This Row],[ID NOTA]]="","",INDEX(Table1[QB],MATCH(KENKO[[#This Row],[ID NOTA]],Table1[ID],0)))</f>
        <v/>
      </c>
      <c r="E27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2" s="6"/>
      <c r="G272" s="3" t="str">
        <f>IF(KENKO[[#This Row],[ID NOTA]]="","",INDEX([2]!NOTA[TGL_H],MATCH(KENKO[[#This Row],[ID NOTA]],[2]!NOTA[ID],0)))</f>
        <v/>
      </c>
      <c r="H272" s="3" t="str">
        <f>IF(KENKO[[#This Row],[ID NOTA]]="","",INDEX([2]!NOTA[TGL.NOTA],MATCH(KENKO[[#This Row],[ID NOTA]],[2]!NOTA[ID],0)))</f>
        <v/>
      </c>
      <c r="I272" s="18" t="str">
        <f>IF(KENKO[[#This Row],[ID NOTA]]="","",INDEX([2]!NOTA[NO.NOTA],MATCH(KENKO[[#This Row],[ID NOTA]],[2]!NOTA[ID],0)))</f>
        <v/>
      </c>
      <c r="J272" s="4" t="str">
        <f ca="1">IF(KENKO[[#This Row],[//]]="","",INDEX([4]!db[NB PAJAK],KENKO[[#This Row],[stt]]-1))</f>
        <v/>
      </c>
      <c r="K272" s="6" t="str">
        <f>""</f>
        <v/>
      </c>
      <c r="L272" s="6" t="str">
        <f ca="1">IF(KENKO[[#This Row],[//]]="","",IF(INDEX([2]!NOTA[QTY],KENKO[//]-2)="",INDEX([2]!NOTA[C],KENKO[//]-2),INDEX([2]!NOTA[QTY],KENKO[//]-2)))</f>
        <v/>
      </c>
      <c r="M272" s="6" t="str">
        <f ca="1">IF(KENKO[[#This Row],[//]]="","",IF(INDEX([2]!NOTA[STN],KENKO[//]-2)="","CTN",INDEX([2]!NOTA[STN],KENKO[//]-2)))</f>
        <v/>
      </c>
      <c r="N272" s="5" t="str">
        <f ca="1">IF(KENKO[[#This Row],[//]]="","",IF(INDEX([2]!NOTA[HARGA/ CTN],KENKO[[#This Row],[//]]-2)="",INDEX([2]!NOTA[HARGA SATUAN],KENKO[//]-2),INDEX([2]!NOTA[HARGA/ CTN],KENKO[[#This Row],[//]]-2)))</f>
        <v/>
      </c>
      <c r="O272" s="7" t="str">
        <f ca="1">IF(KENKO[[#This Row],[//]]="","",IF(INDEX([2]!NOTA[DISC 2],KENKO[[#This Row],[//]]-2)=0,"",INDEX([2]!NOTA[DISC 2],KENKO[[#This Row],[//]]-2)))</f>
        <v/>
      </c>
      <c r="P272" s="7"/>
      <c r="Q27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2" s="4" t="str">
        <f ca="1">IF(KENKO[[#This Row],[//]]="","",INDEX([2]!NOTA[NAMA BARANG],KENKO[[#This Row],[//]]-2))</f>
        <v/>
      </c>
      <c r="V272" s="4" t="str">
        <f ca="1">LOWER(SUBSTITUTE(SUBSTITUTE(SUBSTITUTE(SUBSTITUTE(SUBSTITUTE(SUBSTITUTE(SUBSTITUTE(SUBSTITUTE(KENKO[[#This Row],[N.B.nota]]," ",""),"-",""),"(",""),")",""),".",""),",",""),"/",""),"""",""))</f>
        <v/>
      </c>
      <c r="W272" s="6" t="str">
        <f ca="1">IF(KENKO[[#This Row],[concat]]="","",MATCH(KENKO[[#This Row],[concat]],[4]!db[NB NOTA_C],0)+1)</f>
        <v/>
      </c>
      <c r="X272" s="4" t="str">
        <f ca="1">IF(KENKO[[#This Row],[N.B.nota]]="","",ADDRESS(ROW(KENKO[QB]),COLUMN(KENKO[QB]))&amp;":"&amp;ADDRESS(ROW(),COLUMN(KENKO[QB])))</f>
        <v/>
      </c>
      <c r="Y272" s="13" t="str">
        <f ca="1">IF(KENKO[[#This Row],[//]]="","",HYPERLINK("[..\\DB.xlsx]DB!e"&amp;KENKO[[#This Row],[stt]],"&gt;"))</f>
        <v/>
      </c>
      <c r="Z272" s="4" t="str">
        <f ca="1">IF(KENKO[[#This Row],[//]]="","",IF(KENKO[[#This Row],[ID NOTA]]="",Z271,KENKO[[#This Row],[ID NOTA]]))</f>
        <v/>
      </c>
    </row>
    <row r="273" spans="1:26" ht="15" customHeight="1" x14ac:dyDescent="0.25">
      <c r="A273" s="4"/>
      <c r="B273" s="6" t="str">
        <f>IF(KENKO[[#This Row],[N_ID]]="","",INDEX(Table1[ID],MATCH(KENKO[[#This Row],[N_ID]],Table1[N_ID],0)))</f>
        <v/>
      </c>
      <c r="C273" s="6" t="str">
        <f>IF(KENKO[[#This Row],[ID NOTA]]="","",HYPERLINK("[NOTA_.xlsx]NOTA!e"&amp;INDEX([2]!PAJAK[//],MATCH(KENKO[[#This Row],[ID NOTA]],[2]!PAJAK[ID],0)),"&gt;") )</f>
        <v/>
      </c>
      <c r="D273" s="6" t="str">
        <f>IF(KENKO[[#This Row],[ID NOTA]]="","",INDEX(Table1[QB],MATCH(KENKO[[#This Row],[ID NOTA]],Table1[ID],0)))</f>
        <v/>
      </c>
      <c r="E27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3" s="6"/>
      <c r="G273" s="3" t="str">
        <f>IF(KENKO[[#This Row],[ID NOTA]]="","",INDEX([2]!NOTA[TGL_H],MATCH(KENKO[[#This Row],[ID NOTA]],[2]!NOTA[ID],0)))</f>
        <v/>
      </c>
      <c r="H273" s="3" t="str">
        <f>IF(KENKO[[#This Row],[ID NOTA]]="","",INDEX([2]!NOTA[TGL.NOTA],MATCH(KENKO[[#This Row],[ID NOTA]],[2]!NOTA[ID],0)))</f>
        <v/>
      </c>
      <c r="I273" s="18" t="str">
        <f>IF(KENKO[[#This Row],[ID NOTA]]="","",INDEX([2]!NOTA[NO.NOTA],MATCH(KENKO[[#This Row],[ID NOTA]],[2]!NOTA[ID],0)))</f>
        <v/>
      </c>
      <c r="J273" s="4" t="str">
        <f ca="1">IF(KENKO[[#This Row],[//]]="","",INDEX([4]!db[NB PAJAK],KENKO[[#This Row],[stt]]-1))</f>
        <v/>
      </c>
      <c r="K273" s="6" t="str">
        <f>""</f>
        <v/>
      </c>
      <c r="L273" s="6" t="str">
        <f ca="1">IF(KENKO[[#This Row],[//]]="","",IF(INDEX([2]!NOTA[QTY],KENKO[//]-2)="",INDEX([2]!NOTA[C],KENKO[//]-2),INDEX([2]!NOTA[QTY],KENKO[//]-2)))</f>
        <v/>
      </c>
      <c r="M273" s="6" t="str">
        <f ca="1">IF(KENKO[[#This Row],[//]]="","",IF(INDEX([2]!NOTA[STN],KENKO[//]-2)="","CTN",INDEX([2]!NOTA[STN],KENKO[//]-2)))</f>
        <v/>
      </c>
      <c r="N273" s="5" t="str">
        <f ca="1">IF(KENKO[[#This Row],[//]]="","",IF(INDEX([2]!NOTA[HARGA/ CTN],KENKO[[#This Row],[//]]-2)="",INDEX([2]!NOTA[HARGA SATUAN],KENKO[//]-2),INDEX([2]!NOTA[HARGA/ CTN],KENKO[[#This Row],[//]]-2)))</f>
        <v/>
      </c>
      <c r="O273" s="7" t="str">
        <f ca="1">IF(KENKO[[#This Row],[//]]="","",IF(INDEX([2]!NOTA[DISC 2],KENKO[[#This Row],[//]]-2)=0,"",INDEX([2]!NOTA[DISC 2],KENKO[[#This Row],[//]]-2)))</f>
        <v/>
      </c>
      <c r="P273" s="7"/>
      <c r="Q27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3" s="4" t="str">
        <f ca="1">IF(KENKO[[#This Row],[//]]="","",INDEX([2]!NOTA[NAMA BARANG],KENKO[[#This Row],[//]]-2))</f>
        <v/>
      </c>
      <c r="V273" s="4" t="str">
        <f ca="1">LOWER(SUBSTITUTE(SUBSTITUTE(SUBSTITUTE(SUBSTITUTE(SUBSTITUTE(SUBSTITUTE(SUBSTITUTE(SUBSTITUTE(KENKO[[#This Row],[N.B.nota]]," ",""),"-",""),"(",""),")",""),".",""),",",""),"/",""),"""",""))</f>
        <v/>
      </c>
      <c r="W273" s="6" t="str">
        <f ca="1">IF(KENKO[[#This Row],[concat]]="","",MATCH(KENKO[[#This Row],[concat]],[4]!db[NB NOTA_C],0)+1)</f>
        <v/>
      </c>
      <c r="X273" s="4" t="str">
        <f ca="1">IF(KENKO[[#This Row],[N.B.nota]]="","",ADDRESS(ROW(KENKO[QB]),COLUMN(KENKO[QB]))&amp;":"&amp;ADDRESS(ROW(),COLUMN(KENKO[QB])))</f>
        <v/>
      </c>
      <c r="Y273" s="13" t="str">
        <f ca="1">IF(KENKO[[#This Row],[//]]="","",HYPERLINK("[..\\DB.xlsx]DB!e"&amp;KENKO[[#This Row],[stt]],"&gt;"))</f>
        <v/>
      </c>
      <c r="Z273" s="4" t="str">
        <f ca="1">IF(KENKO[[#This Row],[//]]="","",IF(KENKO[[#This Row],[ID NOTA]]="",Z272,KENKO[[#This Row],[ID NOTA]]))</f>
        <v/>
      </c>
    </row>
    <row r="274" spans="1:26" ht="15" customHeight="1" x14ac:dyDescent="0.25">
      <c r="A274" s="4"/>
      <c r="B274" s="6" t="str">
        <f>IF(KENKO[[#This Row],[N_ID]]="","",INDEX(Table1[ID],MATCH(KENKO[[#This Row],[N_ID]],Table1[N_ID],0)))</f>
        <v/>
      </c>
      <c r="C274" s="6" t="str">
        <f>IF(KENKO[[#This Row],[ID NOTA]]="","",HYPERLINK("[NOTA_.xlsx]NOTA!e"&amp;INDEX([2]!PAJAK[//],MATCH(KENKO[[#This Row],[ID NOTA]],[2]!PAJAK[ID],0)),"&gt;") )</f>
        <v/>
      </c>
      <c r="D274" s="6" t="str">
        <f>IF(KENKO[[#This Row],[ID NOTA]]="","",INDEX(Table1[QB],MATCH(KENKO[[#This Row],[ID NOTA]],Table1[ID],0)))</f>
        <v/>
      </c>
      <c r="E27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4" s="6"/>
      <c r="G274" s="3" t="str">
        <f>IF(KENKO[[#This Row],[ID NOTA]]="","",INDEX([2]!NOTA[TGL_H],MATCH(KENKO[[#This Row],[ID NOTA]],[2]!NOTA[ID],0)))</f>
        <v/>
      </c>
      <c r="H274" s="3" t="str">
        <f>IF(KENKO[[#This Row],[ID NOTA]]="","",INDEX([2]!NOTA[TGL.NOTA],MATCH(KENKO[[#This Row],[ID NOTA]],[2]!NOTA[ID],0)))</f>
        <v/>
      </c>
      <c r="I274" s="18" t="str">
        <f>IF(KENKO[[#This Row],[ID NOTA]]="","",INDEX([2]!NOTA[NO.NOTA],MATCH(KENKO[[#This Row],[ID NOTA]],[2]!NOTA[ID],0)))</f>
        <v/>
      </c>
      <c r="J274" s="4" t="str">
        <f ca="1">IF(KENKO[[#This Row],[//]]="","",INDEX([4]!db[NB PAJAK],KENKO[[#This Row],[stt]]-1))</f>
        <v/>
      </c>
      <c r="K274" s="6" t="str">
        <f>""</f>
        <v/>
      </c>
      <c r="L274" s="6" t="str">
        <f ca="1">IF(KENKO[[#This Row],[//]]="","",IF(INDEX([2]!NOTA[QTY],KENKO[//]-2)="",INDEX([2]!NOTA[C],KENKO[//]-2),INDEX([2]!NOTA[QTY],KENKO[//]-2)))</f>
        <v/>
      </c>
      <c r="M274" s="6" t="str">
        <f ca="1">IF(KENKO[[#This Row],[//]]="","",IF(INDEX([2]!NOTA[STN],KENKO[//]-2)="","CTN",INDEX([2]!NOTA[STN],KENKO[//]-2)))</f>
        <v/>
      </c>
      <c r="N274" s="5" t="str">
        <f ca="1">IF(KENKO[[#This Row],[//]]="","",IF(INDEX([2]!NOTA[HARGA/ CTN],KENKO[[#This Row],[//]]-2)="",INDEX([2]!NOTA[HARGA SATUAN],KENKO[//]-2),INDEX([2]!NOTA[HARGA/ CTN],KENKO[[#This Row],[//]]-2)))</f>
        <v/>
      </c>
      <c r="O274" s="7" t="str">
        <f ca="1">IF(KENKO[[#This Row],[//]]="","",IF(INDEX([2]!NOTA[DISC 2],KENKO[[#This Row],[//]]-2)=0,"",INDEX([2]!NOTA[DISC 2],KENKO[[#This Row],[//]]-2)))</f>
        <v/>
      </c>
      <c r="P274" s="7"/>
      <c r="Q27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4" s="4" t="str">
        <f ca="1">IF(KENKO[[#This Row],[//]]="","",INDEX([2]!NOTA[NAMA BARANG],KENKO[[#This Row],[//]]-2))</f>
        <v/>
      </c>
      <c r="V274" s="4" t="str">
        <f ca="1">LOWER(SUBSTITUTE(SUBSTITUTE(SUBSTITUTE(SUBSTITUTE(SUBSTITUTE(SUBSTITUTE(SUBSTITUTE(SUBSTITUTE(KENKO[[#This Row],[N.B.nota]]," ",""),"-",""),"(",""),")",""),".",""),",",""),"/",""),"""",""))</f>
        <v/>
      </c>
      <c r="W274" s="6" t="str">
        <f ca="1">IF(KENKO[[#This Row],[concat]]="","",MATCH(KENKO[[#This Row],[concat]],[4]!db[NB NOTA_C],0)+1)</f>
        <v/>
      </c>
      <c r="X274" s="4" t="str">
        <f ca="1">IF(KENKO[[#This Row],[N.B.nota]]="","",ADDRESS(ROW(KENKO[QB]),COLUMN(KENKO[QB]))&amp;":"&amp;ADDRESS(ROW(),COLUMN(KENKO[QB])))</f>
        <v/>
      </c>
      <c r="Y274" s="13" t="str">
        <f ca="1">IF(KENKO[[#This Row],[//]]="","",HYPERLINK("[..\\DB.xlsx]DB!e"&amp;KENKO[[#This Row],[stt]],"&gt;"))</f>
        <v/>
      </c>
      <c r="Z274" s="4" t="str">
        <f ca="1">IF(KENKO[[#This Row],[//]]="","",IF(KENKO[[#This Row],[ID NOTA]]="",Z273,KENKO[[#This Row],[ID NOTA]]))</f>
        <v/>
      </c>
    </row>
    <row r="275" spans="1:26" ht="15" customHeight="1" x14ac:dyDescent="0.25">
      <c r="A275" s="4"/>
      <c r="B275" s="6" t="str">
        <f>IF(KENKO[[#This Row],[N_ID]]="","",INDEX(Table1[ID],MATCH(KENKO[[#This Row],[N_ID]],Table1[N_ID],0)))</f>
        <v/>
      </c>
      <c r="C275" s="6" t="str">
        <f>IF(KENKO[[#This Row],[ID NOTA]]="","",HYPERLINK("[NOTA_.xlsx]NOTA!e"&amp;INDEX([2]!PAJAK[//],MATCH(KENKO[[#This Row],[ID NOTA]],[2]!PAJAK[ID],0)),"&gt;") )</f>
        <v/>
      </c>
      <c r="D275" s="6" t="str">
        <f>IF(KENKO[[#This Row],[ID NOTA]]="","",INDEX(Table1[QB],MATCH(KENKO[[#This Row],[ID NOTA]],Table1[ID],0)))</f>
        <v/>
      </c>
      <c r="E2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5" s="6"/>
      <c r="G275" s="3" t="str">
        <f>IF(KENKO[[#This Row],[ID NOTA]]="","",INDEX([2]!NOTA[TGL_H],MATCH(KENKO[[#This Row],[ID NOTA]],[2]!NOTA[ID],0)))</f>
        <v/>
      </c>
      <c r="H275" s="3" t="str">
        <f>IF(KENKO[[#This Row],[ID NOTA]]="","",INDEX([2]!NOTA[TGL.NOTA],MATCH(KENKO[[#This Row],[ID NOTA]],[2]!NOTA[ID],0)))</f>
        <v/>
      </c>
      <c r="I275" s="18" t="str">
        <f>IF(KENKO[[#This Row],[ID NOTA]]="","",INDEX([2]!NOTA[NO.NOTA],MATCH(KENKO[[#This Row],[ID NOTA]],[2]!NOTA[ID],0)))</f>
        <v/>
      </c>
      <c r="J275" s="4" t="str">
        <f ca="1">IF(KENKO[[#This Row],[//]]="","",INDEX([4]!db[NB PAJAK],KENKO[[#This Row],[stt]]-1))</f>
        <v/>
      </c>
      <c r="K275" s="6" t="str">
        <f>""</f>
        <v/>
      </c>
      <c r="L275" s="6" t="str">
        <f ca="1">IF(KENKO[[#This Row],[//]]="","",IF(INDEX([2]!NOTA[QTY],KENKO[//]-2)="",INDEX([2]!NOTA[C],KENKO[//]-2),INDEX([2]!NOTA[QTY],KENKO[//]-2)))</f>
        <v/>
      </c>
      <c r="M275" s="6" t="str">
        <f ca="1">IF(KENKO[[#This Row],[//]]="","",IF(INDEX([2]!NOTA[STN],KENKO[//]-2)="","CTN",INDEX([2]!NOTA[STN],KENKO[//]-2)))</f>
        <v/>
      </c>
      <c r="N275" s="5" t="str">
        <f ca="1">IF(KENKO[[#This Row],[//]]="","",IF(INDEX([2]!NOTA[HARGA/ CTN],KENKO[[#This Row],[//]]-2)="",INDEX([2]!NOTA[HARGA SATUAN],KENKO[//]-2),INDEX([2]!NOTA[HARGA/ CTN],KENKO[[#This Row],[//]]-2)))</f>
        <v/>
      </c>
      <c r="O275" s="7" t="str">
        <f ca="1">IF(KENKO[[#This Row],[//]]="","",IF(INDEX([2]!NOTA[DISC 2],KENKO[[#This Row],[//]]-2)=0,"",INDEX([2]!NOTA[DISC 2],KENKO[[#This Row],[//]]-2)))</f>
        <v/>
      </c>
      <c r="P275" s="7"/>
      <c r="Q27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5" s="4" t="str">
        <f ca="1">IF(KENKO[[#This Row],[//]]="","",INDEX([2]!NOTA[NAMA BARANG],KENKO[[#This Row],[//]]-2))</f>
        <v/>
      </c>
      <c r="V275" s="4" t="str">
        <f ca="1">LOWER(SUBSTITUTE(SUBSTITUTE(SUBSTITUTE(SUBSTITUTE(SUBSTITUTE(SUBSTITUTE(SUBSTITUTE(SUBSTITUTE(KENKO[[#This Row],[N.B.nota]]," ",""),"-",""),"(",""),")",""),".",""),",",""),"/",""),"""",""))</f>
        <v/>
      </c>
      <c r="W275" s="6" t="str">
        <f ca="1">IF(KENKO[[#This Row],[concat]]="","",MATCH(KENKO[[#This Row],[concat]],[4]!db[NB NOTA_C],0)+1)</f>
        <v/>
      </c>
      <c r="X275" s="4" t="str">
        <f ca="1">IF(KENKO[[#This Row],[N.B.nota]]="","",ADDRESS(ROW(KENKO[QB]),COLUMN(KENKO[QB]))&amp;":"&amp;ADDRESS(ROW(),COLUMN(KENKO[QB])))</f>
        <v/>
      </c>
      <c r="Y275" s="13" t="str">
        <f ca="1">IF(KENKO[[#This Row],[//]]="","",HYPERLINK("[..\\DB.xlsx]DB!e"&amp;KENKO[[#This Row],[stt]],"&gt;"))</f>
        <v/>
      </c>
      <c r="Z275" s="4" t="str">
        <f ca="1">IF(KENKO[[#This Row],[//]]="","",IF(KENKO[[#This Row],[ID NOTA]]="",Z274,KENKO[[#This Row],[ID NOTA]]))</f>
        <v/>
      </c>
    </row>
    <row r="276" spans="1:26" ht="15" customHeight="1" x14ac:dyDescent="0.25">
      <c r="A276" s="4"/>
      <c r="B276" s="6" t="str">
        <f>IF(KENKO[[#This Row],[N_ID]]="","",INDEX(Table1[ID],MATCH(KENKO[[#This Row],[N_ID]],Table1[N_ID],0)))</f>
        <v/>
      </c>
      <c r="C276" s="6" t="str">
        <f>IF(KENKO[[#This Row],[ID NOTA]]="","",HYPERLINK("[NOTA_.xlsx]NOTA!e"&amp;INDEX([2]!PAJAK[//],MATCH(KENKO[[#This Row],[ID NOTA]],[2]!PAJAK[ID],0)),"&gt;") )</f>
        <v/>
      </c>
      <c r="D276" s="6" t="str">
        <f>IF(KENKO[[#This Row],[ID NOTA]]="","",INDEX(Table1[QB],MATCH(KENKO[[#This Row],[ID NOTA]],Table1[ID],0)))</f>
        <v/>
      </c>
      <c r="E2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6" s="6"/>
      <c r="G276" s="3" t="str">
        <f>IF(KENKO[[#This Row],[ID NOTA]]="","",INDEX([2]!NOTA[TGL_H],MATCH(KENKO[[#This Row],[ID NOTA]],[2]!NOTA[ID],0)))</f>
        <v/>
      </c>
      <c r="H276" s="3" t="str">
        <f>IF(KENKO[[#This Row],[ID NOTA]]="","",INDEX([2]!NOTA[TGL.NOTA],MATCH(KENKO[[#This Row],[ID NOTA]],[2]!NOTA[ID],0)))</f>
        <v/>
      </c>
      <c r="I276" s="18" t="str">
        <f>IF(KENKO[[#This Row],[ID NOTA]]="","",INDEX([2]!NOTA[NO.NOTA],MATCH(KENKO[[#This Row],[ID NOTA]],[2]!NOTA[ID],0)))</f>
        <v/>
      </c>
      <c r="J276" s="4" t="str">
        <f ca="1">IF(KENKO[[#This Row],[//]]="","",INDEX([4]!db[NB PAJAK],KENKO[[#This Row],[stt]]-1))</f>
        <v/>
      </c>
      <c r="K276" s="6" t="str">
        <f>""</f>
        <v/>
      </c>
      <c r="L276" s="6" t="str">
        <f ca="1">IF(KENKO[[#This Row],[//]]="","",IF(INDEX([2]!NOTA[QTY],KENKO[//]-2)="",INDEX([2]!NOTA[C],KENKO[//]-2),INDEX([2]!NOTA[QTY],KENKO[//]-2)))</f>
        <v/>
      </c>
      <c r="M276" s="6" t="str">
        <f ca="1">IF(KENKO[[#This Row],[//]]="","",IF(INDEX([2]!NOTA[STN],KENKO[//]-2)="","CTN",INDEX([2]!NOTA[STN],KENKO[//]-2)))</f>
        <v/>
      </c>
      <c r="N276" s="5" t="str">
        <f ca="1">IF(KENKO[[#This Row],[//]]="","",IF(INDEX([2]!NOTA[HARGA/ CTN],KENKO[[#This Row],[//]]-2)="",INDEX([2]!NOTA[HARGA SATUAN],KENKO[//]-2),INDEX([2]!NOTA[HARGA/ CTN],KENKO[[#This Row],[//]]-2)))</f>
        <v/>
      </c>
      <c r="O276" s="7" t="str">
        <f ca="1">IF(KENKO[[#This Row],[//]]="","",IF(INDEX([2]!NOTA[DISC 2],KENKO[[#This Row],[//]]-2)=0,"",INDEX([2]!NOTA[DISC 2],KENKO[[#This Row],[//]]-2)))</f>
        <v/>
      </c>
      <c r="P276" s="7"/>
      <c r="Q27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6" s="4" t="str">
        <f ca="1">IF(KENKO[[#This Row],[//]]="","",INDEX([2]!NOTA[NAMA BARANG],KENKO[[#This Row],[//]]-2))</f>
        <v/>
      </c>
      <c r="V276" s="4" t="str">
        <f ca="1">LOWER(SUBSTITUTE(SUBSTITUTE(SUBSTITUTE(SUBSTITUTE(SUBSTITUTE(SUBSTITUTE(SUBSTITUTE(SUBSTITUTE(KENKO[[#This Row],[N.B.nota]]," ",""),"-",""),"(",""),")",""),".",""),",",""),"/",""),"""",""))</f>
        <v/>
      </c>
      <c r="W276" s="6" t="str">
        <f ca="1">IF(KENKO[[#This Row],[concat]]="","",MATCH(KENKO[[#This Row],[concat]],[4]!db[NB NOTA_C],0)+1)</f>
        <v/>
      </c>
      <c r="X276" s="4" t="str">
        <f ca="1">IF(KENKO[[#This Row],[N.B.nota]]="","",ADDRESS(ROW(KENKO[QB]),COLUMN(KENKO[QB]))&amp;":"&amp;ADDRESS(ROW(),COLUMN(KENKO[QB])))</f>
        <v/>
      </c>
      <c r="Y276" s="13" t="str">
        <f ca="1">IF(KENKO[[#This Row],[//]]="","",HYPERLINK("[..\\DB.xlsx]DB!e"&amp;KENKO[[#This Row],[stt]],"&gt;"))</f>
        <v/>
      </c>
      <c r="Z276" s="4" t="str">
        <f ca="1">IF(KENKO[[#This Row],[//]]="","",IF(KENKO[[#This Row],[ID NOTA]]="",Z275,KENKO[[#This Row],[ID NOTA]]))</f>
        <v/>
      </c>
    </row>
    <row r="277" spans="1:26" ht="15" customHeight="1" x14ac:dyDescent="0.25">
      <c r="A277" s="4"/>
      <c r="B277" s="6" t="str">
        <f>IF(KENKO[[#This Row],[N_ID]]="","",INDEX(Table1[ID],MATCH(KENKO[[#This Row],[N_ID]],Table1[N_ID],0)))</f>
        <v/>
      </c>
      <c r="C277" s="6" t="str">
        <f>IF(KENKO[[#This Row],[ID NOTA]]="","",HYPERLINK("[NOTA_.xlsx]NOTA!e"&amp;INDEX([2]!PAJAK[//],MATCH(KENKO[[#This Row],[ID NOTA]],[2]!PAJAK[ID],0)),"&gt;") )</f>
        <v/>
      </c>
      <c r="D277" s="6" t="str">
        <f>IF(KENKO[[#This Row],[ID NOTA]]="","",INDEX(Table1[QB],MATCH(KENKO[[#This Row],[ID NOTA]],Table1[ID],0)))</f>
        <v/>
      </c>
      <c r="E2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7" s="6"/>
      <c r="G277" s="3" t="str">
        <f>IF(KENKO[[#This Row],[ID NOTA]]="","",INDEX([2]!NOTA[TGL_H],MATCH(KENKO[[#This Row],[ID NOTA]],[2]!NOTA[ID],0)))</f>
        <v/>
      </c>
      <c r="H277" s="3" t="str">
        <f>IF(KENKO[[#This Row],[ID NOTA]]="","",INDEX([2]!NOTA[TGL.NOTA],MATCH(KENKO[[#This Row],[ID NOTA]],[2]!NOTA[ID],0)))</f>
        <v/>
      </c>
      <c r="I277" s="18" t="str">
        <f>IF(KENKO[[#This Row],[ID NOTA]]="","",INDEX([2]!NOTA[NO.NOTA],MATCH(KENKO[[#This Row],[ID NOTA]],[2]!NOTA[ID],0)))</f>
        <v/>
      </c>
      <c r="J277" s="4" t="str">
        <f ca="1">IF(KENKO[[#This Row],[//]]="","",INDEX([4]!db[NB PAJAK],KENKO[[#This Row],[stt]]-1))</f>
        <v/>
      </c>
      <c r="K277" s="6" t="str">
        <f>""</f>
        <v/>
      </c>
      <c r="L277" s="6" t="str">
        <f ca="1">IF(KENKO[[#This Row],[//]]="","",IF(INDEX([2]!NOTA[QTY],KENKO[//]-2)="",INDEX([2]!NOTA[C],KENKO[//]-2),INDEX([2]!NOTA[QTY],KENKO[//]-2)))</f>
        <v/>
      </c>
      <c r="M277" s="6" t="str">
        <f ca="1">IF(KENKO[[#This Row],[//]]="","",IF(INDEX([2]!NOTA[STN],KENKO[//]-2)="","CTN",INDEX([2]!NOTA[STN],KENKO[//]-2)))</f>
        <v/>
      </c>
      <c r="N277" s="5" t="str">
        <f ca="1">IF(KENKO[[#This Row],[//]]="","",IF(INDEX([2]!NOTA[HARGA/ CTN],KENKO[[#This Row],[//]]-2)="",INDEX([2]!NOTA[HARGA SATUAN],KENKO[//]-2),INDEX([2]!NOTA[HARGA/ CTN],KENKO[[#This Row],[//]]-2)))</f>
        <v/>
      </c>
      <c r="O277" s="7" t="str">
        <f ca="1">IF(KENKO[[#This Row],[//]]="","",IF(INDEX([2]!NOTA[DISC 2],KENKO[[#This Row],[//]]-2)=0,"",INDEX([2]!NOTA[DISC 2],KENKO[[#This Row],[//]]-2)))</f>
        <v/>
      </c>
      <c r="P277" s="7"/>
      <c r="Q27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7" s="4" t="str">
        <f ca="1">IF(KENKO[[#This Row],[//]]="","",INDEX([2]!NOTA[NAMA BARANG],KENKO[[#This Row],[//]]-2))</f>
        <v/>
      </c>
      <c r="V277" s="4" t="str">
        <f ca="1">LOWER(SUBSTITUTE(SUBSTITUTE(SUBSTITUTE(SUBSTITUTE(SUBSTITUTE(SUBSTITUTE(SUBSTITUTE(SUBSTITUTE(KENKO[[#This Row],[N.B.nota]]," ",""),"-",""),"(",""),")",""),".",""),",",""),"/",""),"""",""))</f>
        <v/>
      </c>
      <c r="W277" s="6" t="str">
        <f ca="1">IF(KENKO[[#This Row],[concat]]="","",MATCH(KENKO[[#This Row],[concat]],[4]!db[NB NOTA_C],0)+1)</f>
        <v/>
      </c>
      <c r="X277" s="4" t="str">
        <f ca="1">IF(KENKO[[#This Row],[N.B.nota]]="","",ADDRESS(ROW(KENKO[QB]),COLUMN(KENKO[QB]))&amp;":"&amp;ADDRESS(ROW(),COLUMN(KENKO[QB])))</f>
        <v/>
      </c>
      <c r="Y277" s="13" t="str">
        <f ca="1">IF(KENKO[[#This Row],[//]]="","",HYPERLINK("[..\\DB.xlsx]DB!e"&amp;KENKO[[#This Row],[stt]],"&gt;"))</f>
        <v/>
      </c>
      <c r="Z277" s="4" t="str">
        <f ca="1">IF(KENKO[[#This Row],[//]]="","",IF(KENKO[[#This Row],[ID NOTA]]="",Z276,KENKO[[#This Row],[ID NOTA]]))</f>
        <v/>
      </c>
    </row>
    <row r="278" spans="1:26" ht="15" customHeight="1" x14ac:dyDescent="0.25">
      <c r="A278" s="4"/>
      <c r="B278" s="6" t="str">
        <f>IF(KENKO[[#This Row],[N_ID]]="","",INDEX(Table1[ID],MATCH(KENKO[[#This Row],[N_ID]],Table1[N_ID],0)))</f>
        <v/>
      </c>
      <c r="C278" s="6" t="str">
        <f>IF(KENKO[[#This Row],[ID NOTA]]="","",HYPERLINK("[NOTA_.xlsx]NOTA!e"&amp;INDEX([2]!PAJAK[//],MATCH(KENKO[[#This Row],[ID NOTA]],[2]!PAJAK[ID],0)),"&gt;") )</f>
        <v/>
      </c>
      <c r="D278" s="6" t="str">
        <f>IF(KENKO[[#This Row],[ID NOTA]]="","",INDEX(Table1[QB],MATCH(KENKO[[#This Row],[ID NOTA]],Table1[ID],0)))</f>
        <v/>
      </c>
      <c r="E2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8" s="6"/>
      <c r="G278" s="3" t="str">
        <f>IF(KENKO[[#This Row],[ID NOTA]]="","",INDEX([2]!NOTA[TGL_H],MATCH(KENKO[[#This Row],[ID NOTA]],[2]!NOTA[ID],0)))</f>
        <v/>
      </c>
      <c r="H278" s="3" t="str">
        <f>IF(KENKO[[#This Row],[ID NOTA]]="","",INDEX([2]!NOTA[TGL.NOTA],MATCH(KENKO[[#This Row],[ID NOTA]],[2]!NOTA[ID],0)))</f>
        <v/>
      </c>
      <c r="I278" s="18" t="str">
        <f>IF(KENKO[[#This Row],[ID NOTA]]="","",INDEX([2]!NOTA[NO.NOTA],MATCH(KENKO[[#This Row],[ID NOTA]],[2]!NOTA[ID],0)))</f>
        <v/>
      </c>
      <c r="J278" s="4" t="str">
        <f ca="1">IF(KENKO[[#This Row],[//]]="","",INDEX([4]!db[NB PAJAK],KENKO[[#This Row],[stt]]-1))</f>
        <v/>
      </c>
      <c r="K278" s="6" t="str">
        <f>""</f>
        <v/>
      </c>
      <c r="L278" s="6" t="str">
        <f ca="1">IF(KENKO[[#This Row],[//]]="","",IF(INDEX([2]!NOTA[QTY],KENKO[//]-2)="",INDEX([2]!NOTA[C],KENKO[//]-2),INDEX([2]!NOTA[QTY],KENKO[//]-2)))</f>
        <v/>
      </c>
      <c r="M278" s="6" t="str">
        <f ca="1">IF(KENKO[[#This Row],[//]]="","",IF(INDEX([2]!NOTA[STN],KENKO[//]-2)="","CTN",INDEX([2]!NOTA[STN],KENKO[//]-2)))</f>
        <v/>
      </c>
      <c r="N278" s="5" t="str">
        <f ca="1">IF(KENKO[[#This Row],[//]]="","",IF(INDEX([2]!NOTA[HARGA/ CTN],KENKO[[#This Row],[//]]-2)="",INDEX([2]!NOTA[HARGA SATUAN],KENKO[//]-2),INDEX([2]!NOTA[HARGA/ CTN],KENKO[[#This Row],[//]]-2)))</f>
        <v/>
      </c>
      <c r="O278" s="7" t="str">
        <f ca="1">IF(KENKO[[#This Row],[//]]="","",IF(INDEX([2]!NOTA[DISC 2],KENKO[[#This Row],[//]]-2)=0,"",INDEX([2]!NOTA[DISC 2],KENKO[[#This Row],[//]]-2)))</f>
        <v/>
      </c>
      <c r="P278" s="7"/>
      <c r="Q27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8" s="4" t="str">
        <f ca="1">IF(KENKO[[#This Row],[//]]="","",INDEX([2]!NOTA[NAMA BARANG],KENKO[[#This Row],[//]]-2))</f>
        <v/>
      </c>
      <c r="V278" s="4" t="str">
        <f ca="1">LOWER(SUBSTITUTE(SUBSTITUTE(SUBSTITUTE(SUBSTITUTE(SUBSTITUTE(SUBSTITUTE(SUBSTITUTE(SUBSTITUTE(KENKO[[#This Row],[N.B.nota]]," ",""),"-",""),"(",""),")",""),".",""),",",""),"/",""),"""",""))</f>
        <v/>
      </c>
      <c r="W278" s="6" t="str">
        <f ca="1">IF(KENKO[[#This Row],[concat]]="","",MATCH(KENKO[[#This Row],[concat]],[4]!db[NB NOTA_C],0)+1)</f>
        <v/>
      </c>
      <c r="X278" s="4" t="str">
        <f ca="1">IF(KENKO[[#This Row],[N.B.nota]]="","",ADDRESS(ROW(KENKO[QB]),COLUMN(KENKO[QB]))&amp;":"&amp;ADDRESS(ROW(),COLUMN(KENKO[QB])))</f>
        <v/>
      </c>
      <c r="Y278" s="13" t="str">
        <f ca="1">IF(KENKO[[#This Row],[//]]="","",HYPERLINK("[..\\DB.xlsx]DB!e"&amp;KENKO[[#This Row],[stt]],"&gt;"))</f>
        <v/>
      </c>
      <c r="Z278" s="4" t="str">
        <f ca="1">IF(KENKO[[#This Row],[//]]="","",IF(KENKO[[#This Row],[ID NOTA]]="",Z277,KENKO[[#This Row],[ID NOTA]]))</f>
        <v/>
      </c>
    </row>
    <row r="279" spans="1:26" ht="15" customHeight="1" x14ac:dyDescent="0.25">
      <c r="A279" s="4"/>
      <c r="B279" s="6" t="str">
        <f>IF(KENKO[[#This Row],[N_ID]]="","",INDEX(Table1[ID],MATCH(KENKO[[#This Row],[N_ID]],Table1[N_ID],0)))</f>
        <v/>
      </c>
      <c r="C279" s="6" t="str">
        <f>IF(KENKO[[#This Row],[ID NOTA]]="","",HYPERLINK("[NOTA_.xlsx]NOTA!e"&amp;INDEX([2]!PAJAK[//],MATCH(KENKO[[#This Row],[ID NOTA]],[2]!PAJAK[ID],0)),"&gt;") )</f>
        <v/>
      </c>
      <c r="D279" s="6" t="str">
        <f>IF(KENKO[[#This Row],[ID NOTA]]="","",INDEX(Table1[QB],MATCH(KENKO[[#This Row],[ID NOTA]],Table1[ID],0)))</f>
        <v/>
      </c>
      <c r="E2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9" s="6"/>
      <c r="G279" s="3" t="str">
        <f>IF(KENKO[[#This Row],[ID NOTA]]="","",INDEX([2]!NOTA[TGL_H],MATCH(KENKO[[#This Row],[ID NOTA]],[2]!NOTA[ID],0)))</f>
        <v/>
      </c>
      <c r="H279" s="3" t="str">
        <f>IF(KENKO[[#This Row],[ID NOTA]]="","",INDEX([2]!NOTA[TGL.NOTA],MATCH(KENKO[[#This Row],[ID NOTA]],[2]!NOTA[ID],0)))</f>
        <v/>
      </c>
      <c r="I279" s="18" t="str">
        <f>IF(KENKO[[#This Row],[ID NOTA]]="","",INDEX([2]!NOTA[NO.NOTA],MATCH(KENKO[[#This Row],[ID NOTA]],[2]!NOTA[ID],0)))</f>
        <v/>
      </c>
      <c r="J279" s="4" t="str">
        <f ca="1">IF(KENKO[[#This Row],[//]]="","",INDEX([4]!db[NB PAJAK],KENKO[[#This Row],[stt]]-1))</f>
        <v/>
      </c>
      <c r="K279" s="6" t="str">
        <f>""</f>
        <v/>
      </c>
      <c r="L279" s="6" t="str">
        <f ca="1">IF(KENKO[[#This Row],[//]]="","",IF(INDEX([2]!NOTA[QTY],KENKO[//]-2)="",INDEX([2]!NOTA[C],KENKO[//]-2),INDEX([2]!NOTA[QTY],KENKO[//]-2)))</f>
        <v/>
      </c>
      <c r="M279" s="6" t="str">
        <f ca="1">IF(KENKO[[#This Row],[//]]="","",IF(INDEX([2]!NOTA[STN],KENKO[//]-2)="","CTN",INDEX([2]!NOTA[STN],KENKO[//]-2)))</f>
        <v/>
      </c>
      <c r="N279" s="5" t="str">
        <f ca="1">IF(KENKO[[#This Row],[//]]="","",IF(INDEX([2]!NOTA[HARGA/ CTN],KENKO[[#This Row],[//]]-2)="",INDEX([2]!NOTA[HARGA SATUAN],KENKO[//]-2),INDEX([2]!NOTA[HARGA/ CTN],KENKO[[#This Row],[//]]-2)))</f>
        <v/>
      </c>
      <c r="O279" s="7" t="str">
        <f ca="1">IF(KENKO[[#This Row],[//]]="","",IF(INDEX([2]!NOTA[DISC 2],KENKO[[#This Row],[//]]-2)=0,"",INDEX([2]!NOTA[DISC 2],KENKO[[#This Row],[//]]-2)))</f>
        <v/>
      </c>
      <c r="P279" s="7"/>
      <c r="Q27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9" s="4" t="str">
        <f ca="1">IF(KENKO[[#This Row],[//]]="","",INDEX([2]!NOTA[NAMA BARANG],KENKO[[#This Row],[//]]-2))</f>
        <v/>
      </c>
      <c r="V279" s="4" t="str">
        <f ca="1">LOWER(SUBSTITUTE(SUBSTITUTE(SUBSTITUTE(SUBSTITUTE(SUBSTITUTE(SUBSTITUTE(SUBSTITUTE(SUBSTITUTE(KENKO[[#This Row],[N.B.nota]]," ",""),"-",""),"(",""),")",""),".",""),",",""),"/",""),"""",""))</f>
        <v/>
      </c>
      <c r="W279" s="6" t="str">
        <f ca="1">IF(KENKO[[#This Row],[concat]]="","",MATCH(KENKO[[#This Row],[concat]],[4]!db[NB NOTA_C],0)+1)</f>
        <v/>
      </c>
      <c r="X279" s="4" t="str">
        <f ca="1">IF(KENKO[[#This Row],[N.B.nota]]="","",ADDRESS(ROW(KENKO[QB]),COLUMN(KENKO[QB]))&amp;":"&amp;ADDRESS(ROW(),COLUMN(KENKO[QB])))</f>
        <v/>
      </c>
      <c r="Y279" s="13" t="str">
        <f ca="1">IF(KENKO[[#This Row],[//]]="","",HYPERLINK("[..\\DB.xlsx]DB!e"&amp;KENKO[[#This Row],[stt]],"&gt;"))</f>
        <v/>
      </c>
      <c r="Z279" s="4" t="str">
        <f ca="1">IF(KENKO[[#This Row],[//]]="","",IF(KENKO[[#This Row],[ID NOTA]]="",Z278,KENKO[[#This Row],[ID NOTA]]))</f>
        <v/>
      </c>
    </row>
    <row r="280" spans="1:26" ht="15" customHeight="1" x14ac:dyDescent="0.25">
      <c r="A280" s="4"/>
      <c r="B280" s="6" t="str">
        <f>IF(KENKO[[#This Row],[N_ID]]="","",INDEX(Table1[ID],MATCH(KENKO[[#This Row],[N_ID]],Table1[N_ID],0)))</f>
        <v/>
      </c>
      <c r="C280" s="6" t="str">
        <f>IF(KENKO[[#This Row],[ID NOTA]]="","",HYPERLINK("[NOTA_.xlsx]NOTA!e"&amp;INDEX([2]!PAJAK[//],MATCH(KENKO[[#This Row],[ID NOTA]],[2]!PAJAK[ID],0)),"&gt;") )</f>
        <v/>
      </c>
      <c r="D280" s="6" t="str">
        <f>IF(KENKO[[#This Row],[ID NOTA]]="","",INDEX(Table1[QB],MATCH(KENKO[[#This Row],[ID NOTA]],Table1[ID],0)))</f>
        <v/>
      </c>
      <c r="E2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0" s="6"/>
      <c r="G280" s="3" t="str">
        <f>IF(KENKO[[#This Row],[ID NOTA]]="","",INDEX([2]!NOTA[TGL_H],MATCH(KENKO[[#This Row],[ID NOTA]],[2]!NOTA[ID],0)))</f>
        <v/>
      </c>
      <c r="H280" s="3" t="str">
        <f>IF(KENKO[[#This Row],[ID NOTA]]="","",INDEX([2]!NOTA[TGL.NOTA],MATCH(KENKO[[#This Row],[ID NOTA]],[2]!NOTA[ID],0)))</f>
        <v/>
      </c>
      <c r="I280" s="18" t="str">
        <f>IF(KENKO[[#This Row],[ID NOTA]]="","",INDEX([2]!NOTA[NO.NOTA],MATCH(KENKO[[#This Row],[ID NOTA]],[2]!NOTA[ID],0)))</f>
        <v/>
      </c>
      <c r="J280" s="4" t="str">
        <f ca="1">IF(KENKO[[#This Row],[//]]="","",INDEX([4]!db[NB PAJAK],KENKO[[#This Row],[stt]]-1))</f>
        <v/>
      </c>
      <c r="K280" s="6" t="str">
        <f>""</f>
        <v/>
      </c>
      <c r="L280" s="6" t="str">
        <f ca="1">IF(KENKO[[#This Row],[//]]="","",IF(INDEX([2]!NOTA[QTY],KENKO[//]-2)="",INDEX([2]!NOTA[C],KENKO[//]-2),INDEX([2]!NOTA[QTY],KENKO[//]-2)))</f>
        <v/>
      </c>
      <c r="M280" s="6" t="str">
        <f ca="1">IF(KENKO[[#This Row],[//]]="","",IF(INDEX([2]!NOTA[STN],KENKO[//]-2)="","CTN",INDEX([2]!NOTA[STN],KENKO[//]-2)))</f>
        <v/>
      </c>
      <c r="N280" s="5" t="str">
        <f ca="1">IF(KENKO[[#This Row],[//]]="","",IF(INDEX([2]!NOTA[HARGA/ CTN],KENKO[[#This Row],[//]]-2)="",INDEX([2]!NOTA[HARGA SATUAN],KENKO[//]-2),INDEX([2]!NOTA[HARGA/ CTN],KENKO[[#This Row],[//]]-2)))</f>
        <v/>
      </c>
      <c r="O280" s="7" t="str">
        <f ca="1">IF(KENKO[[#This Row],[//]]="","",IF(INDEX([2]!NOTA[DISC 2],KENKO[[#This Row],[//]]-2)=0,"",INDEX([2]!NOTA[DISC 2],KENKO[[#This Row],[//]]-2)))</f>
        <v/>
      </c>
      <c r="P280" s="7"/>
      <c r="Q2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0" s="4" t="str">
        <f ca="1">IF(KENKO[[#This Row],[//]]="","",INDEX([2]!NOTA[NAMA BARANG],KENKO[[#This Row],[//]]-2))</f>
        <v/>
      </c>
      <c r="V280" s="4" t="str">
        <f ca="1">LOWER(SUBSTITUTE(SUBSTITUTE(SUBSTITUTE(SUBSTITUTE(SUBSTITUTE(SUBSTITUTE(SUBSTITUTE(SUBSTITUTE(KENKO[[#This Row],[N.B.nota]]," ",""),"-",""),"(",""),")",""),".",""),",",""),"/",""),"""",""))</f>
        <v/>
      </c>
      <c r="W280" s="6" t="str">
        <f ca="1">IF(KENKO[[#This Row],[concat]]="","",MATCH(KENKO[[#This Row],[concat]],[4]!db[NB NOTA_C],0)+1)</f>
        <v/>
      </c>
      <c r="X280" s="4" t="str">
        <f ca="1">IF(KENKO[[#This Row],[N.B.nota]]="","",ADDRESS(ROW(KENKO[QB]),COLUMN(KENKO[QB]))&amp;":"&amp;ADDRESS(ROW(),COLUMN(KENKO[QB])))</f>
        <v/>
      </c>
      <c r="Y280" s="13" t="str">
        <f ca="1">IF(KENKO[[#This Row],[//]]="","",HYPERLINK("[..\\DB.xlsx]DB!e"&amp;KENKO[[#This Row],[stt]],"&gt;"))</f>
        <v/>
      </c>
      <c r="Z280" s="4" t="str">
        <f ca="1">IF(KENKO[[#This Row],[//]]="","",IF(KENKO[[#This Row],[ID NOTA]]="",Z279,KENKO[[#This Row],[ID NOTA]]))</f>
        <v/>
      </c>
    </row>
    <row r="281" spans="1:26" ht="15" customHeight="1" x14ac:dyDescent="0.25">
      <c r="A281" s="4"/>
      <c r="B281" s="6" t="str">
        <f>IF(KENKO[[#This Row],[N_ID]]="","",INDEX(Table1[ID],MATCH(KENKO[[#This Row],[N_ID]],Table1[N_ID],0)))</f>
        <v/>
      </c>
      <c r="C281" s="6" t="str">
        <f>IF(KENKO[[#This Row],[ID NOTA]]="","",HYPERLINK("[NOTA_.xlsx]NOTA!e"&amp;INDEX([2]!PAJAK[//],MATCH(KENKO[[#This Row],[ID NOTA]],[2]!PAJAK[ID],0)),"&gt;") )</f>
        <v/>
      </c>
      <c r="D281" s="6" t="str">
        <f>IF(KENKO[[#This Row],[ID NOTA]]="","",INDEX(Table1[QB],MATCH(KENKO[[#This Row],[ID NOTA]],Table1[ID],0)))</f>
        <v/>
      </c>
      <c r="E2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1" s="6"/>
      <c r="G281" s="3" t="str">
        <f>IF(KENKO[[#This Row],[ID NOTA]]="","",INDEX([2]!NOTA[TGL_H],MATCH(KENKO[[#This Row],[ID NOTA]],[2]!NOTA[ID],0)))</f>
        <v/>
      </c>
      <c r="H281" s="3" t="str">
        <f>IF(KENKO[[#This Row],[ID NOTA]]="","",INDEX([2]!NOTA[TGL.NOTA],MATCH(KENKO[[#This Row],[ID NOTA]],[2]!NOTA[ID],0)))</f>
        <v/>
      </c>
      <c r="I281" s="18" t="str">
        <f>IF(KENKO[[#This Row],[ID NOTA]]="","",INDEX([2]!NOTA[NO.NOTA],MATCH(KENKO[[#This Row],[ID NOTA]],[2]!NOTA[ID],0)))</f>
        <v/>
      </c>
      <c r="J281" s="4" t="str">
        <f ca="1">IF(KENKO[[#This Row],[//]]="","",INDEX([4]!db[NB PAJAK],KENKO[[#This Row],[stt]]-1))</f>
        <v/>
      </c>
      <c r="K281" s="6" t="str">
        <f>""</f>
        <v/>
      </c>
      <c r="L281" s="6" t="str">
        <f ca="1">IF(KENKO[[#This Row],[//]]="","",IF(INDEX([2]!NOTA[QTY],KENKO[//]-2)="",INDEX([2]!NOTA[C],KENKO[//]-2),INDEX([2]!NOTA[QTY],KENKO[//]-2)))</f>
        <v/>
      </c>
      <c r="M281" s="6" t="str">
        <f ca="1">IF(KENKO[[#This Row],[//]]="","",IF(INDEX([2]!NOTA[STN],KENKO[//]-2)="","CTN",INDEX([2]!NOTA[STN],KENKO[//]-2)))</f>
        <v/>
      </c>
      <c r="N281" s="5" t="str">
        <f ca="1">IF(KENKO[[#This Row],[//]]="","",IF(INDEX([2]!NOTA[HARGA/ CTN],KENKO[[#This Row],[//]]-2)="",INDEX([2]!NOTA[HARGA SATUAN],KENKO[//]-2),INDEX([2]!NOTA[HARGA/ CTN],KENKO[[#This Row],[//]]-2)))</f>
        <v/>
      </c>
      <c r="O281" s="7" t="str">
        <f ca="1">IF(KENKO[[#This Row],[//]]="","",IF(INDEX([2]!NOTA[DISC 2],KENKO[[#This Row],[//]]-2)=0,"",INDEX([2]!NOTA[DISC 2],KENKO[[#This Row],[//]]-2)))</f>
        <v/>
      </c>
      <c r="P281" s="7"/>
      <c r="Q2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1" s="4" t="str">
        <f ca="1">IF(KENKO[[#This Row],[//]]="","",INDEX([2]!NOTA[NAMA BARANG],KENKO[[#This Row],[//]]-2))</f>
        <v/>
      </c>
      <c r="V281" s="4" t="str">
        <f ca="1">LOWER(SUBSTITUTE(SUBSTITUTE(SUBSTITUTE(SUBSTITUTE(SUBSTITUTE(SUBSTITUTE(SUBSTITUTE(SUBSTITUTE(KENKO[[#This Row],[N.B.nota]]," ",""),"-",""),"(",""),")",""),".",""),",",""),"/",""),"""",""))</f>
        <v/>
      </c>
      <c r="W281" s="6" t="str">
        <f ca="1">IF(KENKO[[#This Row],[concat]]="","",MATCH(KENKO[[#This Row],[concat]],[4]!db[NB NOTA_C],0)+1)</f>
        <v/>
      </c>
      <c r="X281" s="4" t="str">
        <f ca="1">IF(KENKO[[#This Row],[N.B.nota]]="","",ADDRESS(ROW(KENKO[QB]),COLUMN(KENKO[QB]))&amp;":"&amp;ADDRESS(ROW(),COLUMN(KENKO[QB])))</f>
        <v/>
      </c>
      <c r="Y281" s="13" t="str">
        <f ca="1">IF(KENKO[[#This Row],[//]]="","",HYPERLINK("[..\\DB.xlsx]DB!e"&amp;KENKO[[#This Row],[stt]],"&gt;"))</f>
        <v/>
      </c>
      <c r="Z281" s="4" t="str">
        <f ca="1">IF(KENKO[[#This Row],[//]]="","",IF(KENKO[[#This Row],[ID NOTA]]="",Z280,KENKO[[#This Row],[ID NOTA]]))</f>
        <v/>
      </c>
    </row>
    <row r="282" spans="1:26" ht="15" customHeight="1" x14ac:dyDescent="0.25">
      <c r="A282" s="4"/>
      <c r="B282" s="6" t="str">
        <f>IF(KENKO[[#This Row],[N_ID]]="","",INDEX(Table1[ID],MATCH(KENKO[[#This Row],[N_ID]],Table1[N_ID],0)))</f>
        <v/>
      </c>
      <c r="C282" s="6" t="str">
        <f>IF(KENKO[[#This Row],[ID NOTA]]="","",HYPERLINK("[NOTA_.xlsx]NOTA!e"&amp;INDEX([2]!PAJAK[//],MATCH(KENKO[[#This Row],[ID NOTA]],[2]!PAJAK[ID],0)),"&gt;") )</f>
        <v/>
      </c>
      <c r="D282" s="6" t="str">
        <f>IF(KENKO[[#This Row],[ID NOTA]]="","",INDEX(Table1[QB],MATCH(KENKO[[#This Row],[ID NOTA]],Table1[ID],0)))</f>
        <v/>
      </c>
      <c r="E2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2" s="6"/>
      <c r="G282" s="3" t="str">
        <f>IF(KENKO[[#This Row],[ID NOTA]]="","",INDEX([2]!NOTA[TGL_H],MATCH(KENKO[[#This Row],[ID NOTA]],[2]!NOTA[ID],0)))</f>
        <v/>
      </c>
      <c r="H282" s="3" t="str">
        <f>IF(KENKO[[#This Row],[ID NOTA]]="","",INDEX([2]!NOTA[TGL.NOTA],MATCH(KENKO[[#This Row],[ID NOTA]],[2]!NOTA[ID],0)))</f>
        <v/>
      </c>
      <c r="I282" s="18" t="str">
        <f>IF(KENKO[[#This Row],[ID NOTA]]="","",INDEX([2]!NOTA[NO.NOTA],MATCH(KENKO[[#This Row],[ID NOTA]],[2]!NOTA[ID],0)))</f>
        <v/>
      </c>
      <c r="J282" s="4" t="str">
        <f ca="1">IF(KENKO[[#This Row],[//]]="","",INDEX([4]!db[NB PAJAK],KENKO[[#This Row],[stt]]-1))</f>
        <v/>
      </c>
      <c r="K282" s="6" t="str">
        <f>""</f>
        <v/>
      </c>
      <c r="L282" s="6" t="str">
        <f ca="1">IF(KENKO[[#This Row],[//]]="","",IF(INDEX([2]!NOTA[QTY],KENKO[//]-2)="",INDEX([2]!NOTA[C],KENKO[//]-2),INDEX([2]!NOTA[QTY],KENKO[//]-2)))</f>
        <v/>
      </c>
      <c r="M282" s="6" t="str">
        <f ca="1">IF(KENKO[[#This Row],[//]]="","",IF(INDEX([2]!NOTA[STN],KENKO[//]-2)="","CTN",INDEX([2]!NOTA[STN],KENKO[//]-2)))</f>
        <v/>
      </c>
      <c r="N282" s="5" t="str">
        <f ca="1">IF(KENKO[[#This Row],[//]]="","",IF(INDEX([2]!NOTA[HARGA/ CTN],KENKO[[#This Row],[//]]-2)="",INDEX([2]!NOTA[HARGA SATUAN],KENKO[//]-2),INDEX([2]!NOTA[HARGA/ CTN],KENKO[[#This Row],[//]]-2)))</f>
        <v/>
      </c>
      <c r="O282" s="7" t="str">
        <f ca="1">IF(KENKO[[#This Row],[//]]="","",IF(INDEX([2]!NOTA[DISC 2],KENKO[[#This Row],[//]]-2)=0,"",INDEX([2]!NOTA[DISC 2],KENKO[[#This Row],[//]]-2)))</f>
        <v/>
      </c>
      <c r="P282" s="7"/>
      <c r="Q2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2" s="4" t="str">
        <f ca="1">IF(KENKO[[#This Row],[//]]="","",INDEX([2]!NOTA[NAMA BARANG],KENKO[[#This Row],[//]]-2))</f>
        <v/>
      </c>
      <c r="V282" s="4" t="str">
        <f ca="1">LOWER(SUBSTITUTE(SUBSTITUTE(SUBSTITUTE(SUBSTITUTE(SUBSTITUTE(SUBSTITUTE(SUBSTITUTE(SUBSTITUTE(KENKO[[#This Row],[N.B.nota]]," ",""),"-",""),"(",""),")",""),".",""),",",""),"/",""),"""",""))</f>
        <v/>
      </c>
      <c r="W282" s="6" t="str">
        <f ca="1">IF(KENKO[[#This Row],[concat]]="","",MATCH(KENKO[[#This Row],[concat]],[4]!db[NB NOTA_C],0)+1)</f>
        <v/>
      </c>
      <c r="X282" s="4" t="str">
        <f ca="1">IF(KENKO[[#This Row],[N.B.nota]]="","",ADDRESS(ROW(KENKO[QB]),COLUMN(KENKO[QB]))&amp;":"&amp;ADDRESS(ROW(),COLUMN(KENKO[QB])))</f>
        <v/>
      </c>
      <c r="Y282" s="13" t="str">
        <f ca="1">IF(KENKO[[#This Row],[//]]="","",HYPERLINK("[..\\DB.xlsx]DB!e"&amp;KENKO[[#This Row],[stt]],"&gt;"))</f>
        <v/>
      </c>
      <c r="Z282" s="4" t="str">
        <f ca="1">IF(KENKO[[#This Row],[//]]="","",IF(KENKO[[#This Row],[ID NOTA]]="",Z281,KENKO[[#This Row],[ID NOTA]]))</f>
        <v/>
      </c>
    </row>
    <row r="283" spans="1:26" ht="15" customHeight="1" x14ac:dyDescent="0.25">
      <c r="A283" s="4"/>
      <c r="B283" s="6" t="str">
        <f>IF(KENKO[[#This Row],[N_ID]]="","",INDEX(Table1[ID],MATCH(KENKO[[#This Row],[N_ID]],Table1[N_ID],0)))</f>
        <v/>
      </c>
      <c r="C283" s="6" t="str">
        <f>IF(KENKO[[#This Row],[ID NOTA]]="","",HYPERLINK("[NOTA_.xlsx]NOTA!e"&amp;INDEX([2]!PAJAK[//],MATCH(KENKO[[#This Row],[ID NOTA]],[2]!PAJAK[ID],0)),"&gt;") )</f>
        <v/>
      </c>
      <c r="D283" s="6" t="str">
        <f>IF(KENKO[[#This Row],[ID NOTA]]="","",INDEX(Table1[QB],MATCH(KENKO[[#This Row],[ID NOTA]],Table1[ID],0)))</f>
        <v/>
      </c>
      <c r="E2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3" s="6"/>
      <c r="G283" s="3" t="str">
        <f>IF(KENKO[[#This Row],[ID NOTA]]="","",INDEX([2]!NOTA[TGL_H],MATCH(KENKO[[#This Row],[ID NOTA]],[2]!NOTA[ID],0)))</f>
        <v/>
      </c>
      <c r="H283" s="3" t="str">
        <f>IF(KENKO[[#This Row],[ID NOTA]]="","",INDEX([2]!NOTA[TGL.NOTA],MATCH(KENKO[[#This Row],[ID NOTA]],[2]!NOTA[ID],0)))</f>
        <v/>
      </c>
      <c r="I283" s="18" t="str">
        <f>IF(KENKO[[#This Row],[ID NOTA]]="","",INDEX([2]!NOTA[NO.NOTA],MATCH(KENKO[[#This Row],[ID NOTA]],[2]!NOTA[ID],0)))</f>
        <v/>
      </c>
      <c r="J283" s="4" t="str">
        <f ca="1">IF(KENKO[[#This Row],[//]]="","",INDEX([4]!db[NB PAJAK],KENKO[[#This Row],[stt]]-1))</f>
        <v/>
      </c>
      <c r="K283" s="6" t="str">
        <f>""</f>
        <v/>
      </c>
      <c r="L283" s="6" t="str">
        <f ca="1">IF(KENKO[[#This Row],[//]]="","",IF(INDEX([2]!NOTA[QTY],KENKO[//]-2)="",INDEX([2]!NOTA[C],KENKO[//]-2),INDEX([2]!NOTA[QTY],KENKO[//]-2)))</f>
        <v/>
      </c>
      <c r="M283" s="6" t="str">
        <f ca="1">IF(KENKO[[#This Row],[//]]="","",IF(INDEX([2]!NOTA[STN],KENKO[//]-2)="","CTN",INDEX([2]!NOTA[STN],KENKO[//]-2)))</f>
        <v/>
      </c>
      <c r="N283" s="5" t="str">
        <f ca="1">IF(KENKO[[#This Row],[//]]="","",IF(INDEX([2]!NOTA[HARGA/ CTN],KENKO[[#This Row],[//]]-2)="",INDEX([2]!NOTA[HARGA SATUAN],KENKO[//]-2),INDEX([2]!NOTA[HARGA/ CTN],KENKO[[#This Row],[//]]-2)))</f>
        <v/>
      </c>
      <c r="O283" s="7" t="str">
        <f ca="1">IF(KENKO[[#This Row],[//]]="","",IF(INDEX([2]!NOTA[DISC 2],KENKO[[#This Row],[//]]-2)=0,"",INDEX([2]!NOTA[DISC 2],KENKO[[#This Row],[//]]-2)))</f>
        <v/>
      </c>
      <c r="P283" s="7"/>
      <c r="Q2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3" s="4" t="str">
        <f ca="1">IF(KENKO[[#This Row],[//]]="","",INDEX([2]!NOTA[NAMA BARANG],KENKO[[#This Row],[//]]-2))</f>
        <v/>
      </c>
      <c r="V283" s="4" t="str">
        <f ca="1">LOWER(SUBSTITUTE(SUBSTITUTE(SUBSTITUTE(SUBSTITUTE(SUBSTITUTE(SUBSTITUTE(SUBSTITUTE(SUBSTITUTE(KENKO[[#This Row],[N.B.nota]]," ",""),"-",""),"(",""),")",""),".",""),",",""),"/",""),"""",""))</f>
        <v/>
      </c>
      <c r="W283" s="6" t="str">
        <f ca="1">IF(KENKO[[#This Row],[concat]]="","",MATCH(KENKO[[#This Row],[concat]],[4]!db[NB NOTA_C],0)+1)</f>
        <v/>
      </c>
      <c r="X283" s="4" t="str">
        <f ca="1">IF(KENKO[[#This Row],[N.B.nota]]="","",ADDRESS(ROW(KENKO[QB]),COLUMN(KENKO[QB]))&amp;":"&amp;ADDRESS(ROW(),COLUMN(KENKO[QB])))</f>
        <v/>
      </c>
      <c r="Y283" s="13" t="str">
        <f ca="1">IF(KENKO[[#This Row],[//]]="","",HYPERLINK("[..\\DB.xlsx]DB!e"&amp;KENKO[[#This Row],[stt]],"&gt;"))</f>
        <v/>
      </c>
      <c r="Z283" s="4" t="str">
        <f ca="1">IF(KENKO[[#This Row],[//]]="","",IF(KENKO[[#This Row],[ID NOTA]]="",Z282,KENKO[[#This Row],[ID NOTA]]))</f>
        <v/>
      </c>
    </row>
    <row r="284" spans="1:26" ht="15" customHeight="1" x14ac:dyDescent="0.25">
      <c r="A284" s="4"/>
      <c r="B284" s="6" t="str">
        <f>IF(KENKO[[#This Row],[N_ID]]="","",INDEX(Table1[ID],MATCH(KENKO[[#This Row],[N_ID]],Table1[N_ID],0)))</f>
        <v/>
      </c>
      <c r="C284" s="6" t="str">
        <f>IF(KENKO[[#This Row],[ID NOTA]]="","",HYPERLINK("[NOTA_.xlsx]NOTA!e"&amp;INDEX([2]!PAJAK[//],MATCH(KENKO[[#This Row],[ID NOTA]],[2]!PAJAK[ID],0)),"&gt;") )</f>
        <v/>
      </c>
      <c r="D284" s="6" t="str">
        <f>IF(KENKO[[#This Row],[ID NOTA]]="","",INDEX(Table1[QB],MATCH(KENKO[[#This Row],[ID NOTA]],Table1[ID],0)))</f>
        <v/>
      </c>
      <c r="E2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4" s="6"/>
      <c r="G284" s="3" t="str">
        <f>IF(KENKO[[#This Row],[ID NOTA]]="","",INDEX([2]!NOTA[TGL_H],MATCH(KENKO[[#This Row],[ID NOTA]],[2]!NOTA[ID],0)))</f>
        <v/>
      </c>
      <c r="H284" s="3" t="str">
        <f>IF(KENKO[[#This Row],[ID NOTA]]="","",INDEX([2]!NOTA[TGL.NOTA],MATCH(KENKO[[#This Row],[ID NOTA]],[2]!NOTA[ID],0)))</f>
        <v/>
      </c>
      <c r="I284" s="18" t="str">
        <f>IF(KENKO[[#This Row],[ID NOTA]]="","",INDEX([2]!NOTA[NO.NOTA],MATCH(KENKO[[#This Row],[ID NOTA]],[2]!NOTA[ID],0)))</f>
        <v/>
      </c>
      <c r="J284" s="4" t="str">
        <f ca="1">IF(KENKO[[#This Row],[//]]="","",INDEX([4]!db[NB PAJAK],KENKO[[#This Row],[stt]]-1))</f>
        <v/>
      </c>
      <c r="K284" s="6" t="str">
        <f>""</f>
        <v/>
      </c>
      <c r="L284" s="6" t="str">
        <f ca="1">IF(KENKO[[#This Row],[//]]="","",IF(INDEX([2]!NOTA[QTY],KENKO[//]-2)="",INDEX([2]!NOTA[C],KENKO[//]-2),INDEX([2]!NOTA[QTY],KENKO[//]-2)))</f>
        <v/>
      </c>
      <c r="M284" s="6" t="str">
        <f ca="1">IF(KENKO[[#This Row],[//]]="","",IF(INDEX([2]!NOTA[STN],KENKO[//]-2)="","CTN",INDEX([2]!NOTA[STN],KENKO[//]-2)))</f>
        <v/>
      </c>
      <c r="N284" s="5" t="str">
        <f ca="1">IF(KENKO[[#This Row],[//]]="","",IF(INDEX([2]!NOTA[HARGA/ CTN],KENKO[[#This Row],[//]]-2)="",INDEX([2]!NOTA[HARGA SATUAN],KENKO[//]-2),INDEX([2]!NOTA[HARGA/ CTN],KENKO[[#This Row],[//]]-2)))</f>
        <v/>
      </c>
      <c r="O284" s="7" t="str">
        <f ca="1">IF(KENKO[[#This Row],[//]]="","",IF(INDEX([2]!NOTA[DISC 2],KENKO[[#This Row],[//]]-2)=0,"",INDEX([2]!NOTA[DISC 2],KENKO[[#This Row],[//]]-2)))</f>
        <v/>
      </c>
      <c r="P284" s="7"/>
      <c r="Q2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4" s="4" t="str">
        <f ca="1">IF(KENKO[[#This Row],[//]]="","",INDEX([2]!NOTA[NAMA BARANG],KENKO[[#This Row],[//]]-2))</f>
        <v/>
      </c>
      <c r="V284" s="4" t="str">
        <f ca="1">LOWER(SUBSTITUTE(SUBSTITUTE(SUBSTITUTE(SUBSTITUTE(SUBSTITUTE(SUBSTITUTE(SUBSTITUTE(SUBSTITUTE(KENKO[[#This Row],[N.B.nota]]," ",""),"-",""),"(",""),")",""),".",""),",",""),"/",""),"""",""))</f>
        <v/>
      </c>
      <c r="W284" s="6" t="str">
        <f ca="1">IF(KENKO[[#This Row],[concat]]="","",MATCH(KENKO[[#This Row],[concat]],[4]!db[NB NOTA_C],0)+1)</f>
        <v/>
      </c>
      <c r="X284" s="4" t="str">
        <f ca="1">IF(KENKO[[#This Row],[N.B.nota]]="","",ADDRESS(ROW(KENKO[QB]),COLUMN(KENKO[QB]))&amp;":"&amp;ADDRESS(ROW(),COLUMN(KENKO[QB])))</f>
        <v/>
      </c>
      <c r="Y284" s="13" t="str">
        <f ca="1">IF(KENKO[[#This Row],[//]]="","",HYPERLINK("[..\\DB.xlsx]DB!e"&amp;KENKO[[#This Row],[stt]],"&gt;"))</f>
        <v/>
      </c>
      <c r="Z284" s="4" t="str">
        <f ca="1">IF(KENKO[[#This Row],[//]]="","",IF(KENKO[[#This Row],[ID NOTA]]="",Z283,KENKO[[#This Row],[ID NOTA]]))</f>
        <v/>
      </c>
    </row>
    <row r="285" spans="1:26" ht="15" customHeight="1" x14ac:dyDescent="0.25">
      <c r="A285" s="4"/>
      <c r="B285" s="6" t="str">
        <f>IF(KENKO[[#This Row],[N_ID]]="","",INDEX(Table1[ID],MATCH(KENKO[[#This Row],[N_ID]],Table1[N_ID],0)))</f>
        <v/>
      </c>
      <c r="C285" s="6" t="str">
        <f>IF(KENKO[[#This Row],[ID NOTA]]="","",HYPERLINK("[NOTA_.xlsx]NOTA!e"&amp;INDEX([2]!PAJAK[//],MATCH(KENKO[[#This Row],[ID NOTA]],[2]!PAJAK[ID],0)),"&gt;") )</f>
        <v/>
      </c>
      <c r="D285" s="6" t="str">
        <f>IF(KENKO[[#This Row],[ID NOTA]]="","",INDEX(Table1[QB],MATCH(KENKO[[#This Row],[ID NOTA]],Table1[ID],0)))</f>
        <v/>
      </c>
      <c r="E2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5" s="6"/>
      <c r="G285" s="3" t="str">
        <f>IF(KENKO[[#This Row],[ID NOTA]]="","",INDEX([2]!NOTA[TGL_H],MATCH(KENKO[[#This Row],[ID NOTA]],[2]!NOTA[ID],0)))</f>
        <v/>
      </c>
      <c r="H285" s="3" t="str">
        <f>IF(KENKO[[#This Row],[ID NOTA]]="","",INDEX([2]!NOTA[TGL.NOTA],MATCH(KENKO[[#This Row],[ID NOTA]],[2]!NOTA[ID],0)))</f>
        <v/>
      </c>
      <c r="I285" s="18" t="str">
        <f>IF(KENKO[[#This Row],[ID NOTA]]="","",INDEX([2]!NOTA[NO.NOTA],MATCH(KENKO[[#This Row],[ID NOTA]],[2]!NOTA[ID],0)))</f>
        <v/>
      </c>
      <c r="J285" s="4" t="str">
        <f ca="1">IF(KENKO[[#This Row],[//]]="","",INDEX([4]!db[NB PAJAK],KENKO[[#This Row],[stt]]-1))</f>
        <v/>
      </c>
      <c r="K285" s="6" t="str">
        <f>""</f>
        <v/>
      </c>
      <c r="L285" s="6" t="str">
        <f ca="1">IF(KENKO[[#This Row],[//]]="","",IF(INDEX([2]!NOTA[QTY],KENKO[//]-2)="",INDEX([2]!NOTA[C],KENKO[//]-2),INDEX([2]!NOTA[QTY],KENKO[//]-2)))</f>
        <v/>
      </c>
      <c r="M285" s="6" t="str">
        <f ca="1">IF(KENKO[[#This Row],[//]]="","",IF(INDEX([2]!NOTA[STN],KENKO[//]-2)="","CTN",INDEX([2]!NOTA[STN],KENKO[//]-2)))</f>
        <v/>
      </c>
      <c r="N285" s="5" t="str">
        <f ca="1">IF(KENKO[[#This Row],[//]]="","",IF(INDEX([2]!NOTA[HARGA/ CTN],KENKO[[#This Row],[//]]-2)="",INDEX([2]!NOTA[HARGA SATUAN],KENKO[//]-2),INDEX([2]!NOTA[HARGA/ CTN],KENKO[[#This Row],[//]]-2)))</f>
        <v/>
      </c>
      <c r="O285" s="7" t="str">
        <f ca="1">IF(KENKO[[#This Row],[//]]="","",IF(INDEX([2]!NOTA[DISC 2],KENKO[[#This Row],[//]]-2)=0,"",INDEX([2]!NOTA[DISC 2],KENKO[[#This Row],[//]]-2)))</f>
        <v/>
      </c>
      <c r="P285" s="7"/>
      <c r="Q2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5" s="4" t="str">
        <f ca="1">IF(KENKO[[#This Row],[//]]="","",INDEX([2]!NOTA[NAMA BARANG],KENKO[[#This Row],[//]]-2))</f>
        <v/>
      </c>
      <c r="V285" s="4" t="str">
        <f ca="1">LOWER(SUBSTITUTE(SUBSTITUTE(SUBSTITUTE(SUBSTITUTE(SUBSTITUTE(SUBSTITUTE(SUBSTITUTE(SUBSTITUTE(KENKO[[#This Row],[N.B.nota]]," ",""),"-",""),"(",""),")",""),".",""),",",""),"/",""),"""",""))</f>
        <v/>
      </c>
      <c r="W285" s="6" t="str">
        <f ca="1">IF(KENKO[[#This Row],[concat]]="","",MATCH(KENKO[[#This Row],[concat]],[4]!db[NB NOTA_C],0)+1)</f>
        <v/>
      </c>
      <c r="X285" s="4" t="str">
        <f ca="1">IF(KENKO[[#This Row],[N.B.nota]]="","",ADDRESS(ROW(KENKO[QB]),COLUMN(KENKO[QB]))&amp;":"&amp;ADDRESS(ROW(),COLUMN(KENKO[QB])))</f>
        <v/>
      </c>
      <c r="Y285" s="13" t="str">
        <f ca="1">IF(KENKO[[#This Row],[//]]="","",HYPERLINK("[..\\DB.xlsx]DB!e"&amp;KENKO[[#This Row],[stt]],"&gt;"))</f>
        <v/>
      </c>
      <c r="Z285" s="4" t="str">
        <f ca="1">IF(KENKO[[#This Row],[//]]="","",IF(KENKO[[#This Row],[ID NOTA]]="",Z284,KENKO[[#This Row],[ID NOTA]]))</f>
        <v/>
      </c>
    </row>
    <row r="286" spans="1:26" ht="15" customHeight="1" x14ac:dyDescent="0.25">
      <c r="A286" s="4"/>
      <c r="B286" s="6" t="str">
        <f>IF(KENKO[[#This Row],[N_ID]]="","",INDEX(Table1[ID],MATCH(KENKO[[#This Row],[N_ID]],Table1[N_ID],0)))</f>
        <v/>
      </c>
      <c r="C286" s="6" t="str">
        <f>IF(KENKO[[#This Row],[ID NOTA]]="","",HYPERLINK("[NOTA_.xlsx]NOTA!e"&amp;INDEX([2]!PAJAK[//],MATCH(KENKO[[#This Row],[ID NOTA]],[2]!PAJAK[ID],0)),"&gt;") )</f>
        <v/>
      </c>
      <c r="D286" s="6" t="str">
        <f>IF(KENKO[[#This Row],[ID NOTA]]="","",INDEX(Table1[QB],MATCH(KENKO[[#This Row],[ID NOTA]],Table1[ID],0)))</f>
        <v/>
      </c>
      <c r="E2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6" s="6"/>
      <c r="G286" s="3" t="str">
        <f>IF(KENKO[[#This Row],[ID NOTA]]="","",INDEX([2]!NOTA[TGL_H],MATCH(KENKO[[#This Row],[ID NOTA]],[2]!NOTA[ID],0)))</f>
        <v/>
      </c>
      <c r="H286" s="3" t="str">
        <f>IF(KENKO[[#This Row],[ID NOTA]]="","",INDEX([2]!NOTA[TGL.NOTA],MATCH(KENKO[[#This Row],[ID NOTA]],[2]!NOTA[ID],0)))</f>
        <v/>
      </c>
      <c r="I286" s="18" t="str">
        <f>IF(KENKO[[#This Row],[ID NOTA]]="","",INDEX([2]!NOTA[NO.NOTA],MATCH(KENKO[[#This Row],[ID NOTA]],[2]!NOTA[ID],0)))</f>
        <v/>
      </c>
      <c r="J286" s="4" t="str">
        <f ca="1">IF(KENKO[[#This Row],[//]]="","",INDEX([4]!db[NB PAJAK],KENKO[[#This Row],[stt]]-1))</f>
        <v/>
      </c>
      <c r="K286" s="6" t="str">
        <f>""</f>
        <v/>
      </c>
      <c r="L286" s="6" t="str">
        <f ca="1">IF(KENKO[[#This Row],[//]]="","",IF(INDEX([2]!NOTA[QTY],KENKO[//]-2)="",INDEX([2]!NOTA[C],KENKO[//]-2),INDEX([2]!NOTA[QTY],KENKO[//]-2)))</f>
        <v/>
      </c>
      <c r="M286" s="6" t="str">
        <f ca="1">IF(KENKO[[#This Row],[//]]="","",IF(INDEX([2]!NOTA[STN],KENKO[//]-2)="","CTN",INDEX([2]!NOTA[STN],KENKO[//]-2)))</f>
        <v/>
      </c>
      <c r="N286" s="5" t="str">
        <f ca="1">IF(KENKO[[#This Row],[//]]="","",IF(INDEX([2]!NOTA[HARGA/ CTN],KENKO[[#This Row],[//]]-2)="",INDEX([2]!NOTA[HARGA SATUAN],KENKO[//]-2),INDEX([2]!NOTA[HARGA/ CTN],KENKO[[#This Row],[//]]-2)))</f>
        <v/>
      </c>
      <c r="O286" s="7" t="str">
        <f ca="1">IF(KENKO[[#This Row],[//]]="","",IF(INDEX([2]!NOTA[DISC 2],KENKO[[#This Row],[//]]-2)=0,"",INDEX([2]!NOTA[DISC 2],KENKO[[#This Row],[//]]-2)))</f>
        <v/>
      </c>
      <c r="P286" s="7"/>
      <c r="Q2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6" s="4" t="str">
        <f ca="1">IF(KENKO[[#This Row],[//]]="","",INDEX([2]!NOTA[NAMA BARANG],KENKO[[#This Row],[//]]-2))</f>
        <v/>
      </c>
      <c r="V286" s="4" t="str">
        <f ca="1">LOWER(SUBSTITUTE(SUBSTITUTE(SUBSTITUTE(SUBSTITUTE(SUBSTITUTE(SUBSTITUTE(SUBSTITUTE(SUBSTITUTE(KENKO[[#This Row],[N.B.nota]]," ",""),"-",""),"(",""),")",""),".",""),",",""),"/",""),"""",""))</f>
        <v/>
      </c>
      <c r="W286" s="6" t="str">
        <f ca="1">IF(KENKO[[#This Row],[concat]]="","",MATCH(KENKO[[#This Row],[concat]],[4]!db[NB NOTA_C],0)+1)</f>
        <v/>
      </c>
      <c r="X286" s="4" t="str">
        <f ca="1">IF(KENKO[[#This Row],[N.B.nota]]="","",ADDRESS(ROW(KENKO[QB]),COLUMN(KENKO[QB]))&amp;":"&amp;ADDRESS(ROW(),COLUMN(KENKO[QB])))</f>
        <v/>
      </c>
      <c r="Y286" s="13" t="str">
        <f ca="1">IF(KENKO[[#This Row],[//]]="","",HYPERLINK("[..\\DB.xlsx]DB!e"&amp;KENKO[[#This Row],[stt]],"&gt;"))</f>
        <v/>
      </c>
      <c r="Z286" s="4" t="str">
        <f ca="1">IF(KENKO[[#This Row],[//]]="","",IF(KENKO[[#This Row],[ID NOTA]]="",Z285,KENKO[[#This Row],[ID NOTA]]))</f>
        <v/>
      </c>
    </row>
    <row r="287" spans="1:26" ht="15" customHeight="1" x14ac:dyDescent="0.25">
      <c r="A287" s="4"/>
      <c r="B287" s="6" t="str">
        <f>IF(KENKO[[#This Row],[N_ID]]="","",INDEX(Table1[ID],MATCH(KENKO[[#This Row],[N_ID]],Table1[N_ID],0)))</f>
        <v/>
      </c>
      <c r="C287" s="6" t="str">
        <f>IF(KENKO[[#This Row],[ID NOTA]]="","",HYPERLINK("[NOTA_.xlsx]NOTA!e"&amp;INDEX([2]!PAJAK[//],MATCH(KENKO[[#This Row],[ID NOTA]],[2]!PAJAK[ID],0)),"&gt;") )</f>
        <v/>
      </c>
      <c r="D287" s="6" t="str">
        <f>IF(KENKO[[#This Row],[ID NOTA]]="","",INDEX(Table1[QB],MATCH(KENKO[[#This Row],[ID NOTA]],Table1[ID],0)))</f>
        <v/>
      </c>
      <c r="E2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7" s="6"/>
      <c r="G287" s="3" t="str">
        <f>IF(KENKO[[#This Row],[ID NOTA]]="","",INDEX([2]!NOTA[TGL_H],MATCH(KENKO[[#This Row],[ID NOTA]],[2]!NOTA[ID],0)))</f>
        <v/>
      </c>
      <c r="H287" s="3" t="str">
        <f>IF(KENKO[[#This Row],[ID NOTA]]="","",INDEX([2]!NOTA[TGL.NOTA],MATCH(KENKO[[#This Row],[ID NOTA]],[2]!NOTA[ID],0)))</f>
        <v/>
      </c>
      <c r="I287" s="18" t="str">
        <f>IF(KENKO[[#This Row],[ID NOTA]]="","",INDEX([2]!NOTA[NO.NOTA],MATCH(KENKO[[#This Row],[ID NOTA]],[2]!NOTA[ID],0)))</f>
        <v/>
      </c>
      <c r="J287" s="4" t="str">
        <f ca="1">IF(KENKO[[#This Row],[//]]="","",INDEX([4]!db[NB PAJAK],KENKO[[#This Row],[stt]]-1))</f>
        <v/>
      </c>
      <c r="K287" s="6" t="str">
        <f>""</f>
        <v/>
      </c>
      <c r="L287" s="6" t="str">
        <f ca="1">IF(KENKO[[#This Row],[//]]="","",IF(INDEX([2]!NOTA[QTY],KENKO[//]-2)="",INDEX([2]!NOTA[C],KENKO[//]-2),INDEX([2]!NOTA[QTY],KENKO[//]-2)))</f>
        <v/>
      </c>
      <c r="M287" s="6" t="str">
        <f ca="1">IF(KENKO[[#This Row],[//]]="","",IF(INDEX([2]!NOTA[STN],KENKO[//]-2)="","CTN",INDEX([2]!NOTA[STN],KENKO[//]-2)))</f>
        <v/>
      </c>
      <c r="N287" s="5" t="str">
        <f ca="1">IF(KENKO[[#This Row],[//]]="","",IF(INDEX([2]!NOTA[HARGA/ CTN],KENKO[[#This Row],[//]]-2)="",INDEX([2]!NOTA[HARGA SATUAN],KENKO[//]-2),INDEX([2]!NOTA[HARGA/ CTN],KENKO[[#This Row],[//]]-2)))</f>
        <v/>
      </c>
      <c r="O287" s="7" t="str">
        <f ca="1">IF(KENKO[[#This Row],[//]]="","",IF(INDEX([2]!NOTA[DISC 2],KENKO[[#This Row],[//]]-2)=0,"",INDEX([2]!NOTA[DISC 2],KENKO[[#This Row],[//]]-2)))</f>
        <v/>
      </c>
      <c r="P287" s="7"/>
      <c r="Q2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7" s="4" t="str">
        <f ca="1">IF(KENKO[[#This Row],[//]]="","",INDEX([2]!NOTA[NAMA BARANG],KENKO[[#This Row],[//]]-2))</f>
        <v/>
      </c>
      <c r="V287" s="4" t="str">
        <f ca="1">LOWER(SUBSTITUTE(SUBSTITUTE(SUBSTITUTE(SUBSTITUTE(SUBSTITUTE(SUBSTITUTE(SUBSTITUTE(SUBSTITUTE(KENKO[[#This Row],[N.B.nota]]," ",""),"-",""),"(",""),")",""),".",""),",",""),"/",""),"""",""))</f>
        <v/>
      </c>
      <c r="W287" s="6" t="str">
        <f ca="1">IF(KENKO[[#This Row],[concat]]="","",MATCH(KENKO[[#This Row],[concat]],[4]!db[NB NOTA_C],0)+1)</f>
        <v/>
      </c>
      <c r="X287" s="4" t="str">
        <f ca="1">IF(KENKO[[#This Row],[N.B.nota]]="","",ADDRESS(ROW(KENKO[QB]),COLUMN(KENKO[QB]))&amp;":"&amp;ADDRESS(ROW(),COLUMN(KENKO[QB])))</f>
        <v/>
      </c>
      <c r="Y287" s="13" t="str">
        <f ca="1">IF(KENKO[[#This Row],[//]]="","",HYPERLINK("[..\\DB.xlsx]DB!e"&amp;KENKO[[#This Row],[stt]],"&gt;"))</f>
        <v/>
      </c>
      <c r="Z287" s="4" t="str">
        <f ca="1">IF(KENKO[[#This Row],[//]]="","",IF(KENKO[[#This Row],[ID NOTA]]="",Z286,KENKO[[#This Row],[ID NOTA]]))</f>
        <v/>
      </c>
    </row>
    <row r="288" spans="1:26" ht="15" customHeight="1" x14ac:dyDescent="0.25">
      <c r="A288" s="4"/>
      <c r="B288" s="6" t="str">
        <f>IF(KENKO[[#This Row],[N_ID]]="","",INDEX(Table1[ID],MATCH(KENKO[[#This Row],[N_ID]],Table1[N_ID],0)))</f>
        <v/>
      </c>
      <c r="C288" s="6" t="str">
        <f>IF(KENKO[[#This Row],[ID NOTA]]="","",HYPERLINK("[NOTA_.xlsx]NOTA!e"&amp;INDEX([2]!PAJAK[//],MATCH(KENKO[[#This Row],[ID NOTA]],[2]!PAJAK[ID],0)),"&gt;") )</f>
        <v/>
      </c>
      <c r="D288" s="6" t="str">
        <f>IF(KENKO[[#This Row],[ID NOTA]]="","",INDEX(Table1[QB],MATCH(KENKO[[#This Row],[ID NOTA]],Table1[ID],0)))</f>
        <v/>
      </c>
      <c r="E2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8" s="6"/>
      <c r="G288" s="3" t="str">
        <f>IF(KENKO[[#This Row],[ID NOTA]]="","",INDEX([2]!NOTA[TGL_H],MATCH(KENKO[[#This Row],[ID NOTA]],[2]!NOTA[ID],0)))</f>
        <v/>
      </c>
      <c r="H288" s="3" t="str">
        <f>IF(KENKO[[#This Row],[ID NOTA]]="","",INDEX([2]!NOTA[TGL.NOTA],MATCH(KENKO[[#This Row],[ID NOTA]],[2]!NOTA[ID],0)))</f>
        <v/>
      </c>
      <c r="I288" s="18" t="str">
        <f>IF(KENKO[[#This Row],[ID NOTA]]="","",INDEX([2]!NOTA[NO.NOTA],MATCH(KENKO[[#This Row],[ID NOTA]],[2]!NOTA[ID],0)))</f>
        <v/>
      </c>
      <c r="J288" s="4" t="str">
        <f ca="1">IF(KENKO[[#This Row],[//]]="","",INDEX([4]!db[NB PAJAK],KENKO[[#This Row],[stt]]-1))</f>
        <v/>
      </c>
      <c r="K288" s="6" t="str">
        <f>""</f>
        <v/>
      </c>
      <c r="L288" s="6" t="str">
        <f ca="1">IF(KENKO[[#This Row],[//]]="","",IF(INDEX([2]!NOTA[QTY],KENKO[//]-2)="",INDEX([2]!NOTA[C],KENKO[//]-2),INDEX([2]!NOTA[QTY],KENKO[//]-2)))</f>
        <v/>
      </c>
      <c r="M288" s="6" t="str">
        <f ca="1">IF(KENKO[[#This Row],[//]]="","",IF(INDEX([2]!NOTA[STN],KENKO[//]-2)="","CTN",INDEX([2]!NOTA[STN],KENKO[//]-2)))</f>
        <v/>
      </c>
      <c r="N288" s="5" t="str">
        <f ca="1">IF(KENKO[[#This Row],[//]]="","",IF(INDEX([2]!NOTA[HARGA/ CTN],KENKO[[#This Row],[//]]-2)="",INDEX([2]!NOTA[HARGA SATUAN],KENKO[//]-2),INDEX([2]!NOTA[HARGA/ CTN],KENKO[[#This Row],[//]]-2)))</f>
        <v/>
      </c>
      <c r="O288" s="7" t="str">
        <f ca="1">IF(KENKO[[#This Row],[//]]="","",IF(INDEX([2]!NOTA[DISC 2],KENKO[[#This Row],[//]]-2)=0,"",INDEX([2]!NOTA[DISC 2],KENKO[[#This Row],[//]]-2)))</f>
        <v/>
      </c>
      <c r="P288" s="7"/>
      <c r="Q2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8" s="4" t="str">
        <f ca="1">IF(KENKO[[#This Row],[//]]="","",INDEX([2]!NOTA[NAMA BARANG],KENKO[[#This Row],[//]]-2))</f>
        <v/>
      </c>
      <c r="V288" s="4" t="str">
        <f ca="1">LOWER(SUBSTITUTE(SUBSTITUTE(SUBSTITUTE(SUBSTITUTE(SUBSTITUTE(SUBSTITUTE(SUBSTITUTE(SUBSTITUTE(KENKO[[#This Row],[N.B.nota]]," ",""),"-",""),"(",""),")",""),".",""),",",""),"/",""),"""",""))</f>
        <v/>
      </c>
      <c r="W288" s="6" t="str">
        <f ca="1">IF(KENKO[[#This Row],[concat]]="","",MATCH(KENKO[[#This Row],[concat]],[4]!db[NB NOTA_C],0)+1)</f>
        <v/>
      </c>
      <c r="X288" s="4" t="str">
        <f ca="1">IF(KENKO[[#This Row],[N.B.nota]]="","",ADDRESS(ROW(KENKO[QB]),COLUMN(KENKO[QB]))&amp;":"&amp;ADDRESS(ROW(),COLUMN(KENKO[QB])))</f>
        <v/>
      </c>
      <c r="Y288" s="13" t="str">
        <f ca="1">IF(KENKO[[#This Row],[//]]="","",HYPERLINK("[..\\DB.xlsx]DB!e"&amp;KENKO[[#This Row],[stt]],"&gt;"))</f>
        <v/>
      </c>
      <c r="Z288" s="4" t="str">
        <f ca="1">IF(KENKO[[#This Row],[//]]="","",IF(KENKO[[#This Row],[ID NOTA]]="",Z287,KENKO[[#This Row],[ID NOTA]]))</f>
        <v/>
      </c>
    </row>
    <row r="289" spans="1:26" ht="15" customHeight="1" x14ac:dyDescent="0.25">
      <c r="A289" s="4"/>
      <c r="B289" s="6" t="str">
        <f>IF(KENKO[[#This Row],[N_ID]]="","",INDEX(Table1[ID],MATCH(KENKO[[#This Row],[N_ID]],Table1[N_ID],0)))</f>
        <v/>
      </c>
      <c r="C289" s="6" t="str">
        <f>IF(KENKO[[#This Row],[ID NOTA]]="","",HYPERLINK("[NOTA_.xlsx]NOTA!e"&amp;INDEX([2]!PAJAK[//],MATCH(KENKO[[#This Row],[ID NOTA]],[2]!PAJAK[ID],0)),"&gt;") )</f>
        <v/>
      </c>
      <c r="D289" s="6" t="str">
        <f>IF(KENKO[[#This Row],[ID NOTA]]="","",INDEX(Table1[QB],MATCH(KENKO[[#This Row],[ID NOTA]],Table1[ID],0)))</f>
        <v/>
      </c>
      <c r="E28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9" s="6"/>
      <c r="G289" s="3" t="str">
        <f>IF(KENKO[[#This Row],[ID NOTA]]="","",INDEX([2]!NOTA[TGL_H],MATCH(KENKO[[#This Row],[ID NOTA]],[2]!NOTA[ID],0)))</f>
        <v/>
      </c>
      <c r="H289" s="3" t="str">
        <f>IF(KENKO[[#This Row],[ID NOTA]]="","",INDEX([2]!NOTA[TGL.NOTA],MATCH(KENKO[[#This Row],[ID NOTA]],[2]!NOTA[ID],0)))</f>
        <v/>
      </c>
      <c r="I289" s="18" t="str">
        <f>IF(KENKO[[#This Row],[ID NOTA]]="","",INDEX([2]!NOTA[NO.NOTA],MATCH(KENKO[[#This Row],[ID NOTA]],[2]!NOTA[ID],0)))</f>
        <v/>
      </c>
      <c r="J289" s="4" t="str">
        <f ca="1">IF(KENKO[[#This Row],[//]]="","",INDEX([4]!db[NB PAJAK],KENKO[[#This Row],[stt]]-1))</f>
        <v/>
      </c>
      <c r="K289" s="6" t="str">
        <f>""</f>
        <v/>
      </c>
      <c r="L289" s="6" t="str">
        <f ca="1">IF(KENKO[[#This Row],[//]]="","",IF(INDEX([2]!NOTA[QTY],KENKO[//]-2)="",INDEX([2]!NOTA[C],KENKO[//]-2),INDEX([2]!NOTA[QTY],KENKO[//]-2)))</f>
        <v/>
      </c>
      <c r="M289" s="6" t="str">
        <f ca="1">IF(KENKO[[#This Row],[//]]="","",IF(INDEX([2]!NOTA[STN],KENKO[//]-2)="","CTN",INDEX([2]!NOTA[STN],KENKO[//]-2)))</f>
        <v/>
      </c>
      <c r="N289" s="5" t="str">
        <f ca="1">IF(KENKO[[#This Row],[//]]="","",IF(INDEX([2]!NOTA[HARGA/ CTN],KENKO[[#This Row],[//]]-2)="",INDEX([2]!NOTA[HARGA SATUAN],KENKO[//]-2),INDEX([2]!NOTA[HARGA/ CTN],KENKO[[#This Row],[//]]-2)))</f>
        <v/>
      </c>
      <c r="O289" s="7" t="str">
        <f ca="1">IF(KENKO[[#This Row],[//]]="","",IF(INDEX([2]!NOTA[DISC 2],KENKO[[#This Row],[//]]-2)=0,"",INDEX([2]!NOTA[DISC 2],KENKO[[#This Row],[//]]-2)))</f>
        <v/>
      </c>
      <c r="P289" s="7"/>
      <c r="Q28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9" s="4" t="str">
        <f ca="1">IF(KENKO[[#This Row],[//]]="","",INDEX([2]!NOTA[NAMA BARANG],KENKO[[#This Row],[//]]-2))</f>
        <v/>
      </c>
      <c r="V289" s="4" t="str">
        <f ca="1">LOWER(SUBSTITUTE(SUBSTITUTE(SUBSTITUTE(SUBSTITUTE(SUBSTITUTE(SUBSTITUTE(SUBSTITUTE(SUBSTITUTE(KENKO[[#This Row],[N.B.nota]]," ",""),"-",""),"(",""),")",""),".",""),",",""),"/",""),"""",""))</f>
        <v/>
      </c>
      <c r="W289" s="6" t="str">
        <f ca="1">IF(KENKO[[#This Row],[concat]]="","",MATCH(KENKO[[#This Row],[concat]],[4]!db[NB NOTA_C],0)+1)</f>
        <v/>
      </c>
      <c r="X289" s="4" t="str">
        <f ca="1">IF(KENKO[[#This Row],[N.B.nota]]="","",ADDRESS(ROW(KENKO[QB]),COLUMN(KENKO[QB]))&amp;":"&amp;ADDRESS(ROW(),COLUMN(KENKO[QB])))</f>
        <v/>
      </c>
      <c r="Y289" s="13" t="str">
        <f ca="1">IF(KENKO[[#This Row],[//]]="","",HYPERLINK("[..\\DB.xlsx]DB!e"&amp;KENKO[[#This Row],[stt]],"&gt;"))</f>
        <v/>
      </c>
      <c r="Z289" s="4" t="str">
        <f ca="1">IF(KENKO[[#This Row],[//]]="","",IF(KENKO[[#This Row],[ID NOTA]]="",Z288,KENKO[[#This Row],[ID NOTA]]))</f>
        <v/>
      </c>
    </row>
    <row r="290" spans="1:26" ht="15" customHeight="1" x14ac:dyDescent="0.25">
      <c r="A290" s="4"/>
      <c r="B290" s="6" t="str">
        <f>IF(KENKO[[#This Row],[N_ID]]="","",INDEX(Table1[ID],MATCH(KENKO[[#This Row],[N_ID]],Table1[N_ID],0)))</f>
        <v/>
      </c>
      <c r="C290" s="6" t="str">
        <f>IF(KENKO[[#This Row],[ID NOTA]]="","",HYPERLINK("[NOTA_.xlsx]NOTA!e"&amp;INDEX([2]!PAJAK[//],MATCH(KENKO[[#This Row],[ID NOTA]],[2]!PAJAK[ID],0)),"&gt;") )</f>
        <v/>
      </c>
      <c r="D290" s="6" t="str">
        <f>IF(KENKO[[#This Row],[ID NOTA]]="","",INDEX(Table1[QB],MATCH(KENKO[[#This Row],[ID NOTA]],Table1[ID],0)))</f>
        <v/>
      </c>
      <c r="E29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0" s="6"/>
      <c r="G290" s="3" t="str">
        <f>IF(KENKO[[#This Row],[ID NOTA]]="","",INDEX([2]!NOTA[TGL_H],MATCH(KENKO[[#This Row],[ID NOTA]],[2]!NOTA[ID],0)))</f>
        <v/>
      </c>
      <c r="H290" s="3" t="str">
        <f>IF(KENKO[[#This Row],[ID NOTA]]="","",INDEX([2]!NOTA[TGL.NOTA],MATCH(KENKO[[#This Row],[ID NOTA]],[2]!NOTA[ID],0)))</f>
        <v/>
      </c>
      <c r="I290" s="18" t="str">
        <f>IF(KENKO[[#This Row],[ID NOTA]]="","",INDEX([2]!NOTA[NO.NOTA],MATCH(KENKO[[#This Row],[ID NOTA]],[2]!NOTA[ID],0)))</f>
        <v/>
      </c>
      <c r="J290" s="4" t="str">
        <f ca="1">IF(KENKO[[#This Row],[//]]="","",INDEX([4]!db[NB PAJAK],KENKO[[#This Row],[stt]]-1))</f>
        <v/>
      </c>
      <c r="K290" s="6" t="str">
        <f>""</f>
        <v/>
      </c>
      <c r="L290" s="6" t="str">
        <f ca="1">IF(KENKO[[#This Row],[//]]="","",IF(INDEX([2]!NOTA[QTY],KENKO[//]-2)="",INDEX([2]!NOTA[C],KENKO[//]-2),INDEX([2]!NOTA[QTY],KENKO[//]-2)))</f>
        <v/>
      </c>
      <c r="M290" s="6" t="str">
        <f ca="1">IF(KENKO[[#This Row],[//]]="","",IF(INDEX([2]!NOTA[STN],KENKO[//]-2)="","CTN",INDEX([2]!NOTA[STN],KENKO[//]-2)))</f>
        <v/>
      </c>
      <c r="N290" s="5" t="str">
        <f ca="1">IF(KENKO[[#This Row],[//]]="","",IF(INDEX([2]!NOTA[HARGA/ CTN],KENKO[[#This Row],[//]]-2)="",INDEX([2]!NOTA[HARGA SATUAN],KENKO[//]-2),INDEX([2]!NOTA[HARGA/ CTN],KENKO[[#This Row],[//]]-2)))</f>
        <v/>
      </c>
      <c r="O290" s="7" t="str">
        <f ca="1">IF(KENKO[[#This Row],[//]]="","",IF(INDEX([2]!NOTA[DISC 2],KENKO[[#This Row],[//]]-2)=0,"",INDEX([2]!NOTA[DISC 2],KENKO[[#This Row],[//]]-2)))</f>
        <v/>
      </c>
      <c r="P290" s="7"/>
      <c r="Q29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0" s="4" t="str">
        <f ca="1">IF(KENKO[[#This Row],[//]]="","",INDEX([2]!NOTA[NAMA BARANG],KENKO[[#This Row],[//]]-2))</f>
        <v/>
      </c>
      <c r="V290" s="4" t="str">
        <f ca="1">LOWER(SUBSTITUTE(SUBSTITUTE(SUBSTITUTE(SUBSTITUTE(SUBSTITUTE(SUBSTITUTE(SUBSTITUTE(SUBSTITUTE(KENKO[[#This Row],[N.B.nota]]," ",""),"-",""),"(",""),")",""),".",""),",",""),"/",""),"""",""))</f>
        <v/>
      </c>
      <c r="W290" s="6" t="str">
        <f ca="1">IF(KENKO[[#This Row],[concat]]="","",MATCH(KENKO[[#This Row],[concat]],[4]!db[NB NOTA_C],0)+1)</f>
        <v/>
      </c>
      <c r="X290" s="4" t="str">
        <f ca="1">IF(KENKO[[#This Row],[N.B.nota]]="","",ADDRESS(ROW(KENKO[QB]),COLUMN(KENKO[QB]))&amp;":"&amp;ADDRESS(ROW(),COLUMN(KENKO[QB])))</f>
        <v/>
      </c>
      <c r="Y290" s="13" t="str">
        <f ca="1">IF(KENKO[[#This Row],[//]]="","",HYPERLINK("[..\\DB.xlsx]DB!e"&amp;KENKO[[#This Row],[stt]],"&gt;"))</f>
        <v/>
      </c>
      <c r="Z290" s="4" t="str">
        <f ca="1">IF(KENKO[[#This Row],[//]]="","",IF(KENKO[[#This Row],[ID NOTA]]="",Z289,KENKO[[#This Row],[ID NOTA]]))</f>
        <v/>
      </c>
    </row>
    <row r="291" spans="1:26" ht="15" customHeight="1" x14ac:dyDescent="0.25">
      <c r="A291" s="4"/>
      <c r="B291" s="6" t="str">
        <f>IF(KENKO[[#This Row],[N_ID]]="","",INDEX(Table1[ID],MATCH(KENKO[[#This Row],[N_ID]],Table1[N_ID],0)))</f>
        <v/>
      </c>
      <c r="C291" s="6" t="str">
        <f>IF(KENKO[[#This Row],[ID NOTA]]="","",HYPERLINK("[NOTA_.xlsx]NOTA!e"&amp;INDEX([2]!PAJAK[//],MATCH(KENKO[[#This Row],[ID NOTA]],[2]!PAJAK[ID],0)),"&gt;") )</f>
        <v/>
      </c>
      <c r="D291" s="6" t="str">
        <f>IF(KENKO[[#This Row],[ID NOTA]]="","",INDEX(Table1[QB],MATCH(KENKO[[#This Row],[ID NOTA]],Table1[ID],0)))</f>
        <v/>
      </c>
      <c r="E29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1" s="6"/>
      <c r="G291" s="3" t="str">
        <f>IF(KENKO[[#This Row],[ID NOTA]]="","",INDEX([2]!NOTA[TGL_H],MATCH(KENKO[[#This Row],[ID NOTA]],[2]!NOTA[ID],0)))</f>
        <v/>
      </c>
      <c r="H291" s="3" t="str">
        <f>IF(KENKO[[#This Row],[ID NOTA]]="","",INDEX([2]!NOTA[TGL.NOTA],MATCH(KENKO[[#This Row],[ID NOTA]],[2]!NOTA[ID],0)))</f>
        <v/>
      </c>
      <c r="I291" s="18" t="str">
        <f>IF(KENKO[[#This Row],[ID NOTA]]="","",INDEX([2]!NOTA[NO.NOTA],MATCH(KENKO[[#This Row],[ID NOTA]],[2]!NOTA[ID],0)))</f>
        <v/>
      </c>
      <c r="J291" s="4" t="str">
        <f ca="1">IF(KENKO[[#This Row],[//]]="","",INDEX([4]!db[NB PAJAK],KENKO[[#This Row],[stt]]-1))</f>
        <v/>
      </c>
      <c r="K291" s="6" t="str">
        <f>""</f>
        <v/>
      </c>
      <c r="L291" s="6" t="str">
        <f ca="1">IF(KENKO[[#This Row],[//]]="","",IF(INDEX([2]!NOTA[QTY],KENKO[//]-2)="",INDEX([2]!NOTA[C],KENKO[//]-2),INDEX([2]!NOTA[QTY],KENKO[//]-2)))</f>
        <v/>
      </c>
      <c r="M291" s="6" t="str">
        <f ca="1">IF(KENKO[[#This Row],[//]]="","",IF(INDEX([2]!NOTA[STN],KENKO[//]-2)="","CTN",INDEX([2]!NOTA[STN],KENKO[//]-2)))</f>
        <v/>
      </c>
      <c r="N291" s="5" t="str">
        <f ca="1">IF(KENKO[[#This Row],[//]]="","",IF(INDEX([2]!NOTA[HARGA/ CTN],KENKO[[#This Row],[//]]-2)="",INDEX([2]!NOTA[HARGA SATUAN],KENKO[//]-2),INDEX([2]!NOTA[HARGA/ CTN],KENKO[[#This Row],[//]]-2)))</f>
        <v/>
      </c>
      <c r="O291" s="7" t="str">
        <f ca="1">IF(KENKO[[#This Row],[//]]="","",IF(INDEX([2]!NOTA[DISC 2],KENKO[[#This Row],[//]]-2)=0,"",INDEX([2]!NOTA[DISC 2],KENKO[[#This Row],[//]]-2)))</f>
        <v/>
      </c>
      <c r="P291" s="7"/>
      <c r="Q29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1" s="4" t="str">
        <f ca="1">IF(KENKO[[#This Row],[//]]="","",INDEX([2]!NOTA[NAMA BARANG],KENKO[[#This Row],[//]]-2))</f>
        <v/>
      </c>
      <c r="V291" s="4" t="str">
        <f ca="1">LOWER(SUBSTITUTE(SUBSTITUTE(SUBSTITUTE(SUBSTITUTE(SUBSTITUTE(SUBSTITUTE(SUBSTITUTE(SUBSTITUTE(KENKO[[#This Row],[N.B.nota]]," ",""),"-",""),"(",""),")",""),".",""),",",""),"/",""),"""",""))</f>
        <v/>
      </c>
      <c r="W291" s="6" t="str">
        <f ca="1">IF(KENKO[[#This Row],[concat]]="","",MATCH(KENKO[[#This Row],[concat]],[4]!db[NB NOTA_C],0)+1)</f>
        <v/>
      </c>
      <c r="X291" s="4" t="str">
        <f ca="1">IF(KENKO[[#This Row],[N.B.nota]]="","",ADDRESS(ROW(KENKO[QB]),COLUMN(KENKO[QB]))&amp;":"&amp;ADDRESS(ROW(),COLUMN(KENKO[QB])))</f>
        <v/>
      </c>
      <c r="Y291" s="13" t="str">
        <f ca="1">IF(KENKO[[#This Row],[//]]="","",HYPERLINK("[..\\DB.xlsx]DB!e"&amp;KENKO[[#This Row],[stt]],"&gt;"))</f>
        <v/>
      </c>
      <c r="Z291" s="4" t="str">
        <f ca="1">IF(KENKO[[#This Row],[//]]="","",IF(KENKO[[#This Row],[ID NOTA]]="",Z290,KENKO[[#This Row],[ID NOTA]]))</f>
        <v/>
      </c>
    </row>
    <row r="292" spans="1:26" ht="15" customHeight="1" x14ac:dyDescent="0.25">
      <c r="A292" s="4"/>
      <c r="B292" s="6" t="str">
        <f>IF(KENKO[[#This Row],[N_ID]]="","",INDEX(Table1[ID],MATCH(KENKO[[#This Row],[N_ID]],Table1[N_ID],0)))</f>
        <v/>
      </c>
      <c r="C292" s="6" t="str">
        <f>IF(KENKO[[#This Row],[ID NOTA]]="","",HYPERLINK("[NOTA_.xlsx]NOTA!e"&amp;INDEX([2]!PAJAK[//],MATCH(KENKO[[#This Row],[ID NOTA]],[2]!PAJAK[ID],0)),"&gt;") )</f>
        <v/>
      </c>
      <c r="D292" s="6" t="str">
        <f>IF(KENKO[[#This Row],[ID NOTA]]="","",INDEX(Table1[QB],MATCH(KENKO[[#This Row],[ID NOTA]],Table1[ID],0)))</f>
        <v/>
      </c>
      <c r="E29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2" s="6"/>
      <c r="G292" s="3" t="str">
        <f>IF(KENKO[[#This Row],[ID NOTA]]="","",INDEX([2]!NOTA[TGL_H],MATCH(KENKO[[#This Row],[ID NOTA]],[2]!NOTA[ID],0)))</f>
        <v/>
      </c>
      <c r="H292" s="3" t="str">
        <f>IF(KENKO[[#This Row],[ID NOTA]]="","",INDEX([2]!NOTA[TGL.NOTA],MATCH(KENKO[[#This Row],[ID NOTA]],[2]!NOTA[ID],0)))</f>
        <v/>
      </c>
      <c r="I292" s="18" t="str">
        <f>IF(KENKO[[#This Row],[ID NOTA]]="","",INDEX([2]!NOTA[NO.NOTA],MATCH(KENKO[[#This Row],[ID NOTA]],[2]!NOTA[ID],0)))</f>
        <v/>
      </c>
      <c r="J292" s="4" t="str">
        <f ca="1">IF(KENKO[[#This Row],[//]]="","",INDEX([4]!db[NB PAJAK],KENKO[[#This Row],[stt]]-1))</f>
        <v/>
      </c>
      <c r="K292" s="6" t="str">
        <f>""</f>
        <v/>
      </c>
      <c r="L292" s="6" t="str">
        <f ca="1">IF(KENKO[[#This Row],[//]]="","",IF(INDEX([2]!NOTA[QTY],KENKO[//]-2)="",INDEX([2]!NOTA[C],KENKO[//]-2),INDEX([2]!NOTA[QTY],KENKO[//]-2)))</f>
        <v/>
      </c>
      <c r="M292" s="6" t="str">
        <f ca="1">IF(KENKO[[#This Row],[//]]="","",IF(INDEX([2]!NOTA[STN],KENKO[//]-2)="","CTN",INDEX([2]!NOTA[STN],KENKO[//]-2)))</f>
        <v/>
      </c>
      <c r="N292" s="5" t="str">
        <f ca="1">IF(KENKO[[#This Row],[//]]="","",IF(INDEX([2]!NOTA[HARGA/ CTN],KENKO[[#This Row],[//]]-2)="",INDEX([2]!NOTA[HARGA SATUAN],KENKO[//]-2),INDEX([2]!NOTA[HARGA/ CTN],KENKO[[#This Row],[//]]-2)))</f>
        <v/>
      </c>
      <c r="O292" s="7" t="str">
        <f ca="1">IF(KENKO[[#This Row],[//]]="","",IF(INDEX([2]!NOTA[DISC 2],KENKO[[#This Row],[//]]-2)=0,"",INDEX([2]!NOTA[DISC 2],KENKO[[#This Row],[//]]-2)))</f>
        <v/>
      </c>
      <c r="P292" s="7"/>
      <c r="Q29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2" s="4" t="str">
        <f ca="1">IF(KENKO[[#This Row],[//]]="","",INDEX([2]!NOTA[NAMA BARANG],KENKO[[#This Row],[//]]-2))</f>
        <v/>
      </c>
      <c r="V292" s="4" t="str">
        <f ca="1">LOWER(SUBSTITUTE(SUBSTITUTE(SUBSTITUTE(SUBSTITUTE(SUBSTITUTE(SUBSTITUTE(SUBSTITUTE(SUBSTITUTE(KENKO[[#This Row],[N.B.nota]]," ",""),"-",""),"(",""),")",""),".",""),",",""),"/",""),"""",""))</f>
        <v/>
      </c>
      <c r="W292" s="6" t="str">
        <f ca="1">IF(KENKO[[#This Row],[concat]]="","",MATCH(KENKO[[#This Row],[concat]],[4]!db[NB NOTA_C],0)+1)</f>
        <v/>
      </c>
      <c r="X292" s="4" t="str">
        <f ca="1">IF(KENKO[[#This Row],[N.B.nota]]="","",ADDRESS(ROW(KENKO[QB]),COLUMN(KENKO[QB]))&amp;":"&amp;ADDRESS(ROW(),COLUMN(KENKO[QB])))</f>
        <v/>
      </c>
      <c r="Y292" s="13" t="str">
        <f ca="1">IF(KENKO[[#This Row],[//]]="","",HYPERLINK("[..\\DB.xlsx]DB!e"&amp;KENKO[[#This Row],[stt]],"&gt;"))</f>
        <v/>
      </c>
      <c r="Z292" s="4" t="str">
        <f ca="1">IF(KENKO[[#This Row],[//]]="","",IF(KENKO[[#This Row],[ID NOTA]]="",Z291,KENKO[[#This Row],[ID NOTA]]))</f>
        <v/>
      </c>
    </row>
    <row r="293" spans="1:26" ht="15" customHeight="1" x14ac:dyDescent="0.25">
      <c r="A293" s="4"/>
      <c r="B293" s="6" t="str">
        <f>IF(KENKO[[#This Row],[N_ID]]="","",INDEX(Table1[ID],MATCH(KENKO[[#This Row],[N_ID]],Table1[N_ID],0)))</f>
        <v/>
      </c>
      <c r="C293" s="6" t="str">
        <f>IF(KENKO[[#This Row],[ID NOTA]]="","",HYPERLINK("[NOTA_.xlsx]NOTA!e"&amp;INDEX([2]!PAJAK[//],MATCH(KENKO[[#This Row],[ID NOTA]],[2]!PAJAK[ID],0)),"&gt;") )</f>
        <v/>
      </c>
      <c r="D293" s="6" t="str">
        <f>IF(KENKO[[#This Row],[ID NOTA]]="","",INDEX(Table1[QB],MATCH(KENKO[[#This Row],[ID NOTA]],Table1[ID],0)))</f>
        <v/>
      </c>
      <c r="E29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3" s="6"/>
      <c r="G293" s="3" t="str">
        <f>IF(KENKO[[#This Row],[ID NOTA]]="","",INDEX([2]!NOTA[TGL_H],MATCH(KENKO[[#This Row],[ID NOTA]],[2]!NOTA[ID],0)))</f>
        <v/>
      </c>
      <c r="H293" s="3" t="str">
        <f>IF(KENKO[[#This Row],[ID NOTA]]="","",INDEX([2]!NOTA[TGL.NOTA],MATCH(KENKO[[#This Row],[ID NOTA]],[2]!NOTA[ID],0)))</f>
        <v/>
      </c>
      <c r="I293" s="18" t="str">
        <f>IF(KENKO[[#This Row],[ID NOTA]]="","",INDEX([2]!NOTA[NO.NOTA],MATCH(KENKO[[#This Row],[ID NOTA]],[2]!NOTA[ID],0)))</f>
        <v/>
      </c>
      <c r="J293" s="4" t="str">
        <f ca="1">IF(KENKO[[#This Row],[//]]="","",INDEX([4]!db[NB PAJAK],KENKO[[#This Row],[stt]]-1))</f>
        <v/>
      </c>
      <c r="K293" s="6" t="str">
        <f>""</f>
        <v/>
      </c>
      <c r="L293" s="6" t="str">
        <f ca="1">IF(KENKO[[#This Row],[//]]="","",IF(INDEX([2]!NOTA[QTY],KENKO[//]-2)="",INDEX([2]!NOTA[C],KENKO[//]-2),INDEX([2]!NOTA[QTY],KENKO[//]-2)))</f>
        <v/>
      </c>
      <c r="M293" s="6" t="str">
        <f ca="1">IF(KENKO[[#This Row],[//]]="","",IF(INDEX([2]!NOTA[STN],KENKO[//]-2)="","CTN",INDEX([2]!NOTA[STN],KENKO[//]-2)))</f>
        <v/>
      </c>
      <c r="N293" s="5" t="str">
        <f ca="1">IF(KENKO[[#This Row],[//]]="","",IF(INDEX([2]!NOTA[HARGA/ CTN],KENKO[[#This Row],[//]]-2)="",INDEX([2]!NOTA[HARGA SATUAN],KENKO[//]-2),INDEX([2]!NOTA[HARGA/ CTN],KENKO[[#This Row],[//]]-2)))</f>
        <v/>
      </c>
      <c r="O293" s="7" t="str">
        <f ca="1">IF(KENKO[[#This Row],[//]]="","",IF(INDEX([2]!NOTA[DISC 2],KENKO[[#This Row],[//]]-2)=0,"",INDEX([2]!NOTA[DISC 2],KENKO[[#This Row],[//]]-2)))</f>
        <v/>
      </c>
      <c r="P293" s="7"/>
      <c r="Q29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3" s="4" t="str">
        <f ca="1">IF(KENKO[[#This Row],[//]]="","",INDEX([2]!NOTA[NAMA BARANG],KENKO[[#This Row],[//]]-2))</f>
        <v/>
      </c>
      <c r="V293" s="4" t="str">
        <f ca="1">LOWER(SUBSTITUTE(SUBSTITUTE(SUBSTITUTE(SUBSTITUTE(SUBSTITUTE(SUBSTITUTE(SUBSTITUTE(SUBSTITUTE(KENKO[[#This Row],[N.B.nota]]," ",""),"-",""),"(",""),")",""),".",""),",",""),"/",""),"""",""))</f>
        <v/>
      </c>
      <c r="W293" s="6" t="str">
        <f ca="1">IF(KENKO[[#This Row],[concat]]="","",MATCH(KENKO[[#This Row],[concat]],[4]!db[NB NOTA_C],0)+1)</f>
        <v/>
      </c>
      <c r="X293" s="4" t="str">
        <f ca="1">IF(KENKO[[#This Row],[N.B.nota]]="","",ADDRESS(ROW(KENKO[QB]),COLUMN(KENKO[QB]))&amp;":"&amp;ADDRESS(ROW(),COLUMN(KENKO[QB])))</f>
        <v/>
      </c>
      <c r="Y293" s="13" t="str">
        <f ca="1">IF(KENKO[[#This Row],[//]]="","",HYPERLINK("[..\\DB.xlsx]DB!e"&amp;KENKO[[#This Row],[stt]],"&gt;"))</f>
        <v/>
      </c>
      <c r="Z293" s="4" t="str">
        <f ca="1">IF(KENKO[[#This Row],[//]]="","",IF(KENKO[[#This Row],[ID NOTA]]="",Z292,KENKO[[#This Row],[ID NOTA]]))</f>
        <v/>
      </c>
    </row>
    <row r="294" spans="1:26" ht="15" customHeight="1" x14ac:dyDescent="0.25">
      <c r="A294" s="4"/>
      <c r="B294" s="6" t="str">
        <f>IF(KENKO[[#This Row],[N_ID]]="","",INDEX(Table1[ID],MATCH(KENKO[[#This Row],[N_ID]],Table1[N_ID],0)))</f>
        <v/>
      </c>
      <c r="C294" s="6" t="str">
        <f>IF(KENKO[[#This Row],[ID NOTA]]="","",HYPERLINK("[NOTA_.xlsx]NOTA!e"&amp;INDEX([2]!PAJAK[//],MATCH(KENKO[[#This Row],[ID NOTA]],[2]!PAJAK[ID],0)),"&gt;") )</f>
        <v/>
      </c>
      <c r="D294" s="6" t="str">
        <f>IF(KENKO[[#This Row],[ID NOTA]]="","",INDEX(Table1[QB],MATCH(KENKO[[#This Row],[ID NOTA]],Table1[ID],0)))</f>
        <v/>
      </c>
      <c r="E29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4" s="6"/>
      <c r="G294" s="3" t="str">
        <f>IF(KENKO[[#This Row],[ID NOTA]]="","",INDEX([2]!NOTA[TGL_H],MATCH(KENKO[[#This Row],[ID NOTA]],[2]!NOTA[ID],0)))</f>
        <v/>
      </c>
      <c r="H294" s="3" t="str">
        <f>IF(KENKO[[#This Row],[ID NOTA]]="","",INDEX([2]!NOTA[TGL.NOTA],MATCH(KENKO[[#This Row],[ID NOTA]],[2]!NOTA[ID],0)))</f>
        <v/>
      </c>
      <c r="I294" s="18" t="str">
        <f>IF(KENKO[[#This Row],[ID NOTA]]="","",INDEX([2]!NOTA[NO.NOTA],MATCH(KENKO[[#This Row],[ID NOTA]],[2]!NOTA[ID],0)))</f>
        <v/>
      </c>
      <c r="J294" s="4" t="str">
        <f ca="1">IF(KENKO[[#This Row],[//]]="","",INDEX([4]!db[NB PAJAK],KENKO[[#This Row],[stt]]-1))</f>
        <v/>
      </c>
      <c r="K294" s="6" t="str">
        <f>""</f>
        <v/>
      </c>
      <c r="L294" s="6" t="str">
        <f ca="1">IF(KENKO[[#This Row],[//]]="","",IF(INDEX([2]!NOTA[QTY],KENKO[//]-2)="",INDEX([2]!NOTA[C],KENKO[//]-2),INDEX([2]!NOTA[QTY],KENKO[//]-2)))</f>
        <v/>
      </c>
      <c r="M294" s="6" t="str">
        <f ca="1">IF(KENKO[[#This Row],[//]]="","",IF(INDEX([2]!NOTA[STN],KENKO[//]-2)="","CTN",INDEX([2]!NOTA[STN],KENKO[//]-2)))</f>
        <v/>
      </c>
      <c r="N294" s="5" t="str">
        <f ca="1">IF(KENKO[[#This Row],[//]]="","",IF(INDEX([2]!NOTA[HARGA/ CTN],KENKO[[#This Row],[//]]-2)="",INDEX([2]!NOTA[HARGA SATUAN],KENKO[//]-2),INDEX([2]!NOTA[HARGA/ CTN],KENKO[[#This Row],[//]]-2)))</f>
        <v/>
      </c>
      <c r="O294" s="7" t="str">
        <f ca="1">IF(KENKO[[#This Row],[//]]="","",IF(INDEX([2]!NOTA[DISC 2],KENKO[[#This Row],[//]]-2)=0,"",INDEX([2]!NOTA[DISC 2],KENKO[[#This Row],[//]]-2)))</f>
        <v/>
      </c>
      <c r="P294" s="7"/>
      <c r="Q29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4" s="4" t="str">
        <f ca="1">IF(KENKO[[#This Row],[//]]="","",INDEX([2]!NOTA[NAMA BARANG],KENKO[[#This Row],[//]]-2))</f>
        <v/>
      </c>
      <c r="V294" s="4" t="str">
        <f ca="1">LOWER(SUBSTITUTE(SUBSTITUTE(SUBSTITUTE(SUBSTITUTE(SUBSTITUTE(SUBSTITUTE(SUBSTITUTE(SUBSTITUTE(KENKO[[#This Row],[N.B.nota]]," ",""),"-",""),"(",""),")",""),".",""),",",""),"/",""),"""",""))</f>
        <v/>
      </c>
      <c r="W294" s="6" t="str">
        <f ca="1">IF(KENKO[[#This Row],[concat]]="","",MATCH(KENKO[[#This Row],[concat]],[4]!db[NB NOTA_C],0)+1)</f>
        <v/>
      </c>
      <c r="X294" s="4" t="str">
        <f ca="1">IF(KENKO[[#This Row],[N.B.nota]]="","",ADDRESS(ROW(KENKO[QB]),COLUMN(KENKO[QB]))&amp;":"&amp;ADDRESS(ROW(),COLUMN(KENKO[QB])))</f>
        <v/>
      </c>
      <c r="Y294" s="13" t="str">
        <f ca="1">IF(KENKO[[#This Row],[//]]="","",HYPERLINK("[..\\DB.xlsx]DB!e"&amp;KENKO[[#This Row],[stt]],"&gt;"))</f>
        <v/>
      </c>
      <c r="Z294" s="4" t="str">
        <f ca="1">IF(KENKO[[#This Row],[//]]="","",IF(KENKO[[#This Row],[ID NOTA]]="",Z293,KENKO[[#This Row],[ID NOTA]]))</f>
        <v/>
      </c>
    </row>
    <row r="295" spans="1:26" ht="15" customHeight="1" x14ac:dyDescent="0.25">
      <c r="A295" s="4"/>
      <c r="B295" s="6" t="str">
        <f>IF(KENKO[[#This Row],[N_ID]]="","",INDEX(Table1[ID],MATCH(KENKO[[#This Row],[N_ID]],Table1[N_ID],0)))</f>
        <v/>
      </c>
      <c r="C295" s="6" t="str">
        <f>IF(KENKO[[#This Row],[ID NOTA]]="","",HYPERLINK("[NOTA_.xlsx]NOTA!e"&amp;INDEX([2]!PAJAK[//],MATCH(KENKO[[#This Row],[ID NOTA]],[2]!PAJAK[ID],0)),"&gt;") )</f>
        <v/>
      </c>
      <c r="D295" s="6" t="str">
        <f>IF(KENKO[[#This Row],[ID NOTA]]="","",INDEX(Table1[QB],MATCH(KENKO[[#This Row],[ID NOTA]],Table1[ID],0)))</f>
        <v/>
      </c>
      <c r="E29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5" s="6"/>
      <c r="G295" s="3" t="str">
        <f>IF(KENKO[[#This Row],[ID NOTA]]="","",INDEX([2]!NOTA[TGL_H],MATCH(KENKO[[#This Row],[ID NOTA]],[2]!NOTA[ID],0)))</f>
        <v/>
      </c>
      <c r="H295" s="3" t="str">
        <f>IF(KENKO[[#This Row],[ID NOTA]]="","",INDEX([2]!NOTA[TGL.NOTA],MATCH(KENKO[[#This Row],[ID NOTA]],[2]!NOTA[ID],0)))</f>
        <v/>
      </c>
      <c r="I295" s="18" t="str">
        <f>IF(KENKO[[#This Row],[ID NOTA]]="","",INDEX([2]!NOTA[NO.NOTA],MATCH(KENKO[[#This Row],[ID NOTA]],[2]!NOTA[ID],0)))</f>
        <v/>
      </c>
      <c r="J295" s="4" t="str">
        <f ca="1">IF(KENKO[[#This Row],[//]]="","",INDEX([4]!db[NB PAJAK],KENKO[[#This Row],[stt]]-1))</f>
        <v/>
      </c>
      <c r="K295" s="6" t="str">
        <f>""</f>
        <v/>
      </c>
      <c r="L295" s="6" t="str">
        <f ca="1">IF(KENKO[[#This Row],[//]]="","",IF(INDEX([2]!NOTA[QTY],KENKO[//]-2)="",INDEX([2]!NOTA[C],KENKO[//]-2),INDEX([2]!NOTA[QTY],KENKO[//]-2)))</f>
        <v/>
      </c>
      <c r="M295" s="6" t="str">
        <f ca="1">IF(KENKO[[#This Row],[//]]="","",IF(INDEX([2]!NOTA[STN],KENKO[//]-2)="","CTN",INDEX([2]!NOTA[STN],KENKO[//]-2)))</f>
        <v/>
      </c>
      <c r="N295" s="5" t="str">
        <f ca="1">IF(KENKO[[#This Row],[//]]="","",IF(INDEX([2]!NOTA[HARGA/ CTN],KENKO[[#This Row],[//]]-2)="",INDEX([2]!NOTA[HARGA SATUAN],KENKO[//]-2),INDEX([2]!NOTA[HARGA/ CTN],KENKO[[#This Row],[//]]-2)))</f>
        <v/>
      </c>
      <c r="O295" s="7" t="str">
        <f ca="1">IF(KENKO[[#This Row],[//]]="","",IF(INDEX([2]!NOTA[DISC 2],KENKO[[#This Row],[//]]-2)=0,"",INDEX([2]!NOTA[DISC 2],KENKO[[#This Row],[//]]-2)))</f>
        <v/>
      </c>
      <c r="P295" s="7"/>
      <c r="Q29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5" s="4" t="str">
        <f ca="1">IF(KENKO[[#This Row],[//]]="","",INDEX([2]!NOTA[NAMA BARANG],KENKO[[#This Row],[//]]-2))</f>
        <v/>
      </c>
      <c r="V295" s="4" t="str">
        <f ca="1">LOWER(SUBSTITUTE(SUBSTITUTE(SUBSTITUTE(SUBSTITUTE(SUBSTITUTE(SUBSTITUTE(SUBSTITUTE(SUBSTITUTE(KENKO[[#This Row],[N.B.nota]]," ",""),"-",""),"(",""),")",""),".",""),",",""),"/",""),"""",""))</f>
        <v/>
      </c>
      <c r="W295" s="6" t="str">
        <f ca="1">IF(KENKO[[#This Row],[concat]]="","",MATCH(KENKO[[#This Row],[concat]],[4]!db[NB NOTA_C],0)+1)</f>
        <v/>
      </c>
      <c r="X295" s="4" t="str">
        <f ca="1">IF(KENKO[[#This Row],[N.B.nota]]="","",ADDRESS(ROW(KENKO[QB]),COLUMN(KENKO[QB]))&amp;":"&amp;ADDRESS(ROW(),COLUMN(KENKO[QB])))</f>
        <v/>
      </c>
      <c r="Y295" s="13" t="str">
        <f ca="1">IF(KENKO[[#This Row],[//]]="","",HYPERLINK("[..\\DB.xlsx]DB!e"&amp;KENKO[[#This Row],[stt]],"&gt;"))</f>
        <v/>
      </c>
      <c r="Z295" s="4" t="str">
        <f ca="1">IF(KENKO[[#This Row],[//]]="","",IF(KENKO[[#This Row],[ID NOTA]]="",Z294,KENKO[[#This Row],[ID NOTA]]))</f>
        <v/>
      </c>
    </row>
    <row r="296" spans="1:26" ht="15" customHeight="1" x14ac:dyDescent="0.25">
      <c r="A296" s="4"/>
      <c r="B296" s="6" t="str">
        <f>IF(KENKO[[#This Row],[N_ID]]="","",INDEX(Table1[ID],MATCH(KENKO[[#This Row],[N_ID]],Table1[N_ID],0)))</f>
        <v/>
      </c>
      <c r="C296" s="6" t="str">
        <f>IF(KENKO[[#This Row],[ID NOTA]]="","",HYPERLINK("[NOTA_.xlsx]NOTA!e"&amp;INDEX([2]!PAJAK[//],MATCH(KENKO[[#This Row],[ID NOTA]],[2]!PAJAK[ID],0)),"&gt;") )</f>
        <v/>
      </c>
      <c r="D296" s="6" t="str">
        <f>IF(KENKO[[#This Row],[ID NOTA]]="","",INDEX(Table1[QB],MATCH(KENKO[[#This Row],[ID NOTA]],Table1[ID],0)))</f>
        <v/>
      </c>
      <c r="E29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6" s="6"/>
      <c r="G296" s="3" t="str">
        <f>IF(KENKO[[#This Row],[ID NOTA]]="","",INDEX([2]!NOTA[TGL_H],MATCH(KENKO[[#This Row],[ID NOTA]],[2]!NOTA[ID],0)))</f>
        <v/>
      </c>
      <c r="H296" s="3" t="str">
        <f>IF(KENKO[[#This Row],[ID NOTA]]="","",INDEX([2]!NOTA[TGL.NOTA],MATCH(KENKO[[#This Row],[ID NOTA]],[2]!NOTA[ID],0)))</f>
        <v/>
      </c>
      <c r="I296" s="18" t="str">
        <f>IF(KENKO[[#This Row],[ID NOTA]]="","",INDEX([2]!NOTA[NO.NOTA],MATCH(KENKO[[#This Row],[ID NOTA]],[2]!NOTA[ID],0)))</f>
        <v/>
      </c>
      <c r="J296" s="4" t="str">
        <f ca="1">IF(KENKO[[#This Row],[//]]="","",INDEX([4]!db[NB PAJAK],KENKO[[#This Row],[stt]]-1))</f>
        <v/>
      </c>
      <c r="K296" s="6" t="str">
        <f>""</f>
        <v/>
      </c>
      <c r="L296" s="6" t="str">
        <f ca="1">IF(KENKO[[#This Row],[//]]="","",IF(INDEX([2]!NOTA[QTY],KENKO[//]-2)="",INDEX([2]!NOTA[C],KENKO[//]-2),INDEX([2]!NOTA[QTY],KENKO[//]-2)))</f>
        <v/>
      </c>
      <c r="M296" s="6" t="str">
        <f ca="1">IF(KENKO[[#This Row],[//]]="","",IF(INDEX([2]!NOTA[STN],KENKO[//]-2)="","CTN",INDEX([2]!NOTA[STN],KENKO[//]-2)))</f>
        <v/>
      </c>
      <c r="N296" s="5" t="str">
        <f ca="1">IF(KENKO[[#This Row],[//]]="","",IF(INDEX([2]!NOTA[HARGA/ CTN],KENKO[[#This Row],[//]]-2)="",INDEX([2]!NOTA[HARGA SATUAN],KENKO[//]-2),INDEX([2]!NOTA[HARGA/ CTN],KENKO[[#This Row],[//]]-2)))</f>
        <v/>
      </c>
      <c r="O296" s="7" t="str">
        <f ca="1">IF(KENKO[[#This Row],[//]]="","",IF(INDEX([2]!NOTA[DISC 2],KENKO[[#This Row],[//]]-2)=0,"",INDEX([2]!NOTA[DISC 2],KENKO[[#This Row],[//]]-2)))</f>
        <v/>
      </c>
      <c r="P296" s="7"/>
      <c r="Q29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6" s="4" t="str">
        <f ca="1">IF(KENKO[[#This Row],[//]]="","",INDEX([2]!NOTA[NAMA BARANG],KENKO[[#This Row],[//]]-2))</f>
        <v/>
      </c>
      <c r="V296" s="4" t="str">
        <f ca="1">LOWER(SUBSTITUTE(SUBSTITUTE(SUBSTITUTE(SUBSTITUTE(SUBSTITUTE(SUBSTITUTE(SUBSTITUTE(SUBSTITUTE(KENKO[[#This Row],[N.B.nota]]," ",""),"-",""),"(",""),")",""),".",""),",",""),"/",""),"""",""))</f>
        <v/>
      </c>
      <c r="W296" s="6" t="str">
        <f ca="1">IF(KENKO[[#This Row],[concat]]="","",MATCH(KENKO[[#This Row],[concat]],[4]!db[NB NOTA_C],0)+1)</f>
        <v/>
      </c>
      <c r="X296" s="4" t="str">
        <f ca="1">IF(KENKO[[#This Row],[N.B.nota]]="","",ADDRESS(ROW(KENKO[QB]),COLUMN(KENKO[QB]))&amp;":"&amp;ADDRESS(ROW(),COLUMN(KENKO[QB])))</f>
        <v/>
      </c>
      <c r="Y296" s="13" t="str">
        <f ca="1">IF(KENKO[[#This Row],[//]]="","",HYPERLINK("[..\\DB.xlsx]DB!e"&amp;KENKO[[#This Row],[stt]],"&gt;"))</f>
        <v/>
      </c>
      <c r="Z296" s="4" t="str">
        <f ca="1">IF(KENKO[[#This Row],[//]]="","",IF(KENKO[[#This Row],[ID NOTA]]="",Z295,KENKO[[#This Row],[ID NOTA]]))</f>
        <v/>
      </c>
    </row>
    <row r="297" spans="1:26" ht="15" customHeight="1" x14ac:dyDescent="0.25">
      <c r="A297" s="4"/>
      <c r="B297" s="6" t="str">
        <f>IF(KENKO[[#This Row],[N_ID]]="","",INDEX(Table1[ID],MATCH(KENKO[[#This Row],[N_ID]],Table1[N_ID],0)))</f>
        <v/>
      </c>
      <c r="C297" s="6" t="str">
        <f>IF(KENKO[[#This Row],[ID NOTA]]="","",HYPERLINK("[NOTA_.xlsx]NOTA!e"&amp;INDEX([2]!PAJAK[//],MATCH(KENKO[[#This Row],[ID NOTA]],[2]!PAJAK[ID],0)),"&gt;") )</f>
        <v/>
      </c>
      <c r="D297" s="6" t="str">
        <f>IF(KENKO[[#This Row],[ID NOTA]]="","",INDEX(Table1[QB],MATCH(KENKO[[#This Row],[ID NOTA]],Table1[ID],0)))</f>
        <v/>
      </c>
      <c r="E29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7" s="6"/>
      <c r="G297" s="3" t="str">
        <f>IF(KENKO[[#This Row],[ID NOTA]]="","",INDEX([2]!NOTA[TGL_H],MATCH(KENKO[[#This Row],[ID NOTA]],[2]!NOTA[ID],0)))</f>
        <v/>
      </c>
      <c r="H297" s="3" t="str">
        <f>IF(KENKO[[#This Row],[ID NOTA]]="","",INDEX([2]!NOTA[TGL.NOTA],MATCH(KENKO[[#This Row],[ID NOTA]],[2]!NOTA[ID],0)))</f>
        <v/>
      </c>
      <c r="I297" s="18" t="str">
        <f>IF(KENKO[[#This Row],[ID NOTA]]="","",INDEX([2]!NOTA[NO.NOTA],MATCH(KENKO[[#This Row],[ID NOTA]],[2]!NOTA[ID],0)))</f>
        <v/>
      </c>
      <c r="J297" s="4" t="str">
        <f ca="1">IF(KENKO[[#This Row],[//]]="","",INDEX([4]!db[NB PAJAK],KENKO[[#This Row],[stt]]-1))</f>
        <v/>
      </c>
      <c r="K297" s="6" t="str">
        <f>""</f>
        <v/>
      </c>
      <c r="L297" s="6" t="str">
        <f ca="1">IF(KENKO[[#This Row],[//]]="","",IF(INDEX([2]!NOTA[QTY],KENKO[//]-2)="",INDEX([2]!NOTA[C],KENKO[//]-2),INDEX([2]!NOTA[QTY],KENKO[//]-2)))</f>
        <v/>
      </c>
      <c r="M297" s="6" t="str">
        <f ca="1">IF(KENKO[[#This Row],[//]]="","",IF(INDEX([2]!NOTA[STN],KENKO[//]-2)="","CTN",INDEX([2]!NOTA[STN],KENKO[//]-2)))</f>
        <v/>
      </c>
      <c r="N297" s="5" t="str">
        <f ca="1">IF(KENKO[[#This Row],[//]]="","",IF(INDEX([2]!NOTA[HARGA/ CTN],KENKO[[#This Row],[//]]-2)="",INDEX([2]!NOTA[HARGA SATUAN],KENKO[//]-2),INDEX([2]!NOTA[HARGA/ CTN],KENKO[[#This Row],[//]]-2)))</f>
        <v/>
      </c>
      <c r="O297" s="7" t="str">
        <f ca="1">IF(KENKO[[#This Row],[//]]="","",IF(INDEX([2]!NOTA[DISC 2],KENKO[[#This Row],[//]]-2)=0,"",INDEX([2]!NOTA[DISC 2],KENKO[[#This Row],[//]]-2)))</f>
        <v/>
      </c>
      <c r="P297" s="7"/>
      <c r="Q29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7" s="4" t="str">
        <f ca="1">IF(KENKO[[#This Row],[//]]="","",INDEX([2]!NOTA[NAMA BARANG],KENKO[[#This Row],[//]]-2))</f>
        <v/>
      </c>
      <c r="V297" s="4" t="str">
        <f ca="1">LOWER(SUBSTITUTE(SUBSTITUTE(SUBSTITUTE(SUBSTITUTE(SUBSTITUTE(SUBSTITUTE(SUBSTITUTE(SUBSTITUTE(KENKO[[#This Row],[N.B.nota]]," ",""),"-",""),"(",""),")",""),".",""),",",""),"/",""),"""",""))</f>
        <v/>
      </c>
      <c r="W297" s="6" t="str">
        <f ca="1">IF(KENKO[[#This Row],[concat]]="","",MATCH(KENKO[[#This Row],[concat]],[4]!db[NB NOTA_C],0)+1)</f>
        <v/>
      </c>
      <c r="X297" s="4" t="str">
        <f ca="1">IF(KENKO[[#This Row],[N.B.nota]]="","",ADDRESS(ROW(KENKO[QB]),COLUMN(KENKO[QB]))&amp;":"&amp;ADDRESS(ROW(),COLUMN(KENKO[QB])))</f>
        <v/>
      </c>
      <c r="Y297" s="13" t="str">
        <f ca="1">IF(KENKO[[#This Row],[//]]="","",HYPERLINK("[..\\DB.xlsx]DB!e"&amp;KENKO[[#This Row],[stt]],"&gt;"))</f>
        <v/>
      </c>
      <c r="Z297" s="4" t="str">
        <f ca="1">IF(KENKO[[#This Row],[//]]="","",IF(KENKO[[#This Row],[ID NOTA]]="",Z296,KENKO[[#This Row],[ID NOTA]]))</f>
        <v/>
      </c>
    </row>
    <row r="298" spans="1:26" ht="15" customHeight="1" x14ac:dyDescent="0.25">
      <c r="A298" s="4"/>
      <c r="B298" s="6" t="str">
        <f>IF(KENKO[[#This Row],[N_ID]]="","",INDEX(Table1[ID],MATCH(KENKO[[#This Row],[N_ID]],Table1[N_ID],0)))</f>
        <v/>
      </c>
      <c r="C298" s="6" t="str">
        <f>IF(KENKO[[#This Row],[ID NOTA]]="","",HYPERLINK("[NOTA_.xlsx]NOTA!e"&amp;INDEX([2]!PAJAK[//],MATCH(KENKO[[#This Row],[ID NOTA]],[2]!PAJAK[ID],0)),"&gt;") )</f>
        <v/>
      </c>
      <c r="D298" s="6" t="str">
        <f>IF(KENKO[[#This Row],[ID NOTA]]="","",INDEX(Table1[QB],MATCH(KENKO[[#This Row],[ID NOTA]],Table1[ID],0)))</f>
        <v/>
      </c>
      <c r="E29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8" s="6"/>
      <c r="G298" s="3" t="str">
        <f>IF(KENKO[[#This Row],[ID NOTA]]="","",INDEX([2]!NOTA[TGL_H],MATCH(KENKO[[#This Row],[ID NOTA]],[2]!NOTA[ID],0)))</f>
        <v/>
      </c>
      <c r="H298" s="3" t="str">
        <f>IF(KENKO[[#This Row],[ID NOTA]]="","",INDEX([2]!NOTA[TGL.NOTA],MATCH(KENKO[[#This Row],[ID NOTA]],[2]!NOTA[ID],0)))</f>
        <v/>
      </c>
      <c r="I298" s="18" t="str">
        <f>IF(KENKO[[#This Row],[ID NOTA]]="","",INDEX([2]!NOTA[NO.NOTA],MATCH(KENKO[[#This Row],[ID NOTA]],[2]!NOTA[ID],0)))</f>
        <v/>
      </c>
      <c r="J298" s="4" t="str">
        <f ca="1">IF(KENKO[[#This Row],[//]]="","",INDEX([4]!db[NB PAJAK],KENKO[[#This Row],[stt]]-1))</f>
        <v/>
      </c>
      <c r="K298" s="6" t="str">
        <f>""</f>
        <v/>
      </c>
      <c r="L298" s="6" t="str">
        <f ca="1">IF(KENKO[[#This Row],[//]]="","",IF(INDEX([2]!NOTA[QTY],KENKO[//]-2)="",INDEX([2]!NOTA[C],KENKO[//]-2),INDEX([2]!NOTA[QTY],KENKO[//]-2)))</f>
        <v/>
      </c>
      <c r="M298" s="6" t="str">
        <f ca="1">IF(KENKO[[#This Row],[//]]="","",IF(INDEX([2]!NOTA[STN],KENKO[//]-2)="","CTN",INDEX([2]!NOTA[STN],KENKO[//]-2)))</f>
        <v/>
      </c>
      <c r="N298" s="5" t="str">
        <f ca="1">IF(KENKO[[#This Row],[//]]="","",IF(INDEX([2]!NOTA[HARGA/ CTN],KENKO[[#This Row],[//]]-2)="",INDEX([2]!NOTA[HARGA SATUAN],KENKO[//]-2),INDEX([2]!NOTA[HARGA/ CTN],KENKO[[#This Row],[//]]-2)))</f>
        <v/>
      </c>
      <c r="O298" s="7" t="str">
        <f ca="1">IF(KENKO[[#This Row],[//]]="","",IF(INDEX([2]!NOTA[DISC 2],KENKO[[#This Row],[//]]-2)=0,"",INDEX([2]!NOTA[DISC 2],KENKO[[#This Row],[//]]-2)))</f>
        <v/>
      </c>
      <c r="P298" s="7"/>
      <c r="Q29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8" s="4" t="str">
        <f ca="1">IF(KENKO[[#This Row],[//]]="","",INDEX([2]!NOTA[NAMA BARANG],KENKO[[#This Row],[//]]-2))</f>
        <v/>
      </c>
      <c r="V298" s="4" t="str">
        <f ca="1">LOWER(SUBSTITUTE(SUBSTITUTE(SUBSTITUTE(SUBSTITUTE(SUBSTITUTE(SUBSTITUTE(SUBSTITUTE(SUBSTITUTE(KENKO[[#This Row],[N.B.nota]]," ",""),"-",""),"(",""),")",""),".",""),",",""),"/",""),"""",""))</f>
        <v/>
      </c>
      <c r="W298" s="6" t="str">
        <f ca="1">IF(KENKO[[#This Row],[concat]]="","",MATCH(KENKO[[#This Row],[concat]],[4]!db[NB NOTA_C],0)+1)</f>
        <v/>
      </c>
      <c r="X298" s="4" t="str">
        <f ca="1">IF(KENKO[[#This Row],[N.B.nota]]="","",ADDRESS(ROW(KENKO[QB]),COLUMN(KENKO[QB]))&amp;":"&amp;ADDRESS(ROW(),COLUMN(KENKO[QB])))</f>
        <v/>
      </c>
      <c r="Y298" s="13" t="str">
        <f ca="1">IF(KENKO[[#This Row],[//]]="","",HYPERLINK("[..\\DB.xlsx]DB!e"&amp;KENKO[[#This Row],[stt]],"&gt;"))</f>
        <v/>
      </c>
      <c r="Z298" s="4" t="str">
        <f ca="1">IF(KENKO[[#This Row],[//]]="","",IF(KENKO[[#This Row],[ID NOTA]]="",Z297,KENKO[[#This Row],[ID NOTA]]))</f>
        <v/>
      </c>
    </row>
    <row r="299" spans="1:26" ht="15" customHeight="1" x14ac:dyDescent="0.25">
      <c r="A299" s="4"/>
      <c r="B299" s="6" t="str">
        <f>IF(KENKO[[#This Row],[N_ID]]="","",INDEX(Table1[ID],MATCH(KENKO[[#This Row],[N_ID]],Table1[N_ID],0)))</f>
        <v/>
      </c>
      <c r="C299" s="6" t="str">
        <f>IF(KENKO[[#This Row],[ID NOTA]]="","",HYPERLINK("[NOTA_.xlsx]NOTA!e"&amp;INDEX([2]!PAJAK[//],MATCH(KENKO[[#This Row],[ID NOTA]],[2]!PAJAK[ID],0)),"&gt;") )</f>
        <v/>
      </c>
      <c r="D299" s="6" t="str">
        <f>IF(KENKO[[#This Row],[ID NOTA]]="","",INDEX(Table1[QB],MATCH(KENKO[[#This Row],[ID NOTA]],Table1[ID],0)))</f>
        <v/>
      </c>
      <c r="E29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9" s="6"/>
      <c r="G299" s="3" t="str">
        <f>IF(KENKO[[#This Row],[ID NOTA]]="","",INDEX([2]!NOTA[TGL_H],MATCH(KENKO[[#This Row],[ID NOTA]],[2]!NOTA[ID],0)))</f>
        <v/>
      </c>
      <c r="H299" s="3" t="str">
        <f>IF(KENKO[[#This Row],[ID NOTA]]="","",INDEX([2]!NOTA[TGL.NOTA],MATCH(KENKO[[#This Row],[ID NOTA]],[2]!NOTA[ID],0)))</f>
        <v/>
      </c>
      <c r="I299" s="18" t="str">
        <f>IF(KENKO[[#This Row],[ID NOTA]]="","",INDEX([2]!NOTA[NO.NOTA],MATCH(KENKO[[#This Row],[ID NOTA]],[2]!NOTA[ID],0)))</f>
        <v/>
      </c>
      <c r="J299" s="4" t="str">
        <f ca="1">IF(KENKO[[#This Row],[//]]="","",INDEX([4]!db[NB PAJAK],KENKO[[#This Row],[stt]]-1))</f>
        <v/>
      </c>
      <c r="K299" s="6" t="str">
        <f>""</f>
        <v/>
      </c>
      <c r="L299" s="6" t="str">
        <f ca="1">IF(KENKO[[#This Row],[//]]="","",IF(INDEX([2]!NOTA[QTY],KENKO[//]-2)="",INDEX([2]!NOTA[C],KENKO[//]-2),INDEX([2]!NOTA[QTY],KENKO[//]-2)))</f>
        <v/>
      </c>
      <c r="M299" s="6" t="str">
        <f ca="1">IF(KENKO[[#This Row],[//]]="","",IF(INDEX([2]!NOTA[STN],KENKO[//]-2)="","CTN",INDEX([2]!NOTA[STN],KENKO[//]-2)))</f>
        <v/>
      </c>
      <c r="N299" s="5" t="str">
        <f ca="1">IF(KENKO[[#This Row],[//]]="","",IF(INDEX([2]!NOTA[HARGA/ CTN],KENKO[[#This Row],[//]]-2)="",INDEX([2]!NOTA[HARGA SATUAN],KENKO[//]-2),INDEX([2]!NOTA[HARGA/ CTN],KENKO[[#This Row],[//]]-2)))</f>
        <v/>
      </c>
      <c r="O299" s="7" t="str">
        <f ca="1">IF(KENKO[[#This Row],[//]]="","",IF(INDEX([2]!NOTA[DISC 2],KENKO[[#This Row],[//]]-2)=0,"",INDEX([2]!NOTA[DISC 2],KENKO[[#This Row],[//]]-2)))</f>
        <v/>
      </c>
      <c r="P299" s="7"/>
      <c r="Q29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9" s="4" t="str">
        <f ca="1">IF(KENKO[[#This Row],[//]]="","",INDEX([2]!NOTA[NAMA BARANG],KENKO[[#This Row],[//]]-2))</f>
        <v/>
      </c>
      <c r="V299" s="4" t="str">
        <f ca="1">LOWER(SUBSTITUTE(SUBSTITUTE(SUBSTITUTE(SUBSTITUTE(SUBSTITUTE(SUBSTITUTE(SUBSTITUTE(SUBSTITUTE(KENKO[[#This Row],[N.B.nota]]," ",""),"-",""),"(",""),")",""),".",""),",",""),"/",""),"""",""))</f>
        <v/>
      </c>
      <c r="W299" s="6" t="str">
        <f ca="1">IF(KENKO[[#This Row],[concat]]="","",MATCH(KENKO[[#This Row],[concat]],[4]!db[NB NOTA_C],0)+1)</f>
        <v/>
      </c>
      <c r="X299" s="4" t="str">
        <f ca="1">IF(KENKO[[#This Row],[N.B.nota]]="","",ADDRESS(ROW(KENKO[QB]),COLUMN(KENKO[QB]))&amp;":"&amp;ADDRESS(ROW(),COLUMN(KENKO[QB])))</f>
        <v/>
      </c>
      <c r="Y299" s="13" t="str">
        <f ca="1">IF(KENKO[[#This Row],[//]]="","",HYPERLINK("[..\\DB.xlsx]DB!e"&amp;KENKO[[#This Row],[stt]],"&gt;"))</f>
        <v/>
      </c>
      <c r="Z299" s="4" t="str">
        <f ca="1">IF(KENKO[[#This Row],[//]]="","",IF(KENKO[[#This Row],[ID NOTA]]="",Z298,KENKO[[#This Row],[ID NOTA]]))</f>
        <v/>
      </c>
    </row>
    <row r="300" spans="1:26" ht="15" customHeight="1" x14ac:dyDescent="0.25">
      <c r="A300" s="2"/>
      <c r="B300" s="8" t="str">
        <f>IF(KENKO[[#This Row],[N_ID]]="","",INDEX(Table1[ID],MATCH(KENKO[[#This Row],[N_ID]],Table1[N_ID],0)))</f>
        <v/>
      </c>
      <c r="C300" s="8" t="str">
        <f>IF(KENKO[[#This Row],[ID NOTA]]="","",HYPERLINK("[NOTA_.xlsx]NOTA!e"&amp;INDEX([2]!PAJAK[//],MATCH(KENKO[[#This Row],[ID NOTA]],[2]!PAJAK[ID],0)),"&gt;") )</f>
        <v/>
      </c>
      <c r="D300" s="8" t="str">
        <f>IF(KENKO[[#This Row],[ID NOTA]]="","",INDEX(Table1[QB],MATCH(KENKO[[#This Row],[ID NOTA]],Table1[ID],0)))</f>
        <v/>
      </c>
      <c r="E30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0" s="6"/>
      <c r="G300" s="9" t="str">
        <f>IF(KENKO[[#This Row],[ID NOTA]]="","",INDEX([2]!NOTA[TGL_H],MATCH(KENKO[[#This Row],[ID NOTA]],[2]!NOTA[ID],0)))</f>
        <v/>
      </c>
      <c r="H300" s="9" t="str">
        <f>IF(KENKO[[#This Row],[ID NOTA]]="","",INDEX([2]!NOTA[TGL.NOTA],MATCH(KENKO[[#This Row],[ID NOTA]],[2]!NOTA[ID],0)))</f>
        <v/>
      </c>
      <c r="I300" s="16" t="str">
        <f>IF(KENKO[[#This Row],[ID NOTA]]="","",INDEX([2]!NOTA[NO.NOTA],MATCH(KENKO[[#This Row],[ID NOTA]],[2]!NOTA[ID],0)))</f>
        <v/>
      </c>
      <c r="J300" s="16" t="str">
        <f ca="1">IF(KENKO[[#This Row],[//]]="","",INDEX([4]!db[NB PAJAK],KENKO[[#This Row],[stt]]-1))</f>
        <v/>
      </c>
      <c r="K300" s="8" t="str">
        <f>""</f>
        <v/>
      </c>
      <c r="L300" s="8" t="str">
        <f ca="1">IF(KENKO[[#This Row],[//]]="","",IF(INDEX([2]!NOTA[QTY],KENKO[//]-2)="",INDEX([2]!NOTA[C],KENKO[//]-2),INDEX([2]!NOTA[QTY],KENKO[//]-2)))</f>
        <v/>
      </c>
      <c r="M300" s="8" t="str">
        <f ca="1">IF(KENKO[[#This Row],[//]]="","",IF(INDEX([2]!NOTA[STN],KENKO[//]-2)="","CTN",INDEX([2]!NOTA[STN],KENKO[//]-2)))</f>
        <v/>
      </c>
      <c r="N300" s="17" t="str">
        <f ca="1">IF(KENKO[[#This Row],[//]]="","",IF(INDEX([2]!NOTA[HARGA/ CTN],KENKO[[#This Row],[//]]-2)="",INDEX([2]!NOTA[HARGA SATUAN],KENKO[//]-2),INDEX([2]!NOTA[HARGA/ CTN],KENKO[[#This Row],[//]]-2)))</f>
        <v/>
      </c>
      <c r="O300" s="19" t="str">
        <f ca="1">IF(KENKO[[#This Row],[//]]="","",IF(INDEX([2]!NOTA[DISC 2],KENKO[[#This Row],[//]]-2)=0,"",INDEX([2]!NOTA[DISC 2],KENKO[[#This Row],[//]]-2)))</f>
        <v/>
      </c>
      <c r="P300" s="19"/>
      <c r="Q30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0" s="16" t="str">
        <f ca="1">IF(KENKO[[#This Row],[//]]="","",INDEX([2]!NOTA[NAMA BARANG],KENKO[[#This Row],[//]]-2))</f>
        <v/>
      </c>
      <c r="V300" s="16" t="str">
        <f ca="1">LOWER(SUBSTITUTE(SUBSTITUTE(SUBSTITUTE(SUBSTITUTE(SUBSTITUTE(SUBSTITUTE(SUBSTITUTE(SUBSTITUTE(KENKO[[#This Row],[N.B.nota]]," ",""),"-",""),"(",""),")",""),".",""),",",""),"/",""),"""",""))</f>
        <v/>
      </c>
      <c r="W300" s="8" t="str">
        <f ca="1">IF(KENKO[[#This Row],[concat]]="","",MATCH(KENKO[[#This Row],[concat]],[4]!db[NB NOTA_C],0)+1)</f>
        <v/>
      </c>
      <c r="X300" s="16" t="str">
        <f ca="1">IF(KENKO[[#This Row],[N.B.nota]]="","",ADDRESS(ROW(KENKO[QB]),COLUMN(KENKO[QB]))&amp;":"&amp;ADDRESS(ROW(),COLUMN(KENKO[QB])))</f>
        <v/>
      </c>
      <c r="Y300" s="16" t="str">
        <f ca="1">IF(KENKO[[#This Row],[//]]="","",HYPERLINK("[..\\DB.xlsx]DB!e"&amp;KENKO[[#This Row],[stt]],"&gt;"))</f>
        <v/>
      </c>
      <c r="Z300" s="4" t="str">
        <f ca="1">IF(KENKO[[#This Row],[//]]="","",IF(KENKO[[#This Row],[ID NOTA]]="",Z299,KENKO[[#This Row],[ID NOTA]]))</f>
        <v/>
      </c>
    </row>
    <row r="301" spans="1:26" ht="15" customHeight="1" x14ac:dyDescent="0.25">
      <c r="A301" s="2"/>
      <c r="B301" s="8" t="str">
        <f>IF(KENKO[[#This Row],[N_ID]]="","",INDEX(Table1[ID],MATCH(KENKO[[#This Row],[N_ID]],Table1[N_ID],0)))</f>
        <v/>
      </c>
      <c r="C301" s="8" t="str">
        <f>IF(KENKO[[#This Row],[ID NOTA]]="","",HYPERLINK("[NOTA_.xlsx]NOTA!e"&amp;INDEX([2]!PAJAK[//],MATCH(KENKO[[#This Row],[ID NOTA]],[2]!PAJAK[ID],0)),"&gt;") )</f>
        <v/>
      </c>
      <c r="D301" s="8" t="str">
        <f>IF(KENKO[[#This Row],[ID NOTA]]="","",INDEX(Table1[QB],MATCH(KENKO[[#This Row],[ID NOTA]],Table1[ID],0)))</f>
        <v/>
      </c>
      <c r="E30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1" s="6"/>
      <c r="G301" s="9" t="str">
        <f>IF(KENKO[[#This Row],[ID NOTA]]="","",INDEX([2]!NOTA[TGL_H],MATCH(KENKO[[#This Row],[ID NOTA]],[2]!NOTA[ID],0)))</f>
        <v/>
      </c>
      <c r="H301" s="9" t="str">
        <f>IF(KENKO[[#This Row],[ID NOTA]]="","",INDEX([2]!NOTA[TGL.NOTA],MATCH(KENKO[[#This Row],[ID NOTA]],[2]!NOTA[ID],0)))</f>
        <v/>
      </c>
      <c r="I301" s="16" t="str">
        <f>IF(KENKO[[#This Row],[ID NOTA]]="","",INDEX([2]!NOTA[NO.NOTA],MATCH(KENKO[[#This Row],[ID NOTA]],[2]!NOTA[ID],0)))</f>
        <v/>
      </c>
      <c r="J301" s="16" t="str">
        <f ca="1">IF(KENKO[[#This Row],[//]]="","",INDEX([4]!db[NB PAJAK],KENKO[[#This Row],[stt]]-1))</f>
        <v/>
      </c>
      <c r="K301" s="8" t="str">
        <f>""</f>
        <v/>
      </c>
      <c r="L301" s="8" t="str">
        <f ca="1">IF(KENKO[[#This Row],[//]]="","",IF(INDEX([2]!NOTA[QTY],KENKO[//]-2)="",INDEX([2]!NOTA[C],KENKO[//]-2),INDEX([2]!NOTA[QTY],KENKO[//]-2)))</f>
        <v/>
      </c>
      <c r="M301" s="8" t="str">
        <f ca="1">IF(KENKO[[#This Row],[//]]="","",IF(INDEX([2]!NOTA[STN],KENKO[//]-2)="","CTN",INDEX([2]!NOTA[STN],KENKO[//]-2)))</f>
        <v/>
      </c>
      <c r="N301" s="17" t="str">
        <f ca="1">IF(KENKO[[#This Row],[//]]="","",IF(INDEX([2]!NOTA[HARGA/ CTN],KENKO[[#This Row],[//]]-2)="",INDEX([2]!NOTA[HARGA SATUAN],KENKO[//]-2),INDEX([2]!NOTA[HARGA/ CTN],KENKO[[#This Row],[//]]-2)))</f>
        <v/>
      </c>
      <c r="O301" s="19" t="str">
        <f ca="1">IF(KENKO[[#This Row],[//]]="","",IF(INDEX([2]!NOTA[DISC 2],KENKO[[#This Row],[//]]-2)=0,"",INDEX([2]!NOTA[DISC 2],KENKO[[#This Row],[//]]-2)))</f>
        <v/>
      </c>
      <c r="P301" s="19"/>
      <c r="Q30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1" s="16" t="str">
        <f ca="1">IF(KENKO[[#This Row],[//]]="","",INDEX([2]!NOTA[NAMA BARANG],KENKO[[#This Row],[//]]-2))</f>
        <v/>
      </c>
      <c r="V301" s="16" t="str">
        <f ca="1">LOWER(SUBSTITUTE(SUBSTITUTE(SUBSTITUTE(SUBSTITUTE(SUBSTITUTE(SUBSTITUTE(SUBSTITUTE(SUBSTITUTE(KENKO[[#This Row],[N.B.nota]]," ",""),"-",""),"(",""),")",""),".",""),",",""),"/",""),"""",""))</f>
        <v/>
      </c>
      <c r="W301" s="8" t="str">
        <f ca="1">IF(KENKO[[#This Row],[concat]]="","",MATCH(KENKO[[#This Row],[concat]],[4]!db[NB NOTA_C],0)+1)</f>
        <v/>
      </c>
      <c r="X301" s="16" t="str">
        <f ca="1">IF(KENKO[[#This Row],[N.B.nota]]="","",ADDRESS(ROW(KENKO[QB]),COLUMN(KENKO[QB]))&amp;":"&amp;ADDRESS(ROW(),COLUMN(KENKO[QB])))</f>
        <v/>
      </c>
      <c r="Y301" s="16" t="str">
        <f ca="1">IF(KENKO[[#This Row],[//]]="","",HYPERLINK("[..\\DB.xlsx]DB!e"&amp;KENKO[[#This Row],[stt]],"&gt;"))</f>
        <v/>
      </c>
      <c r="Z301" s="4" t="str">
        <f ca="1">IF(KENKO[[#This Row],[//]]="","",IF(KENKO[[#This Row],[ID NOTA]]="",Z300,KENKO[[#This Row],[ID NOTA]]))</f>
        <v/>
      </c>
    </row>
    <row r="302" spans="1:26" ht="15" customHeight="1" x14ac:dyDescent="0.25">
      <c r="A302" s="2"/>
      <c r="B302" s="8" t="str">
        <f>IF(KENKO[[#This Row],[N_ID]]="","",INDEX(Table1[ID],MATCH(KENKO[[#This Row],[N_ID]],Table1[N_ID],0)))</f>
        <v/>
      </c>
      <c r="C302" s="8" t="str">
        <f>IF(KENKO[[#This Row],[ID NOTA]]="","",HYPERLINK("[NOTA_.xlsx]NOTA!e"&amp;INDEX([2]!PAJAK[//],MATCH(KENKO[[#This Row],[ID NOTA]],[2]!PAJAK[ID],0)),"&gt;") )</f>
        <v/>
      </c>
      <c r="D302" s="8" t="str">
        <f>IF(KENKO[[#This Row],[ID NOTA]]="","",INDEX(Table1[QB],MATCH(KENKO[[#This Row],[ID NOTA]],Table1[ID],0)))</f>
        <v/>
      </c>
      <c r="E30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2" s="6"/>
      <c r="G302" s="9" t="str">
        <f>IF(KENKO[[#This Row],[ID NOTA]]="","",INDEX([2]!NOTA[TGL_H],MATCH(KENKO[[#This Row],[ID NOTA]],[2]!NOTA[ID],0)))</f>
        <v/>
      </c>
      <c r="H302" s="9" t="str">
        <f>IF(KENKO[[#This Row],[ID NOTA]]="","",INDEX([2]!NOTA[TGL.NOTA],MATCH(KENKO[[#This Row],[ID NOTA]],[2]!NOTA[ID],0)))</f>
        <v/>
      </c>
      <c r="I302" s="16" t="str">
        <f>IF(KENKO[[#This Row],[ID NOTA]]="","",INDEX([2]!NOTA[NO.NOTA],MATCH(KENKO[[#This Row],[ID NOTA]],[2]!NOTA[ID],0)))</f>
        <v/>
      </c>
      <c r="J302" s="16" t="str">
        <f ca="1">IF(KENKO[[#This Row],[//]]="","",INDEX([4]!db[NB PAJAK],KENKO[[#This Row],[stt]]-1))</f>
        <v/>
      </c>
      <c r="K302" s="8" t="str">
        <f>""</f>
        <v/>
      </c>
      <c r="L302" s="8" t="str">
        <f ca="1">IF(KENKO[[#This Row],[//]]="","",IF(INDEX([2]!NOTA[QTY],KENKO[//]-2)="",INDEX([2]!NOTA[C],KENKO[//]-2),INDEX([2]!NOTA[QTY],KENKO[//]-2)))</f>
        <v/>
      </c>
      <c r="M302" s="8" t="str">
        <f ca="1">IF(KENKO[[#This Row],[//]]="","",IF(INDEX([2]!NOTA[STN],KENKO[//]-2)="","CTN",INDEX([2]!NOTA[STN],KENKO[//]-2)))</f>
        <v/>
      </c>
      <c r="N302" s="17" t="str">
        <f ca="1">IF(KENKO[[#This Row],[//]]="","",IF(INDEX([2]!NOTA[HARGA/ CTN],KENKO[[#This Row],[//]]-2)="",INDEX([2]!NOTA[HARGA SATUAN],KENKO[//]-2),INDEX([2]!NOTA[HARGA/ CTN],KENKO[[#This Row],[//]]-2)))</f>
        <v/>
      </c>
      <c r="O302" s="19" t="str">
        <f ca="1">IF(KENKO[[#This Row],[//]]="","",IF(INDEX([2]!NOTA[DISC 2],KENKO[[#This Row],[//]]-2)=0,"",INDEX([2]!NOTA[DISC 2],KENKO[[#This Row],[//]]-2)))</f>
        <v/>
      </c>
      <c r="P302" s="19"/>
      <c r="Q30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2" s="16" t="str">
        <f ca="1">IF(KENKO[[#This Row],[//]]="","",INDEX([2]!NOTA[NAMA BARANG],KENKO[[#This Row],[//]]-2))</f>
        <v/>
      </c>
      <c r="V302" s="16" t="str">
        <f ca="1">LOWER(SUBSTITUTE(SUBSTITUTE(SUBSTITUTE(SUBSTITUTE(SUBSTITUTE(SUBSTITUTE(SUBSTITUTE(SUBSTITUTE(KENKO[[#This Row],[N.B.nota]]," ",""),"-",""),"(",""),")",""),".",""),",",""),"/",""),"""",""))</f>
        <v/>
      </c>
      <c r="W302" s="8" t="str">
        <f ca="1">IF(KENKO[[#This Row],[concat]]="","",MATCH(KENKO[[#This Row],[concat]],[4]!db[NB NOTA_C],0)+1)</f>
        <v/>
      </c>
      <c r="X302" s="16" t="str">
        <f ca="1">IF(KENKO[[#This Row],[N.B.nota]]="","",ADDRESS(ROW(KENKO[QB]),COLUMN(KENKO[QB]))&amp;":"&amp;ADDRESS(ROW(),COLUMN(KENKO[QB])))</f>
        <v/>
      </c>
      <c r="Y302" s="16" t="str">
        <f ca="1">IF(KENKO[[#This Row],[//]]="","",HYPERLINK("[..\\DB.xlsx]DB!e"&amp;KENKO[[#This Row],[stt]],"&gt;"))</f>
        <v/>
      </c>
      <c r="Z302" s="4" t="str">
        <f ca="1">IF(KENKO[[#This Row],[//]]="","",IF(KENKO[[#This Row],[ID NOTA]]="",Z301,KENKO[[#This Row],[ID NOTA]]))</f>
        <v/>
      </c>
    </row>
    <row r="303" spans="1:26" ht="15" customHeight="1" x14ac:dyDescent="0.25">
      <c r="A303" s="2"/>
      <c r="B303" s="8" t="str">
        <f>IF(KENKO[[#This Row],[N_ID]]="","",INDEX(Table1[ID],MATCH(KENKO[[#This Row],[N_ID]],Table1[N_ID],0)))</f>
        <v/>
      </c>
      <c r="C303" s="8" t="str">
        <f>IF(KENKO[[#This Row],[ID NOTA]]="","",HYPERLINK("[NOTA_.xlsx]NOTA!e"&amp;INDEX([2]!PAJAK[//],MATCH(KENKO[[#This Row],[ID NOTA]],[2]!PAJAK[ID],0)),"&gt;") )</f>
        <v/>
      </c>
      <c r="D303" s="8" t="str">
        <f>IF(KENKO[[#This Row],[ID NOTA]]="","",INDEX(Table1[QB],MATCH(KENKO[[#This Row],[ID NOTA]],Table1[ID],0)))</f>
        <v/>
      </c>
      <c r="E30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3" s="6"/>
      <c r="G303" s="9" t="str">
        <f>IF(KENKO[[#This Row],[ID NOTA]]="","",INDEX([2]!NOTA[TGL_H],MATCH(KENKO[[#This Row],[ID NOTA]],[2]!NOTA[ID],0)))</f>
        <v/>
      </c>
      <c r="H303" s="9" t="str">
        <f>IF(KENKO[[#This Row],[ID NOTA]]="","",INDEX([2]!NOTA[TGL.NOTA],MATCH(KENKO[[#This Row],[ID NOTA]],[2]!NOTA[ID],0)))</f>
        <v/>
      </c>
      <c r="I303" s="16" t="str">
        <f>IF(KENKO[[#This Row],[ID NOTA]]="","",INDEX([2]!NOTA[NO.NOTA],MATCH(KENKO[[#This Row],[ID NOTA]],[2]!NOTA[ID],0)))</f>
        <v/>
      </c>
      <c r="J303" s="16" t="str">
        <f ca="1">IF(KENKO[[#This Row],[//]]="","",INDEX([4]!db[NB PAJAK],KENKO[[#This Row],[stt]]-1))</f>
        <v/>
      </c>
      <c r="K303" s="8" t="str">
        <f>""</f>
        <v/>
      </c>
      <c r="L303" s="8" t="str">
        <f ca="1">IF(KENKO[[#This Row],[//]]="","",IF(INDEX([2]!NOTA[QTY],KENKO[//]-2)="",INDEX([2]!NOTA[C],KENKO[//]-2),INDEX([2]!NOTA[QTY],KENKO[//]-2)))</f>
        <v/>
      </c>
      <c r="M303" s="8" t="str">
        <f ca="1">IF(KENKO[[#This Row],[//]]="","",IF(INDEX([2]!NOTA[STN],KENKO[//]-2)="","CTN",INDEX([2]!NOTA[STN],KENKO[//]-2)))</f>
        <v/>
      </c>
      <c r="N303" s="17" t="str">
        <f ca="1">IF(KENKO[[#This Row],[//]]="","",IF(INDEX([2]!NOTA[HARGA/ CTN],KENKO[[#This Row],[//]]-2)="",INDEX([2]!NOTA[HARGA SATUAN],KENKO[//]-2),INDEX([2]!NOTA[HARGA/ CTN],KENKO[[#This Row],[//]]-2)))</f>
        <v/>
      </c>
      <c r="O303" s="19" t="str">
        <f ca="1">IF(KENKO[[#This Row],[//]]="","",IF(INDEX([2]!NOTA[DISC 2],KENKO[[#This Row],[//]]-2)=0,"",INDEX([2]!NOTA[DISC 2],KENKO[[#This Row],[//]]-2)))</f>
        <v/>
      </c>
      <c r="P303" s="19"/>
      <c r="Q30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3" s="16" t="str">
        <f ca="1">IF(KENKO[[#This Row],[//]]="","",INDEX([2]!NOTA[NAMA BARANG],KENKO[[#This Row],[//]]-2))</f>
        <v/>
      </c>
      <c r="V303" s="16" t="str">
        <f ca="1">LOWER(SUBSTITUTE(SUBSTITUTE(SUBSTITUTE(SUBSTITUTE(SUBSTITUTE(SUBSTITUTE(SUBSTITUTE(SUBSTITUTE(KENKO[[#This Row],[N.B.nota]]," ",""),"-",""),"(",""),")",""),".",""),",",""),"/",""),"""",""))</f>
        <v/>
      </c>
      <c r="W303" s="8" t="str">
        <f ca="1">IF(KENKO[[#This Row],[concat]]="","",MATCH(KENKO[[#This Row],[concat]],[4]!db[NB NOTA_C],0)+1)</f>
        <v/>
      </c>
      <c r="X303" s="16" t="str">
        <f ca="1">IF(KENKO[[#This Row],[N.B.nota]]="","",ADDRESS(ROW(KENKO[QB]),COLUMN(KENKO[QB]))&amp;":"&amp;ADDRESS(ROW(),COLUMN(KENKO[QB])))</f>
        <v/>
      </c>
      <c r="Y303" s="16" t="str">
        <f ca="1">IF(KENKO[[#This Row],[//]]="","",HYPERLINK("[..\\DB.xlsx]DB!e"&amp;KENKO[[#This Row],[stt]],"&gt;"))</f>
        <v/>
      </c>
      <c r="Z303" s="4" t="str">
        <f ca="1">IF(KENKO[[#This Row],[//]]="","",IF(KENKO[[#This Row],[ID NOTA]]="",Z302,KENKO[[#This Row],[ID NOTA]]))</f>
        <v/>
      </c>
    </row>
    <row r="304" spans="1:26" ht="15" customHeight="1" x14ac:dyDescent="0.25">
      <c r="A304" s="2"/>
      <c r="B304" s="8" t="str">
        <f>IF(KENKO[[#This Row],[N_ID]]="","",INDEX(Table1[ID],MATCH(KENKO[[#This Row],[N_ID]],Table1[N_ID],0)))</f>
        <v/>
      </c>
      <c r="C304" s="8" t="str">
        <f>IF(KENKO[[#This Row],[ID NOTA]]="","",HYPERLINK("[NOTA_.xlsx]NOTA!e"&amp;INDEX([2]!PAJAK[//],MATCH(KENKO[[#This Row],[ID NOTA]],[2]!PAJAK[ID],0)),"&gt;") )</f>
        <v/>
      </c>
      <c r="D304" s="8" t="str">
        <f>IF(KENKO[[#This Row],[ID NOTA]]="","",INDEX(Table1[QB],MATCH(KENKO[[#This Row],[ID NOTA]],Table1[ID],0)))</f>
        <v/>
      </c>
      <c r="E30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4" s="6"/>
      <c r="G304" s="9" t="str">
        <f>IF(KENKO[[#This Row],[ID NOTA]]="","",INDEX([2]!NOTA[TGL_H],MATCH(KENKO[[#This Row],[ID NOTA]],[2]!NOTA[ID],0)))</f>
        <v/>
      </c>
      <c r="H304" s="9" t="str">
        <f>IF(KENKO[[#This Row],[ID NOTA]]="","",INDEX([2]!NOTA[TGL.NOTA],MATCH(KENKO[[#This Row],[ID NOTA]],[2]!NOTA[ID],0)))</f>
        <v/>
      </c>
      <c r="I304" s="16" t="str">
        <f>IF(KENKO[[#This Row],[ID NOTA]]="","",INDEX([2]!NOTA[NO.NOTA],MATCH(KENKO[[#This Row],[ID NOTA]],[2]!NOTA[ID],0)))</f>
        <v/>
      </c>
      <c r="J304" s="16" t="str">
        <f ca="1">IF(KENKO[[#This Row],[//]]="","",INDEX([4]!db[NB PAJAK],KENKO[[#This Row],[stt]]-1))</f>
        <v/>
      </c>
      <c r="K304" s="8" t="str">
        <f>""</f>
        <v/>
      </c>
      <c r="L304" s="8" t="str">
        <f ca="1">IF(KENKO[[#This Row],[//]]="","",IF(INDEX([2]!NOTA[QTY],KENKO[//]-2)="",INDEX([2]!NOTA[C],KENKO[//]-2),INDEX([2]!NOTA[QTY],KENKO[//]-2)))</f>
        <v/>
      </c>
      <c r="M304" s="8" t="str">
        <f ca="1">IF(KENKO[[#This Row],[//]]="","",IF(INDEX([2]!NOTA[STN],KENKO[//]-2)="","CTN",INDEX([2]!NOTA[STN],KENKO[//]-2)))</f>
        <v/>
      </c>
      <c r="N304" s="17" t="str">
        <f ca="1">IF(KENKO[[#This Row],[//]]="","",IF(INDEX([2]!NOTA[HARGA/ CTN],KENKO[[#This Row],[//]]-2)="",INDEX([2]!NOTA[HARGA SATUAN],KENKO[//]-2),INDEX([2]!NOTA[HARGA/ CTN],KENKO[[#This Row],[//]]-2)))</f>
        <v/>
      </c>
      <c r="O304" s="19" t="str">
        <f ca="1">IF(KENKO[[#This Row],[//]]="","",IF(INDEX([2]!NOTA[DISC 2],KENKO[[#This Row],[//]]-2)=0,"",INDEX([2]!NOTA[DISC 2],KENKO[[#This Row],[//]]-2)))</f>
        <v/>
      </c>
      <c r="P304" s="19"/>
      <c r="Q30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4" s="16" t="str">
        <f ca="1">IF(KENKO[[#This Row],[//]]="","",INDEX([2]!NOTA[NAMA BARANG],KENKO[[#This Row],[//]]-2))</f>
        <v/>
      </c>
      <c r="V304" s="16" t="str">
        <f ca="1">LOWER(SUBSTITUTE(SUBSTITUTE(SUBSTITUTE(SUBSTITUTE(SUBSTITUTE(SUBSTITUTE(SUBSTITUTE(SUBSTITUTE(KENKO[[#This Row],[N.B.nota]]," ",""),"-",""),"(",""),")",""),".",""),",",""),"/",""),"""",""))</f>
        <v/>
      </c>
      <c r="W304" s="8" t="str">
        <f ca="1">IF(KENKO[[#This Row],[concat]]="","",MATCH(KENKO[[#This Row],[concat]],[4]!db[NB NOTA_C],0)+1)</f>
        <v/>
      </c>
      <c r="X304" s="16" t="str">
        <f ca="1">IF(KENKO[[#This Row],[N.B.nota]]="","",ADDRESS(ROW(KENKO[QB]),COLUMN(KENKO[QB]))&amp;":"&amp;ADDRESS(ROW(),COLUMN(KENKO[QB])))</f>
        <v/>
      </c>
      <c r="Y304" s="16" t="str">
        <f ca="1">IF(KENKO[[#This Row],[//]]="","",HYPERLINK("[..\\DB.xlsx]DB!e"&amp;KENKO[[#This Row],[stt]],"&gt;"))</f>
        <v/>
      </c>
      <c r="Z304" s="4" t="str">
        <f ca="1">IF(KENKO[[#This Row],[//]]="","",IF(KENKO[[#This Row],[ID NOTA]]="",Z303,KENKO[[#This Row],[ID NOTA]]))</f>
        <v/>
      </c>
    </row>
    <row r="305" spans="1:26" ht="15" customHeight="1" x14ac:dyDescent="0.25">
      <c r="A305" s="2"/>
      <c r="B305" s="8" t="str">
        <f>IF(KENKO[[#This Row],[N_ID]]="","",INDEX(Table1[ID],MATCH(KENKO[[#This Row],[N_ID]],Table1[N_ID],0)))</f>
        <v/>
      </c>
      <c r="C305" s="8" t="str">
        <f>IF(KENKO[[#This Row],[ID NOTA]]="","",HYPERLINK("[NOTA_.xlsx]NOTA!e"&amp;INDEX([2]!PAJAK[//],MATCH(KENKO[[#This Row],[ID NOTA]],[2]!PAJAK[ID],0)),"&gt;") )</f>
        <v/>
      </c>
      <c r="D305" s="8" t="str">
        <f>IF(KENKO[[#This Row],[ID NOTA]]="","",INDEX(Table1[QB],MATCH(KENKO[[#This Row],[ID NOTA]],Table1[ID],0)))</f>
        <v/>
      </c>
      <c r="E30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5" s="6"/>
      <c r="G305" s="9" t="str">
        <f>IF(KENKO[[#This Row],[ID NOTA]]="","",INDEX([2]!NOTA[TGL_H],MATCH(KENKO[[#This Row],[ID NOTA]],[2]!NOTA[ID],0)))</f>
        <v/>
      </c>
      <c r="H305" s="9" t="str">
        <f>IF(KENKO[[#This Row],[ID NOTA]]="","",INDEX([2]!NOTA[TGL.NOTA],MATCH(KENKO[[#This Row],[ID NOTA]],[2]!NOTA[ID],0)))</f>
        <v/>
      </c>
      <c r="I305" s="16" t="str">
        <f>IF(KENKO[[#This Row],[ID NOTA]]="","",INDEX([2]!NOTA[NO.NOTA],MATCH(KENKO[[#This Row],[ID NOTA]],[2]!NOTA[ID],0)))</f>
        <v/>
      </c>
      <c r="J305" s="16" t="str">
        <f ca="1">IF(KENKO[[#This Row],[//]]="","",INDEX([4]!db[NB PAJAK],KENKO[[#This Row],[stt]]-1))</f>
        <v/>
      </c>
      <c r="K305" s="8" t="str">
        <f>""</f>
        <v/>
      </c>
      <c r="L305" s="8" t="str">
        <f ca="1">IF(KENKO[[#This Row],[//]]="","",IF(INDEX([2]!NOTA[QTY],KENKO[//]-2)="",INDEX([2]!NOTA[C],KENKO[//]-2),INDEX([2]!NOTA[QTY],KENKO[//]-2)))</f>
        <v/>
      </c>
      <c r="M305" s="8" t="str">
        <f ca="1">IF(KENKO[[#This Row],[//]]="","",IF(INDEX([2]!NOTA[STN],KENKO[//]-2)="","CTN",INDEX([2]!NOTA[STN],KENKO[//]-2)))</f>
        <v/>
      </c>
      <c r="N305" s="17" t="str">
        <f ca="1">IF(KENKO[[#This Row],[//]]="","",IF(INDEX([2]!NOTA[HARGA/ CTN],KENKO[[#This Row],[//]]-2)="",INDEX([2]!NOTA[HARGA SATUAN],KENKO[//]-2),INDEX([2]!NOTA[HARGA/ CTN],KENKO[[#This Row],[//]]-2)))</f>
        <v/>
      </c>
      <c r="O305" s="19" t="str">
        <f ca="1">IF(KENKO[[#This Row],[//]]="","",IF(INDEX([2]!NOTA[DISC 2],KENKO[[#This Row],[//]]-2)=0,"",INDEX([2]!NOTA[DISC 2],KENKO[[#This Row],[//]]-2)))</f>
        <v/>
      </c>
      <c r="P305" s="19"/>
      <c r="Q30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5" s="16" t="str">
        <f ca="1">IF(KENKO[[#This Row],[//]]="","",INDEX([2]!NOTA[NAMA BARANG],KENKO[[#This Row],[//]]-2))</f>
        <v/>
      </c>
      <c r="V305" s="16" t="str">
        <f ca="1">LOWER(SUBSTITUTE(SUBSTITUTE(SUBSTITUTE(SUBSTITUTE(SUBSTITUTE(SUBSTITUTE(SUBSTITUTE(SUBSTITUTE(KENKO[[#This Row],[N.B.nota]]," ",""),"-",""),"(",""),")",""),".",""),",",""),"/",""),"""",""))</f>
        <v/>
      </c>
      <c r="W305" s="8" t="str">
        <f ca="1">IF(KENKO[[#This Row],[concat]]="","",MATCH(KENKO[[#This Row],[concat]],[4]!db[NB NOTA_C],0)+1)</f>
        <v/>
      </c>
      <c r="X305" s="16" t="str">
        <f ca="1">IF(KENKO[[#This Row],[N.B.nota]]="","",ADDRESS(ROW(KENKO[QB]),COLUMN(KENKO[QB]))&amp;":"&amp;ADDRESS(ROW(),COLUMN(KENKO[QB])))</f>
        <v/>
      </c>
      <c r="Y305" s="16" t="str">
        <f ca="1">IF(KENKO[[#This Row],[//]]="","",HYPERLINK("[..\\DB.xlsx]DB!e"&amp;KENKO[[#This Row],[stt]],"&gt;"))</f>
        <v/>
      </c>
      <c r="Z305" s="4" t="str">
        <f ca="1">IF(KENKO[[#This Row],[//]]="","",IF(KENKO[[#This Row],[ID NOTA]]="",Z304,KENKO[[#This Row],[ID NOTA]]))</f>
        <v/>
      </c>
    </row>
    <row r="306" spans="1:26" ht="15" customHeight="1" x14ac:dyDescent="0.25">
      <c r="A306" s="2"/>
      <c r="B306" s="8" t="str">
        <f>IF(KENKO[[#This Row],[N_ID]]="","",INDEX(Table1[ID],MATCH(KENKO[[#This Row],[N_ID]],Table1[N_ID],0)))</f>
        <v/>
      </c>
      <c r="C306" s="8" t="str">
        <f>IF(KENKO[[#This Row],[ID NOTA]]="","",HYPERLINK("[NOTA_.xlsx]NOTA!e"&amp;INDEX([2]!PAJAK[//],MATCH(KENKO[[#This Row],[ID NOTA]],[2]!PAJAK[ID],0)),"&gt;") )</f>
        <v/>
      </c>
      <c r="D306" s="8" t="str">
        <f>IF(KENKO[[#This Row],[ID NOTA]]="","",INDEX(Table1[QB],MATCH(KENKO[[#This Row],[ID NOTA]],Table1[ID],0)))</f>
        <v/>
      </c>
      <c r="E30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6" s="6"/>
      <c r="G306" s="9" t="str">
        <f>IF(KENKO[[#This Row],[ID NOTA]]="","",INDEX([2]!NOTA[TGL_H],MATCH(KENKO[[#This Row],[ID NOTA]],[2]!NOTA[ID],0)))</f>
        <v/>
      </c>
      <c r="H306" s="9" t="str">
        <f>IF(KENKO[[#This Row],[ID NOTA]]="","",INDEX([2]!NOTA[TGL.NOTA],MATCH(KENKO[[#This Row],[ID NOTA]],[2]!NOTA[ID],0)))</f>
        <v/>
      </c>
      <c r="I306" s="16" t="str">
        <f>IF(KENKO[[#This Row],[ID NOTA]]="","",INDEX([2]!NOTA[NO.NOTA],MATCH(KENKO[[#This Row],[ID NOTA]],[2]!NOTA[ID],0)))</f>
        <v/>
      </c>
      <c r="J306" s="16" t="str">
        <f ca="1">IF(KENKO[[#This Row],[//]]="","",INDEX([4]!db[NB PAJAK],KENKO[[#This Row],[stt]]-1))</f>
        <v/>
      </c>
      <c r="K306" s="8" t="str">
        <f>""</f>
        <v/>
      </c>
      <c r="L306" s="8" t="str">
        <f ca="1">IF(KENKO[[#This Row],[//]]="","",IF(INDEX([2]!NOTA[QTY],KENKO[//]-2)="",INDEX([2]!NOTA[C],KENKO[//]-2),INDEX([2]!NOTA[QTY],KENKO[//]-2)))</f>
        <v/>
      </c>
      <c r="M306" s="8" t="str">
        <f ca="1">IF(KENKO[[#This Row],[//]]="","",IF(INDEX([2]!NOTA[STN],KENKO[//]-2)="","CTN",INDEX([2]!NOTA[STN],KENKO[//]-2)))</f>
        <v/>
      </c>
      <c r="N306" s="17" t="str">
        <f ca="1">IF(KENKO[[#This Row],[//]]="","",IF(INDEX([2]!NOTA[HARGA/ CTN],KENKO[[#This Row],[//]]-2)="",INDEX([2]!NOTA[HARGA SATUAN],KENKO[//]-2),INDEX([2]!NOTA[HARGA/ CTN],KENKO[[#This Row],[//]]-2)))</f>
        <v/>
      </c>
      <c r="O306" s="19" t="str">
        <f ca="1">IF(KENKO[[#This Row],[//]]="","",IF(INDEX([2]!NOTA[DISC 2],KENKO[[#This Row],[//]]-2)=0,"",INDEX([2]!NOTA[DISC 2],KENKO[[#This Row],[//]]-2)))</f>
        <v/>
      </c>
      <c r="P306" s="19"/>
      <c r="Q30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6" s="16" t="str">
        <f ca="1">IF(KENKO[[#This Row],[//]]="","",INDEX([2]!NOTA[NAMA BARANG],KENKO[[#This Row],[//]]-2))</f>
        <v/>
      </c>
      <c r="V306" s="16" t="str">
        <f ca="1">LOWER(SUBSTITUTE(SUBSTITUTE(SUBSTITUTE(SUBSTITUTE(SUBSTITUTE(SUBSTITUTE(SUBSTITUTE(SUBSTITUTE(KENKO[[#This Row],[N.B.nota]]," ",""),"-",""),"(",""),")",""),".",""),",",""),"/",""),"""",""))</f>
        <v/>
      </c>
      <c r="W306" s="8" t="str">
        <f ca="1">IF(KENKO[[#This Row],[concat]]="","",MATCH(KENKO[[#This Row],[concat]],[4]!db[NB NOTA_C],0)+1)</f>
        <v/>
      </c>
      <c r="X306" s="16" t="str">
        <f ca="1">IF(KENKO[[#This Row],[N.B.nota]]="","",ADDRESS(ROW(KENKO[QB]),COLUMN(KENKO[QB]))&amp;":"&amp;ADDRESS(ROW(),COLUMN(KENKO[QB])))</f>
        <v/>
      </c>
      <c r="Y306" s="16" t="str">
        <f ca="1">IF(KENKO[[#This Row],[//]]="","",HYPERLINK("[..\\DB.xlsx]DB!e"&amp;KENKO[[#This Row],[stt]],"&gt;"))</f>
        <v/>
      </c>
      <c r="Z306" s="4" t="str">
        <f ca="1">IF(KENKO[[#This Row],[//]]="","",IF(KENKO[[#This Row],[ID NOTA]]="",Z305,KENKO[[#This Row],[ID NOTA]]))</f>
        <v/>
      </c>
    </row>
    <row r="307" spans="1:26" ht="15" customHeight="1" x14ac:dyDescent="0.25">
      <c r="A307" s="2"/>
      <c r="B307" s="8" t="str">
        <f>IF(KENKO[[#This Row],[N_ID]]="","",INDEX(Table1[ID],MATCH(KENKO[[#This Row],[N_ID]],Table1[N_ID],0)))</f>
        <v/>
      </c>
      <c r="C307" s="8" t="str">
        <f>IF(KENKO[[#This Row],[ID NOTA]]="","",HYPERLINK("[NOTA_.xlsx]NOTA!e"&amp;INDEX([2]!PAJAK[//],MATCH(KENKO[[#This Row],[ID NOTA]],[2]!PAJAK[ID],0)),"&gt;") )</f>
        <v/>
      </c>
      <c r="D307" s="8" t="str">
        <f>IF(KENKO[[#This Row],[ID NOTA]]="","",INDEX(Table1[QB],MATCH(KENKO[[#This Row],[ID NOTA]],Table1[ID],0)))</f>
        <v/>
      </c>
      <c r="E30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7" s="6"/>
      <c r="G307" s="9" t="str">
        <f>IF(KENKO[[#This Row],[ID NOTA]]="","",INDEX([2]!NOTA[TGL_H],MATCH(KENKO[[#This Row],[ID NOTA]],[2]!NOTA[ID],0)))</f>
        <v/>
      </c>
      <c r="H307" s="9" t="str">
        <f>IF(KENKO[[#This Row],[ID NOTA]]="","",INDEX([2]!NOTA[TGL.NOTA],MATCH(KENKO[[#This Row],[ID NOTA]],[2]!NOTA[ID],0)))</f>
        <v/>
      </c>
      <c r="I307" s="16" t="str">
        <f>IF(KENKO[[#This Row],[ID NOTA]]="","",INDEX([2]!NOTA[NO.NOTA],MATCH(KENKO[[#This Row],[ID NOTA]],[2]!NOTA[ID],0)))</f>
        <v/>
      </c>
      <c r="J307" s="16" t="str">
        <f ca="1">IF(KENKO[[#This Row],[//]]="","",INDEX([4]!db[NB PAJAK],KENKO[[#This Row],[stt]]-1))</f>
        <v/>
      </c>
      <c r="K307" s="8" t="str">
        <f>""</f>
        <v/>
      </c>
      <c r="L307" s="8" t="str">
        <f ca="1">IF(KENKO[[#This Row],[//]]="","",IF(INDEX([2]!NOTA[QTY],KENKO[//]-2)="",INDEX([2]!NOTA[C],KENKO[//]-2),INDEX([2]!NOTA[QTY],KENKO[//]-2)))</f>
        <v/>
      </c>
      <c r="M307" s="8" t="str">
        <f ca="1">IF(KENKO[[#This Row],[//]]="","",IF(INDEX([2]!NOTA[STN],KENKO[//]-2)="","CTN",INDEX([2]!NOTA[STN],KENKO[//]-2)))</f>
        <v/>
      </c>
      <c r="N307" s="17" t="str">
        <f ca="1">IF(KENKO[[#This Row],[//]]="","",IF(INDEX([2]!NOTA[HARGA/ CTN],KENKO[[#This Row],[//]]-2)="",INDEX([2]!NOTA[HARGA SATUAN],KENKO[//]-2),INDEX([2]!NOTA[HARGA/ CTN],KENKO[[#This Row],[//]]-2)))</f>
        <v/>
      </c>
      <c r="O307" s="19" t="str">
        <f ca="1">IF(KENKO[[#This Row],[//]]="","",IF(INDEX([2]!NOTA[DISC 2],KENKO[[#This Row],[//]]-2)=0,"",INDEX([2]!NOTA[DISC 2],KENKO[[#This Row],[//]]-2)))</f>
        <v/>
      </c>
      <c r="P307" s="19"/>
      <c r="Q30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7" s="16" t="str">
        <f ca="1">IF(KENKO[[#This Row],[//]]="","",INDEX([2]!NOTA[NAMA BARANG],KENKO[[#This Row],[//]]-2))</f>
        <v/>
      </c>
      <c r="V307" s="16" t="str">
        <f ca="1">LOWER(SUBSTITUTE(SUBSTITUTE(SUBSTITUTE(SUBSTITUTE(SUBSTITUTE(SUBSTITUTE(SUBSTITUTE(SUBSTITUTE(KENKO[[#This Row],[N.B.nota]]," ",""),"-",""),"(",""),")",""),".",""),",",""),"/",""),"""",""))</f>
        <v/>
      </c>
      <c r="W307" s="8" t="str">
        <f ca="1">IF(KENKO[[#This Row],[concat]]="","",MATCH(KENKO[[#This Row],[concat]],[4]!db[NB NOTA_C],0)+1)</f>
        <v/>
      </c>
      <c r="X307" s="16" t="str">
        <f ca="1">IF(KENKO[[#This Row],[N.B.nota]]="","",ADDRESS(ROW(KENKO[QB]),COLUMN(KENKO[QB]))&amp;":"&amp;ADDRESS(ROW(),COLUMN(KENKO[QB])))</f>
        <v/>
      </c>
      <c r="Y307" s="16" t="str">
        <f ca="1">IF(KENKO[[#This Row],[//]]="","",HYPERLINK("[..\\DB.xlsx]DB!e"&amp;KENKO[[#This Row],[stt]],"&gt;"))</f>
        <v/>
      </c>
      <c r="Z307" s="4" t="str">
        <f ca="1">IF(KENKO[[#This Row],[//]]="","",IF(KENKO[[#This Row],[ID NOTA]]="",Z306,KENKO[[#This Row],[ID NOTA]]))</f>
        <v/>
      </c>
    </row>
    <row r="308" spans="1:26" ht="15" customHeight="1" x14ac:dyDescent="0.25">
      <c r="A308" s="2"/>
      <c r="B308" s="8" t="str">
        <f>IF(KENKO[[#This Row],[N_ID]]="","",INDEX(Table1[ID],MATCH(KENKO[[#This Row],[N_ID]],Table1[N_ID],0)))</f>
        <v/>
      </c>
      <c r="C308" s="8" t="str">
        <f>IF(KENKO[[#This Row],[ID NOTA]]="","",HYPERLINK("[NOTA_.xlsx]NOTA!e"&amp;INDEX([2]!PAJAK[//],MATCH(KENKO[[#This Row],[ID NOTA]],[2]!PAJAK[ID],0)),"&gt;") )</f>
        <v/>
      </c>
      <c r="D308" s="8" t="str">
        <f>IF(KENKO[[#This Row],[ID NOTA]]="","",INDEX(Table1[QB],MATCH(KENKO[[#This Row],[ID NOTA]],Table1[ID],0)))</f>
        <v/>
      </c>
      <c r="E30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8" s="6"/>
      <c r="G308" s="9" t="str">
        <f>IF(KENKO[[#This Row],[ID NOTA]]="","",INDEX([2]!NOTA[TGL_H],MATCH(KENKO[[#This Row],[ID NOTA]],[2]!NOTA[ID],0)))</f>
        <v/>
      </c>
      <c r="H308" s="9" t="str">
        <f>IF(KENKO[[#This Row],[ID NOTA]]="","",INDEX([2]!NOTA[TGL.NOTA],MATCH(KENKO[[#This Row],[ID NOTA]],[2]!NOTA[ID],0)))</f>
        <v/>
      </c>
      <c r="I308" s="16" t="str">
        <f>IF(KENKO[[#This Row],[ID NOTA]]="","",INDEX([2]!NOTA[NO.NOTA],MATCH(KENKO[[#This Row],[ID NOTA]],[2]!NOTA[ID],0)))</f>
        <v/>
      </c>
      <c r="J308" s="16" t="str">
        <f ca="1">IF(KENKO[[#This Row],[//]]="","",INDEX([4]!db[NB PAJAK],KENKO[[#This Row],[stt]]-1))</f>
        <v/>
      </c>
      <c r="K308" s="8" t="str">
        <f>""</f>
        <v/>
      </c>
      <c r="L308" s="8" t="str">
        <f ca="1">IF(KENKO[[#This Row],[//]]="","",IF(INDEX([2]!NOTA[QTY],KENKO[//]-2)="",INDEX([2]!NOTA[C],KENKO[//]-2),INDEX([2]!NOTA[QTY],KENKO[//]-2)))</f>
        <v/>
      </c>
      <c r="M308" s="8" t="str">
        <f ca="1">IF(KENKO[[#This Row],[//]]="","",IF(INDEX([2]!NOTA[STN],KENKO[//]-2)="","CTN",INDEX([2]!NOTA[STN],KENKO[//]-2)))</f>
        <v/>
      </c>
      <c r="N308" s="17" t="str">
        <f ca="1">IF(KENKO[[#This Row],[//]]="","",IF(INDEX([2]!NOTA[HARGA/ CTN],KENKO[[#This Row],[//]]-2)="",INDEX([2]!NOTA[HARGA SATUAN],KENKO[//]-2),INDEX([2]!NOTA[HARGA/ CTN],KENKO[[#This Row],[//]]-2)))</f>
        <v/>
      </c>
      <c r="O308" s="19" t="str">
        <f ca="1">IF(KENKO[[#This Row],[//]]="","",IF(INDEX([2]!NOTA[DISC 2],KENKO[[#This Row],[//]]-2)=0,"",INDEX([2]!NOTA[DISC 2],KENKO[[#This Row],[//]]-2)))</f>
        <v/>
      </c>
      <c r="P308" s="19"/>
      <c r="Q30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8" s="16" t="str">
        <f ca="1">IF(KENKO[[#This Row],[//]]="","",INDEX([2]!NOTA[NAMA BARANG],KENKO[[#This Row],[//]]-2))</f>
        <v/>
      </c>
      <c r="V308" s="16" t="str">
        <f ca="1">LOWER(SUBSTITUTE(SUBSTITUTE(SUBSTITUTE(SUBSTITUTE(SUBSTITUTE(SUBSTITUTE(SUBSTITUTE(SUBSTITUTE(KENKO[[#This Row],[N.B.nota]]," ",""),"-",""),"(",""),")",""),".",""),",",""),"/",""),"""",""))</f>
        <v/>
      </c>
      <c r="W308" s="8" t="str">
        <f ca="1">IF(KENKO[[#This Row],[concat]]="","",MATCH(KENKO[[#This Row],[concat]],[4]!db[NB NOTA_C],0)+1)</f>
        <v/>
      </c>
      <c r="X308" s="16" t="str">
        <f ca="1">IF(KENKO[[#This Row],[N.B.nota]]="","",ADDRESS(ROW(KENKO[QB]),COLUMN(KENKO[QB]))&amp;":"&amp;ADDRESS(ROW(),COLUMN(KENKO[QB])))</f>
        <v/>
      </c>
      <c r="Y308" s="16" t="str">
        <f ca="1">IF(KENKO[[#This Row],[//]]="","",HYPERLINK("[..\\DB.xlsx]DB!e"&amp;KENKO[[#This Row],[stt]],"&gt;"))</f>
        <v/>
      </c>
      <c r="Z308" s="4" t="str">
        <f ca="1">IF(KENKO[[#This Row],[//]]="","",IF(KENKO[[#This Row],[ID NOTA]]="",Z307,KENKO[[#This Row],[ID NOTA]]))</f>
        <v/>
      </c>
    </row>
    <row r="309" spans="1:26" ht="15" customHeight="1" x14ac:dyDescent="0.25">
      <c r="A309" s="2"/>
      <c r="B309" s="8" t="str">
        <f>IF(KENKO[[#This Row],[N_ID]]="","",INDEX(Table1[ID],MATCH(KENKO[[#This Row],[N_ID]],Table1[N_ID],0)))</f>
        <v/>
      </c>
      <c r="C309" s="8" t="str">
        <f>IF(KENKO[[#This Row],[ID NOTA]]="","",HYPERLINK("[NOTA_.xlsx]NOTA!e"&amp;INDEX([2]!PAJAK[//],MATCH(KENKO[[#This Row],[ID NOTA]],[2]!PAJAK[ID],0)),"&gt;") )</f>
        <v/>
      </c>
      <c r="D309" s="8" t="str">
        <f>IF(KENKO[[#This Row],[ID NOTA]]="","",INDEX(Table1[QB],MATCH(KENKO[[#This Row],[ID NOTA]],Table1[ID],0)))</f>
        <v/>
      </c>
      <c r="E30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9" s="6"/>
      <c r="G309" s="9" t="str">
        <f>IF(KENKO[[#This Row],[ID NOTA]]="","",INDEX([2]!NOTA[TGL_H],MATCH(KENKO[[#This Row],[ID NOTA]],[2]!NOTA[ID],0)))</f>
        <v/>
      </c>
      <c r="H309" s="9" t="str">
        <f>IF(KENKO[[#This Row],[ID NOTA]]="","",INDEX([2]!NOTA[TGL.NOTA],MATCH(KENKO[[#This Row],[ID NOTA]],[2]!NOTA[ID],0)))</f>
        <v/>
      </c>
      <c r="I309" s="16" t="str">
        <f>IF(KENKO[[#This Row],[ID NOTA]]="","",INDEX([2]!NOTA[NO.NOTA],MATCH(KENKO[[#This Row],[ID NOTA]],[2]!NOTA[ID],0)))</f>
        <v/>
      </c>
      <c r="J309" s="16" t="str">
        <f ca="1">IF(KENKO[[#This Row],[//]]="","",INDEX([4]!db[NB PAJAK],KENKO[[#This Row],[stt]]-1))</f>
        <v/>
      </c>
      <c r="K309" s="8" t="str">
        <f>""</f>
        <v/>
      </c>
      <c r="L309" s="8" t="str">
        <f ca="1">IF(KENKO[[#This Row],[//]]="","",IF(INDEX([2]!NOTA[QTY],KENKO[//]-2)="",INDEX([2]!NOTA[C],KENKO[//]-2),INDEX([2]!NOTA[QTY],KENKO[//]-2)))</f>
        <v/>
      </c>
      <c r="M309" s="8" t="str">
        <f ca="1">IF(KENKO[[#This Row],[//]]="","",IF(INDEX([2]!NOTA[STN],KENKO[//]-2)="","CTN",INDEX([2]!NOTA[STN],KENKO[//]-2)))</f>
        <v/>
      </c>
      <c r="N309" s="17" t="str">
        <f ca="1">IF(KENKO[[#This Row],[//]]="","",IF(INDEX([2]!NOTA[HARGA/ CTN],KENKO[[#This Row],[//]]-2)="",INDEX([2]!NOTA[HARGA SATUAN],KENKO[//]-2),INDEX([2]!NOTA[HARGA/ CTN],KENKO[[#This Row],[//]]-2)))</f>
        <v/>
      </c>
      <c r="O309" s="19" t="str">
        <f ca="1">IF(KENKO[[#This Row],[//]]="","",IF(INDEX([2]!NOTA[DISC 2],KENKO[[#This Row],[//]]-2)=0,"",INDEX([2]!NOTA[DISC 2],KENKO[[#This Row],[//]]-2)))</f>
        <v/>
      </c>
      <c r="P309" s="19"/>
      <c r="Q30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9" s="16" t="str">
        <f ca="1">IF(KENKO[[#This Row],[//]]="","",INDEX([2]!NOTA[NAMA BARANG],KENKO[[#This Row],[//]]-2))</f>
        <v/>
      </c>
      <c r="V309" s="16" t="str">
        <f ca="1">LOWER(SUBSTITUTE(SUBSTITUTE(SUBSTITUTE(SUBSTITUTE(SUBSTITUTE(SUBSTITUTE(SUBSTITUTE(SUBSTITUTE(KENKO[[#This Row],[N.B.nota]]," ",""),"-",""),"(",""),")",""),".",""),",",""),"/",""),"""",""))</f>
        <v/>
      </c>
      <c r="W309" s="8" t="str">
        <f ca="1">IF(KENKO[[#This Row],[concat]]="","",MATCH(KENKO[[#This Row],[concat]],[4]!db[NB NOTA_C],0)+1)</f>
        <v/>
      </c>
      <c r="X309" s="16" t="str">
        <f ca="1">IF(KENKO[[#This Row],[N.B.nota]]="","",ADDRESS(ROW(KENKO[QB]),COLUMN(KENKO[QB]))&amp;":"&amp;ADDRESS(ROW(),COLUMN(KENKO[QB])))</f>
        <v/>
      </c>
      <c r="Y309" s="16" t="str">
        <f ca="1">IF(KENKO[[#This Row],[//]]="","",HYPERLINK("[..\\DB.xlsx]DB!e"&amp;KENKO[[#This Row],[stt]],"&gt;"))</f>
        <v/>
      </c>
      <c r="Z309" s="4" t="str">
        <f ca="1">IF(KENKO[[#This Row],[//]]="","",IF(KENKO[[#This Row],[ID NOTA]]="",Z308,KENKO[[#This Row],[ID NOTA]]))</f>
        <v/>
      </c>
    </row>
    <row r="310" spans="1:26" ht="15" customHeight="1" x14ac:dyDescent="0.25">
      <c r="A310" s="2"/>
      <c r="B310" s="8" t="str">
        <f>IF(KENKO[[#This Row],[N_ID]]="","",INDEX(Table1[ID],MATCH(KENKO[[#This Row],[N_ID]],Table1[N_ID],0)))</f>
        <v/>
      </c>
      <c r="C310" s="8" t="str">
        <f>IF(KENKO[[#This Row],[ID NOTA]]="","",HYPERLINK("[NOTA_.xlsx]NOTA!e"&amp;INDEX([2]!PAJAK[//],MATCH(KENKO[[#This Row],[ID NOTA]],[2]!PAJAK[ID],0)),"&gt;") )</f>
        <v/>
      </c>
      <c r="D310" s="8" t="str">
        <f>IF(KENKO[[#This Row],[ID NOTA]]="","",INDEX(Table1[QB],MATCH(KENKO[[#This Row],[ID NOTA]],Table1[ID],0)))</f>
        <v/>
      </c>
      <c r="E31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0" s="6"/>
      <c r="G310" s="9" t="str">
        <f>IF(KENKO[[#This Row],[ID NOTA]]="","",INDEX([2]!NOTA[TGL_H],MATCH(KENKO[[#This Row],[ID NOTA]],[2]!NOTA[ID],0)))</f>
        <v/>
      </c>
      <c r="H310" s="9" t="str">
        <f>IF(KENKO[[#This Row],[ID NOTA]]="","",INDEX([2]!NOTA[TGL.NOTA],MATCH(KENKO[[#This Row],[ID NOTA]],[2]!NOTA[ID],0)))</f>
        <v/>
      </c>
      <c r="I310" s="16" t="str">
        <f>IF(KENKO[[#This Row],[ID NOTA]]="","",INDEX([2]!NOTA[NO.NOTA],MATCH(KENKO[[#This Row],[ID NOTA]],[2]!NOTA[ID],0)))</f>
        <v/>
      </c>
      <c r="J310" s="16" t="str">
        <f ca="1">IF(KENKO[[#This Row],[//]]="","",INDEX([4]!db[NB PAJAK],KENKO[[#This Row],[stt]]-1))</f>
        <v/>
      </c>
      <c r="K310" s="8" t="str">
        <f>""</f>
        <v/>
      </c>
      <c r="L310" s="8" t="str">
        <f ca="1">IF(KENKO[[#This Row],[//]]="","",IF(INDEX([2]!NOTA[QTY],KENKO[//]-2)="",INDEX([2]!NOTA[C],KENKO[//]-2),INDEX([2]!NOTA[QTY],KENKO[//]-2)))</f>
        <v/>
      </c>
      <c r="M310" s="8" t="str">
        <f ca="1">IF(KENKO[[#This Row],[//]]="","",IF(INDEX([2]!NOTA[STN],KENKO[//]-2)="","CTN",INDEX([2]!NOTA[STN],KENKO[//]-2)))</f>
        <v/>
      </c>
      <c r="N310" s="17" t="str">
        <f ca="1">IF(KENKO[[#This Row],[//]]="","",IF(INDEX([2]!NOTA[HARGA/ CTN],KENKO[[#This Row],[//]]-2)="",INDEX([2]!NOTA[HARGA SATUAN],KENKO[//]-2),INDEX([2]!NOTA[HARGA/ CTN],KENKO[[#This Row],[//]]-2)))</f>
        <v/>
      </c>
      <c r="O310" s="19" t="str">
        <f ca="1">IF(KENKO[[#This Row],[//]]="","",IF(INDEX([2]!NOTA[DISC 2],KENKO[[#This Row],[//]]-2)=0,"",INDEX([2]!NOTA[DISC 2],KENKO[[#This Row],[//]]-2)))</f>
        <v/>
      </c>
      <c r="P310" s="19"/>
      <c r="Q31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0" s="16" t="str">
        <f ca="1">IF(KENKO[[#This Row],[//]]="","",INDEX([2]!NOTA[NAMA BARANG],KENKO[[#This Row],[//]]-2))</f>
        <v/>
      </c>
      <c r="V310" s="16" t="str">
        <f ca="1">LOWER(SUBSTITUTE(SUBSTITUTE(SUBSTITUTE(SUBSTITUTE(SUBSTITUTE(SUBSTITUTE(SUBSTITUTE(SUBSTITUTE(KENKO[[#This Row],[N.B.nota]]," ",""),"-",""),"(",""),")",""),".",""),",",""),"/",""),"""",""))</f>
        <v/>
      </c>
      <c r="W310" s="8" t="str">
        <f ca="1">IF(KENKO[[#This Row],[concat]]="","",MATCH(KENKO[[#This Row],[concat]],[4]!db[NB NOTA_C],0)+1)</f>
        <v/>
      </c>
      <c r="X310" s="16" t="str">
        <f ca="1">IF(KENKO[[#This Row],[N.B.nota]]="","",ADDRESS(ROW(KENKO[QB]),COLUMN(KENKO[QB]))&amp;":"&amp;ADDRESS(ROW(),COLUMN(KENKO[QB])))</f>
        <v/>
      </c>
      <c r="Y310" s="16" t="str">
        <f ca="1">IF(KENKO[[#This Row],[//]]="","",HYPERLINK("[..\\DB.xlsx]DB!e"&amp;KENKO[[#This Row],[stt]],"&gt;"))</f>
        <v/>
      </c>
      <c r="Z310" s="4" t="str">
        <f ca="1">IF(KENKO[[#This Row],[//]]="","",IF(KENKO[[#This Row],[ID NOTA]]="",Z309,KENKO[[#This Row],[ID NOTA]]))</f>
        <v/>
      </c>
    </row>
    <row r="311" spans="1:26" ht="15" customHeight="1" x14ac:dyDescent="0.25">
      <c r="A311" s="2"/>
      <c r="B311" s="8" t="str">
        <f>IF(KENKO[[#This Row],[N_ID]]="","",INDEX(Table1[ID],MATCH(KENKO[[#This Row],[N_ID]],Table1[N_ID],0)))</f>
        <v/>
      </c>
      <c r="C311" s="8" t="str">
        <f>IF(KENKO[[#This Row],[ID NOTA]]="","",HYPERLINK("[NOTA_.xlsx]NOTA!e"&amp;INDEX([2]!PAJAK[//],MATCH(KENKO[[#This Row],[ID NOTA]],[2]!PAJAK[ID],0)),"&gt;") )</f>
        <v/>
      </c>
      <c r="D311" s="8" t="str">
        <f>IF(KENKO[[#This Row],[ID NOTA]]="","",INDEX(Table1[QB],MATCH(KENKO[[#This Row],[ID NOTA]],Table1[ID],0)))</f>
        <v/>
      </c>
      <c r="E31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1" s="6"/>
      <c r="G311" s="9" t="str">
        <f>IF(KENKO[[#This Row],[ID NOTA]]="","",INDEX([2]!NOTA[TGL_H],MATCH(KENKO[[#This Row],[ID NOTA]],[2]!NOTA[ID],0)))</f>
        <v/>
      </c>
      <c r="H311" s="9" t="str">
        <f>IF(KENKO[[#This Row],[ID NOTA]]="","",INDEX([2]!NOTA[TGL.NOTA],MATCH(KENKO[[#This Row],[ID NOTA]],[2]!NOTA[ID],0)))</f>
        <v/>
      </c>
      <c r="I311" s="16" t="str">
        <f>IF(KENKO[[#This Row],[ID NOTA]]="","",INDEX([2]!NOTA[NO.NOTA],MATCH(KENKO[[#This Row],[ID NOTA]],[2]!NOTA[ID],0)))</f>
        <v/>
      </c>
      <c r="J311" s="16" t="str">
        <f ca="1">IF(KENKO[[#This Row],[//]]="","",INDEX([4]!db[NB PAJAK],KENKO[[#This Row],[stt]]-1))</f>
        <v/>
      </c>
      <c r="K311" s="8" t="str">
        <f>""</f>
        <v/>
      </c>
      <c r="L311" s="8" t="str">
        <f ca="1">IF(KENKO[[#This Row],[//]]="","",IF(INDEX([2]!NOTA[QTY],KENKO[//]-2)="",INDEX([2]!NOTA[C],KENKO[//]-2),INDEX([2]!NOTA[QTY],KENKO[//]-2)))</f>
        <v/>
      </c>
      <c r="M311" s="8" t="str">
        <f ca="1">IF(KENKO[[#This Row],[//]]="","",IF(INDEX([2]!NOTA[STN],KENKO[//]-2)="","CTN",INDEX([2]!NOTA[STN],KENKO[//]-2)))</f>
        <v/>
      </c>
      <c r="N311" s="17" t="str">
        <f ca="1">IF(KENKO[[#This Row],[//]]="","",IF(INDEX([2]!NOTA[HARGA/ CTN],KENKO[[#This Row],[//]]-2)="",INDEX([2]!NOTA[HARGA SATUAN],KENKO[//]-2),INDEX([2]!NOTA[HARGA/ CTN],KENKO[[#This Row],[//]]-2)))</f>
        <v/>
      </c>
      <c r="O311" s="19" t="str">
        <f ca="1">IF(KENKO[[#This Row],[//]]="","",IF(INDEX([2]!NOTA[DISC 2],KENKO[[#This Row],[//]]-2)=0,"",INDEX([2]!NOTA[DISC 2],KENKO[[#This Row],[//]]-2)))</f>
        <v/>
      </c>
      <c r="P311" s="19"/>
      <c r="Q31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1" s="16" t="str">
        <f ca="1">IF(KENKO[[#This Row],[//]]="","",INDEX([2]!NOTA[NAMA BARANG],KENKO[[#This Row],[//]]-2))</f>
        <v/>
      </c>
      <c r="V311" s="16" t="str">
        <f ca="1">LOWER(SUBSTITUTE(SUBSTITUTE(SUBSTITUTE(SUBSTITUTE(SUBSTITUTE(SUBSTITUTE(SUBSTITUTE(SUBSTITUTE(KENKO[[#This Row],[N.B.nota]]," ",""),"-",""),"(",""),")",""),".",""),",",""),"/",""),"""",""))</f>
        <v/>
      </c>
      <c r="W311" s="8" t="str">
        <f ca="1">IF(KENKO[[#This Row],[concat]]="","",MATCH(KENKO[[#This Row],[concat]],[4]!db[NB NOTA_C],0)+1)</f>
        <v/>
      </c>
      <c r="X311" s="16" t="str">
        <f ca="1">IF(KENKO[[#This Row],[N.B.nota]]="","",ADDRESS(ROW(KENKO[QB]),COLUMN(KENKO[QB]))&amp;":"&amp;ADDRESS(ROW(),COLUMN(KENKO[QB])))</f>
        <v/>
      </c>
      <c r="Y311" s="16" t="str">
        <f ca="1">IF(KENKO[[#This Row],[//]]="","",HYPERLINK("[..\\DB.xlsx]DB!e"&amp;KENKO[[#This Row],[stt]],"&gt;"))</f>
        <v/>
      </c>
      <c r="Z311" s="4" t="str">
        <f ca="1">IF(KENKO[[#This Row],[//]]="","",IF(KENKO[[#This Row],[ID NOTA]]="",Z310,KENKO[[#This Row],[ID NOTA]]))</f>
        <v/>
      </c>
    </row>
    <row r="312" spans="1:26" ht="15" customHeight="1" x14ac:dyDescent="0.25">
      <c r="A312" s="2"/>
      <c r="B312" s="8" t="str">
        <f>IF(KENKO[[#This Row],[N_ID]]="","",INDEX(Table1[ID],MATCH(KENKO[[#This Row],[N_ID]],Table1[N_ID],0)))</f>
        <v/>
      </c>
      <c r="C312" s="8" t="str">
        <f>IF(KENKO[[#This Row],[ID NOTA]]="","",HYPERLINK("[NOTA_.xlsx]NOTA!e"&amp;INDEX([2]!PAJAK[//],MATCH(KENKO[[#This Row],[ID NOTA]],[2]!PAJAK[ID],0)),"&gt;") )</f>
        <v/>
      </c>
      <c r="D312" s="8" t="str">
        <f>IF(KENKO[[#This Row],[ID NOTA]]="","",INDEX(Table1[QB],MATCH(KENKO[[#This Row],[ID NOTA]],Table1[ID],0)))</f>
        <v/>
      </c>
      <c r="E31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2" s="6"/>
      <c r="G312" s="9" t="str">
        <f>IF(KENKO[[#This Row],[ID NOTA]]="","",INDEX([2]!NOTA[TGL_H],MATCH(KENKO[[#This Row],[ID NOTA]],[2]!NOTA[ID],0)))</f>
        <v/>
      </c>
      <c r="H312" s="9" t="str">
        <f>IF(KENKO[[#This Row],[ID NOTA]]="","",INDEX([2]!NOTA[TGL.NOTA],MATCH(KENKO[[#This Row],[ID NOTA]],[2]!NOTA[ID],0)))</f>
        <v/>
      </c>
      <c r="I312" s="16" t="str">
        <f>IF(KENKO[[#This Row],[ID NOTA]]="","",INDEX([2]!NOTA[NO.NOTA],MATCH(KENKO[[#This Row],[ID NOTA]],[2]!NOTA[ID],0)))</f>
        <v/>
      </c>
      <c r="J312" s="16" t="str">
        <f ca="1">IF(KENKO[[#This Row],[//]]="","",INDEX([4]!db[NB PAJAK],KENKO[[#This Row],[stt]]-1))</f>
        <v/>
      </c>
      <c r="K312" s="8" t="str">
        <f>""</f>
        <v/>
      </c>
      <c r="L312" s="8" t="str">
        <f ca="1">IF(KENKO[[#This Row],[//]]="","",IF(INDEX([2]!NOTA[QTY],KENKO[//]-2)="",INDEX([2]!NOTA[C],KENKO[//]-2),INDEX([2]!NOTA[QTY],KENKO[//]-2)))</f>
        <v/>
      </c>
      <c r="M312" s="8" t="str">
        <f ca="1">IF(KENKO[[#This Row],[//]]="","",IF(INDEX([2]!NOTA[STN],KENKO[//]-2)="","CTN",INDEX([2]!NOTA[STN],KENKO[//]-2)))</f>
        <v/>
      </c>
      <c r="N312" s="17" t="str">
        <f ca="1">IF(KENKO[[#This Row],[//]]="","",IF(INDEX([2]!NOTA[HARGA/ CTN],KENKO[[#This Row],[//]]-2)="",INDEX([2]!NOTA[HARGA SATUAN],KENKO[//]-2),INDEX([2]!NOTA[HARGA/ CTN],KENKO[[#This Row],[//]]-2)))</f>
        <v/>
      </c>
      <c r="O312" s="19" t="str">
        <f ca="1">IF(KENKO[[#This Row],[//]]="","",IF(INDEX([2]!NOTA[DISC 2],KENKO[[#This Row],[//]]-2)=0,"",INDEX([2]!NOTA[DISC 2],KENKO[[#This Row],[//]]-2)))</f>
        <v/>
      </c>
      <c r="P312" s="19"/>
      <c r="Q31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2" s="16" t="str">
        <f ca="1">IF(KENKO[[#This Row],[//]]="","",INDEX([2]!NOTA[NAMA BARANG],KENKO[[#This Row],[//]]-2))</f>
        <v/>
      </c>
      <c r="V312" s="16" t="str">
        <f ca="1">LOWER(SUBSTITUTE(SUBSTITUTE(SUBSTITUTE(SUBSTITUTE(SUBSTITUTE(SUBSTITUTE(SUBSTITUTE(SUBSTITUTE(KENKO[[#This Row],[N.B.nota]]," ",""),"-",""),"(",""),")",""),".",""),",",""),"/",""),"""",""))</f>
        <v/>
      </c>
      <c r="W312" s="8" t="str">
        <f ca="1">IF(KENKO[[#This Row],[concat]]="","",MATCH(KENKO[[#This Row],[concat]],[4]!db[NB NOTA_C],0)+1)</f>
        <v/>
      </c>
      <c r="X312" s="16" t="str">
        <f ca="1">IF(KENKO[[#This Row],[N.B.nota]]="","",ADDRESS(ROW(KENKO[QB]),COLUMN(KENKO[QB]))&amp;":"&amp;ADDRESS(ROW(),COLUMN(KENKO[QB])))</f>
        <v/>
      </c>
      <c r="Y312" s="16" t="str">
        <f ca="1">IF(KENKO[[#This Row],[//]]="","",HYPERLINK("[..\\DB.xlsx]DB!e"&amp;KENKO[[#This Row],[stt]],"&gt;"))</f>
        <v/>
      </c>
      <c r="Z312" s="4" t="str">
        <f ca="1">IF(KENKO[[#This Row],[//]]="","",IF(KENKO[[#This Row],[ID NOTA]]="",Z311,KENKO[[#This Row],[ID NOTA]]))</f>
        <v/>
      </c>
    </row>
    <row r="313" spans="1:26" ht="15" customHeight="1" x14ac:dyDescent="0.25">
      <c r="A313" s="2"/>
      <c r="B313" s="8" t="str">
        <f>IF(KENKO[[#This Row],[N_ID]]="","",INDEX(Table1[ID],MATCH(KENKO[[#This Row],[N_ID]],Table1[N_ID],0)))</f>
        <v/>
      </c>
      <c r="C313" s="8" t="str">
        <f>IF(KENKO[[#This Row],[ID NOTA]]="","",HYPERLINK("[NOTA_.xlsx]NOTA!e"&amp;INDEX([2]!PAJAK[//],MATCH(KENKO[[#This Row],[ID NOTA]],[2]!PAJAK[ID],0)),"&gt;") )</f>
        <v/>
      </c>
      <c r="D313" s="8" t="str">
        <f>IF(KENKO[[#This Row],[ID NOTA]]="","",INDEX(Table1[QB],MATCH(KENKO[[#This Row],[ID NOTA]],Table1[ID],0)))</f>
        <v/>
      </c>
      <c r="E31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3" s="6"/>
      <c r="G313" s="9" t="str">
        <f>IF(KENKO[[#This Row],[ID NOTA]]="","",INDEX([2]!NOTA[TGL_H],MATCH(KENKO[[#This Row],[ID NOTA]],[2]!NOTA[ID],0)))</f>
        <v/>
      </c>
      <c r="H313" s="9" t="str">
        <f>IF(KENKO[[#This Row],[ID NOTA]]="","",INDEX([2]!NOTA[TGL.NOTA],MATCH(KENKO[[#This Row],[ID NOTA]],[2]!NOTA[ID],0)))</f>
        <v/>
      </c>
      <c r="I313" s="16" t="str">
        <f>IF(KENKO[[#This Row],[ID NOTA]]="","",INDEX([2]!NOTA[NO.NOTA],MATCH(KENKO[[#This Row],[ID NOTA]],[2]!NOTA[ID],0)))</f>
        <v/>
      </c>
      <c r="J313" s="16" t="str">
        <f ca="1">IF(KENKO[[#This Row],[//]]="","",INDEX([4]!db[NB PAJAK],KENKO[[#This Row],[stt]]-1))</f>
        <v/>
      </c>
      <c r="K313" s="8" t="str">
        <f>""</f>
        <v/>
      </c>
      <c r="L313" s="8" t="str">
        <f ca="1">IF(KENKO[[#This Row],[//]]="","",IF(INDEX([2]!NOTA[QTY],KENKO[//]-2)="",INDEX([2]!NOTA[C],KENKO[//]-2),INDEX([2]!NOTA[QTY],KENKO[//]-2)))</f>
        <v/>
      </c>
      <c r="M313" s="8" t="str">
        <f ca="1">IF(KENKO[[#This Row],[//]]="","",IF(INDEX([2]!NOTA[STN],KENKO[//]-2)="","CTN",INDEX([2]!NOTA[STN],KENKO[//]-2)))</f>
        <v/>
      </c>
      <c r="N313" s="17" t="str">
        <f ca="1">IF(KENKO[[#This Row],[//]]="","",IF(INDEX([2]!NOTA[HARGA/ CTN],KENKO[[#This Row],[//]]-2)="",INDEX([2]!NOTA[HARGA SATUAN],KENKO[//]-2),INDEX([2]!NOTA[HARGA/ CTN],KENKO[[#This Row],[//]]-2)))</f>
        <v/>
      </c>
      <c r="O313" s="19" t="str">
        <f ca="1">IF(KENKO[[#This Row],[//]]="","",IF(INDEX([2]!NOTA[DISC 2],KENKO[[#This Row],[//]]-2)=0,"",INDEX([2]!NOTA[DISC 2],KENKO[[#This Row],[//]]-2)))</f>
        <v/>
      </c>
      <c r="P313" s="19"/>
      <c r="Q31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3" s="16" t="str">
        <f ca="1">IF(KENKO[[#This Row],[//]]="","",INDEX([2]!NOTA[NAMA BARANG],KENKO[[#This Row],[//]]-2))</f>
        <v/>
      </c>
      <c r="V313" s="16" t="str">
        <f ca="1">LOWER(SUBSTITUTE(SUBSTITUTE(SUBSTITUTE(SUBSTITUTE(SUBSTITUTE(SUBSTITUTE(SUBSTITUTE(SUBSTITUTE(KENKO[[#This Row],[N.B.nota]]," ",""),"-",""),"(",""),")",""),".",""),",",""),"/",""),"""",""))</f>
        <v/>
      </c>
      <c r="W313" s="8" t="str">
        <f ca="1">IF(KENKO[[#This Row],[concat]]="","",MATCH(KENKO[[#This Row],[concat]],[4]!db[NB NOTA_C],0)+1)</f>
        <v/>
      </c>
      <c r="X313" s="16" t="str">
        <f ca="1">IF(KENKO[[#This Row],[N.B.nota]]="","",ADDRESS(ROW(KENKO[QB]),COLUMN(KENKO[QB]))&amp;":"&amp;ADDRESS(ROW(),COLUMN(KENKO[QB])))</f>
        <v/>
      </c>
      <c r="Y313" s="16" t="str">
        <f ca="1">IF(KENKO[[#This Row],[//]]="","",HYPERLINK("[..\\DB.xlsx]DB!e"&amp;KENKO[[#This Row],[stt]],"&gt;"))</f>
        <v/>
      </c>
      <c r="Z313" s="4" t="str">
        <f ca="1">IF(KENKO[[#This Row],[//]]="","",IF(KENKO[[#This Row],[ID NOTA]]="",Z312,KENKO[[#This Row],[ID NOTA]]))</f>
        <v/>
      </c>
    </row>
    <row r="314" spans="1:26" ht="15" customHeight="1" x14ac:dyDescent="0.25">
      <c r="A314" s="2"/>
      <c r="B314" s="8" t="str">
        <f>IF(KENKO[[#This Row],[N_ID]]="","",INDEX(Table1[ID],MATCH(KENKO[[#This Row],[N_ID]],Table1[N_ID],0)))</f>
        <v/>
      </c>
      <c r="C314" s="8" t="str">
        <f>IF(KENKO[[#This Row],[ID NOTA]]="","",HYPERLINK("[NOTA_.xlsx]NOTA!e"&amp;INDEX([2]!PAJAK[//],MATCH(KENKO[[#This Row],[ID NOTA]],[2]!PAJAK[ID],0)),"&gt;") )</f>
        <v/>
      </c>
      <c r="D314" s="8" t="str">
        <f>IF(KENKO[[#This Row],[ID NOTA]]="","",INDEX(Table1[QB],MATCH(KENKO[[#This Row],[ID NOTA]],Table1[ID],0)))</f>
        <v/>
      </c>
      <c r="E31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4" s="6"/>
      <c r="G314" s="9" t="str">
        <f>IF(KENKO[[#This Row],[ID NOTA]]="","",INDEX([2]!NOTA[TGL_H],MATCH(KENKO[[#This Row],[ID NOTA]],[2]!NOTA[ID],0)))</f>
        <v/>
      </c>
      <c r="H314" s="9" t="str">
        <f>IF(KENKO[[#This Row],[ID NOTA]]="","",INDEX([2]!NOTA[TGL.NOTA],MATCH(KENKO[[#This Row],[ID NOTA]],[2]!NOTA[ID],0)))</f>
        <v/>
      </c>
      <c r="I314" s="16" t="str">
        <f>IF(KENKO[[#This Row],[ID NOTA]]="","",INDEX([2]!NOTA[NO.NOTA],MATCH(KENKO[[#This Row],[ID NOTA]],[2]!NOTA[ID],0)))</f>
        <v/>
      </c>
      <c r="J314" s="16" t="str">
        <f ca="1">IF(KENKO[[#This Row],[//]]="","",INDEX([4]!db[NB PAJAK],KENKO[[#This Row],[stt]]-1))</f>
        <v/>
      </c>
      <c r="K314" s="8" t="str">
        <f>""</f>
        <v/>
      </c>
      <c r="L314" s="8" t="str">
        <f ca="1">IF(KENKO[[#This Row],[//]]="","",IF(INDEX([2]!NOTA[QTY],KENKO[//]-2)="",INDEX([2]!NOTA[C],KENKO[//]-2),INDEX([2]!NOTA[QTY],KENKO[//]-2)))</f>
        <v/>
      </c>
      <c r="M314" s="8" t="str">
        <f ca="1">IF(KENKO[[#This Row],[//]]="","",IF(INDEX([2]!NOTA[STN],KENKO[//]-2)="","CTN",INDEX([2]!NOTA[STN],KENKO[//]-2)))</f>
        <v/>
      </c>
      <c r="N314" s="17" t="str">
        <f ca="1">IF(KENKO[[#This Row],[//]]="","",IF(INDEX([2]!NOTA[HARGA/ CTN],KENKO[[#This Row],[//]]-2)="",INDEX([2]!NOTA[HARGA SATUAN],KENKO[//]-2),INDEX([2]!NOTA[HARGA/ CTN],KENKO[[#This Row],[//]]-2)))</f>
        <v/>
      </c>
      <c r="O314" s="19" t="str">
        <f ca="1">IF(KENKO[[#This Row],[//]]="","",IF(INDEX([2]!NOTA[DISC 2],KENKO[[#This Row],[//]]-2)=0,"",INDEX([2]!NOTA[DISC 2],KENKO[[#This Row],[//]]-2)))</f>
        <v/>
      </c>
      <c r="P314" s="19"/>
      <c r="Q31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4" s="16" t="str">
        <f ca="1">IF(KENKO[[#This Row],[//]]="","",INDEX([2]!NOTA[NAMA BARANG],KENKO[[#This Row],[//]]-2))</f>
        <v/>
      </c>
      <c r="V314" s="16" t="str">
        <f ca="1">LOWER(SUBSTITUTE(SUBSTITUTE(SUBSTITUTE(SUBSTITUTE(SUBSTITUTE(SUBSTITUTE(SUBSTITUTE(SUBSTITUTE(KENKO[[#This Row],[N.B.nota]]," ",""),"-",""),"(",""),")",""),".",""),",",""),"/",""),"""",""))</f>
        <v/>
      </c>
      <c r="W314" s="8" t="str">
        <f ca="1">IF(KENKO[[#This Row],[concat]]="","",MATCH(KENKO[[#This Row],[concat]],[4]!db[NB NOTA_C],0)+1)</f>
        <v/>
      </c>
      <c r="X314" s="16" t="str">
        <f ca="1">IF(KENKO[[#This Row],[N.B.nota]]="","",ADDRESS(ROW(KENKO[QB]),COLUMN(KENKO[QB]))&amp;":"&amp;ADDRESS(ROW(),COLUMN(KENKO[QB])))</f>
        <v/>
      </c>
      <c r="Y314" s="16" t="str">
        <f ca="1">IF(KENKO[[#This Row],[//]]="","",HYPERLINK("[..\\DB.xlsx]DB!e"&amp;KENKO[[#This Row],[stt]],"&gt;"))</f>
        <v/>
      </c>
      <c r="Z314" s="4" t="str">
        <f ca="1">IF(KENKO[[#This Row],[//]]="","",IF(KENKO[[#This Row],[ID NOTA]]="",Z313,KENKO[[#This Row],[ID NOTA]]))</f>
        <v/>
      </c>
    </row>
    <row r="315" spans="1:26" ht="15" customHeight="1" x14ac:dyDescent="0.25">
      <c r="A315" s="2"/>
      <c r="B315" s="8" t="str">
        <f>IF(KENKO[[#This Row],[N_ID]]="","",INDEX(Table1[ID],MATCH(KENKO[[#This Row],[N_ID]],Table1[N_ID],0)))</f>
        <v/>
      </c>
      <c r="C315" s="8" t="str">
        <f>IF(KENKO[[#This Row],[ID NOTA]]="","",HYPERLINK("[NOTA_.xlsx]NOTA!e"&amp;INDEX([2]!PAJAK[//],MATCH(KENKO[[#This Row],[ID NOTA]],[2]!PAJAK[ID],0)),"&gt;") )</f>
        <v/>
      </c>
      <c r="D315" s="8" t="str">
        <f>IF(KENKO[[#This Row],[ID NOTA]]="","",INDEX(Table1[QB],MATCH(KENKO[[#This Row],[ID NOTA]],Table1[ID],0)))</f>
        <v/>
      </c>
      <c r="E31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5" s="6"/>
      <c r="G315" s="9" t="str">
        <f>IF(KENKO[[#This Row],[ID NOTA]]="","",INDEX([2]!NOTA[TGL_H],MATCH(KENKO[[#This Row],[ID NOTA]],[2]!NOTA[ID],0)))</f>
        <v/>
      </c>
      <c r="H315" s="9" t="str">
        <f>IF(KENKO[[#This Row],[ID NOTA]]="","",INDEX([2]!NOTA[TGL.NOTA],MATCH(KENKO[[#This Row],[ID NOTA]],[2]!NOTA[ID],0)))</f>
        <v/>
      </c>
      <c r="I315" s="16" t="str">
        <f>IF(KENKO[[#This Row],[ID NOTA]]="","",INDEX([2]!NOTA[NO.NOTA],MATCH(KENKO[[#This Row],[ID NOTA]],[2]!NOTA[ID],0)))</f>
        <v/>
      </c>
      <c r="J315" s="16" t="str">
        <f ca="1">IF(KENKO[[#This Row],[//]]="","",INDEX([4]!db[NB PAJAK],KENKO[[#This Row],[stt]]-1))</f>
        <v/>
      </c>
      <c r="K315" s="8" t="str">
        <f>""</f>
        <v/>
      </c>
      <c r="L315" s="8" t="str">
        <f ca="1">IF(KENKO[[#This Row],[//]]="","",IF(INDEX([2]!NOTA[QTY],KENKO[//]-2)="",INDEX([2]!NOTA[C],KENKO[//]-2),INDEX([2]!NOTA[QTY],KENKO[//]-2)))</f>
        <v/>
      </c>
      <c r="M315" s="8" t="str">
        <f ca="1">IF(KENKO[[#This Row],[//]]="","",IF(INDEX([2]!NOTA[STN],KENKO[//]-2)="","CTN",INDEX([2]!NOTA[STN],KENKO[//]-2)))</f>
        <v/>
      </c>
      <c r="N315" s="17" t="str">
        <f ca="1">IF(KENKO[[#This Row],[//]]="","",IF(INDEX([2]!NOTA[HARGA/ CTN],KENKO[[#This Row],[//]]-2)="",INDEX([2]!NOTA[HARGA SATUAN],KENKO[//]-2),INDEX([2]!NOTA[HARGA/ CTN],KENKO[[#This Row],[//]]-2)))</f>
        <v/>
      </c>
      <c r="O315" s="19" t="str">
        <f ca="1">IF(KENKO[[#This Row],[//]]="","",IF(INDEX([2]!NOTA[DISC 2],KENKO[[#This Row],[//]]-2)=0,"",INDEX([2]!NOTA[DISC 2],KENKO[[#This Row],[//]]-2)))</f>
        <v/>
      </c>
      <c r="P315" s="19"/>
      <c r="Q31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5" s="16" t="str">
        <f ca="1">IF(KENKO[[#This Row],[//]]="","",INDEX([2]!NOTA[NAMA BARANG],KENKO[[#This Row],[//]]-2))</f>
        <v/>
      </c>
      <c r="V315" s="16" t="str">
        <f ca="1">LOWER(SUBSTITUTE(SUBSTITUTE(SUBSTITUTE(SUBSTITUTE(SUBSTITUTE(SUBSTITUTE(SUBSTITUTE(SUBSTITUTE(KENKO[[#This Row],[N.B.nota]]," ",""),"-",""),"(",""),")",""),".",""),",",""),"/",""),"""",""))</f>
        <v/>
      </c>
      <c r="W315" s="8" t="str">
        <f ca="1">IF(KENKO[[#This Row],[concat]]="","",MATCH(KENKO[[#This Row],[concat]],[4]!db[NB NOTA_C],0)+1)</f>
        <v/>
      </c>
      <c r="X315" s="16" t="str">
        <f ca="1">IF(KENKO[[#This Row],[N.B.nota]]="","",ADDRESS(ROW(KENKO[QB]),COLUMN(KENKO[QB]))&amp;":"&amp;ADDRESS(ROW(),COLUMN(KENKO[QB])))</f>
        <v/>
      </c>
      <c r="Y315" s="16" t="str">
        <f ca="1">IF(KENKO[[#This Row],[//]]="","",HYPERLINK("[..\\DB.xlsx]DB!e"&amp;KENKO[[#This Row],[stt]],"&gt;"))</f>
        <v/>
      </c>
      <c r="Z315" s="4" t="str">
        <f ca="1">IF(KENKO[[#This Row],[//]]="","",IF(KENKO[[#This Row],[ID NOTA]]="",Z314,KENKO[[#This Row],[ID NOTA]]))</f>
        <v/>
      </c>
    </row>
    <row r="316" spans="1:26" ht="15" customHeight="1" x14ac:dyDescent="0.25">
      <c r="A316" s="2"/>
      <c r="B316" s="8" t="str">
        <f>IF(KENKO[[#This Row],[N_ID]]="","",INDEX(Table1[ID],MATCH(KENKO[[#This Row],[N_ID]],Table1[N_ID],0)))</f>
        <v/>
      </c>
      <c r="C316" s="8" t="str">
        <f>IF(KENKO[[#This Row],[ID NOTA]]="","",HYPERLINK("[NOTA_.xlsx]NOTA!e"&amp;INDEX([2]!PAJAK[//],MATCH(KENKO[[#This Row],[ID NOTA]],[2]!PAJAK[ID],0)),"&gt;") )</f>
        <v/>
      </c>
      <c r="D316" s="8" t="str">
        <f>IF(KENKO[[#This Row],[ID NOTA]]="","",INDEX(Table1[QB],MATCH(KENKO[[#This Row],[ID NOTA]],Table1[ID],0)))</f>
        <v/>
      </c>
      <c r="E31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6" s="6"/>
      <c r="G316" s="9" t="str">
        <f>IF(KENKO[[#This Row],[ID NOTA]]="","",INDEX([2]!NOTA[TGL_H],MATCH(KENKO[[#This Row],[ID NOTA]],[2]!NOTA[ID],0)))</f>
        <v/>
      </c>
      <c r="H316" s="9" t="str">
        <f>IF(KENKO[[#This Row],[ID NOTA]]="","",INDEX([2]!NOTA[TGL.NOTA],MATCH(KENKO[[#This Row],[ID NOTA]],[2]!NOTA[ID],0)))</f>
        <v/>
      </c>
      <c r="I316" s="16" t="str">
        <f>IF(KENKO[[#This Row],[ID NOTA]]="","",INDEX([2]!NOTA[NO.NOTA],MATCH(KENKO[[#This Row],[ID NOTA]],[2]!NOTA[ID],0)))</f>
        <v/>
      </c>
      <c r="J316" s="16" t="str">
        <f ca="1">IF(KENKO[[#This Row],[//]]="","",INDEX([4]!db[NB PAJAK],KENKO[[#This Row],[stt]]-1))</f>
        <v/>
      </c>
      <c r="K316" s="8" t="str">
        <f>""</f>
        <v/>
      </c>
      <c r="L316" s="8" t="str">
        <f ca="1">IF(KENKO[[#This Row],[//]]="","",IF(INDEX([2]!NOTA[QTY],KENKO[//]-2)="",INDEX([2]!NOTA[C],KENKO[//]-2),INDEX([2]!NOTA[QTY],KENKO[//]-2)))</f>
        <v/>
      </c>
      <c r="M316" s="8" t="str">
        <f ca="1">IF(KENKO[[#This Row],[//]]="","",IF(INDEX([2]!NOTA[STN],KENKO[//]-2)="","CTN",INDEX([2]!NOTA[STN],KENKO[//]-2)))</f>
        <v/>
      </c>
      <c r="N316" s="17" t="str">
        <f ca="1">IF(KENKO[[#This Row],[//]]="","",IF(INDEX([2]!NOTA[HARGA/ CTN],KENKO[[#This Row],[//]]-2)="",INDEX([2]!NOTA[HARGA SATUAN],KENKO[//]-2),INDEX([2]!NOTA[HARGA/ CTN],KENKO[[#This Row],[//]]-2)))</f>
        <v/>
      </c>
      <c r="O316" s="19" t="str">
        <f ca="1">IF(KENKO[[#This Row],[//]]="","",IF(INDEX([2]!NOTA[DISC 2],KENKO[[#This Row],[//]]-2)=0,"",INDEX([2]!NOTA[DISC 2],KENKO[[#This Row],[//]]-2)))</f>
        <v/>
      </c>
      <c r="P316" s="19"/>
      <c r="Q31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6" s="16" t="str">
        <f ca="1">IF(KENKO[[#This Row],[//]]="","",INDEX([2]!NOTA[NAMA BARANG],KENKO[[#This Row],[//]]-2))</f>
        <v/>
      </c>
      <c r="V316" s="16" t="str">
        <f ca="1">LOWER(SUBSTITUTE(SUBSTITUTE(SUBSTITUTE(SUBSTITUTE(SUBSTITUTE(SUBSTITUTE(SUBSTITUTE(SUBSTITUTE(KENKO[[#This Row],[N.B.nota]]," ",""),"-",""),"(",""),")",""),".",""),",",""),"/",""),"""",""))</f>
        <v/>
      </c>
      <c r="W316" s="8" t="str">
        <f ca="1">IF(KENKO[[#This Row],[concat]]="","",MATCH(KENKO[[#This Row],[concat]],[4]!db[NB NOTA_C],0)+1)</f>
        <v/>
      </c>
      <c r="X316" s="16" t="str">
        <f ca="1">IF(KENKO[[#This Row],[N.B.nota]]="","",ADDRESS(ROW(KENKO[QB]),COLUMN(KENKO[QB]))&amp;":"&amp;ADDRESS(ROW(),COLUMN(KENKO[QB])))</f>
        <v/>
      </c>
      <c r="Y316" s="16" t="str">
        <f ca="1">IF(KENKO[[#This Row],[//]]="","",HYPERLINK("[..\\DB.xlsx]DB!e"&amp;KENKO[[#This Row],[stt]],"&gt;"))</f>
        <v/>
      </c>
      <c r="Z316" s="4" t="str">
        <f ca="1">IF(KENKO[[#This Row],[//]]="","",IF(KENKO[[#This Row],[ID NOTA]]="",Z315,KENKO[[#This Row],[ID NOTA]]))</f>
        <v/>
      </c>
    </row>
    <row r="317" spans="1:26" ht="15" customHeight="1" x14ac:dyDescent="0.25">
      <c r="A317" s="2"/>
      <c r="B317" s="8" t="str">
        <f>IF(KENKO[[#This Row],[N_ID]]="","",INDEX(Table1[ID],MATCH(KENKO[[#This Row],[N_ID]],Table1[N_ID],0)))</f>
        <v/>
      </c>
      <c r="C317" s="8" t="str">
        <f>IF(KENKO[[#This Row],[ID NOTA]]="","",HYPERLINK("[NOTA_.xlsx]NOTA!e"&amp;INDEX([2]!PAJAK[//],MATCH(KENKO[[#This Row],[ID NOTA]],[2]!PAJAK[ID],0)),"&gt;") )</f>
        <v/>
      </c>
      <c r="D317" s="8" t="str">
        <f>IF(KENKO[[#This Row],[ID NOTA]]="","",INDEX(Table1[QB],MATCH(KENKO[[#This Row],[ID NOTA]],Table1[ID],0)))</f>
        <v/>
      </c>
      <c r="E31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7" s="6"/>
      <c r="G317" s="9" t="str">
        <f>IF(KENKO[[#This Row],[ID NOTA]]="","",INDEX([2]!NOTA[TGL_H],MATCH(KENKO[[#This Row],[ID NOTA]],[2]!NOTA[ID],0)))</f>
        <v/>
      </c>
      <c r="H317" s="9" t="str">
        <f>IF(KENKO[[#This Row],[ID NOTA]]="","",INDEX([2]!NOTA[TGL.NOTA],MATCH(KENKO[[#This Row],[ID NOTA]],[2]!NOTA[ID],0)))</f>
        <v/>
      </c>
      <c r="I317" s="16" t="str">
        <f>IF(KENKO[[#This Row],[ID NOTA]]="","",INDEX([2]!NOTA[NO.NOTA],MATCH(KENKO[[#This Row],[ID NOTA]],[2]!NOTA[ID],0)))</f>
        <v/>
      </c>
      <c r="J317" s="16" t="str">
        <f ca="1">IF(KENKO[[#This Row],[//]]="","",INDEX([4]!db[NB PAJAK],KENKO[[#This Row],[stt]]-1))</f>
        <v/>
      </c>
      <c r="K317" s="8" t="str">
        <f>""</f>
        <v/>
      </c>
      <c r="L317" s="8" t="str">
        <f ca="1">IF(KENKO[[#This Row],[//]]="","",IF(INDEX([2]!NOTA[QTY],KENKO[//]-2)="",INDEX([2]!NOTA[C],KENKO[//]-2),INDEX([2]!NOTA[QTY],KENKO[//]-2)))</f>
        <v/>
      </c>
      <c r="M317" s="8" t="str">
        <f ca="1">IF(KENKO[[#This Row],[//]]="","",IF(INDEX([2]!NOTA[STN],KENKO[//]-2)="","CTN",INDEX([2]!NOTA[STN],KENKO[//]-2)))</f>
        <v/>
      </c>
      <c r="N317" s="17" t="str">
        <f ca="1">IF(KENKO[[#This Row],[//]]="","",IF(INDEX([2]!NOTA[HARGA/ CTN],KENKO[[#This Row],[//]]-2)="",INDEX([2]!NOTA[HARGA SATUAN],KENKO[//]-2),INDEX([2]!NOTA[HARGA/ CTN],KENKO[[#This Row],[//]]-2)))</f>
        <v/>
      </c>
      <c r="O317" s="19" t="str">
        <f ca="1">IF(KENKO[[#This Row],[//]]="","",IF(INDEX([2]!NOTA[DISC 2],KENKO[[#This Row],[//]]-2)=0,"",INDEX([2]!NOTA[DISC 2],KENKO[[#This Row],[//]]-2)))</f>
        <v/>
      </c>
      <c r="P317" s="19"/>
      <c r="Q31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7" s="16" t="str">
        <f ca="1">IF(KENKO[[#This Row],[//]]="","",INDEX([2]!NOTA[NAMA BARANG],KENKO[[#This Row],[//]]-2))</f>
        <v/>
      </c>
      <c r="V317" s="16" t="str">
        <f ca="1">LOWER(SUBSTITUTE(SUBSTITUTE(SUBSTITUTE(SUBSTITUTE(SUBSTITUTE(SUBSTITUTE(SUBSTITUTE(SUBSTITUTE(KENKO[[#This Row],[N.B.nota]]," ",""),"-",""),"(",""),")",""),".",""),",",""),"/",""),"""",""))</f>
        <v/>
      </c>
      <c r="W317" s="8" t="str">
        <f ca="1">IF(KENKO[[#This Row],[concat]]="","",MATCH(KENKO[[#This Row],[concat]],[4]!db[NB NOTA_C],0)+1)</f>
        <v/>
      </c>
      <c r="X317" s="16" t="str">
        <f ca="1">IF(KENKO[[#This Row],[N.B.nota]]="","",ADDRESS(ROW(KENKO[QB]),COLUMN(KENKO[QB]))&amp;":"&amp;ADDRESS(ROW(),COLUMN(KENKO[QB])))</f>
        <v/>
      </c>
      <c r="Y317" s="16" t="str">
        <f ca="1">IF(KENKO[[#This Row],[//]]="","",HYPERLINK("[..\\DB.xlsx]DB!e"&amp;KENKO[[#This Row],[stt]],"&gt;"))</f>
        <v/>
      </c>
      <c r="Z317" s="4" t="str">
        <f ca="1">IF(KENKO[[#This Row],[//]]="","",IF(KENKO[[#This Row],[ID NOTA]]="",Z316,KENKO[[#This Row],[ID NOTA]]))</f>
        <v/>
      </c>
    </row>
    <row r="318" spans="1:26" ht="15" customHeight="1" x14ac:dyDescent="0.25">
      <c r="A318" s="2"/>
      <c r="B318" s="8" t="str">
        <f>IF(KENKO[[#This Row],[N_ID]]="","",INDEX(Table1[ID],MATCH(KENKO[[#This Row],[N_ID]],Table1[N_ID],0)))</f>
        <v/>
      </c>
      <c r="C318" s="8" t="str">
        <f>IF(KENKO[[#This Row],[ID NOTA]]="","",HYPERLINK("[NOTA_.xlsx]NOTA!e"&amp;INDEX([2]!PAJAK[//],MATCH(KENKO[[#This Row],[ID NOTA]],[2]!PAJAK[ID],0)),"&gt;") )</f>
        <v/>
      </c>
      <c r="D318" s="8" t="str">
        <f>IF(KENKO[[#This Row],[ID NOTA]]="","",INDEX(Table1[QB],MATCH(KENKO[[#This Row],[ID NOTA]],Table1[ID],0)))</f>
        <v/>
      </c>
      <c r="E31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8" s="6"/>
      <c r="G318" s="9" t="str">
        <f>IF(KENKO[[#This Row],[ID NOTA]]="","",INDEX([2]!NOTA[TGL_H],MATCH(KENKO[[#This Row],[ID NOTA]],[2]!NOTA[ID],0)))</f>
        <v/>
      </c>
      <c r="H318" s="9" t="str">
        <f>IF(KENKO[[#This Row],[ID NOTA]]="","",INDEX([2]!NOTA[TGL.NOTA],MATCH(KENKO[[#This Row],[ID NOTA]],[2]!NOTA[ID],0)))</f>
        <v/>
      </c>
      <c r="I318" s="16" t="str">
        <f>IF(KENKO[[#This Row],[ID NOTA]]="","",INDEX([2]!NOTA[NO.NOTA],MATCH(KENKO[[#This Row],[ID NOTA]],[2]!NOTA[ID],0)))</f>
        <v/>
      </c>
      <c r="J318" s="16" t="str">
        <f ca="1">IF(KENKO[[#This Row],[//]]="","",INDEX([4]!db[NB PAJAK],KENKO[[#This Row],[stt]]-1))</f>
        <v/>
      </c>
      <c r="K318" s="8" t="str">
        <f>""</f>
        <v/>
      </c>
      <c r="L318" s="8" t="str">
        <f ca="1">IF(KENKO[[#This Row],[//]]="","",IF(INDEX([2]!NOTA[QTY],KENKO[//]-2)="",INDEX([2]!NOTA[C],KENKO[//]-2),INDEX([2]!NOTA[QTY],KENKO[//]-2)))</f>
        <v/>
      </c>
      <c r="M318" s="8" t="str">
        <f ca="1">IF(KENKO[[#This Row],[//]]="","",IF(INDEX([2]!NOTA[STN],KENKO[//]-2)="","CTN",INDEX([2]!NOTA[STN],KENKO[//]-2)))</f>
        <v/>
      </c>
      <c r="N318" s="17" t="str">
        <f ca="1">IF(KENKO[[#This Row],[//]]="","",IF(INDEX([2]!NOTA[HARGA/ CTN],KENKO[[#This Row],[//]]-2)="",INDEX([2]!NOTA[HARGA SATUAN],KENKO[//]-2),INDEX([2]!NOTA[HARGA/ CTN],KENKO[[#This Row],[//]]-2)))</f>
        <v/>
      </c>
      <c r="O318" s="19" t="str">
        <f ca="1">IF(KENKO[[#This Row],[//]]="","",IF(INDEX([2]!NOTA[DISC 2],KENKO[[#This Row],[//]]-2)=0,"",INDEX([2]!NOTA[DISC 2],KENKO[[#This Row],[//]]-2)))</f>
        <v/>
      </c>
      <c r="P318" s="19"/>
      <c r="Q31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8" s="16" t="str">
        <f ca="1">IF(KENKO[[#This Row],[//]]="","",INDEX([2]!NOTA[NAMA BARANG],KENKO[[#This Row],[//]]-2))</f>
        <v/>
      </c>
      <c r="V318" s="16" t="str">
        <f ca="1">LOWER(SUBSTITUTE(SUBSTITUTE(SUBSTITUTE(SUBSTITUTE(SUBSTITUTE(SUBSTITUTE(SUBSTITUTE(SUBSTITUTE(KENKO[[#This Row],[N.B.nota]]," ",""),"-",""),"(",""),")",""),".",""),",",""),"/",""),"""",""))</f>
        <v/>
      </c>
      <c r="W318" s="8" t="str">
        <f ca="1">IF(KENKO[[#This Row],[concat]]="","",MATCH(KENKO[[#This Row],[concat]],[4]!db[NB NOTA_C],0)+1)</f>
        <v/>
      </c>
      <c r="X318" s="16" t="str">
        <f ca="1">IF(KENKO[[#This Row],[N.B.nota]]="","",ADDRESS(ROW(KENKO[QB]),COLUMN(KENKO[QB]))&amp;":"&amp;ADDRESS(ROW(),COLUMN(KENKO[QB])))</f>
        <v/>
      </c>
      <c r="Y318" s="16" t="str">
        <f ca="1">IF(KENKO[[#This Row],[//]]="","",HYPERLINK("[..\\DB.xlsx]DB!e"&amp;KENKO[[#This Row],[stt]],"&gt;"))</f>
        <v/>
      </c>
      <c r="Z318" s="4" t="str">
        <f ca="1">IF(KENKO[[#This Row],[//]]="","",IF(KENKO[[#This Row],[ID NOTA]]="",Z317,KENKO[[#This Row],[ID NOTA]]))</f>
        <v/>
      </c>
    </row>
    <row r="319" spans="1:26" ht="15" customHeight="1" x14ac:dyDescent="0.25">
      <c r="A319" s="2"/>
      <c r="B319" s="8" t="str">
        <f>IF(KENKO[[#This Row],[N_ID]]="","",INDEX(Table1[ID],MATCH(KENKO[[#This Row],[N_ID]],Table1[N_ID],0)))</f>
        <v/>
      </c>
      <c r="C319" s="8" t="str">
        <f>IF(KENKO[[#This Row],[ID NOTA]]="","",HYPERLINK("[NOTA_.xlsx]NOTA!e"&amp;INDEX([2]!PAJAK[//],MATCH(KENKO[[#This Row],[ID NOTA]],[2]!PAJAK[ID],0)),"&gt;") )</f>
        <v/>
      </c>
      <c r="D319" s="8" t="str">
        <f>IF(KENKO[[#This Row],[ID NOTA]]="","",INDEX(Table1[QB],MATCH(KENKO[[#This Row],[ID NOTA]],Table1[ID],0)))</f>
        <v/>
      </c>
      <c r="E31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9" s="6"/>
      <c r="G319" s="9" t="str">
        <f>IF(KENKO[[#This Row],[ID NOTA]]="","",INDEX([2]!NOTA[TGL_H],MATCH(KENKO[[#This Row],[ID NOTA]],[2]!NOTA[ID],0)))</f>
        <v/>
      </c>
      <c r="H319" s="9" t="str">
        <f>IF(KENKO[[#This Row],[ID NOTA]]="","",INDEX([2]!NOTA[TGL.NOTA],MATCH(KENKO[[#This Row],[ID NOTA]],[2]!NOTA[ID],0)))</f>
        <v/>
      </c>
      <c r="I319" s="16" t="str">
        <f>IF(KENKO[[#This Row],[ID NOTA]]="","",INDEX([2]!NOTA[NO.NOTA],MATCH(KENKO[[#This Row],[ID NOTA]],[2]!NOTA[ID],0)))</f>
        <v/>
      </c>
      <c r="J319" s="16" t="str">
        <f ca="1">IF(KENKO[[#This Row],[//]]="","",INDEX([4]!db[NB PAJAK],KENKO[[#This Row],[stt]]-1))</f>
        <v/>
      </c>
      <c r="K319" s="8" t="str">
        <f>""</f>
        <v/>
      </c>
      <c r="L319" s="8" t="str">
        <f ca="1">IF(KENKO[[#This Row],[//]]="","",IF(INDEX([2]!NOTA[QTY],KENKO[//]-2)="",INDEX([2]!NOTA[C],KENKO[//]-2),INDEX([2]!NOTA[QTY],KENKO[//]-2)))</f>
        <v/>
      </c>
      <c r="M319" s="8" t="str">
        <f ca="1">IF(KENKO[[#This Row],[//]]="","",IF(INDEX([2]!NOTA[STN],KENKO[//]-2)="","CTN",INDEX([2]!NOTA[STN],KENKO[//]-2)))</f>
        <v/>
      </c>
      <c r="N319" s="17" t="str">
        <f ca="1">IF(KENKO[[#This Row],[//]]="","",IF(INDEX([2]!NOTA[HARGA/ CTN],KENKO[[#This Row],[//]]-2)="",INDEX([2]!NOTA[HARGA SATUAN],KENKO[//]-2),INDEX([2]!NOTA[HARGA/ CTN],KENKO[[#This Row],[//]]-2)))</f>
        <v/>
      </c>
      <c r="O319" s="19" t="str">
        <f ca="1">IF(KENKO[[#This Row],[//]]="","",IF(INDEX([2]!NOTA[DISC 2],KENKO[[#This Row],[//]]-2)=0,"",INDEX([2]!NOTA[DISC 2],KENKO[[#This Row],[//]]-2)))</f>
        <v/>
      </c>
      <c r="P319" s="19"/>
      <c r="Q31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9" s="16" t="str">
        <f ca="1">IF(KENKO[[#This Row],[//]]="","",INDEX([2]!NOTA[NAMA BARANG],KENKO[[#This Row],[//]]-2))</f>
        <v/>
      </c>
      <c r="V319" s="16" t="str">
        <f ca="1">LOWER(SUBSTITUTE(SUBSTITUTE(SUBSTITUTE(SUBSTITUTE(SUBSTITUTE(SUBSTITUTE(SUBSTITUTE(SUBSTITUTE(KENKO[[#This Row],[N.B.nota]]," ",""),"-",""),"(",""),")",""),".",""),",",""),"/",""),"""",""))</f>
        <v/>
      </c>
      <c r="W319" s="8" t="str">
        <f ca="1">IF(KENKO[[#This Row],[concat]]="","",MATCH(KENKO[[#This Row],[concat]],[4]!db[NB NOTA_C],0)+1)</f>
        <v/>
      </c>
      <c r="X319" s="16" t="str">
        <f ca="1">IF(KENKO[[#This Row],[N.B.nota]]="","",ADDRESS(ROW(KENKO[QB]),COLUMN(KENKO[QB]))&amp;":"&amp;ADDRESS(ROW(),COLUMN(KENKO[QB])))</f>
        <v/>
      </c>
      <c r="Y319" s="16" t="str">
        <f ca="1">IF(KENKO[[#This Row],[//]]="","",HYPERLINK("[..\\DB.xlsx]DB!e"&amp;KENKO[[#This Row],[stt]],"&gt;"))</f>
        <v/>
      </c>
      <c r="Z319" s="4" t="str">
        <f ca="1">IF(KENKO[[#This Row],[//]]="","",IF(KENKO[[#This Row],[ID NOTA]]="",Z318,KENKO[[#This Row],[ID NOTA]]))</f>
        <v/>
      </c>
    </row>
    <row r="320" spans="1:26" ht="15" customHeight="1" x14ac:dyDescent="0.25">
      <c r="A320" s="2"/>
      <c r="B320" s="8" t="str">
        <f>IF(KENKO[[#This Row],[N_ID]]="","",INDEX(Table1[ID],MATCH(KENKO[[#This Row],[N_ID]],Table1[N_ID],0)))</f>
        <v/>
      </c>
      <c r="C320" s="8" t="str">
        <f>IF(KENKO[[#This Row],[ID NOTA]]="","",HYPERLINK("[NOTA_.xlsx]NOTA!e"&amp;INDEX([2]!PAJAK[//],MATCH(KENKO[[#This Row],[ID NOTA]],[2]!PAJAK[ID],0)),"&gt;") )</f>
        <v/>
      </c>
      <c r="D320" s="8" t="str">
        <f>IF(KENKO[[#This Row],[ID NOTA]]="","",INDEX(Table1[QB],MATCH(KENKO[[#This Row],[ID NOTA]],Table1[ID],0)))</f>
        <v/>
      </c>
      <c r="E32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0" s="6"/>
      <c r="G320" s="9" t="str">
        <f>IF(KENKO[[#This Row],[ID NOTA]]="","",INDEX([2]!NOTA[TGL_H],MATCH(KENKO[[#This Row],[ID NOTA]],[2]!NOTA[ID],0)))</f>
        <v/>
      </c>
      <c r="H320" s="9" t="str">
        <f>IF(KENKO[[#This Row],[ID NOTA]]="","",INDEX([2]!NOTA[TGL.NOTA],MATCH(KENKO[[#This Row],[ID NOTA]],[2]!NOTA[ID],0)))</f>
        <v/>
      </c>
      <c r="I320" s="16" t="str">
        <f>IF(KENKO[[#This Row],[ID NOTA]]="","",INDEX([2]!NOTA[NO.NOTA],MATCH(KENKO[[#This Row],[ID NOTA]],[2]!NOTA[ID],0)))</f>
        <v/>
      </c>
      <c r="J320" s="16" t="str">
        <f ca="1">IF(KENKO[[#This Row],[//]]="","",INDEX([4]!db[NB PAJAK],KENKO[[#This Row],[stt]]-1))</f>
        <v/>
      </c>
      <c r="K320" s="8" t="str">
        <f>""</f>
        <v/>
      </c>
      <c r="L320" s="8" t="str">
        <f ca="1">IF(KENKO[[#This Row],[//]]="","",IF(INDEX([2]!NOTA[QTY],KENKO[//]-2)="",INDEX([2]!NOTA[C],KENKO[//]-2),INDEX([2]!NOTA[QTY],KENKO[//]-2)))</f>
        <v/>
      </c>
      <c r="M320" s="8" t="str">
        <f ca="1">IF(KENKO[[#This Row],[//]]="","",IF(INDEX([2]!NOTA[STN],KENKO[//]-2)="","CTN",INDEX([2]!NOTA[STN],KENKO[//]-2)))</f>
        <v/>
      </c>
      <c r="N320" s="17" t="str">
        <f ca="1">IF(KENKO[[#This Row],[//]]="","",IF(INDEX([2]!NOTA[HARGA/ CTN],KENKO[[#This Row],[//]]-2)="",INDEX([2]!NOTA[HARGA SATUAN],KENKO[//]-2),INDEX([2]!NOTA[HARGA/ CTN],KENKO[[#This Row],[//]]-2)))</f>
        <v/>
      </c>
      <c r="O320" s="19" t="str">
        <f ca="1">IF(KENKO[[#This Row],[//]]="","",IF(INDEX([2]!NOTA[DISC 2],KENKO[[#This Row],[//]]-2)=0,"",INDEX([2]!NOTA[DISC 2],KENKO[[#This Row],[//]]-2)))</f>
        <v/>
      </c>
      <c r="P320" s="19"/>
      <c r="Q32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0" s="16" t="str">
        <f ca="1">IF(KENKO[[#This Row],[//]]="","",INDEX([2]!NOTA[NAMA BARANG],KENKO[[#This Row],[//]]-2))</f>
        <v/>
      </c>
      <c r="V320" s="16" t="str">
        <f ca="1">LOWER(SUBSTITUTE(SUBSTITUTE(SUBSTITUTE(SUBSTITUTE(SUBSTITUTE(SUBSTITUTE(SUBSTITUTE(SUBSTITUTE(KENKO[[#This Row],[N.B.nota]]," ",""),"-",""),"(",""),")",""),".",""),",",""),"/",""),"""",""))</f>
        <v/>
      </c>
      <c r="W320" s="8" t="str">
        <f ca="1">IF(KENKO[[#This Row],[concat]]="","",MATCH(KENKO[[#This Row],[concat]],[4]!db[NB NOTA_C],0)+1)</f>
        <v/>
      </c>
      <c r="X320" s="16" t="str">
        <f ca="1">IF(KENKO[[#This Row],[N.B.nota]]="","",ADDRESS(ROW(KENKO[QB]),COLUMN(KENKO[QB]))&amp;":"&amp;ADDRESS(ROW(),COLUMN(KENKO[QB])))</f>
        <v/>
      </c>
      <c r="Y320" s="16" t="str">
        <f ca="1">IF(KENKO[[#This Row],[//]]="","",HYPERLINK("[..\\DB.xlsx]DB!e"&amp;KENKO[[#This Row],[stt]],"&gt;"))</f>
        <v/>
      </c>
      <c r="Z320" s="4" t="str">
        <f ca="1">IF(KENKO[[#This Row],[//]]="","",IF(KENKO[[#This Row],[ID NOTA]]="",Z319,KENKO[[#This Row],[ID NOTA]]))</f>
        <v/>
      </c>
    </row>
    <row r="321" spans="1:26" ht="15" customHeight="1" x14ac:dyDescent="0.25">
      <c r="A321" s="2"/>
      <c r="B321" s="8" t="str">
        <f>IF(KENKO[[#This Row],[N_ID]]="","",INDEX(Table1[ID],MATCH(KENKO[[#This Row],[N_ID]],Table1[N_ID],0)))</f>
        <v/>
      </c>
      <c r="C321" s="8" t="str">
        <f>IF(KENKO[[#This Row],[ID NOTA]]="","",HYPERLINK("[NOTA_.xlsx]NOTA!e"&amp;INDEX([2]!PAJAK[//],MATCH(KENKO[[#This Row],[ID NOTA]],[2]!PAJAK[ID],0)),"&gt;") )</f>
        <v/>
      </c>
      <c r="D321" s="8" t="str">
        <f>IF(KENKO[[#This Row],[ID NOTA]]="","",INDEX(Table1[QB],MATCH(KENKO[[#This Row],[ID NOTA]],Table1[ID],0)))</f>
        <v/>
      </c>
      <c r="E32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1" s="6"/>
      <c r="G321" s="9" t="str">
        <f>IF(KENKO[[#This Row],[ID NOTA]]="","",INDEX([2]!NOTA[TGL_H],MATCH(KENKO[[#This Row],[ID NOTA]],[2]!NOTA[ID],0)))</f>
        <v/>
      </c>
      <c r="H321" s="9" t="str">
        <f>IF(KENKO[[#This Row],[ID NOTA]]="","",INDEX([2]!NOTA[TGL.NOTA],MATCH(KENKO[[#This Row],[ID NOTA]],[2]!NOTA[ID],0)))</f>
        <v/>
      </c>
      <c r="I321" s="16" t="str">
        <f>IF(KENKO[[#This Row],[ID NOTA]]="","",INDEX([2]!NOTA[NO.NOTA],MATCH(KENKO[[#This Row],[ID NOTA]],[2]!NOTA[ID],0)))</f>
        <v/>
      </c>
      <c r="J321" s="16" t="str">
        <f ca="1">IF(KENKO[[#This Row],[//]]="","",INDEX([4]!db[NB PAJAK],KENKO[[#This Row],[stt]]-1))</f>
        <v/>
      </c>
      <c r="K321" s="8" t="str">
        <f>""</f>
        <v/>
      </c>
      <c r="L321" s="8" t="str">
        <f ca="1">IF(KENKO[[#This Row],[//]]="","",IF(INDEX([2]!NOTA[QTY],KENKO[//]-2)="",INDEX([2]!NOTA[C],KENKO[//]-2),INDEX([2]!NOTA[QTY],KENKO[//]-2)))</f>
        <v/>
      </c>
      <c r="M321" s="8" t="str">
        <f ca="1">IF(KENKO[[#This Row],[//]]="","",IF(INDEX([2]!NOTA[STN],KENKO[//]-2)="","CTN",INDEX([2]!NOTA[STN],KENKO[//]-2)))</f>
        <v/>
      </c>
      <c r="N321" s="17" t="str">
        <f ca="1">IF(KENKO[[#This Row],[//]]="","",IF(INDEX([2]!NOTA[HARGA/ CTN],KENKO[[#This Row],[//]]-2)="",INDEX([2]!NOTA[HARGA SATUAN],KENKO[//]-2),INDEX([2]!NOTA[HARGA/ CTN],KENKO[[#This Row],[//]]-2)))</f>
        <v/>
      </c>
      <c r="O321" s="19" t="str">
        <f ca="1">IF(KENKO[[#This Row],[//]]="","",IF(INDEX([2]!NOTA[DISC 2],KENKO[[#This Row],[//]]-2)=0,"",INDEX([2]!NOTA[DISC 2],KENKO[[#This Row],[//]]-2)))</f>
        <v/>
      </c>
      <c r="P321" s="19"/>
      <c r="Q32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1" s="16" t="str">
        <f ca="1">IF(KENKO[[#This Row],[//]]="","",INDEX([2]!NOTA[NAMA BARANG],KENKO[[#This Row],[//]]-2))</f>
        <v/>
      </c>
      <c r="V321" s="16" t="str">
        <f ca="1">LOWER(SUBSTITUTE(SUBSTITUTE(SUBSTITUTE(SUBSTITUTE(SUBSTITUTE(SUBSTITUTE(SUBSTITUTE(SUBSTITUTE(KENKO[[#This Row],[N.B.nota]]," ",""),"-",""),"(",""),")",""),".",""),",",""),"/",""),"""",""))</f>
        <v/>
      </c>
      <c r="W321" s="8" t="str">
        <f ca="1">IF(KENKO[[#This Row],[concat]]="","",MATCH(KENKO[[#This Row],[concat]],[4]!db[NB NOTA_C],0)+1)</f>
        <v/>
      </c>
      <c r="X321" s="16" t="str">
        <f ca="1">IF(KENKO[[#This Row],[N.B.nota]]="","",ADDRESS(ROW(KENKO[QB]),COLUMN(KENKO[QB]))&amp;":"&amp;ADDRESS(ROW(),COLUMN(KENKO[QB])))</f>
        <v/>
      </c>
      <c r="Y321" s="16" t="str">
        <f ca="1">IF(KENKO[[#This Row],[//]]="","",HYPERLINK("[..\\DB.xlsx]DB!e"&amp;KENKO[[#This Row],[stt]],"&gt;"))</f>
        <v/>
      </c>
      <c r="Z321" s="4" t="str">
        <f ca="1">IF(KENKO[[#This Row],[//]]="","",IF(KENKO[[#This Row],[ID NOTA]]="",Z320,KENKO[[#This Row],[ID NOTA]]))</f>
        <v/>
      </c>
    </row>
    <row r="322" spans="1:26" ht="15" customHeight="1" x14ac:dyDescent="0.25">
      <c r="A322" s="2"/>
      <c r="B322" s="8" t="str">
        <f>IF(KENKO[[#This Row],[N_ID]]="","",INDEX(Table1[ID],MATCH(KENKO[[#This Row],[N_ID]],Table1[N_ID],0)))</f>
        <v/>
      </c>
      <c r="C322" s="8" t="str">
        <f>IF(KENKO[[#This Row],[ID NOTA]]="","",HYPERLINK("[NOTA_.xlsx]NOTA!e"&amp;INDEX([2]!PAJAK[//],MATCH(KENKO[[#This Row],[ID NOTA]],[2]!PAJAK[ID],0)),"&gt;") )</f>
        <v/>
      </c>
      <c r="D322" s="8" t="str">
        <f>IF(KENKO[[#This Row],[ID NOTA]]="","",INDEX(Table1[QB],MATCH(KENKO[[#This Row],[ID NOTA]],Table1[ID],0)))</f>
        <v/>
      </c>
      <c r="E32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2" s="6"/>
      <c r="G322" s="9" t="str">
        <f>IF(KENKO[[#This Row],[ID NOTA]]="","",INDEX([2]!NOTA[TGL_H],MATCH(KENKO[[#This Row],[ID NOTA]],[2]!NOTA[ID],0)))</f>
        <v/>
      </c>
      <c r="H322" s="9" t="str">
        <f>IF(KENKO[[#This Row],[ID NOTA]]="","",INDEX([2]!NOTA[TGL.NOTA],MATCH(KENKO[[#This Row],[ID NOTA]],[2]!NOTA[ID],0)))</f>
        <v/>
      </c>
      <c r="I322" s="16" t="str">
        <f>IF(KENKO[[#This Row],[ID NOTA]]="","",INDEX([2]!NOTA[NO.NOTA],MATCH(KENKO[[#This Row],[ID NOTA]],[2]!NOTA[ID],0)))</f>
        <v/>
      </c>
      <c r="J322" s="16" t="str">
        <f ca="1">IF(KENKO[[#This Row],[//]]="","",INDEX([4]!db[NB PAJAK],KENKO[[#This Row],[stt]]-1))</f>
        <v/>
      </c>
      <c r="K322" s="8" t="str">
        <f>""</f>
        <v/>
      </c>
      <c r="L322" s="8" t="str">
        <f ca="1">IF(KENKO[[#This Row],[//]]="","",IF(INDEX([2]!NOTA[QTY],KENKO[//]-2)="",INDEX([2]!NOTA[C],KENKO[//]-2),INDEX([2]!NOTA[QTY],KENKO[//]-2)))</f>
        <v/>
      </c>
      <c r="M322" s="8" t="str">
        <f ca="1">IF(KENKO[[#This Row],[//]]="","",IF(INDEX([2]!NOTA[STN],KENKO[//]-2)="","CTN",INDEX([2]!NOTA[STN],KENKO[//]-2)))</f>
        <v/>
      </c>
      <c r="N322" s="17" t="str">
        <f ca="1">IF(KENKO[[#This Row],[//]]="","",IF(INDEX([2]!NOTA[HARGA/ CTN],KENKO[[#This Row],[//]]-2)="",INDEX([2]!NOTA[HARGA SATUAN],KENKO[//]-2),INDEX([2]!NOTA[HARGA/ CTN],KENKO[[#This Row],[//]]-2)))</f>
        <v/>
      </c>
      <c r="O322" s="19" t="str">
        <f ca="1">IF(KENKO[[#This Row],[//]]="","",IF(INDEX([2]!NOTA[DISC 2],KENKO[[#This Row],[//]]-2)=0,"",INDEX([2]!NOTA[DISC 2],KENKO[[#This Row],[//]]-2)))</f>
        <v/>
      </c>
      <c r="P322" s="19"/>
      <c r="Q32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2" s="16" t="str">
        <f ca="1">IF(KENKO[[#This Row],[//]]="","",INDEX([2]!NOTA[NAMA BARANG],KENKO[[#This Row],[//]]-2))</f>
        <v/>
      </c>
      <c r="V322" s="16" t="str">
        <f ca="1">LOWER(SUBSTITUTE(SUBSTITUTE(SUBSTITUTE(SUBSTITUTE(SUBSTITUTE(SUBSTITUTE(SUBSTITUTE(SUBSTITUTE(KENKO[[#This Row],[N.B.nota]]," ",""),"-",""),"(",""),")",""),".",""),",",""),"/",""),"""",""))</f>
        <v/>
      </c>
      <c r="W322" s="8" t="str">
        <f ca="1">IF(KENKO[[#This Row],[concat]]="","",MATCH(KENKO[[#This Row],[concat]],[4]!db[NB NOTA_C],0)+1)</f>
        <v/>
      </c>
      <c r="X322" s="16" t="str">
        <f ca="1">IF(KENKO[[#This Row],[N.B.nota]]="","",ADDRESS(ROW(KENKO[QB]),COLUMN(KENKO[QB]))&amp;":"&amp;ADDRESS(ROW(),COLUMN(KENKO[QB])))</f>
        <v/>
      </c>
      <c r="Y322" s="16" t="str">
        <f ca="1">IF(KENKO[[#This Row],[//]]="","",HYPERLINK("[..\\DB.xlsx]DB!e"&amp;KENKO[[#This Row],[stt]],"&gt;"))</f>
        <v/>
      </c>
      <c r="Z322" s="4" t="str">
        <f ca="1">IF(KENKO[[#This Row],[//]]="","",IF(KENKO[[#This Row],[ID NOTA]]="",Z321,KENKO[[#This Row],[ID NOTA]]))</f>
        <v/>
      </c>
    </row>
    <row r="323" spans="1:26" ht="15" customHeight="1" x14ac:dyDescent="0.25">
      <c r="A323" s="2"/>
      <c r="B323" s="8" t="str">
        <f>IF(KENKO[[#This Row],[N_ID]]="","",INDEX(Table1[ID],MATCH(KENKO[[#This Row],[N_ID]],Table1[N_ID],0)))</f>
        <v/>
      </c>
      <c r="C323" s="8" t="str">
        <f>IF(KENKO[[#This Row],[ID NOTA]]="","",HYPERLINK("[NOTA_.xlsx]NOTA!e"&amp;INDEX([2]!PAJAK[//],MATCH(KENKO[[#This Row],[ID NOTA]],[2]!PAJAK[ID],0)),"&gt;") )</f>
        <v/>
      </c>
      <c r="D323" s="8" t="str">
        <f>IF(KENKO[[#This Row],[ID NOTA]]="","",INDEX(Table1[QB],MATCH(KENKO[[#This Row],[ID NOTA]],Table1[ID],0)))</f>
        <v/>
      </c>
      <c r="E32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3" s="6"/>
      <c r="G323" s="9" t="str">
        <f>IF(KENKO[[#This Row],[ID NOTA]]="","",INDEX([2]!NOTA[TGL_H],MATCH(KENKO[[#This Row],[ID NOTA]],[2]!NOTA[ID],0)))</f>
        <v/>
      </c>
      <c r="H323" s="9" t="str">
        <f>IF(KENKO[[#This Row],[ID NOTA]]="","",INDEX([2]!NOTA[TGL.NOTA],MATCH(KENKO[[#This Row],[ID NOTA]],[2]!NOTA[ID],0)))</f>
        <v/>
      </c>
      <c r="I323" s="16" t="str">
        <f>IF(KENKO[[#This Row],[ID NOTA]]="","",INDEX([2]!NOTA[NO.NOTA],MATCH(KENKO[[#This Row],[ID NOTA]],[2]!NOTA[ID],0)))</f>
        <v/>
      </c>
      <c r="J323" s="16" t="str">
        <f ca="1">IF(KENKO[[#This Row],[//]]="","",INDEX([4]!db[NB PAJAK],KENKO[[#This Row],[stt]]-1))</f>
        <v/>
      </c>
      <c r="K323" s="8" t="str">
        <f>""</f>
        <v/>
      </c>
      <c r="L323" s="8" t="str">
        <f ca="1">IF(KENKO[[#This Row],[//]]="","",IF(INDEX([2]!NOTA[QTY],KENKO[//]-2)="",INDEX([2]!NOTA[C],KENKO[//]-2),INDEX([2]!NOTA[QTY],KENKO[//]-2)))</f>
        <v/>
      </c>
      <c r="M323" s="8" t="str">
        <f ca="1">IF(KENKO[[#This Row],[//]]="","",IF(INDEX([2]!NOTA[STN],KENKO[//]-2)="","CTN",INDEX([2]!NOTA[STN],KENKO[//]-2)))</f>
        <v/>
      </c>
      <c r="N323" s="17" t="str">
        <f ca="1">IF(KENKO[[#This Row],[//]]="","",IF(INDEX([2]!NOTA[HARGA/ CTN],KENKO[[#This Row],[//]]-2)="",INDEX([2]!NOTA[HARGA SATUAN],KENKO[//]-2),INDEX([2]!NOTA[HARGA/ CTN],KENKO[[#This Row],[//]]-2)))</f>
        <v/>
      </c>
      <c r="O323" s="19" t="str">
        <f ca="1">IF(KENKO[[#This Row],[//]]="","",IF(INDEX([2]!NOTA[DISC 2],KENKO[[#This Row],[//]]-2)=0,"",INDEX([2]!NOTA[DISC 2],KENKO[[#This Row],[//]]-2)))</f>
        <v/>
      </c>
      <c r="P323" s="19"/>
      <c r="Q32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3" s="16" t="str">
        <f ca="1">IF(KENKO[[#This Row],[//]]="","",INDEX([2]!NOTA[NAMA BARANG],KENKO[[#This Row],[//]]-2))</f>
        <v/>
      </c>
      <c r="V323" s="16" t="str">
        <f ca="1">LOWER(SUBSTITUTE(SUBSTITUTE(SUBSTITUTE(SUBSTITUTE(SUBSTITUTE(SUBSTITUTE(SUBSTITUTE(SUBSTITUTE(KENKO[[#This Row],[N.B.nota]]," ",""),"-",""),"(",""),")",""),".",""),",",""),"/",""),"""",""))</f>
        <v/>
      </c>
      <c r="W323" s="8" t="str">
        <f ca="1">IF(KENKO[[#This Row],[concat]]="","",MATCH(KENKO[[#This Row],[concat]],[4]!db[NB NOTA_C],0)+1)</f>
        <v/>
      </c>
      <c r="X323" s="16" t="str">
        <f ca="1">IF(KENKO[[#This Row],[N.B.nota]]="","",ADDRESS(ROW(KENKO[QB]),COLUMN(KENKO[QB]))&amp;":"&amp;ADDRESS(ROW(),COLUMN(KENKO[QB])))</f>
        <v/>
      </c>
      <c r="Y323" s="16" t="str">
        <f ca="1">IF(KENKO[[#This Row],[//]]="","",HYPERLINK("[..\\DB.xlsx]DB!e"&amp;KENKO[[#This Row],[stt]],"&gt;"))</f>
        <v/>
      </c>
      <c r="Z323" s="4" t="str">
        <f ca="1">IF(KENKO[[#This Row],[//]]="","",IF(KENKO[[#This Row],[ID NOTA]]="",Z322,KENKO[[#This Row],[ID NOTA]]))</f>
        <v/>
      </c>
    </row>
    <row r="324" spans="1:26" ht="15" customHeight="1" x14ac:dyDescent="0.25">
      <c r="A324" s="2"/>
      <c r="B324" s="8" t="str">
        <f>IF(KENKO[[#This Row],[N_ID]]="","",INDEX(Table1[ID],MATCH(KENKO[[#This Row],[N_ID]],Table1[N_ID],0)))</f>
        <v/>
      </c>
      <c r="C324" s="8" t="str">
        <f>IF(KENKO[[#This Row],[ID NOTA]]="","",HYPERLINK("[NOTA_.xlsx]NOTA!e"&amp;INDEX([2]!PAJAK[//],MATCH(KENKO[[#This Row],[ID NOTA]],[2]!PAJAK[ID],0)),"&gt;") )</f>
        <v/>
      </c>
      <c r="D324" s="8" t="str">
        <f>IF(KENKO[[#This Row],[ID NOTA]]="","",INDEX(Table1[QB],MATCH(KENKO[[#This Row],[ID NOTA]],Table1[ID],0)))</f>
        <v/>
      </c>
      <c r="E3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4" s="6"/>
      <c r="G324" s="9" t="str">
        <f>IF(KENKO[[#This Row],[ID NOTA]]="","",INDEX([2]!NOTA[TGL_H],MATCH(KENKO[[#This Row],[ID NOTA]],[2]!NOTA[ID],0)))</f>
        <v/>
      </c>
      <c r="H324" s="9" t="str">
        <f>IF(KENKO[[#This Row],[ID NOTA]]="","",INDEX([2]!NOTA[TGL.NOTA],MATCH(KENKO[[#This Row],[ID NOTA]],[2]!NOTA[ID],0)))</f>
        <v/>
      </c>
      <c r="I324" s="16" t="str">
        <f>IF(KENKO[[#This Row],[ID NOTA]]="","",INDEX([2]!NOTA[NO.NOTA],MATCH(KENKO[[#This Row],[ID NOTA]],[2]!NOTA[ID],0)))</f>
        <v/>
      </c>
      <c r="J324" s="16" t="str">
        <f ca="1">IF(KENKO[[#This Row],[//]]="","",INDEX([4]!db[NB PAJAK],KENKO[[#This Row],[stt]]-1))</f>
        <v/>
      </c>
      <c r="K324" s="8" t="str">
        <f>""</f>
        <v/>
      </c>
      <c r="L324" s="8" t="str">
        <f ca="1">IF(KENKO[[#This Row],[//]]="","",IF(INDEX([2]!NOTA[QTY],KENKO[//]-2)="",INDEX([2]!NOTA[C],KENKO[//]-2),INDEX([2]!NOTA[QTY],KENKO[//]-2)))</f>
        <v/>
      </c>
      <c r="M324" s="8" t="str">
        <f ca="1">IF(KENKO[[#This Row],[//]]="","",IF(INDEX([2]!NOTA[STN],KENKO[//]-2)="","CTN",INDEX([2]!NOTA[STN],KENKO[//]-2)))</f>
        <v/>
      </c>
      <c r="N324" s="17" t="str">
        <f ca="1">IF(KENKO[[#This Row],[//]]="","",IF(INDEX([2]!NOTA[HARGA/ CTN],KENKO[[#This Row],[//]]-2)="",INDEX([2]!NOTA[HARGA SATUAN],KENKO[//]-2),INDEX([2]!NOTA[HARGA/ CTN],KENKO[[#This Row],[//]]-2)))</f>
        <v/>
      </c>
      <c r="O324" s="19" t="str">
        <f ca="1">IF(KENKO[[#This Row],[//]]="","",IF(INDEX([2]!NOTA[DISC 2],KENKO[[#This Row],[//]]-2)=0,"",INDEX([2]!NOTA[DISC 2],KENKO[[#This Row],[//]]-2)))</f>
        <v/>
      </c>
      <c r="P324" s="19"/>
      <c r="Q32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4" s="16" t="str">
        <f ca="1">IF(KENKO[[#This Row],[//]]="","",INDEX([2]!NOTA[NAMA BARANG],KENKO[[#This Row],[//]]-2))</f>
        <v/>
      </c>
      <c r="V324" s="16" t="str">
        <f ca="1">LOWER(SUBSTITUTE(SUBSTITUTE(SUBSTITUTE(SUBSTITUTE(SUBSTITUTE(SUBSTITUTE(SUBSTITUTE(SUBSTITUTE(KENKO[[#This Row],[N.B.nota]]," ",""),"-",""),"(",""),")",""),".",""),",",""),"/",""),"""",""))</f>
        <v/>
      </c>
      <c r="W324" s="8" t="str">
        <f ca="1">IF(KENKO[[#This Row],[concat]]="","",MATCH(KENKO[[#This Row],[concat]],[4]!db[NB NOTA_C],0)+1)</f>
        <v/>
      </c>
      <c r="X324" s="16" t="str">
        <f ca="1">IF(KENKO[[#This Row],[N.B.nota]]="","",ADDRESS(ROW(KENKO[QB]),COLUMN(KENKO[QB]))&amp;":"&amp;ADDRESS(ROW(),COLUMN(KENKO[QB])))</f>
        <v/>
      </c>
      <c r="Y324" s="16" t="str">
        <f ca="1">IF(KENKO[[#This Row],[//]]="","",HYPERLINK("[..\\DB.xlsx]DB!e"&amp;KENKO[[#This Row],[stt]],"&gt;"))</f>
        <v/>
      </c>
      <c r="Z324" s="4" t="str">
        <f ca="1">IF(KENKO[[#This Row],[//]]="","",IF(KENKO[[#This Row],[ID NOTA]]="",Z323,KENKO[[#This Row],[ID NOTA]]))</f>
        <v/>
      </c>
    </row>
    <row r="325" spans="1:26" ht="15" customHeight="1" x14ac:dyDescent="0.25">
      <c r="A325" s="2"/>
      <c r="B325" s="8" t="str">
        <f>IF(KENKO[[#This Row],[N_ID]]="","",INDEX(Table1[ID],MATCH(KENKO[[#This Row],[N_ID]],Table1[N_ID],0)))</f>
        <v/>
      </c>
      <c r="C325" s="8" t="str">
        <f>IF(KENKO[[#This Row],[ID NOTA]]="","",HYPERLINK("[NOTA_.xlsx]NOTA!e"&amp;INDEX([2]!PAJAK[//],MATCH(KENKO[[#This Row],[ID NOTA]],[2]!PAJAK[ID],0)),"&gt;") )</f>
        <v/>
      </c>
      <c r="D325" s="8" t="str">
        <f>IF(KENKO[[#This Row],[ID NOTA]]="","",INDEX(Table1[QB],MATCH(KENKO[[#This Row],[ID NOTA]],Table1[ID],0)))</f>
        <v/>
      </c>
      <c r="E32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5" s="6"/>
      <c r="G325" s="9" t="str">
        <f>IF(KENKO[[#This Row],[ID NOTA]]="","",INDEX([2]!NOTA[TGL_H],MATCH(KENKO[[#This Row],[ID NOTA]],[2]!NOTA[ID],0)))</f>
        <v/>
      </c>
      <c r="H325" s="9" t="str">
        <f>IF(KENKO[[#This Row],[ID NOTA]]="","",INDEX([2]!NOTA[TGL.NOTA],MATCH(KENKO[[#This Row],[ID NOTA]],[2]!NOTA[ID],0)))</f>
        <v/>
      </c>
      <c r="I325" s="16" t="str">
        <f>IF(KENKO[[#This Row],[ID NOTA]]="","",INDEX([2]!NOTA[NO.NOTA],MATCH(KENKO[[#This Row],[ID NOTA]],[2]!NOTA[ID],0)))</f>
        <v/>
      </c>
      <c r="J325" s="16" t="str">
        <f ca="1">IF(KENKO[[#This Row],[//]]="","",INDEX([4]!db[NB PAJAK],KENKO[[#This Row],[stt]]-1))</f>
        <v/>
      </c>
      <c r="K325" s="8" t="str">
        <f>""</f>
        <v/>
      </c>
      <c r="L325" s="8" t="str">
        <f ca="1">IF(KENKO[[#This Row],[//]]="","",IF(INDEX([2]!NOTA[QTY],KENKO[//]-2)="",INDEX([2]!NOTA[C],KENKO[//]-2),INDEX([2]!NOTA[QTY],KENKO[//]-2)))</f>
        <v/>
      </c>
      <c r="M325" s="8" t="str">
        <f ca="1">IF(KENKO[[#This Row],[//]]="","",IF(INDEX([2]!NOTA[STN],KENKO[//]-2)="","CTN",INDEX([2]!NOTA[STN],KENKO[//]-2)))</f>
        <v/>
      </c>
      <c r="N325" s="17" t="str">
        <f ca="1">IF(KENKO[[#This Row],[//]]="","",IF(INDEX([2]!NOTA[HARGA/ CTN],KENKO[[#This Row],[//]]-2)="",INDEX([2]!NOTA[HARGA SATUAN],KENKO[//]-2),INDEX([2]!NOTA[HARGA/ CTN],KENKO[[#This Row],[//]]-2)))</f>
        <v/>
      </c>
      <c r="O325" s="19" t="str">
        <f ca="1">IF(KENKO[[#This Row],[//]]="","",IF(INDEX([2]!NOTA[DISC 2],KENKO[[#This Row],[//]]-2)=0,"",INDEX([2]!NOTA[DISC 2],KENKO[[#This Row],[//]]-2)))</f>
        <v/>
      </c>
      <c r="P325" s="19"/>
      <c r="Q32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5" s="16" t="str">
        <f ca="1">IF(KENKO[[#This Row],[//]]="","",INDEX([2]!NOTA[NAMA BARANG],KENKO[[#This Row],[//]]-2))</f>
        <v/>
      </c>
      <c r="V325" s="16" t="str">
        <f ca="1">LOWER(SUBSTITUTE(SUBSTITUTE(SUBSTITUTE(SUBSTITUTE(SUBSTITUTE(SUBSTITUTE(SUBSTITUTE(SUBSTITUTE(KENKO[[#This Row],[N.B.nota]]," ",""),"-",""),"(",""),")",""),".",""),",",""),"/",""),"""",""))</f>
        <v/>
      </c>
      <c r="W325" s="8" t="str">
        <f ca="1">IF(KENKO[[#This Row],[concat]]="","",MATCH(KENKO[[#This Row],[concat]],[4]!db[NB NOTA_C],0)+1)</f>
        <v/>
      </c>
      <c r="X325" s="16" t="str">
        <f ca="1">IF(KENKO[[#This Row],[N.B.nota]]="","",ADDRESS(ROW(KENKO[QB]),COLUMN(KENKO[QB]))&amp;":"&amp;ADDRESS(ROW(),COLUMN(KENKO[QB])))</f>
        <v/>
      </c>
      <c r="Y325" s="16" t="str">
        <f ca="1">IF(KENKO[[#This Row],[//]]="","",HYPERLINK("[..\\DB.xlsx]DB!e"&amp;KENKO[[#This Row],[stt]],"&gt;"))</f>
        <v/>
      </c>
      <c r="Z325" s="4" t="str">
        <f ca="1">IF(KENKO[[#This Row],[//]]="","",IF(KENKO[[#This Row],[ID NOTA]]="",Z324,KENKO[[#This Row],[ID NOTA]]))</f>
        <v/>
      </c>
    </row>
    <row r="326" spans="1:26" ht="15" customHeight="1" x14ac:dyDescent="0.25">
      <c r="A326" s="2"/>
      <c r="B326" s="8" t="str">
        <f>IF(KENKO[[#This Row],[N_ID]]="","",INDEX(Table1[ID],MATCH(KENKO[[#This Row],[N_ID]],Table1[N_ID],0)))</f>
        <v/>
      </c>
      <c r="C326" s="8" t="str">
        <f>IF(KENKO[[#This Row],[ID NOTA]]="","",HYPERLINK("[NOTA_.xlsx]NOTA!e"&amp;INDEX([2]!PAJAK[//],MATCH(KENKO[[#This Row],[ID NOTA]],[2]!PAJAK[ID],0)),"&gt;") )</f>
        <v/>
      </c>
      <c r="D326" s="8" t="str">
        <f>IF(KENKO[[#This Row],[ID NOTA]]="","",INDEX(Table1[QB],MATCH(KENKO[[#This Row],[ID NOTA]],Table1[ID],0)))</f>
        <v/>
      </c>
      <c r="E3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6" s="6"/>
      <c r="G326" s="9" t="str">
        <f>IF(KENKO[[#This Row],[ID NOTA]]="","",INDEX([2]!NOTA[TGL_H],MATCH(KENKO[[#This Row],[ID NOTA]],[2]!NOTA[ID],0)))</f>
        <v/>
      </c>
      <c r="H326" s="9" t="str">
        <f>IF(KENKO[[#This Row],[ID NOTA]]="","",INDEX([2]!NOTA[TGL.NOTA],MATCH(KENKO[[#This Row],[ID NOTA]],[2]!NOTA[ID],0)))</f>
        <v/>
      </c>
      <c r="I326" s="16" t="str">
        <f>IF(KENKO[[#This Row],[ID NOTA]]="","",INDEX([2]!NOTA[NO.NOTA],MATCH(KENKO[[#This Row],[ID NOTA]],[2]!NOTA[ID],0)))</f>
        <v/>
      </c>
      <c r="J326" s="16" t="str">
        <f ca="1">IF(KENKO[[#This Row],[//]]="","",INDEX([4]!db[NB PAJAK],KENKO[[#This Row],[stt]]-1))</f>
        <v/>
      </c>
      <c r="K326" s="8" t="str">
        <f>""</f>
        <v/>
      </c>
      <c r="L326" s="8" t="str">
        <f ca="1">IF(KENKO[[#This Row],[//]]="","",IF(INDEX([2]!NOTA[QTY],KENKO[//]-2)="",INDEX([2]!NOTA[C],KENKO[//]-2),INDEX([2]!NOTA[QTY],KENKO[//]-2)))</f>
        <v/>
      </c>
      <c r="M326" s="8" t="str">
        <f ca="1">IF(KENKO[[#This Row],[//]]="","",IF(INDEX([2]!NOTA[STN],KENKO[//]-2)="","CTN",INDEX([2]!NOTA[STN],KENKO[//]-2)))</f>
        <v/>
      </c>
      <c r="N326" s="17" t="str">
        <f ca="1">IF(KENKO[[#This Row],[//]]="","",IF(INDEX([2]!NOTA[HARGA/ CTN],KENKO[[#This Row],[//]]-2)="",INDEX([2]!NOTA[HARGA SATUAN],KENKO[//]-2),INDEX([2]!NOTA[HARGA/ CTN],KENKO[[#This Row],[//]]-2)))</f>
        <v/>
      </c>
      <c r="O326" s="19" t="str">
        <f ca="1">IF(KENKO[[#This Row],[//]]="","",IF(INDEX([2]!NOTA[DISC 2],KENKO[[#This Row],[//]]-2)=0,"",INDEX([2]!NOTA[DISC 2],KENKO[[#This Row],[//]]-2)))</f>
        <v/>
      </c>
      <c r="P326" s="19"/>
      <c r="Q32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6" s="16" t="str">
        <f ca="1">IF(KENKO[[#This Row],[//]]="","",INDEX([2]!NOTA[NAMA BARANG],KENKO[[#This Row],[//]]-2))</f>
        <v/>
      </c>
      <c r="V326" s="16" t="str">
        <f ca="1">LOWER(SUBSTITUTE(SUBSTITUTE(SUBSTITUTE(SUBSTITUTE(SUBSTITUTE(SUBSTITUTE(SUBSTITUTE(SUBSTITUTE(KENKO[[#This Row],[N.B.nota]]," ",""),"-",""),"(",""),")",""),".",""),",",""),"/",""),"""",""))</f>
        <v/>
      </c>
      <c r="W326" s="8" t="str">
        <f ca="1">IF(KENKO[[#This Row],[concat]]="","",MATCH(KENKO[[#This Row],[concat]],[4]!db[NB NOTA_C],0)+1)</f>
        <v/>
      </c>
      <c r="X326" s="16" t="str">
        <f ca="1">IF(KENKO[[#This Row],[N.B.nota]]="","",ADDRESS(ROW(KENKO[QB]),COLUMN(KENKO[QB]))&amp;":"&amp;ADDRESS(ROW(),COLUMN(KENKO[QB])))</f>
        <v/>
      </c>
      <c r="Y326" s="16" t="str">
        <f ca="1">IF(KENKO[[#This Row],[//]]="","",HYPERLINK("[..\\DB.xlsx]DB!e"&amp;KENKO[[#This Row],[stt]],"&gt;"))</f>
        <v/>
      </c>
      <c r="Z326" s="4" t="str">
        <f ca="1">IF(KENKO[[#This Row],[//]]="","",IF(KENKO[[#This Row],[ID NOTA]]="",Z325,KENKO[[#This Row],[ID NOTA]]))</f>
        <v/>
      </c>
    </row>
    <row r="327" spans="1:26" ht="15" customHeight="1" x14ac:dyDescent="0.25">
      <c r="A327" s="2"/>
      <c r="B327" s="8" t="str">
        <f>IF(KENKO[[#This Row],[N_ID]]="","",INDEX(Table1[ID],MATCH(KENKO[[#This Row],[N_ID]],Table1[N_ID],0)))</f>
        <v/>
      </c>
      <c r="C327" s="8" t="str">
        <f>IF(KENKO[[#This Row],[ID NOTA]]="","",HYPERLINK("[NOTA_.xlsx]NOTA!e"&amp;INDEX([2]!PAJAK[//],MATCH(KENKO[[#This Row],[ID NOTA]],[2]!PAJAK[ID],0)),"&gt;") )</f>
        <v/>
      </c>
      <c r="D327" s="8" t="str">
        <f>IF(KENKO[[#This Row],[ID NOTA]]="","",INDEX(Table1[QB],MATCH(KENKO[[#This Row],[ID NOTA]],Table1[ID],0)))</f>
        <v/>
      </c>
      <c r="E32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7" s="6"/>
      <c r="G327" s="9" t="str">
        <f>IF(KENKO[[#This Row],[ID NOTA]]="","",INDEX([2]!NOTA[TGL_H],MATCH(KENKO[[#This Row],[ID NOTA]],[2]!NOTA[ID],0)))</f>
        <v/>
      </c>
      <c r="H327" s="9" t="str">
        <f>IF(KENKO[[#This Row],[ID NOTA]]="","",INDEX([2]!NOTA[TGL.NOTA],MATCH(KENKO[[#This Row],[ID NOTA]],[2]!NOTA[ID],0)))</f>
        <v/>
      </c>
      <c r="I327" s="16" t="str">
        <f>IF(KENKO[[#This Row],[ID NOTA]]="","",INDEX([2]!NOTA[NO.NOTA],MATCH(KENKO[[#This Row],[ID NOTA]],[2]!NOTA[ID],0)))</f>
        <v/>
      </c>
      <c r="J327" s="16" t="str">
        <f ca="1">IF(KENKO[[#This Row],[//]]="","",INDEX([4]!db[NB PAJAK],KENKO[[#This Row],[stt]]-1))</f>
        <v/>
      </c>
      <c r="K327" s="8" t="str">
        <f>""</f>
        <v/>
      </c>
      <c r="L327" s="8" t="str">
        <f ca="1">IF(KENKO[[#This Row],[//]]="","",IF(INDEX([2]!NOTA[QTY],KENKO[//]-2)="",INDEX([2]!NOTA[C],KENKO[//]-2),INDEX([2]!NOTA[QTY],KENKO[//]-2)))</f>
        <v/>
      </c>
      <c r="M327" s="8" t="str">
        <f ca="1">IF(KENKO[[#This Row],[//]]="","",IF(INDEX([2]!NOTA[STN],KENKO[//]-2)="","CTN",INDEX([2]!NOTA[STN],KENKO[//]-2)))</f>
        <v/>
      </c>
      <c r="N327" s="17" t="str">
        <f ca="1">IF(KENKO[[#This Row],[//]]="","",IF(INDEX([2]!NOTA[HARGA/ CTN],KENKO[[#This Row],[//]]-2)="",INDEX([2]!NOTA[HARGA SATUAN],KENKO[//]-2),INDEX([2]!NOTA[HARGA/ CTN],KENKO[[#This Row],[//]]-2)))</f>
        <v/>
      </c>
      <c r="O327" s="19" t="str">
        <f ca="1">IF(KENKO[[#This Row],[//]]="","",IF(INDEX([2]!NOTA[DISC 2],KENKO[[#This Row],[//]]-2)=0,"",INDEX([2]!NOTA[DISC 2],KENKO[[#This Row],[//]]-2)))</f>
        <v/>
      </c>
      <c r="P327" s="19"/>
      <c r="Q32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7" s="16" t="str">
        <f ca="1">IF(KENKO[[#This Row],[//]]="","",INDEX([2]!NOTA[NAMA BARANG],KENKO[[#This Row],[//]]-2))</f>
        <v/>
      </c>
      <c r="V327" s="16" t="str">
        <f ca="1">LOWER(SUBSTITUTE(SUBSTITUTE(SUBSTITUTE(SUBSTITUTE(SUBSTITUTE(SUBSTITUTE(SUBSTITUTE(SUBSTITUTE(KENKO[[#This Row],[N.B.nota]]," ",""),"-",""),"(",""),")",""),".",""),",",""),"/",""),"""",""))</f>
        <v/>
      </c>
      <c r="W327" s="8" t="str">
        <f ca="1">IF(KENKO[[#This Row],[concat]]="","",MATCH(KENKO[[#This Row],[concat]],[4]!db[NB NOTA_C],0)+1)</f>
        <v/>
      </c>
      <c r="X327" s="16" t="str">
        <f ca="1">IF(KENKO[[#This Row],[N.B.nota]]="","",ADDRESS(ROW(KENKO[QB]),COLUMN(KENKO[QB]))&amp;":"&amp;ADDRESS(ROW(),COLUMN(KENKO[QB])))</f>
        <v/>
      </c>
      <c r="Y327" s="16" t="str">
        <f ca="1">IF(KENKO[[#This Row],[//]]="","",HYPERLINK("[..\\DB.xlsx]DB!e"&amp;KENKO[[#This Row],[stt]],"&gt;"))</f>
        <v/>
      </c>
      <c r="Z327" s="4" t="str">
        <f ca="1">IF(KENKO[[#This Row],[//]]="","",IF(KENKO[[#This Row],[ID NOTA]]="",Z326,KENKO[[#This Row],[ID NOTA]]))</f>
        <v/>
      </c>
    </row>
    <row r="328" spans="1:26" ht="15" customHeight="1" x14ac:dyDescent="0.25">
      <c r="A328" s="2"/>
      <c r="B328" s="8" t="str">
        <f>IF(KENKO[[#This Row],[N_ID]]="","",INDEX(Table1[ID],MATCH(KENKO[[#This Row],[N_ID]],Table1[N_ID],0)))</f>
        <v/>
      </c>
      <c r="C328" s="8" t="str">
        <f>IF(KENKO[[#This Row],[ID NOTA]]="","",HYPERLINK("[NOTA_.xlsx]NOTA!e"&amp;INDEX([2]!PAJAK[//],MATCH(KENKO[[#This Row],[ID NOTA]],[2]!PAJAK[ID],0)),"&gt;") )</f>
        <v/>
      </c>
      <c r="D328" s="8" t="str">
        <f>IF(KENKO[[#This Row],[ID NOTA]]="","",INDEX(Table1[QB],MATCH(KENKO[[#This Row],[ID NOTA]],Table1[ID],0)))</f>
        <v/>
      </c>
      <c r="E32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8" s="6"/>
      <c r="G328" s="9" t="str">
        <f>IF(KENKO[[#This Row],[ID NOTA]]="","",INDEX([2]!NOTA[TGL_H],MATCH(KENKO[[#This Row],[ID NOTA]],[2]!NOTA[ID],0)))</f>
        <v/>
      </c>
      <c r="H328" s="9" t="str">
        <f>IF(KENKO[[#This Row],[ID NOTA]]="","",INDEX([2]!NOTA[TGL.NOTA],MATCH(KENKO[[#This Row],[ID NOTA]],[2]!NOTA[ID],0)))</f>
        <v/>
      </c>
      <c r="I328" s="16" t="str">
        <f>IF(KENKO[[#This Row],[ID NOTA]]="","",INDEX([2]!NOTA[NO.NOTA],MATCH(KENKO[[#This Row],[ID NOTA]],[2]!NOTA[ID],0)))</f>
        <v/>
      </c>
      <c r="J328" s="16" t="str">
        <f ca="1">IF(KENKO[[#This Row],[//]]="","",INDEX([4]!db[NB PAJAK],KENKO[[#This Row],[stt]]-1))</f>
        <v/>
      </c>
      <c r="K328" s="8" t="str">
        <f>""</f>
        <v/>
      </c>
      <c r="L328" s="8" t="str">
        <f ca="1">IF(KENKO[[#This Row],[//]]="","",IF(INDEX([2]!NOTA[QTY],KENKO[//]-2)="",INDEX([2]!NOTA[C],KENKO[//]-2),INDEX([2]!NOTA[QTY],KENKO[//]-2)))</f>
        <v/>
      </c>
      <c r="M328" s="8" t="str">
        <f ca="1">IF(KENKO[[#This Row],[//]]="","",IF(INDEX([2]!NOTA[STN],KENKO[//]-2)="","CTN",INDEX([2]!NOTA[STN],KENKO[//]-2)))</f>
        <v/>
      </c>
      <c r="N328" s="17" t="str">
        <f ca="1">IF(KENKO[[#This Row],[//]]="","",IF(INDEX([2]!NOTA[HARGA/ CTN],KENKO[[#This Row],[//]]-2)="",INDEX([2]!NOTA[HARGA SATUAN],KENKO[//]-2),INDEX([2]!NOTA[HARGA/ CTN],KENKO[[#This Row],[//]]-2)))</f>
        <v/>
      </c>
      <c r="O328" s="19" t="str">
        <f ca="1">IF(KENKO[[#This Row],[//]]="","",IF(INDEX([2]!NOTA[DISC 2],KENKO[[#This Row],[//]]-2)=0,"",INDEX([2]!NOTA[DISC 2],KENKO[[#This Row],[//]]-2)))</f>
        <v/>
      </c>
      <c r="P328" s="19"/>
      <c r="Q32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8" s="16" t="str">
        <f ca="1">IF(KENKO[[#This Row],[//]]="","",INDEX([2]!NOTA[NAMA BARANG],KENKO[[#This Row],[//]]-2))</f>
        <v/>
      </c>
      <c r="V328" s="16" t="str">
        <f ca="1">LOWER(SUBSTITUTE(SUBSTITUTE(SUBSTITUTE(SUBSTITUTE(SUBSTITUTE(SUBSTITUTE(SUBSTITUTE(SUBSTITUTE(KENKO[[#This Row],[N.B.nota]]," ",""),"-",""),"(",""),")",""),".",""),",",""),"/",""),"""",""))</f>
        <v/>
      </c>
      <c r="W328" s="8" t="str">
        <f ca="1">IF(KENKO[[#This Row],[concat]]="","",MATCH(KENKO[[#This Row],[concat]],[4]!db[NB NOTA_C],0)+1)</f>
        <v/>
      </c>
      <c r="X328" s="16" t="str">
        <f ca="1">IF(KENKO[[#This Row],[N.B.nota]]="","",ADDRESS(ROW(KENKO[QB]),COLUMN(KENKO[QB]))&amp;":"&amp;ADDRESS(ROW(),COLUMN(KENKO[QB])))</f>
        <v/>
      </c>
      <c r="Y328" s="16" t="str">
        <f ca="1">IF(KENKO[[#This Row],[//]]="","",HYPERLINK("[..\\DB.xlsx]DB!e"&amp;KENKO[[#This Row],[stt]],"&gt;"))</f>
        <v/>
      </c>
      <c r="Z328" s="4" t="str">
        <f ca="1">IF(KENKO[[#This Row],[//]]="","",IF(KENKO[[#This Row],[ID NOTA]]="",Z327,KENKO[[#This Row],[ID NOTA]]))</f>
        <v/>
      </c>
    </row>
    <row r="329" spans="1:26" ht="15" customHeight="1" x14ac:dyDescent="0.25">
      <c r="A329" s="2"/>
      <c r="B329" s="8" t="str">
        <f>IF(KENKO[[#This Row],[N_ID]]="","",INDEX(Table1[ID],MATCH(KENKO[[#This Row],[N_ID]],Table1[N_ID],0)))</f>
        <v/>
      </c>
      <c r="C329" s="8" t="str">
        <f>IF(KENKO[[#This Row],[ID NOTA]]="","",HYPERLINK("[NOTA_.xlsx]NOTA!e"&amp;INDEX([2]!PAJAK[//],MATCH(KENKO[[#This Row],[ID NOTA]],[2]!PAJAK[ID],0)),"&gt;") )</f>
        <v/>
      </c>
      <c r="D329" s="8" t="str">
        <f>IF(KENKO[[#This Row],[ID NOTA]]="","",INDEX(Table1[QB],MATCH(KENKO[[#This Row],[ID NOTA]],Table1[ID],0)))</f>
        <v/>
      </c>
      <c r="E3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9" s="6"/>
      <c r="G329" s="9" t="str">
        <f>IF(KENKO[[#This Row],[ID NOTA]]="","",INDEX([2]!NOTA[TGL_H],MATCH(KENKO[[#This Row],[ID NOTA]],[2]!NOTA[ID],0)))</f>
        <v/>
      </c>
      <c r="H329" s="9" t="str">
        <f>IF(KENKO[[#This Row],[ID NOTA]]="","",INDEX([2]!NOTA[TGL.NOTA],MATCH(KENKO[[#This Row],[ID NOTA]],[2]!NOTA[ID],0)))</f>
        <v/>
      </c>
      <c r="I329" s="16" t="str">
        <f>IF(KENKO[[#This Row],[ID NOTA]]="","",INDEX([2]!NOTA[NO.NOTA],MATCH(KENKO[[#This Row],[ID NOTA]],[2]!NOTA[ID],0)))</f>
        <v/>
      </c>
      <c r="J329" s="16" t="str">
        <f ca="1">IF(KENKO[[#This Row],[//]]="","",INDEX([4]!db[NB PAJAK],KENKO[[#This Row],[stt]]-1))</f>
        <v/>
      </c>
      <c r="K329" s="8" t="str">
        <f>""</f>
        <v/>
      </c>
      <c r="L329" s="8" t="str">
        <f ca="1">IF(KENKO[[#This Row],[//]]="","",IF(INDEX([2]!NOTA[QTY],KENKO[//]-2)="",INDEX([2]!NOTA[C],KENKO[//]-2),INDEX([2]!NOTA[QTY],KENKO[//]-2)))</f>
        <v/>
      </c>
      <c r="M329" s="8" t="str">
        <f ca="1">IF(KENKO[[#This Row],[//]]="","",IF(INDEX([2]!NOTA[STN],KENKO[//]-2)="","CTN",INDEX([2]!NOTA[STN],KENKO[//]-2)))</f>
        <v/>
      </c>
      <c r="N329" s="17" t="str">
        <f ca="1">IF(KENKO[[#This Row],[//]]="","",IF(INDEX([2]!NOTA[HARGA/ CTN],KENKO[[#This Row],[//]]-2)="",INDEX([2]!NOTA[HARGA SATUAN],KENKO[//]-2),INDEX([2]!NOTA[HARGA/ CTN],KENKO[[#This Row],[//]]-2)))</f>
        <v/>
      </c>
      <c r="O329" s="19" t="str">
        <f ca="1">IF(KENKO[[#This Row],[//]]="","",IF(INDEX([2]!NOTA[DISC 2],KENKO[[#This Row],[//]]-2)=0,"",INDEX([2]!NOTA[DISC 2],KENKO[[#This Row],[//]]-2)))</f>
        <v/>
      </c>
      <c r="P329" s="19"/>
      <c r="Q32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9" s="16" t="str">
        <f ca="1">IF(KENKO[[#This Row],[//]]="","",INDEX([2]!NOTA[NAMA BARANG],KENKO[[#This Row],[//]]-2))</f>
        <v/>
      </c>
      <c r="V329" s="16" t="str">
        <f ca="1">LOWER(SUBSTITUTE(SUBSTITUTE(SUBSTITUTE(SUBSTITUTE(SUBSTITUTE(SUBSTITUTE(SUBSTITUTE(SUBSTITUTE(KENKO[[#This Row],[N.B.nota]]," ",""),"-",""),"(",""),")",""),".",""),",",""),"/",""),"""",""))</f>
        <v/>
      </c>
      <c r="W329" s="8" t="str">
        <f ca="1">IF(KENKO[[#This Row],[concat]]="","",MATCH(KENKO[[#This Row],[concat]],[4]!db[NB NOTA_C],0)+1)</f>
        <v/>
      </c>
      <c r="X329" s="16" t="str">
        <f ca="1">IF(KENKO[[#This Row],[N.B.nota]]="","",ADDRESS(ROW(KENKO[QB]),COLUMN(KENKO[QB]))&amp;":"&amp;ADDRESS(ROW(),COLUMN(KENKO[QB])))</f>
        <v/>
      </c>
      <c r="Y329" s="16" t="str">
        <f ca="1">IF(KENKO[[#This Row],[//]]="","",HYPERLINK("[..\\DB.xlsx]DB!e"&amp;KENKO[[#This Row],[stt]],"&gt;"))</f>
        <v/>
      </c>
      <c r="Z329" s="4" t="str">
        <f ca="1">IF(KENKO[[#This Row],[//]]="","",IF(KENKO[[#This Row],[ID NOTA]]="",Z328,KENKO[[#This Row],[ID NOTA]]))</f>
        <v/>
      </c>
    </row>
    <row r="330" spans="1:26" ht="15" customHeight="1" x14ac:dyDescent="0.25">
      <c r="A330" s="2"/>
      <c r="B330" s="8" t="str">
        <f>IF(KENKO[[#This Row],[N_ID]]="","",INDEX(Table1[ID],MATCH(KENKO[[#This Row],[N_ID]],Table1[N_ID],0)))</f>
        <v/>
      </c>
      <c r="C330" s="8" t="str">
        <f>IF(KENKO[[#This Row],[ID NOTA]]="","",HYPERLINK("[NOTA_.xlsx]NOTA!e"&amp;INDEX([2]!PAJAK[//],MATCH(KENKO[[#This Row],[ID NOTA]],[2]!PAJAK[ID],0)),"&gt;") )</f>
        <v/>
      </c>
      <c r="D330" s="8" t="str">
        <f>IF(KENKO[[#This Row],[ID NOTA]]="","",INDEX(Table1[QB],MATCH(KENKO[[#This Row],[ID NOTA]],Table1[ID],0)))</f>
        <v/>
      </c>
      <c r="E33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0" s="6"/>
      <c r="G330" s="9" t="str">
        <f>IF(KENKO[[#This Row],[ID NOTA]]="","",INDEX([2]!NOTA[TGL_H],MATCH(KENKO[[#This Row],[ID NOTA]],[2]!NOTA[ID],0)))</f>
        <v/>
      </c>
      <c r="H330" s="9" t="str">
        <f>IF(KENKO[[#This Row],[ID NOTA]]="","",INDEX([2]!NOTA[TGL.NOTA],MATCH(KENKO[[#This Row],[ID NOTA]],[2]!NOTA[ID],0)))</f>
        <v/>
      </c>
      <c r="I330" s="16" t="str">
        <f>IF(KENKO[[#This Row],[ID NOTA]]="","",INDEX([2]!NOTA[NO.NOTA],MATCH(KENKO[[#This Row],[ID NOTA]],[2]!NOTA[ID],0)))</f>
        <v/>
      </c>
      <c r="J330" s="16" t="str">
        <f ca="1">IF(KENKO[[#This Row],[//]]="","",INDEX([4]!db[NB PAJAK],KENKO[[#This Row],[stt]]-1))</f>
        <v/>
      </c>
      <c r="K330" s="8" t="str">
        <f>""</f>
        <v/>
      </c>
      <c r="L330" s="8" t="str">
        <f ca="1">IF(KENKO[[#This Row],[//]]="","",IF(INDEX([2]!NOTA[QTY],KENKO[//]-2)="",INDEX([2]!NOTA[C],KENKO[//]-2),INDEX([2]!NOTA[QTY],KENKO[//]-2)))</f>
        <v/>
      </c>
      <c r="M330" s="8" t="str">
        <f ca="1">IF(KENKO[[#This Row],[//]]="","",IF(INDEX([2]!NOTA[STN],KENKO[//]-2)="","CTN",INDEX([2]!NOTA[STN],KENKO[//]-2)))</f>
        <v/>
      </c>
      <c r="N330" s="17" t="str">
        <f ca="1">IF(KENKO[[#This Row],[//]]="","",IF(INDEX([2]!NOTA[HARGA/ CTN],KENKO[[#This Row],[//]]-2)="",INDEX([2]!NOTA[HARGA SATUAN],KENKO[//]-2),INDEX([2]!NOTA[HARGA/ CTN],KENKO[[#This Row],[//]]-2)))</f>
        <v/>
      </c>
      <c r="O330" s="19" t="str">
        <f ca="1">IF(KENKO[[#This Row],[//]]="","",IF(INDEX([2]!NOTA[DISC 2],KENKO[[#This Row],[//]]-2)=0,"",INDEX([2]!NOTA[DISC 2],KENKO[[#This Row],[//]]-2)))</f>
        <v/>
      </c>
      <c r="P330" s="19"/>
      <c r="Q33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0" s="16" t="str">
        <f ca="1">IF(KENKO[[#This Row],[//]]="","",INDEX([2]!NOTA[NAMA BARANG],KENKO[[#This Row],[//]]-2))</f>
        <v/>
      </c>
      <c r="V330" s="16" t="str">
        <f ca="1">LOWER(SUBSTITUTE(SUBSTITUTE(SUBSTITUTE(SUBSTITUTE(SUBSTITUTE(SUBSTITUTE(SUBSTITUTE(SUBSTITUTE(KENKO[[#This Row],[N.B.nota]]," ",""),"-",""),"(",""),")",""),".",""),",",""),"/",""),"""",""))</f>
        <v/>
      </c>
      <c r="W330" s="8" t="str">
        <f ca="1">IF(KENKO[[#This Row],[concat]]="","",MATCH(KENKO[[#This Row],[concat]],[4]!db[NB NOTA_C],0)+1)</f>
        <v/>
      </c>
      <c r="X330" s="16" t="str">
        <f ca="1">IF(KENKO[[#This Row],[N.B.nota]]="","",ADDRESS(ROW(KENKO[QB]),COLUMN(KENKO[QB]))&amp;":"&amp;ADDRESS(ROW(),COLUMN(KENKO[QB])))</f>
        <v/>
      </c>
      <c r="Y330" s="16" t="str">
        <f ca="1">IF(KENKO[[#This Row],[//]]="","",HYPERLINK("[..\\DB.xlsx]DB!e"&amp;KENKO[[#This Row],[stt]],"&gt;"))</f>
        <v/>
      </c>
      <c r="Z330" s="4" t="str">
        <f ca="1">IF(KENKO[[#This Row],[//]]="","",IF(KENKO[[#This Row],[ID NOTA]]="",Z329,KENKO[[#This Row],[ID NOTA]]))</f>
        <v/>
      </c>
    </row>
    <row r="331" spans="1:26" ht="15" customHeight="1" x14ac:dyDescent="0.25">
      <c r="A331" s="2"/>
      <c r="B331" s="8" t="str">
        <f>IF(KENKO[[#This Row],[N_ID]]="","",INDEX(Table1[ID],MATCH(KENKO[[#This Row],[N_ID]],Table1[N_ID],0)))</f>
        <v/>
      </c>
      <c r="C331" s="8" t="str">
        <f>IF(KENKO[[#This Row],[ID NOTA]]="","",HYPERLINK("[NOTA_.xlsx]NOTA!e"&amp;INDEX([2]!PAJAK[//],MATCH(KENKO[[#This Row],[ID NOTA]],[2]!PAJAK[ID],0)),"&gt;") )</f>
        <v/>
      </c>
      <c r="D331" s="8" t="str">
        <f>IF(KENKO[[#This Row],[ID NOTA]]="","",INDEX(Table1[QB],MATCH(KENKO[[#This Row],[ID NOTA]],Table1[ID],0)))</f>
        <v/>
      </c>
      <c r="E33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1" s="6"/>
      <c r="G331" s="9" t="str">
        <f>IF(KENKO[[#This Row],[ID NOTA]]="","",INDEX([2]!NOTA[TGL_H],MATCH(KENKO[[#This Row],[ID NOTA]],[2]!NOTA[ID],0)))</f>
        <v/>
      </c>
      <c r="H331" s="9" t="str">
        <f>IF(KENKO[[#This Row],[ID NOTA]]="","",INDEX([2]!NOTA[TGL.NOTA],MATCH(KENKO[[#This Row],[ID NOTA]],[2]!NOTA[ID],0)))</f>
        <v/>
      </c>
      <c r="I331" s="16" t="str">
        <f>IF(KENKO[[#This Row],[ID NOTA]]="","",INDEX([2]!NOTA[NO.NOTA],MATCH(KENKO[[#This Row],[ID NOTA]],[2]!NOTA[ID],0)))</f>
        <v/>
      </c>
      <c r="J331" s="16" t="str">
        <f ca="1">IF(KENKO[[#This Row],[//]]="","",INDEX([4]!db[NB PAJAK],KENKO[[#This Row],[stt]]-1))</f>
        <v/>
      </c>
      <c r="K331" s="8" t="str">
        <f>""</f>
        <v/>
      </c>
      <c r="L331" s="8" t="str">
        <f ca="1">IF(KENKO[[#This Row],[//]]="","",IF(INDEX([2]!NOTA[QTY],KENKO[//]-2)="",INDEX([2]!NOTA[C],KENKO[//]-2),INDEX([2]!NOTA[QTY],KENKO[//]-2)))</f>
        <v/>
      </c>
      <c r="M331" s="8" t="str">
        <f ca="1">IF(KENKO[[#This Row],[//]]="","",IF(INDEX([2]!NOTA[STN],KENKO[//]-2)="","CTN",INDEX([2]!NOTA[STN],KENKO[//]-2)))</f>
        <v/>
      </c>
      <c r="N331" s="17" t="str">
        <f ca="1">IF(KENKO[[#This Row],[//]]="","",IF(INDEX([2]!NOTA[HARGA/ CTN],KENKO[[#This Row],[//]]-2)="",INDEX([2]!NOTA[HARGA SATUAN],KENKO[//]-2),INDEX([2]!NOTA[HARGA/ CTN],KENKO[[#This Row],[//]]-2)))</f>
        <v/>
      </c>
      <c r="O331" s="19" t="str">
        <f ca="1">IF(KENKO[[#This Row],[//]]="","",IF(INDEX([2]!NOTA[DISC 2],KENKO[[#This Row],[//]]-2)=0,"",INDEX([2]!NOTA[DISC 2],KENKO[[#This Row],[//]]-2)))</f>
        <v/>
      </c>
      <c r="P331" s="19"/>
      <c r="Q33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1" s="16" t="str">
        <f ca="1">IF(KENKO[[#This Row],[//]]="","",INDEX([2]!NOTA[NAMA BARANG],KENKO[[#This Row],[//]]-2))</f>
        <v/>
      </c>
      <c r="V331" s="16" t="str">
        <f ca="1">LOWER(SUBSTITUTE(SUBSTITUTE(SUBSTITUTE(SUBSTITUTE(SUBSTITUTE(SUBSTITUTE(SUBSTITUTE(SUBSTITUTE(KENKO[[#This Row],[N.B.nota]]," ",""),"-",""),"(",""),")",""),".",""),",",""),"/",""),"""",""))</f>
        <v/>
      </c>
      <c r="W331" s="8" t="str">
        <f ca="1">IF(KENKO[[#This Row],[concat]]="","",MATCH(KENKO[[#This Row],[concat]],[4]!db[NB NOTA_C],0)+1)</f>
        <v/>
      </c>
      <c r="X331" s="16" t="str">
        <f ca="1">IF(KENKO[[#This Row],[N.B.nota]]="","",ADDRESS(ROW(KENKO[QB]),COLUMN(KENKO[QB]))&amp;":"&amp;ADDRESS(ROW(),COLUMN(KENKO[QB])))</f>
        <v/>
      </c>
      <c r="Y331" s="16" t="str">
        <f ca="1">IF(KENKO[[#This Row],[//]]="","",HYPERLINK("[..\\DB.xlsx]DB!e"&amp;KENKO[[#This Row],[stt]],"&gt;"))</f>
        <v/>
      </c>
      <c r="Z331" s="4" t="str">
        <f ca="1">IF(KENKO[[#This Row],[//]]="","",IF(KENKO[[#This Row],[ID NOTA]]="",Z330,KENKO[[#This Row],[ID NOTA]]))</f>
        <v/>
      </c>
    </row>
    <row r="332" spans="1:26" ht="15" customHeight="1" x14ac:dyDescent="0.25">
      <c r="A332" s="2"/>
      <c r="B332" s="8" t="str">
        <f>IF(KENKO[[#This Row],[N_ID]]="","",INDEX(Table1[ID],MATCH(KENKO[[#This Row],[N_ID]],Table1[N_ID],0)))</f>
        <v/>
      </c>
      <c r="C332" s="8" t="str">
        <f>IF(KENKO[[#This Row],[ID NOTA]]="","",HYPERLINK("[NOTA_.xlsx]NOTA!e"&amp;INDEX([2]!PAJAK[//],MATCH(KENKO[[#This Row],[ID NOTA]],[2]!PAJAK[ID],0)),"&gt;") )</f>
        <v/>
      </c>
      <c r="D332" s="8" t="str">
        <f>IF(KENKO[[#This Row],[ID NOTA]]="","",INDEX(Table1[QB],MATCH(KENKO[[#This Row],[ID NOTA]],Table1[ID],0)))</f>
        <v/>
      </c>
      <c r="E33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2" s="6"/>
      <c r="G332" s="9" t="str">
        <f>IF(KENKO[[#This Row],[ID NOTA]]="","",INDEX([2]!NOTA[TGL_H],MATCH(KENKO[[#This Row],[ID NOTA]],[2]!NOTA[ID],0)))</f>
        <v/>
      </c>
      <c r="H332" s="9" t="str">
        <f>IF(KENKO[[#This Row],[ID NOTA]]="","",INDEX([2]!NOTA[TGL.NOTA],MATCH(KENKO[[#This Row],[ID NOTA]],[2]!NOTA[ID],0)))</f>
        <v/>
      </c>
      <c r="I332" s="16" t="str">
        <f>IF(KENKO[[#This Row],[ID NOTA]]="","",INDEX([2]!NOTA[NO.NOTA],MATCH(KENKO[[#This Row],[ID NOTA]],[2]!NOTA[ID],0)))</f>
        <v/>
      </c>
      <c r="J332" s="16" t="str">
        <f ca="1">IF(KENKO[[#This Row],[//]]="","",INDEX([4]!db[NB PAJAK],KENKO[[#This Row],[stt]]-1))</f>
        <v/>
      </c>
      <c r="K332" s="8" t="str">
        <f>""</f>
        <v/>
      </c>
      <c r="L332" s="8" t="str">
        <f ca="1">IF(KENKO[[#This Row],[//]]="","",IF(INDEX([2]!NOTA[QTY],KENKO[//]-2)="",INDEX([2]!NOTA[C],KENKO[//]-2),INDEX([2]!NOTA[QTY],KENKO[//]-2)))</f>
        <v/>
      </c>
      <c r="M332" s="8" t="str">
        <f ca="1">IF(KENKO[[#This Row],[//]]="","",IF(INDEX([2]!NOTA[STN],KENKO[//]-2)="","CTN",INDEX([2]!NOTA[STN],KENKO[//]-2)))</f>
        <v/>
      </c>
      <c r="N332" s="17" t="str">
        <f ca="1">IF(KENKO[[#This Row],[//]]="","",IF(INDEX([2]!NOTA[HARGA/ CTN],KENKO[[#This Row],[//]]-2)="",INDEX([2]!NOTA[HARGA SATUAN],KENKO[//]-2),INDEX([2]!NOTA[HARGA/ CTN],KENKO[[#This Row],[//]]-2)))</f>
        <v/>
      </c>
      <c r="O332" s="19" t="str">
        <f ca="1">IF(KENKO[[#This Row],[//]]="","",IF(INDEX([2]!NOTA[DISC 2],KENKO[[#This Row],[//]]-2)=0,"",INDEX([2]!NOTA[DISC 2],KENKO[[#This Row],[//]]-2)))</f>
        <v/>
      </c>
      <c r="P332" s="19"/>
      <c r="Q33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2" s="16" t="str">
        <f ca="1">IF(KENKO[[#This Row],[//]]="","",INDEX([2]!NOTA[NAMA BARANG],KENKO[[#This Row],[//]]-2))</f>
        <v/>
      </c>
      <c r="V332" s="16" t="str">
        <f ca="1">LOWER(SUBSTITUTE(SUBSTITUTE(SUBSTITUTE(SUBSTITUTE(SUBSTITUTE(SUBSTITUTE(SUBSTITUTE(SUBSTITUTE(KENKO[[#This Row],[N.B.nota]]," ",""),"-",""),"(",""),")",""),".",""),",",""),"/",""),"""",""))</f>
        <v/>
      </c>
      <c r="W332" s="8" t="str">
        <f ca="1">IF(KENKO[[#This Row],[concat]]="","",MATCH(KENKO[[#This Row],[concat]],[4]!db[NB NOTA_C],0)+1)</f>
        <v/>
      </c>
      <c r="X332" s="16" t="str">
        <f ca="1">IF(KENKO[[#This Row],[N.B.nota]]="","",ADDRESS(ROW(KENKO[QB]),COLUMN(KENKO[QB]))&amp;":"&amp;ADDRESS(ROW(),COLUMN(KENKO[QB])))</f>
        <v/>
      </c>
      <c r="Y332" s="16" t="str">
        <f ca="1">IF(KENKO[[#This Row],[//]]="","",HYPERLINK("[..\\DB.xlsx]DB!e"&amp;KENKO[[#This Row],[stt]],"&gt;"))</f>
        <v/>
      </c>
      <c r="Z332" s="4" t="str">
        <f ca="1">IF(KENKO[[#This Row],[//]]="","",IF(KENKO[[#This Row],[ID NOTA]]="",Z331,KENKO[[#This Row],[ID NOTA]]))</f>
        <v/>
      </c>
    </row>
    <row r="333" spans="1:26" ht="15" customHeight="1" x14ac:dyDescent="0.25">
      <c r="A333" s="2"/>
      <c r="B333" s="8" t="str">
        <f>IF(KENKO[[#This Row],[N_ID]]="","",INDEX(Table1[ID],MATCH(KENKO[[#This Row],[N_ID]],Table1[N_ID],0)))</f>
        <v/>
      </c>
      <c r="C333" s="8" t="str">
        <f>IF(KENKO[[#This Row],[ID NOTA]]="","",HYPERLINK("[NOTA_.xlsx]NOTA!e"&amp;INDEX([2]!PAJAK[//],MATCH(KENKO[[#This Row],[ID NOTA]],[2]!PAJAK[ID],0)),"&gt;") )</f>
        <v/>
      </c>
      <c r="D333" s="8" t="str">
        <f>IF(KENKO[[#This Row],[ID NOTA]]="","",INDEX(Table1[QB],MATCH(KENKO[[#This Row],[ID NOTA]],Table1[ID],0)))</f>
        <v/>
      </c>
      <c r="E33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3" s="6"/>
      <c r="G333" s="9" t="str">
        <f>IF(KENKO[[#This Row],[ID NOTA]]="","",INDEX([2]!NOTA[TGL_H],MATCH(KENKO[[#This Row],[ID NOTA]],[2]!NOTA[ID],0)))</f>
        <v/>
      </c>
      <c r="H333" s="9" t="str">
        <f>IF(KENKO[[#This Row],[ID NOTA]]="","",INDEX([2]!NOTA[TGL.NOTA],MATCH(KENKO[[#This Row],[ID NOTA]],[2]!NOTA[ID],0)))</f>
        <v/>
      </c>
      <c r="I333" s="16" t="str">
        <f>IF(KENKO[[#This Row],[ID NOTA]]="","",INDEX([2]!NOTA[NO.NOTA],MATCH(KENKO[[#This Row],[ID NOTA]],[2]!NOTA[ID],0)))</f>
        <v/>
      </c>
      <c r="J333" s="16" t="str">
        <f ca="1">IF(KENKO[[#This Row],[//]]="","",INDEX([4]!db[NB PAJAK],KENKO[[#This Row],[stt]]-1))</f>
        <v/>
      </c>
      <c r="K333" s="8" t="str">
        <f>""</f>
        <v/>
      </c>
      <c r="L333" s="8" t="str">
        <f ca="1">IF(KENKO[[#This Row],[//]]="","",IF(INDEX([2]!NOTA[QTY],KENKO[//]-2)="",INDEX([2]!NOTA[C],KENKO[//]-2),INDEX([2]!NOTA[QTY],KENKO[//]-2)))</f>
        <v/>
      </c>
      <c r="M333" s="8" t="str">
        <f ca="1">IF(KENKO[[#This Row],[//]]="","",IF(INDEX([2]!NOTA[STN],KENKO[//]-2)="","CTN",INDEX([2]!NOTA[STN],KENKO[//]-2)))</f>
        <v/>
      </c>
      <c r="N333" s="17" t="str">
        <f ca="1">IF(KENKO[[#This Row],[//]]="","",IF(INDEX([2]!NOTA[HARGA/ CTN],KENKO[[#This Row],[//]]-2)="",INDEX([2]!NOTA[HARGA SATUAN],KENKO[//]-2),INDEX([2]!NOTA[HARGA/ CTN],KENKO[[#This Row],[//]]-2)))</f>
        <v/>
      </c>
      <c r="O333" s="19" t="str">
        <f ca="1">IF(KENKO[[#This Row],[//]]="","",IF(INDEX([2]!NOTA[DISC 2],KENKO[[#This Row],[//]]-2)=0,"",INDEX([2]!NOTA[DISC 2],KENKO[[#This Row],[//]]-2)))</f>
        <v/>
      </c>
      <c r="P333" s="19"/>
      <c r="Q33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3" s="16" t="str">
        <f ca="1">IF(KENKO[[#This Row],[//]]="","",INDEX([2]!NOTA[NAMA BARANG],KENKO[[#This Row],[//]]-2))</f>
        <v/>
      </c>
      <c r="V333" s="16" t="str">
        <f ca="1">LOWER(SUBSTITUTE(SUBSTITUTE(SUBSTITUTE(SUBSTITUTE(SUBSTITUTE(SUBSTITUTE(SUBSTITUTE(SUBSTITUTE(KENKO[[#This Row],[N.B.nota]]," ",""),"-",""),"(",""),")",""),".",""),",",""),"/",""),"""",""))</f>
        <v/>
      </c>
      <c r="W333" s="8" t="str">
        <f ca="1">IF(KENKO[[#This Row],[concat]]="","",MATCH(KENKO[[#This Row],[concat]],[4]!db[NB NOTA_C],0)+1)</f>
        <v/>
      </c>
      <c r="X333" s="16" t="str">
        <f ca="1">IF(KENKO[[#This Row],[N.B.nota]]="","",ADDRESS(ROW(KENKO[QB]),COLUMN(KENKO[QB]))&amp;":"&amp;ADDRESS(ROW(),COLUMN(KENKO[QB])))</f>
        <v/>
      </c>
      <c r="Y333" s="16" t="str">
        <f ca="1">IF(KENKO[[#This Row],[//]]="","",HYPERLINK("[..\\DB.xlsx]DB!e"&amp;KENKO[[#This Row],[stt]],"&gt;"))</f>
        <v/>
      </c>
      <c r="Z333" s="4" t="str">
        <f ca="1">IF(KENKO[[#This Row],[//]]="","",IF(KENKO[[#This Row],[ID NOTA]]="",Z332,KENKO[[#This Row],[ID NOTA]]))</f>
        <v/>
      </c>
    </row>
    <row r="334" spans="1:26" ht="15" customHeight="1" x14ac:dyDescent="0.25">
      <c r="A334" s="2"/>
      <c r="B334" s="8" t="str">
        <f>IF(KENKO[[#This Row],[N_ID]]="","",INDEX(Table1[ID],MATCH(KENKO[[#This Row],[N_ID]],Table1[N_ID],0)))</f>
        <v/>
      </c>
      <c r="C334" s="8" t="str">
        <f>IF(KENKO[[#This Row],[ID NOTA]]="","",HYPERLINK("[NOTA_.xlsx]NOTA!e"&amp;INDEX([2]!PAJAK[//],MATCH(KENKO[[#This Row],[ID NOTA]],[2]!PAJAK[ID],0)),"&gt;") )</f>
        <v/>
      </c>
      <c r="D334" s="8" t="str">
        <f>IF(KENKO[[#This Row],[ID NOTA]]="","",INDEX(Table1[QB],MATCH(KENKO[[#This Row],[ID NOTA]],Table1[ID],0)))</f>
        <v/>
      </c>
      <c r="E33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4" s="6"/>
      <c r="G334" s="9" t="str">
        <f>IF(KENKO[[#This Row],[ID NOTA]]="","",INDEX([2]!NOTA[TGL_H],MATCH(KENKO[[#This Row],[ID NOTA]],[2]!NOTA[ID],0)))</f>
        <v/>
      </c>
      <c r="H334" s="9" t="str">
        <f>IF(KENKO[[#This Row],[ID NOTA]]="","",INDEX([2]!NOTA[TGL.NOTA],MATCH(KENKO[[#This Row],[ID NOTA]],[2]!NOTA[ID],0)))</f>
        <v/>
      </c>
      <c r="I334" s="16" t="str">
        <f>IF(KENKO[[#This Row],[ID NOTA]]="","",INDEX([2]!NOTA[NO.NOTA],MATCH(KENKO[[#This Row],[ID NOTA]],[2]!NOTA[ID],0)))</f>
        <v/>
      </c>
      <c r="J334" s="16" t="str">
        <f ca="1">IF(KENKO[[#This Row],[//]]="","",INDEX([4]!db[NB PAJAK],KENKO[[#This Row],[stt]]-1))</f>
        <v/>
      </c>
      <c r="K334" s="8" t="str">
        <f>""</f>
        <v/>
      </c>
      <c r="L334" s="8" t="str">
        <f ca="1">IF(KENKO[[#This Row],[//]]="","",IF(INDEX([2]!NOTA[QTY],KENKO[//]-2)="",INDEX([2]!NOTA[C],KENKO[//]-2),INDEX([2]!NOTA[QTY],KENKO[//]-2)))</f>
        <v/>
      </c>
      <c r="M334" s="8" t="str">
        <f ca="1">IF(KENKO[[#This Row],[//]]="","",IF(INDEX([2]!NOTA[STN],KENKO[//]-2)="","CTN",INDEX([2]!NOTA[STN],KENKO[//]-2)))</f>
        <v/>
      </c>
      <c r="N334" s="17" t="str">
        <f ca="1">IF(KENKO[[#This Row],[//]]="","",IF(INDEX([2]!NOTA[HARGA/ CTN],KENKO[[#This Row],[//]]-2)="",INDEX([2]!NOTA[HARGA SATUAN],KENKO[//]-2),INDEX([2]!NOTA[HARGA/ CTN],KENKO[[#This Row],[//]]-2)))</f>
        <v/>
      </c>
      <c r="O334" s="19" t="str">
        <f ca="1">IF(KENKO[[#This Row],[//]]="","",IF(INDEX([2]!NOTA[DISC 2],KENKO[[#This Row],[//]]-2)=0,"",INDEX([2]!NOTA[DISC 2],KENKO[[#This Row],[//]]-2)))</f>
        <v/>
      </c>
      <c r="P334" s="19"/>
      <c r="Q33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4" s="16" t="str">
        <f ca="1">IF(KENKO[[#This Row],[//]]="","",INDEX([2]!NOTA[NAMA BARANG],KENKO[[#This Row],[//]]-2))</f>
        <v/>
      </c>
      <c r="V334" s="16" t="str">
        <f ca="1">LOWER(SUBSTITUTE(SUBSTITUTE(SUBSTITUTE(SUBSTITUTE(SUBSTITUTE(SUBSTITUTE(SUBSTITUTE(SUBSTITUTE(KENKO[[#This Row],[N.B.nota]]," ",""),"-",""),"(",""),")",""),".",""),",",""),"/",""),"""",""))</f>
        <v/>
      </c>
      <c r="W334" s="8" t="str">
        <f ca="1">IF(KENKO[[#This Row],[concat]]="","",MATCH(KENKO[[#This Row],[concat]],[4]!db[NB NOTA_C],0)+1)</f>
        <v/>
      </c>
      <c r="X334" s="16" t="str">
        <f ca="1">IF(KENKO[[#This Row],[N.B.nota]]="","",ADDRESS(ROW(KENKO[QB]),COLUMN(KENKO[QB]))&amp;":"&amp;ADDRESS(ROW(),COLUMN(KENKO[QB])))</f>
        <v/>
      </c>
      <c r="Y334" s="16" t="str">
        <f ca="1">IF(KENKO[[#This Row],[//]]="","",HYPERLINK("[..\\DB.xlsx]DB!e"&amp;KENKO[[#This Row],[stt]],"&gt;"))</f>
        <v/>
      </c>
      <c r="Z334" s="4" t="str">
        <f ca="1">IF(KENKO[[#This Row],[//]]="","",IF(KENKO[[#This Row],[ID NOTA]]="",Z333,KENKO[[#This Row],[ID NOTA]]))</f>
        <v/>
      </c>
    </row>
    <row r="335" spans="1:26" ht="15" customHeight="1" x14ac:dyDescent="0.25">
      <c r="A335" s="2"/>
      <c r="B335" s="8" t="str">
        <f>IF(KENKO[[#This Row],[N_ID]]="","",INDEX(Table1[ID],MATCH(KENKO[[#This Row],[N_ID]],Table1[N_ID],0)))</f>
        <v/>
      </c>
      <c r="C335" s="8" t="str">
        <f>IF(KENKO[[#This Row],[ID NOTA]]="","",HYPERLINK("[NOTA_.xlsx]NOTA!e"&amp;INDEX([2]!PAJAK[//],MATCH(KENKO[[#This Row],[ID NOTA]],[2]!PAJAK[ID],0)),"&gt;") )</f>
        <v/>
      </c>
      <c r="D335" s="8" t="str">
        <f>IF(KENKO[[#This Row],[ID NOTA]]="","",INDEX(Table1[QB],MATCH(KENKO[[#This Row],[ID NOTA]],Table1[ID],0)))</f>
        <v/>
      </c>
      <c r="E33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5" s="6"/>
      <c r="G335" s="9" t="str">
        <f>IF(KENKO[[#This Row],[ID NOTA]]="","",INDEX([2]!NOTA[TGL_H],MATCH(KENKO[[#This Row],[ID NOTA]],[2]!NOTA[ID],0)))</f>
        <v/>
      </c>
      <c r="H335" s="9" t="str">
        <f>IF(KENKO[[#This Row],[ID NOTA]]="","",INDEX([2]!NOTA[TGL.NOTA],MATCH(KENKO[[#This Row],[ID NOTA]],[2]!NOTA[ID],0)))</f>
        <v/>
      </c>
      <c r="I335" s="16" t="str">
        <f>IF(KENKO[[#This Row],[ID NOTA]]="","",INDEX([2]!NOTA[NO.NOTA],MATCH(KENKO[[#This Row],[ID NOTA]],[2]!NOTA[ID],0)))</f>
        <v/>
      </c>
      <c r="J335" s="16" t="str">
        <f ca="1">IF(KENKO[[#This Row],[//]]="","",INDEX([4]!db[NB PAJAK],KENKO[[#This Row],[stt]]-1))</f>
        <v/>
      </c>
      <c r="K335" s="8" t="str">
        <f>""</f>
        <v/>
      </c>
      <c r="L335" s="8" t="str">
        <f ca="1">IF(KENKO[[#This Row],[//]]="","",IF(INDEX([2]!NOTA[QTY],KENKO[//]-2)="",INDEX([2]!NOTA[C],KENKO[//]-2),INDEX([2]!NOTA[QTY],KENKO[//]-2)))</f>
        <v/>
      </c>
      <c r="M335" s="8" t="str">
        <f ca="1">IF(KENKO[[#This Row],[//]]="","",IF(INDEX([2]!NOTA[STN],KENKO[//]-2)="","CTN",INDEX([2]!NOTA[STN],KENKO[//]-2)))</f>
        <v/>
      </c>
      <c r="N335" s="17" t="str">
        <f ca="1">IF(KENKO[[#This Row],[//]]="","",IF(INDEX([2]!NOTA[HARGA/ CTN],KENKO[[#This Row],[//]]-2)="",INDEX([2]!NOTA[HARGA SATUAN],KENKO[//]-2),INDEX([2]!NOTA[HARGA/ CTN],KENKO[[#This Row],[//]]-2)))</f>
        <v/>
      </c>
      <c r="O335" s="19" t="str">
        <f ca="1">IF(KENKO[[#This Row],[//]]="","",IF(INDEX([2]!NOTA[DISC 2],KENKO[[#This Row],[//]]-2)=0,"",INDEX([2]!NOTA[DISC 2],KENKO[[#This Row],[//]]-2)))</f>
        <v/>
      </c>
      <c r="P335" s="19"/>
      <c r="Q33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5" s="16" t="str">
        <f ca="1">IF(KENKO[[#This Row],[//]]="","",INDEX([2]!NOTA[NAMA BARANG],KENKO[[#This Row],[//]]-2))</f>
        <v/>
      </c>
      <c r="V335" s="16" t="str">
        <f ca="1">LOWER(SUBSTITUTE(SUBSTITUTE(SUBSTITUTE(SUBSTITUTE(SUBSTITUTE(SUBSTITUTE(SUBSTITUTE(SUBSTITUTE(KENKO[[#This Row],[N.B.nota]]," ",""),"-",""),"(",""),")",""),".",""),",",""),"/",""),"""",""))</f>
        <v/>
      </c>
      <c r="W335" s="8" t="str">
        <f ca="1">IF(KENKO[[#This Row],[concat]]="","",MATCH(KENKO[[#This Row],[concat]],[4]!db[NB NOTA_C],0)+1)</f>
        <v/>
      </c>
      <c r="X335" s="16" t="str">
        <f ca="1">IF(KENKO[[#This Row],[N.B.nota]]="","",ADDRESS(ROW(KENKO[QB]),COLUMN(KENKO[QB]))&amp;":"&amp;ADDRESS(ROW(),COLUMN(KENKO[QB])))</f>
        <v/>
      </c>
      <c r="Y335" s="16" t="str">
        <f ca="1">IF(KENKO[[#This Row],[//]]="","",HYPERLINK("[..\\DB.xlsx]DB!e"&amp;KENKO[[#This Row],[stt]],"&gt;"))</f>
        <v/>
      </c>
      <c r="Z335" s="4" t="str">
        <f ca="1">IF(KENKO[[#This Row],[//]]="","",IF(KENKO[[#This Row],[ID NOTA]]="",Z334,KENKO[[#This Row],[ID NOTA]]))</f>
        <v/>
      </c>
    </row>
    <row r="336" spans="1:26" ht="15" customHeight="1" x14ac:dyDescent="0.25">
      <c r="A336" s="2"/>
      <c r="B336" s="8" t="str">
        <f>IF(KENKO[[#This Row],[N_ID]]="","",INDEX(Table1[ID],MATCH(KENKO[[#This Row],[N_ID]],Table1[N_ID],0)))</f>
        <v/>
      </c>
      <c r="C336" s="8" t="str">
        <f>IF(KENKO[[#This Row],[ID NOTA]]="","",HYPERLINK("[NOTA_.xlsx]NOTA!e"&amp;INDEX([2]!PAJAK[//],MATCH(KENKO[[#This Row],[ID NOTA]],[2]!PAJAK[ID],0)),"&gt;") )</f>
        <v/>
      </c>
      <c r="D336" s="8" t="str">
        <f>IF(KENKO[[#This Row],[ID NOTA]]="","",INDEX(Table1[QB],MATCH(KENKO[[#This Row],[ID NOTA]],Table1[ID],0)))</f>
        <v/>
      </c>
      <c r="E3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6" s="6"/>
      <c r="G336" s="9" t="str">
        <f>IF(KENKO[[#This Row],[ID NOTA]]="","",INDEX([2]!NOTA[TGL_H],MATCH(KENKO[[#This Row],[ID NOTA]],[2]!NOTA[ID],0)))</f>
        <v/>
      </c>
      <c r="H336" s="9" t="str">
        <f>IF(KENKO[[#This Row],[ID NOTA]]="","",INDEX([2]!NOTA[TGL.NOTA],MATCH(KENKO[[#This Row],[ID NOTA]],[2]!NOTA[ID],0)))</f>
        <v/>
      </c>
      <c r="I336" s="16" t="str">
        <f>IF(KENKO[[#This Row],[ID NOTA]]="","",INDEX([2]!NOTA[NO.NOTA],MATCH(KENKO[[#This Row],[ID NOTA]],[2]!NOTA[ID],0)))</f>
        <v/>
      </c>
      <c r="J336" s="16" t="str">
        <f ca="1">IF(KENKO[[#This Row],[//]]="","",INDEX([4]!db[NB PAJAK],KENKO[[#This Row],[stt]]-1))</f>
        <v/>
      </c>
      <c r="K336" s="8" t="str">
        <f>""</f>
        <v/>
      </c>
      <c r="L336" s="8" t="str">
        <f ca="1">IF(KENKO[[#This Row],[//]]="","",IF(INDEX([2]!NOTA[QTY],KENKO[//]-2)="",INDEX([2]!NOTA[C],KENKO[//]-2),INDEX([2]!NOTA[QTY],KENKO[//]-2)))</f>
        <v/>
      </c>
      <c r="M336" s="8" t="str">
        <f ca="1">IF(KENKO[[#This Row],[//]]="","",IF(INDEX([2]!NOTA[STN],KENKO[//]-2)="","CTN",INDEX([2]!NOTA[STN],KENKO[//]-2)))</f>
        <v/>
      </c>
      <c r="N336" s="17" t="str">
        <f ca="1">IF(KENKO[[#This Row],[//]]="","",IF(INDEX([2]!NOTA[HARGA/ CTN],KENKO[[#This Row],[//]]-2)="",INDEX([2]!NOTA[HARGA SATUAN],KENKO[//]-2),INDEX([2]!NOTA[HARGA/ CTN],KENKO[[#This Row],[//]]-2)))</f>
        <v/>
      </c>
      <c r="O336" s="19" t="str">
        <f ca="1">IF(KENKO[[#This Row],[//]]="","",IF(INDEX([2]!NOTA[DISC 2],KENKO[[#This Row],[//]]-2)=0,"",INDEX([2]!NOTA[DISC 2],KENKO[[#This Row],[//]]-2)))</f>
        <v/>
      </c>
      <c r="P336" s="19"/>
      <c r="Q33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6" s="16" t="str">
        <f ca="1">IF(KENKO[[#This Row],[//]]="","",INDEX([2]!NOTA[NAMA BARANG],KENKO[[#This Row],[//]]-2))</f>
        <v/>
      </c>
      <c r="V336" s="16" t="str">
        <f ca="1">LOWER(SUBSTITUTE(SUBSTITUTE(SUBSTITUTE(SUBSTITUTE(SUBSTITUTE(SUBSTITUTE(SUBSTITUTE(SUBSTITUTE(KENKO[[#This Row],[N.B.nota]]," ",""),"-",""),"(",""),")",""),".",""),",",""),"/",""),"""",""))</f>
        <v/>
      </c>
      <c r="W336" s="8" t="str">
        <f ca="1">IF(KENKO[[#This Row],[concat]]="","",MATCH(KENKO[[#This Row],[concat]],[4]!db[NB NOTA_C],0)+1)</f>
        <v/>
      </c>
      <c r="X336" s="16" t="str">
        <f ca="1">IF(KENKO[[#This Row],[N.B.nota]]="","",ADDRESS(ROW(KENKO[QB]),COLUMN(KENKO[QB]))&amp;":"&amp;ADDRESS(ROW(),COLUMN(KENKO[QB])))</f>
        <v/>
      </c>
      <c r="Y336" s="16" t="str">
        <f ca="1">IF(KENKO[[#This Row],[//]]="","",HYPERLINK("[..\\DB.xlsx]DB!e"&amp;KENKO[[#This Row],[stt]],"&gt;"))</f>
        <v/>
      </c>
      <c r="Z336" s="4" t="str">
        <f ca="1">IF(KENKO[[#This Row],[//]]="","",IF(KENKO[[#This Row],[ID NOTA]]="",Z335,KENKO[[#This Row],[ID NOTA]]))</f>
        <v/>
      </c>
    </row>
    <row r="337" spans="1:26" ht="15" customHeight="1" x14ac:dyDescent="0.25">
      <c r="A337" s="2"/>
      <c r="B337" s="8" t="str">
        <f>IF(KENKO[[#This Row],[N_ID]]="","",INDEX(Table1[ID],MATCH(KENKO[[#This Row],[N_ID]],Table1[N_ID],0)))</f>
        <v/>
      </c>
      <c r="C337" s="8" t="str">
        <f>IF(KENKO[[#This Row],[ID NOTA]]="","",HYPERLINK("[NOTA_.xlsx]NOTA!e"&amp;INDEX([2]!PAJAK[//],MATCH(KENKO[[#This Row],[ID NOTA]],[2]!PAJAK[ID],0)),"&gt;") )</f>
        <v/>
      </c>
      <c r="D337" s="8" t="str">
        <f>IF(KENKO[[#This Row],[ID NOTA]]="","",INDEX(Table1[QB],MATCH(KENKO[[#This Row],[ID NOTA]],Table1[ID],0)))</f>
        <v/>
      </c>
      <c r="E3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7" s="6"/>
      <c r="G337" s="9" t="str">
        <f>IF(KENKO[[#This Row],[ID NOTA]]="","",INDEX([2]!NOTA[TGL_H],MATCH(KENKO[[#This Row],[ID NOTA]],[2]!NOTA[ID],0)))</f>
        <v/>
      </c>
      <c r="H337" s="9" t="str">
        <f>IF(KENKO[[#This Row],[ID NOTA]]="","",INDEX([2]!NOTA[TGL.NOTA],MATCH(KENKO[[#This Row],[ID NOTA]],[2]!NOTA[ID],0)))</f>
        <v/>
      </c>
      <c r="I337" s="16" t="str">
        <f>IF(KENKO[[#This Row],[ID NOTA]]="","",INDEX([2]!NOTA[NO.NOTA],MATCH(KENKO[[#This Row],[ID NOTA]],[2]!NOTA[ID],0)))</f>
        <v/>
      </c>
      <c r="J337" s="16" t="str">
        <f ca="1">IF(KENKO[[#This Row],[//]]="","",INDEX([4]!db[NB PAJAK],KENKO[[#This Row],[stt]]-1))</f>
        <v/>
      </c>
      <c r="K337" s="8" t="str">
        <f>""</f>
        <v/>
      </c>
      <c r="L337" s="8" t="str">
        <f ca="1">IF(KENKO[[#This Row],[//]]="","",IF(INDEX([2]!NOTA[QTY],KENKO[//]-2)="",INDEX([2]!NOTA[C],KENKO[//]-2),INDEX([2]!NOTA[QTY],KENKO[//]-2)))</f>
        <v/>
      </c>
      <c r="M337" s="8" t="str">
        <f ca="1">IF(KENKO[[#This Row],[//]]="","",IF(INDEX([2]!NOTA[STN],KENKO[//]-2)="","CTN",INDEX([2]!NOTA[STN],KENKO[//]-2)))</f>
        <v/>
      </c>
      <c r="N337" s="17" t="str">
        <f ca="1">IF(KENKO[[#This Row],[//]]="","",IF(INDEX([2]!NOTA[HARGA/ CTN],KENKO[[#This Row],[//]]-2)="",INDEX([2]!NOTA[HARGA SATUAN],KENKO[//]-2),INDEX([2]!NOTA[HARGA/ CTN],KENKO[[#This Row],[//]]-2)))</f>
        <v/>
      </c>
      <c r="O337" s="19" t="str">
        <f ca="1">IF(KENKO[[#This Row],[//]]="","",IF(INDEX([2]!NOTA[DISC 2],KENKO[[#This Row],[//]]-2)=0,"",INDEX([2]!NOTA[DISC 2],KENKO[[#This Row],[//]]-2)))</f>
        <v/>
      </c>
      <c r="P337" s="19"/>
      <c r="Q33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7" s="16" t="str">
        <f ca="1">IF(KENKO[[#This Row],[//]]="","",INDEX([2]!NOTA[NAMA BARANG],KENKO[[#This Row],[//]]-2))</f>
        <v/>
      </c>
      <c r="V337" s="16" t="str">
        <f ca="1">LOWER(SUBSTITUTE(SUBSTITUTE(SUBSTITUTE(SUBSTITUTE(SUBSTITUTE(SUBSTITUTE(SUBSTITUTE(SUBSTITUTE(KENKO[[#This Row],[N.B.nota]]," ",""),"-",""),"(",""),")",""),".",""),",",""),"/",""),"""",""))</f>
        <v/>
      </c>
      <c r="W337" s="8" t="str">
        <f ca="1">IF(KENKO[[#This Row],[concat]]="","",MATCH(KENKO[[#This Row],[concat]],[4]!db[NB NOTA_C],0)+1)</f>
        <v/>
      </c>
      <c r="X337" s="16" t="str">
        <f ca="1">IF(KENKO[[#This Row],[N.B.nota]]="","",ADDRESS(ROW(KENKO[QB]),COLUMN(KENKO[QB]))&amp;":"&amp;ADDRESS(ROW(),COLUMN(KENKO[QB])))</f>
        <v/>
      </c>
      <c r="Y337" s="16" t="str">
        <f ca="1">IF(KENKO[[#This Row],[//]]="","",HYPERLINK("[..\\DB.xlsx]DB!e"&amp;KENKO[[#This Row],[stt]],"&gt;"))</f>
        <v/>
      </c>
      <c r="Z337" s="4" t="str">
        <f ca="1">IF(KENKO[[#This Row],[//]]="","",IF(KENKO[[#This Row],[ID NOTA]]="",Z336,KENKO[[#This Row],[ID NOTA]]))</f>
        <v/>
      </c>
    </row>
    <row r="338" spans="1:26" ht="15" customHeight="1" x14ac:dyDescent="0.25">
      <c r="A338" s="2"/>
      <c r="B338" s="8" t="str">
        <f>IF(KENKO[[#This Row],[N_ID]]="","",INDEX(Table1[ID],MATCH(KENKO[[#This Row],[N_ID]],Table1[N_ID],0)))</f>
        <v/>
      </c>
      <c r="C338" s="8" t="str">
        <f>IF(KENKO[[#This Row],[ID NOTA]]="","",HYPERLINK("[NOTA_.xlsx]NOTA!e"&amp;INDEX([2]!PAJAK[//],MATCH(KENKO[[#This Row],[ID NOTA]],[2]!PAJAK[ID],0)),"&gt;") )</f>
        <v/>
      </c>
      <c r="D338" s="8" t="str">
        <f>IF(KENKO[[#This Row],[ID NOTA]]="","",INDEX(Table1[QB],MATCH(KENKO[[#This Row],[ID NOTA]],Table1[ID],0)))</f>
        <v/>
      </c>
      <c r="E33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8" s="6"/>
      <c r="G338" s="9" t="str">
        <f>IF(KENKO[[#This Row],[ID NOTA]]="","",INDEX([2]!NOTA[TGL_H],MATCH(KENKO[[#This Row],[ID NOTA]],[2]!NOTA[ID],0)))</f>
        <v/>
      </c>
      <c r="H338" s="9" t="str">
        <f>IF(KENKO[[#This Row],[ID NOTA]]="","",INDEX([2]!NOTA[TGL.NOTA],MATCH(KENKO[[#This Row],[ID NOTA]],[2]!NOTA[ID],0)))</f>
        <v/>
      </c>
      <c r="I338" s="16" t="str">
        <f>IF(KENKO[[#This Row],[ID NOTA]]="","",INDEX([2]!NOTA[NO.NOTA],MATCH(KENKO[[#This Row],[ID NOTA]],[2]!NOTA[ID],0)))</f>
        <v/>
      </c>
      <c r="J338" s="16" t="str">
        <f ca="1">IF(KENKO[[#This Row],[//]]="","",INDEX([4]!db[NB PAJAK],KENKO[[#This Row],[stt]]-1))</f>
        <v/>
      </c>
      <c r="K338" s="8" t="str">
        <f>""</f>
        <v/>
      </c>
      <c r="L338" s="8" t="str">
        <f ca="1">IF(KENKO[[#This Row],[//]]="","",IF(INDEX([2]!NOTA[QTY],KENKO[//]-2)="",INDEX([2]!NOTA[C],KENKO[//]-2),INDEX([2]!NOTA[QTY],KENKO[//]-2)))</f>
        <v/>
      </c>
      <c r="M338" s="8" t="str">
        <f ca="1">IF(KENKO[[#This Row],[//]]="","",IF(INDEX([2]!NOTA[STN],KENKO[//]-2)="","CTN",INDEX([2]!NOTA[STN],KENKO[//]-2)))</f>
        <v/>
      </c>
      <c r="N338" s="17" t="str">
        <f ca="1">IF(KENKO[[#This Row],[//]]="","",IF(INDEX([2]!NOTA[HARGA/ CTN],KENKO[[#This Row],[//]]-2)="",INDEX([2]!NOTA[HARGA SATUAN],KENKO[//]-2),INDEX([2]!NOTA[HARGA/ CTN],KENKO[[#This Row],[//]]-2)))</f>
        <v/>
      </c>
      <c r="O338" s="19" t="str">
        <f ca="1">IF(KENKO[[#This Row],[//]]="","",IF(INDEX([2]!NOTA[DISC 2],KENKO[[#This Row],[//]]-2)=0,"",INDEX([2]!NOTA[DISC 2],KENKO[[#This Row],[//]]-2)))</f>
        <v/>
      </c>
      <c r="P338" s="19"/>
      <c r="Q33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8" s="16" t="str">
        <f ca="1">IF(KENKO[[#This Row],[//]]="","",INDEX([2]!NOTA[NAMA BARANG],KENKO[[#This Row],[//]]-2))</f>
        <v/>
      </c>
      <c r="V338" s="16" t="str">
        <f ca="1">LOWER(SUBSTITUTE(SUBSTITUTE(SUBSTITUTE(SUBSTITUTE(SUBSTITUTE(SUBSTITUTE(SUBSTITUTE(SUBSTITUTE(KENKO[[#This Row],[N.B.nota]]," ",""),"-",""),"(",""),")",""),".",""),",",""),"/",""),"""",""))</f>
        <v/>
      </c>
      <c r="W338" s="8" t="str">
        <f ca="1">IF(KENKO[[#This Row],[concat]]="","",MATCH(KENKO[[#This Row],[concat]],[4]!db[NB NOTA_C],0)+1)</f>
        <v/>
      </c>
      <c r="X338" s="16" t="str">
        <f ca="1">IF(KENKO[[#This Row],[N.B.nota]]="","",ADDRESS(ROW(KENKO[QB]),COLUMN(KENKO[QB]))&amp;":"&amp;ADDRESS(ROW(),COLUMN(KENKO[QB])))</f>
        <v/>
      </c>
      <c r="Y338" s="16" t="str">
        <f ca="1">IF(KENKO[[#This Row],[//]]="","",HYPERLINK("[..\\DB.xlsx]DB!e"&amp;KENKO[[#This Row],[stt]],"&gt;"))</f>
        <v/>
      </c>
      <c r="Z338" s="4" t="str">
        <f ca="1">IF(KENKO[[#This Row],[//]]="","",IF(KENKO[[#This Row],[ID NOTA]]="",Z337,KENKO[[#This Row],[ID NOTA]]))</f>
        <v/>
      </c>
    </row>
    <row r="339" spans="1:26" ht="15" customHeight="1" x14ac:dyDescent="0.25">
      <c r="A339" s="2"/>
      <c r="B339" s="8" t="str">
        <f>IF(KENKO[[#This Row],[N_ID]]="","",INDEX(Table1[ID],MATCH(KENKO[[#This Row],[N_ID]],Table1[N_ID],0)))</f>
        <v/>
      </c>
      <c r="C339" s="8" t="str">
        <f>IF(KENKO[[#This Row],[ID NOTA]]="","",HYPERLINK("[NOTA_.xlsx]NOTA!e"&amp;INDEX([2]!PAJAK[//],MATCH(KENKO[[#This Row],[ID NOTA]],[2]!PAJAK[ID],0)),"&gt;") )</f>
        <v/>
      </c>
      <c r="D339" s="8" t="str">
        <f>IF(KENKO[[#This Row],[ID NOTA]]="","",INDEX(Table1[QB],MATCH(KENKO[[#This Row],[ID NOTA]],Table1[ID],0)))</f>
        <v/>
      </c>
      <c r="E33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9" s="6"/>
      <c r="G339" s="9" t="str">
        <f>IF(KENKO[[#This Row],[ID NOTA]]="","",INDEX([2]!NOTA[TGL_H],MATCH(KENKO[[#This Row],[ID NOTA]],[2]!NOTA[ID],0)))</f>
        <v/>
      </c>
      <c r="H339" s="9" t="str">
        <f>IF(KENKO[[#This Row],[ID NOTA]]="","",INDEX([2]!NOTA[TGL.NOTA],MATCH(KENKO[[#This Row],[ID NOTA]],[2]!NOTA[ID],0)))</f>
        <v/>
      </c>
      <c r="I339" s="16" t="str">
        <f>IF(KENKO[[#This Row],[ID NOTA]]="","",INDEX([2]!NOTA[NO.NOTA],MATCH(KENKO[[#This Row],[ID NOTA]],[2]!NOTA[ID],0)))</f>
        <v/>
      </c>
      <c r="J339" s="16" t="str">
        <f ca="1">IF(KENKO[[#This Row],[//]]="","",INDEX([4]!db[NB PAJAK],KENKO[[#This Row],[stt]]-1))</f>
        <v/>
      </c>
      <c r="K339" s="8" t="str">
        <f>""</f>
        <v/>
      </c>
      <c r="L339" s="8" t="str">
        <f ca="1">IF(KENKO[[#This Row],[//]]="","",IF(INDEX([2]!NOTA[QTY],KENKO[//]-2)="",INDEX([2]!NOTA[C],KENKO[//]-2),INDEX([2]!NOTA[QTY],KENKO[//]-2)))</f>
        <v/>
      </c>
      <c r="M339" s="8" t="str">
        <f ca="1">IF(KENKO[[#This Row],[//]]="","",IF(INDEX([2]!NOTA[STN],KENKO[//]-2)="","CTN",INDEX([2]!NOTA[STN],KENKO[//]-2)))</f>
        <v/>
      </c>
      <c r="N339" s="17" t="str">
        <f ca="1">IF(KENKO[[#This Row],[//]]="","",IF(INDEX([2]!NOTA[HARGA/ CTN],KENKO[[#This Row],[//]]-2)="",INDEX([2]!NOTA[HARGA SATUAN],KENKO[//]-2),INDEX([2]!NOTA[HARGA/ CTN],KENKO[[#This Row],[//]]-2)))</f>
        <v/>
      </c>
      <c r="O339" s="19" t="str">
        <f ca="1">IF(KENKO[[#This Row],[//]]="","",IF(INDEX([2]!NOTA[DISC 2],KENKO[[#This Row],[//]]-2)=0,"",INDEX([2]!NOTA[DISC 2],KENKO[[#This Row],[//]]-2)))</f>
        <v/>
      </c>
      <c r="P339" s="19"/>
      <c r="Q33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9" s="16" t="str">
        <f ca="1">IF(KENKO[[#This Row],[//]]="","",INDEX([2]!NOTA[NAMA BARANG],KENKO[[#This Row],[//]]-2))</f>
        <v/>
      </c>
      <c r="V339" s="16" t="str">
        <f ca="1">LOWER(SUBSTITUTE(SUBSTITUTE(SUBSTITUTE(SUBSTITUTE(SUBSTITUTE(SUBSTITUTE(SUBSTITUTE(SUBSTITUTE(KENKO[[#This Row],[N.B.nota]]," ",""),"-",""),"(",""),")",""),".",""),",",""),"/",""),"""",""))</f>
        <v/>
      </c>
      <c r="W339" s="8" t="str">
        <f ca="1">IF(KENKO[[#This Row],[concat]]="","",MATCH(KENKO[[#This Row],[concat]],[4]!db[NB NOTA_C],0)+1)</f>
        <v/>
      </c>
      <c r="X339" s="16" t="str">
        <f ca="1">IF(KENKO[[#This Row],[N.B.nota]]="","",ADDRESS(ROW(KENKO[QB]),COLUMN(KENKO[QB]))&amp;":"&amp;ADDRESS(ROW(),COLUMN(KENKO[QB])))</f>
        <v/>
      </c>
      <c r="Y339" s="16" t="str">
        <f ca="1">IF(KENKO[[#This Row],[//]]="","",HYPERLINK("[..\\DB.xlsx]DB!e"&amp;KENKO[[#This Row],[stt]],"&gt;"))</f>
        <v/>
      </c>
      <c r="Z339" s="4" t="str">
        <f ca="1">IF(KENKO[[#This Row],[//]]="","",IF(KENKO[[#This Row],[ID NOTA]]="",Z338,KENKO[[#This Row],[ID NOTA]]))</f>
        <v/>
      </c>
    </row>
    <row r="340" spans="1:26" ht="15" customHeight="1" x14ac:dyDescent="0.25">
      <c r="A340" s="2"/>
      <c r="B340" s="8" t="str">
        <f>IF(KENKO[[#This Row],[N_ID]]="","",INDEX(Table1[ID],MATCH(KENKO[[#This Row],[N_ID]],Table1[N_ID],0)))</f>
        <v/>
      </c>
      <c r="C340" s="8" t="str">
        <f>IF(KENKO[[#This Row],[ID NOTA]]="","",HYPERLINK("[NOTA_.xlsx]NOTA!e"&amp;INDEX([2]!PAJAK[//],MATCH(KENKO[[#This Row],[ID NOTA]],[2]!PAJAK[ID],0)),"&gt;") )</f>
        <v/>
      </c>
      <c r="D340" s="8" t="str">
        <f>IF(KENKO[[#This Row],[ID NOTA]]="","",INDEX(Table1[QB],MATCH(KENKO[[#This Row],[ID NOTA]],Table1[ID],0)))</f>
        <v/>
      </c>
      <c r="E34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0" s="6"/>
      <c r="G340" s="9" t="str">
        <f>IF(KENKO[[#This Row],[ID NOTA]]="","",INDEX([2]!NOTA[TGL_H],MATCH(KENKO[[#This Row],[ID NOTA]],[2]!NOTA[ID],0)))</f>
        <v/>
      </c>
      <c r="H340" s="9" t="str">
        <f>IF(KENKO[[#This Row],[ID NOTA]]="","",INDEX([2]!NOTA[TGL.NOTA],MATCH(KENKO[[#This Row],[ID NOTA]],[2]!NOTA[ID],0)))</f>
        <v/>
      </c>
      <c r="I340" s="16" t="str">
        <f>IF(KENKO[[#This Row],[ID NOTA]]="","",INDEX([2]!NOTA[NO.NOTA],MATCH(KENKO[[#This Row],[ID NOTA]],[2]!NOTA[ID],0)))</f>
        <v/>
      </c>
      <c r="J340" s="16" t="str">
        <f ca="1">IF(KENKO[[#This Row],[//]]="","",INDEX([4]!db[NB PAJAK],KENKO[[#This Row],[stt]]-1))</f>
        <v/>
      </c>
      <c r="K340" s="8" t="str">
        <f>""</f>
        <v/>
      </c>
      <c r="L340" s="8" t="str">
        <f ca="1">IF(KENKO[[#This Row],[//]]="","",IF(INDEX([2]!NOTA[QTY],KENKO[//]-2)="",INDEX([2]!NOTA[C],KENKO[//]-2),INDEX([2]!NOTA[QTY],KENKO[//]-2)))</f>
        <v/>
      </c>
      <c r="M340" s="8" t="str">
        <f ca="1">IF(KENKO[[#This Row],[//]]="","",IF(INDEX([2]!NOTA[STN],KENKO[//]-2)="","CTN",INDEX([2]!NOTA[STN],KENKO[//]-2)))</f>
        <v/>
      </c>
      <c r="N340" s="17" t="str">
        <f ca="1">IF(KENKO[[#This Row],[//]]="","",IF(INDEX([2]!NOTA[HARGA/ CTN],KENKO[[#This Row],[//]]-2)="",INDEX([2]!NOTA[HARGA SATUAN],KENKO[//]-2),INDEX([2]!NOTA[HARGA/ CTN],KENKO[[#This Row],[//]]-2)))</f>
        <v/>
      </c>
      <c r="O340" s="19" t="str">
        <f ca="1">IF(KENKO[[#This Row],[//]]="","",IF(INDEX([2]!NOTA[DISC 2],KENKO[[#This Row],[//]]-2)=0,"",INDEX([2]!NOTA[DISC 2],KENKO[[#This Row],[//]]-2)))</f>
        <v/>
      </c>
      <c r="P340" s="19"/>
      <c r="Q34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0" s="16" t="str">
        <f ca="1">IF(KENKO[[#This Row],[//]]="","",INDEX([2]!NOTA[NAMA BARANG],KENKO[[#This Row],[//]]-2))</f>
        <v/>
      </c>
      <c r="V340" s="16" t="str">
        <f ca="1">LOWER(SUBSTITUTE(SUBSTITUTE(SUBSTITUTE(SUBSTITUTE(SUBSTITUTE(SUBSTITUTE(SUBSTITUTE(SUBSTITUTE(KENKO[[#This Row],[N.B.nota]]," ",""),"-",""),"(",""),")",""),".",""),",",""),"/",""),"""",""))</f>
        <v/>
      </c>
      <c r="W340" s="8" t="str">
        <f ca="1">IF(KENKO[[#This Row],[concat]]="","",MATCH(KENKO[[#This Row],[concat]],[4]!db[NB NOTA_C],0)+1)</f>
        <v/>
      </c>
      <c r="X340" s="16" t="str">
        <f ca="1">IF(KENKO[[#This Row],[N.B.nota]]="","",ADDRESS(ROW(KENKO[QB]),COLUMN(KENKO[QB]))&amp;":"&amp;ADDRESS(ROW(),COLUMN(KENKO[QB])))</f>
        <v/>
      </c>
      <c r="Y340" s="16" t="str">
        <f ca="1">IF(KENKO[[#This Row],[//]]="","",HYPERLINK("[..\\DB.xlsx]DB!e"&amp;KENKO[[#This Row],[stt]],"&gt;"))</f>
        <v/>
      </c>
      <c r="Z340" s="4" t="str">
        <f ca="1">IF(KENKO[[#This Row],[//]]="","",IF(KENKO[[#This Row],[ID NOTA]]="",Z339,KENKO[[#This Row],[ID NOTA]]))</f>
        <v/>
      </c>
    </row>
    <row r="341" spans="1:26" ht="15" customHeight="1" x14ac:dyDescent="0.25">
      <c r="A341" s="2"/>
      <c r="B341" s="8" t="str">
        <f>IF(KENKO[[#This Row],[N_ID]]="","",INDEX(Table1[ID],MATCH(KENKO[[#This Row],[N_ID]],Table1[N_ID],0)))</f>
        <v/>
      </c>
      <c r="C341" s="8" t="str">
        <f>IF(KENKO[[#This Row],[ID NOTA]]="","",HYPERLINK("[NOTA_.xlsx]NOTA!e"&amp;INDEX([2]!PAJAK[//],MATCH(KENKO[[#This Row],[ID NOTA]],[2]!PAJAK[ID],0)),"&gt;") )</f>
        <v/>
      </c>
      <c r="D341" s="8" t="str">
        <f>IF(KENKO[[#This Row],[ID NOTA]]="","",INDEX(Table1[QB],MATCH(KENKO[[#This Row],[ID NOTA]],Table1[ID],0)))</f>
        <v/>
      </c>
      <c r="E34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1" s="6"/>
      <c r="G341" s="9" t="str">
        <f>IF(KENKO[[#This Row],[ID NOTA]]="","",INDEX([2]!NOTA[TGL_H],MATCH(KENKO[[#This Row],[ID NOTA]],[2]!NOTA[ID],0)))</f>
        <v/>
      </c>
      <c r="H341" s="9" t="str">
        <f>IF(KENKO[[#This Row],[ID NOTA]]="","",INDEX([2]!NOTA[TGL.NOTA],MATCH(KENKO[[#This Row],[ID NOTA]],[2]!NOTA[ID],0)))</f>
        <v/>
      </c>
      <c r="I341" s="16" t="str">
        <f>IF(KENKO[[#This Row],[ID NOTA]]="","",INDEX([2]!NOTA[NO.NOTA],MATCH(KENKO[[#This Row],[ID NOTA]],[2]!NOTA[ID],0)))</f>
        <v/>
      </c>
      <c r="J341" s="16" t="str">
        <f ca="1">IF(KENKO[[#This Row],[//]]="","",INDEX([4]!db[NB PAJAK],KENKO[[#This Row],[stt]]-1))</f>
        <v/>
      </c>
      <c r="K341" s="8" t="str">
        <f>""</f>
        <v/>
      </c>
      <c r="L341" s="8" t="str">
        <f ca="1">IF(KENKO[[#This Row],[//]]="","",IF(INDEX([2]!NOTA[QTY],KENKO[//]-2)="",INDEX([2]!NOTA[C],KENKO[//]-2),INDEX([2]!NOTA[QTY],KENKO[//]-2)))</f>
        <v/>
      </c>
      <c r="M341" s="8" t="str">
        <f ca="1">IF(KENKO[[#This Row],[//]]="","",IF(INDEX([2]!NOTA[STN],KENKO[//]-2)="","CTN",INDEX([2]!NOTA[STN],KENKO[//]-2)))</f>
        <v/>
      </c>
      <c r="N341" s="17" t="str">
        <f ca="1">IF(KENKO[[#This Row],[//]]="","",IF(INDEX([2]!NOTA[HARGA/ CTN],KENKO[[#This Row],[//]]-2)="",INDEX([2]!NOTA[HARGA SATUAN],KENKO[//]-2),INDEX([2]!NOTA[HARGA/ CTN],KENKO[[#This Row],[//]]-2)))</f>
        <v/>
      </c>
      <c r="O341" s="19" t="str">
        <f ca="1">IF(KENKO[[#This Row],[//]]="","",IF(INDEX([2]!NOTA[DISC 2],KENKO[[#This Row],[//]]-2)=0,"",INDEX([2]!NOTA[DISC 2],KENKO[[#This Row],[//]]-2)))</f>
        <v/>
      </c>
      <c r="P341" s="19"/>
      <c r="Q34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1" s="16" t="str">
        <f ca="1">IF(KENKO[[#This Row],[//]]="","",INDEX([2]!NOTA[NAMA BARANG],KENKO[[#This Row],[//]]-2))</f>
        <v/>
      </c>
      <c r="V341" s="16" t="str">
        <f ca="1">LOWER(SUBSTITUTE(SUBSTITUTE(SUBSTITUTE(SUBSTITUTE(SUBSTITUTE(SUBSTITUTE(SUBSTITUTE(SUBSTITUTE(KENKO[[#This Row],[N.B.nota]]," ",""),"-",""),"(",""),")",""),".",""),",",""),"/",""),"""",""))</f>
        <v/>
      </c>
      <c r="W341" s="8" t="str">
        <f ca="1">IF(KENKO[[#This Row],[concat]]="","",MATCH(KENKO[[#This Row],[concat]],[4]!db[NB NOTA_C],0)+1)</f>
        <v/>
      </c>
      <c r="X341" s="16" t="str">
        <f ca="1">IF(KENKO[[#This Row],[N.B.nota]]="","",ADDRESS(ROW(KENKO[QB]),COLUMN(KENKO[QB]))&amp;":"&amp;ADDRESS(ROW(),COLUMN(KENKO[QB])))</f>
        <v/>
      </c>
      <c r="Y341" s="16" t="str">
        <f ca="1">IF(KENKO[[#This Row],[//]]="","",HYPERLINK("[..\\DB.xlsx]DB!e"&amp;KENKO[[#This Row],[stt]],"&gt;"))</f>
        <v/>
      </c>
      <c r="Z341" s="4" t="str">
        <f ca="1">IF(KENKO[[#This Row],[//]]="","",IF(KENKO[[#This Row],[ID NOTA]]="",Z340,KENKO[[#This Row],[ID NOTA]]))</f>
        <v/>
      </c>
    </row>
    <row r="342" spans="1:26" ht="15" customHeight="1" x14ac:dyDescent="0.25">
      <c r="A342" s="2"/>
      <c r="B342" s="8" t="str">
        <f>IF(KENKO[[#This Row],[N_ID]]="","",INDEX(Table1[ID],MATCH(KENKO[[#This Row],[N_ID]],Table1[N_ID],0)))</f>
        <v/>
      </c>
      <c r="C342" s="8" t="str">
        <f>IF(KENKO[[#This Row],[ID NOTA]]="","",HYPERLINK("[NOTA_.xlsx]NOTA!e"&amp;INDEX([2]!PAJAK[//],MATCH(KENKO[[#This Row],[ID NOTA]],[2]!PAJAK[ID],0)),"&gt;") )</f>
        <v/>
      </c>
      <c r="D342" s="8" t="str">
        <f>IF(KENKO[[#This Row],[ID NOTA]]="","",INDEX(Table1[QB],MATCH(KENKO[[#This Row],[ID NOTA]],Table1[ID],0)))</f>
        <v/>
      </c>
      <c r="E34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2" s="6"/>
      <c r="G342" s="9" t="str">
        <f>IF(KENKO[[#This Row],[ID NOTA]]="","",INDEX([2]!NOTA[TGL_H],MATCH(KENKO[[#This Row],[ID NOTA]],[2]!NOTA[ID],0)))</f>
        <v/>
      </c>
      <c r="H342" s="9" t="str">
        <f>IF(KENKO[[#This Row],[ID NOTA]]="","",INDEX([2]!NOTA[TGL.NOTA],MATCH(KENKO[[#This Row],[ID NOTA]],[2]!NOTA[ID],0)))</f>
        <v/>
      </c>
      <c r="I342" s="16" t="str">
        <f>IF(KENKO[[#This Row],[ID NOTA]]="","",INDEX([2]!NOTA[NO.NOTA],MATCH(KENKO[[#This Row],[ID NOTA]],[2]!NOTA[ID],0)))</f>
        <v/>
      </c>
      <c r="J342" s="16" t="str">
        <f ca="1">IF(KENKO[[#This Row],[//]]="","",INDEX([4]!db[NB PAJAK],KENKO[[#This Row],[stt]]-1))</f>
        <v/>
      </c>
      <c r="K342" s="8" t="str">
        <f>""</f>
        <v/>
      </c>
      <c r="L342" s="8" t="str">
        <f ca="1">IF(KENKO[[#This Row],[//]]="","",IF(INDEX([2]!NOTA[QTY],KENKO[//]-2)="",INDEX([2]!NOTA[C],KENKO[//]-2),INDEX([2]!NOTA[QTY],KENKO[//]-2)))</f>
        <v/>
      </c>
      <c r="M342" s="8" t="str">
        <f ca="1">IF(KENKO[[#This Row],[//]]="","",IF(INDEX([2]!NOTA[STN],KENKO[//]-2)="","CTN",INDEX([2]!NOTA[STN],KENKO[//]-2)))</f>
        <v/>
      </c>
      <c r="N342" s="17" t="str">
        <f ca="1">IF(KENKO[[#This Row],[//]]="","",IF(INDEX([2]!NOTA[HARGA/ CTN],KENKO[[#This Row],[//]]-2)="",INDEX([2]!NOTA[HARGA SATUAN],KENKO[//]-2),INDEX([2]!NOTA[HARGA/ CTN],KENKO[[#This Row],[//]]-2)))</f>
        <v/>
      </c>
      <c r="O342" s="19" t="str">
        <f ca="1">IF(KENKO[[#This Row],[//]]="","",IF(INDEX([2]!NOTA[DISC 2],KENKO[[#This Row],[//]]-2)=0,"",INDEX([2]!NOTA[DISC 2],KENKO[[#This Row],[//]]-2)))</f>
        <v/>
      </c>
      <c r="P342" s="19"/>
      <c r="Q34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2" s="16" t="str">
        <f ca="1">IF(KENKO[[#This Row],[//]]="","",INDEX([2]!NOTA[NAMA BARANG],KENKO[[#This Row],[//]]-2))</f>
        <v/>
      </c>
      <c r="V342" s="16" t="str">
        <f ca="1">LOWER(SUBSTITUTE(SUBSTITUTE(SUBSTITUTE(SUBSTITUTE(SUBSTITUTE(SUBSTITUTE(SUBSTITUTE(SUBSTITUTE(KENKO[[#This Row],[N.B.nota]]," ",""),"-",""),"(",""),")",""),".",""),",",""),"/",""),"""",""))</f>
        <v/>
      </c>
      <c r="W342" s="8" t="str">
        <f ca="1">IF(KENKO[[#This Row],[concat]]="","",MATCH(KENKO[[#This Row],[concat]],[4]!db[NB NOTA_C],0)+1)</f>
        <v/>
      </c>
      <c r="X342" s="16" t="str">
        <f ca="1">IF(KENKO[[#This Row],[N.B.nota]]="","",ADDRESS(ROW(KENKO[QB]),COLUMN(KENKO[QB]))&amp;":"&amp;ADDRESS(ROW(),COLUMN(KENKO[QB])))</f>
        <v/>
      </c>
      <c r="Y342" s="16" t="str">
        <f ca="1">IF(KENKO[[#This Row],[//]]="","",HYPERLINK("[..\\DB.xlsx]DB!e"&amp;KENKO[[#This Row],[stt]],"&gt;"))</f>
        <v/>
      </c>
      <c r="Z342" s="4" t="str">
        <f ca="1">IF(KENKO[[#This Row],[//]]="","",IF(KENKO[[#This Row],[ID NOTA]]="",Z341,KENKO[[#This Row],[ID NOTA]]))</f>
        <v/>
      </c>
    </row>
    <row r="343" spans="1:26" ht="15" customHeight="1" x14ac:dyDescent="0.25">
      <c r="A343" s="2"/>
      <c r="B343" s="8" t="str">
        <f>IF(KENKO[[#This Row],[N_ID]]="","",INDEX(Table1[ID],MATCH(KENKO[[#This Row],[N_ID]],Table1[N_ID],0)))</f>
        <v/>
      </c>
      <c r="C343" s="8" t="str">
        <f>IF(KENKO[[#This Row],[ID NOTA]]="","",HYPERLINK("[NOTA_.xlsx]NOTA!e"&amp;INDEX([2]!PAJAK[//],MATCH(KENKO[[#This Row],[ID NOTA]],[2]!PAJAK[ID],0)),"&gt;") )</f>
        <v/>
      </c>
      <c r="D343" s="8" t="str">
        <f>IF(KENKO[[#This Row],[ID NOTA]]="","",INDEX(Table1[QB],MATCH(KENKO[[#This Row],[ID NOTA]],Table1[ID],0)))</f>
        <v/>
      </c>
      <c r="E34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3" s="6"/>
      <c r="G343" s="9" t="str">
        <f>IF(KENKO[[#This Row],[ID NOTA]]="","",INDEX([2]!NOTA[TGL_H],MATCH(KENKO[[#This Row],[ID NOTA]],[2]!NOTA[ID],0)))</f>
        <v/>
      </c>
      <c r="H343" s="9" t="str">
        <f>IF(KENKO[[#This Row],[ID NOTA]]="","",INDEX([2]!NOTA[TGL.NOTA],MATCH(KENKO[[#This Row],[ID NOTA]],[2]!NOTA[ID],0)))</f>
        <v/>
      </c>
      <c r="I343" s="16" t="str">
        <f>IF(KENKO[[#This Row],[ID NOTA]]="","",INDEX([2]!NOTA[NO.NOTA],MATCH(KENKO[[#This Row],[ID NOTA]],[2]!NOTA[ID],0)))</f>
        <v/>
      </c>
      <c r="J343" s="16" t="str">
        <f ca="1">IF(KENKO[[#This Row],[//]]="","",INDEX([4]!db[NB PAJAK],KENKO[[#This Row],[stt]]-1))</f>
        <v/>
      </c>
      <c r="K343" s="8" t="str">
        <f>""</f>
        <v/>
      </c>
      <c r="L343" s="8" t="str">
        <f ca="1">IF(KENKO[[#This Row],[//]]="","",IF(INDEX([2]!NOTA[QTY],KENKO[//]-2)="",INDEX([2]!NOTA[C],KENKO[//]-2),INDEX([2]!NOTA[QTY],KENKO[//]-2)))</f>
        <v/>
      </c>
      <c r="M343" s="8" t="str">
        <f ca="1">IF(KENKO[[#This Row],[//]]="","",IF(INDEX([2]!NOTA[STN],KENKO[//]-2)="","CTN",INDEX([2]!NOTA[STN],KENKO[//]-2)))</f>
        <v/>
      </c>
      <c r="N343" s="17" t="str">
        <f ca="1">IF(KENKO[[#This Row],[//]]="","",IF(INDEX([2]!NOTA[HARGA/ CTN],KENKO[[#This Row],[//]]-2)="",INDEX([2]!NOTA[HARGA SATUAN],KENKO[//]-2),INDEX([2]!NOTA[HARGA/ CTN],KENKO[[#This Row],[//]]-2)))</f>
        <v/>
      </c>
      <c r="O343" s="19" t="str">
        <f ca="1">IF(KENKO[[#This Row],[//]]="","",IF(INDEX([2]!NOTA[DISC 2],KENKO[[#This Row],[//]]-2)=0,"",INDEX([2]!NOTA[DISC 2],KENKO[[#This Row],[//]]-2)))</f>
        <v/>
      </c>
      <c r="P343" s="19"/>
      <c r="Q34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3" s="16" t="str">
        <f ca="1">IF(KENKO[[#This Row],[//]]="","",INDEX([2]!NOTA[NAMA BARANG],KENKO[[#This Row],[//]]-2))</f>
        <v/>
      </c>
      <c r="V343" s="16" t="str">
        <f ca="1">LOWER(SUBSTITUTE(SUBSTITUTE(SUBSTITUTE(SUBSTITUTE(SUBSTITUTE(SUBSTITUTE(SUBSTITUTE(SUBSTITUTE(KENKO[[#This Row],[N.B.nota]]," ",""),"-",""),"(",""),")",""),".",""),",",""),"/",""),"""",""))</f>
        <v/>
      </c>
      <c r="W343" s="8" t="str">
        <f ca="1">IF(KENKO[[#This Row],[concat]]="","",MATCH(KENKO[[#This Row],[concat]],[4]!db[NB NOTA_C],0)+1)</f>
        <v/>
      </c>
      <c r="X343" s="16" t="str">
        <f ca="1">IF(KENKO[[#This Row],[N.B.nota]]="","",ADDRESS(ROW(KENKO[QB]),COLUMN(KENKO[QB]))&amp;":"&amp;ADDRESS(ROW(),COLUMN(KENKO[QB])))</f>
        <v/>
      </c>
      <c r="Y343" s="16" t="str">
        <f ca="1">IF(KENKO[[#This Row],[//]]="","",HYPERLINK("[..\\DB.xlsx]DB!e"&amp;KENKO[[#This Row],[stt]],"&gt;"))</f>
        <v/>
      </c>
      <c r="Z343" s="4" t="str">
        <f ca="1">IF(KENKO[[#This Row],[//]]="","",IF(KENKO[[#This Row],[ID NOTA]]="",Z342,KENKO[[#This Row],[ID NOTA]]))</f>
        <v/>
      </c>
    </row>
    <row r="344" spans="1:26" ht="15" customHeight="1" x14ac:dyDescent="0.25">
      <c r="A344" s="2"/>
      <c r="B344" s="8" t="str">
        <f>IF(KENKO[[#This Row],[N_ID]]="","",INDEX(Table1[ID],MATCH(KENKO[[#This Row],[N_ID]],Table1[N_ID],0)))</f>
        <v/>
      </c>
      <c r="C344" s="8" t="str">
        <f>IF(KENKO[[#This Row],[ID NOTA]]="","",HYPERLINK("[NOTA_.xlsx]NOTA!e"&amp;INDEX([2]!PAJAK[//],MATCH(KENKO[[#This Row],[ID NOTA]],[2]!PAJAK[ID],0)),"&gt;") )</f>
        <v/>
      </c>
      <c r="D344" s="8" t="str">
        <f>IF(KENKO[[#This Row],[ID NOTA]]="","",INDEX(Table1[QB],MATCH(KENKO[[#This Row],[ID NOTA]],Table1[ID],0)))</f>
        <v/>
      </c>
      <c r="E3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4" s="6"/>
      <c r="G344" s="9" t="str">
        <f>IF(KENKO[[#This Row],[ID NOTA]]="","",INDEX([2]!NOTA[TGL_H],MATCH(KENKO[[#This Row],[ID NOTA]],[2]!NOTA[ID],0)))</f>
        <v/>
      </c>
      <c r="H344" s="9" t="str">
        <f>IF(KENKO[[#This Row],[ID NOTA]]="","",INDEX([2]!NOTA[TGL.NOTA],MATCH(KENKO[[#This Row],[ID NOTA]],[2]!NOTA[ID],0)))</f>
        <v/>
      </c>
      <c r="I344" s="16" t="str">
        <f>IF(KENKO[[#This Row],[ID NOTA]]="","",INDEX([2]!NOTA[NO.NOTA],MATCH(KENKO[[#This Row],[ID NOTA]],[2]!NOTA[ID],0)))</f>
        <v/>
      </c>
      <c r="J344" s="16" t="str">
        <f ca="1">IF(KENKO[[#This Row],[//]]="","",INDEX([4]!db[NB PAJAK],KENKO[[#This Row],[stt]]-1))</f>
        <v/>
      </c>
      <c r="K344" s="8" t="str">
        <f>""</f>
        <v/>
      </c>
      <c r="L344" s="8" t="str">
        <f ca="1">IF(KENKO[[#This Row],[//]]="","",IF(INDEX([2]!NOTA[QTY],KENKO[//]-2)="",INDEX([2]!NOTA[C],KENKO[//]-2),INDEX([2]!NOTA[QTY],KENKO[//]-2)))</f>
        <v/>
      </c>
      <c r="M344" s="8" t="str">
        <f ca="1">IF(KENKO[[#This Row],[//]]="","",IF(INDEX([2]!NOTA[STN],KENKO[//]-2)="","CTN",INDEX([2]!NOTA[STN],KENKO[//]-2)))</f>
        <v/>
      </c>
      <c r="N344" s="17" t="str">
        <f ca="1">IF(KENKO[[#This Row],[//]]="","",IF(INDEX([2]!NOTA[HARGA/ CTN],KENKO[[#This Row],[//]]-2)="",INDEX([2]!NOTA[HARGA SATUAN],KENKO[//]-2),INDEX([2]!NOTA[HARGA/ CTN],KENKO[[#This Row],[//]]-2)))</f>
        <v/>
      </c>
      <c r="O344" s="19" t="str">
        <f ca="1">IF(KENKO[[#This Row],[//]]="","",IF(INDEX([2]!NOTA[DISC 2],KENKO[[#This Row],[//]]-2)=0,"",INDEX([2]!NOTA[DISC 2],KENKO[[#This Row],[//]]-2)))</f>
        <v/>
      </c>
      <c r="P344" s="19"/>
      <c r="Q34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4" s="16" t="str">
        <f ca="1">IF(KENKO[[#This Row],[//]]="","",INDEX([2]!NOTA[NAMA BARANG],KENKO[[#This Row],[//]]-2))</f>
        <v/>
      </c>
      <c r="V344" s="16" t="str">
        <f ca="1">LOWER(SUBSTITUTE(SUBSTITUTE(SUBSTITUTE(SUBSTITUTE(SUBSTITUTE(SUBSTITUTE(SUBSTITUTE(SUBSTITUTE(KENKO[[#This Row],[N.B.nota]]," ",""),"-",""),"(",""),")",""),".",""),",",""),"/",""),"""",""))</f>
        <v/>
      </c>
      <c r="W344" s="8" t="str">
        <f ca="1">IF(KENKO[[#This Row],[concat]]="","",MATCH(KENKO[[#This Row],[concat]],[4]!db[NB NOTA_C],0)+1)</f>
        <v/>
      </c>
      <c r="X344" s="16" t="str">
        <f ca="1">IF(KENKO[[#This Row],[N.B.nota]]="","",ADDRESS(ROW(KENKO[QB]),COLUMN(KENKO[QB]))&amp;":"&amp;ADDRESS(ROW(),COLUMN(KENKO[QB])))</f>
        <v/>
      </c>
      <c r="Y344" s="16" t="str">
        <f ca="1">IF(KENKO[[#This Row],[//]]="","",HYPERLINK("[..\\DB.xlsx]DB!e"&amp;KENKO[[#This Row],[stt]],"&gt;"))</f>
        <v/>
      </c>
      <c r="Z344" s="4" t="str">
        <f ca="1">IF(KENKO[[#This Row],[//]]="","",IF(KENKO[[#This Row],[ID NOTA]]="",Z343,KENKO[[#This Row],[ID NOTA]]))</f>
        <v/>
      </c>
    </row>
    <row r="345" spans="1:26" ht="15" customHeight="1" x14ac:dyDescent="0.25">
      <c r="A345" s="2"/>
      <c r="B345" s="8" t="str">
        <f>IF(KENKO[[#This Row],[N_ID]]="","",INDEX(Table1[ID],MATCH(KENKO[[#This Row],[N_ID]],Table1[N_ID],0)))</f>
        <v/>
      </c>
      <c r="C345" s="8" t="str">
        <f>IF(KENKO[[#This Row],[ID NOTA]]="","",HYPERLINK("[NOTA_.xlsx]NOTA!e"&amp;INDEX([2]!PAJAK[//],MATCH(KENKO[[#This Row],[ID NOTA]],[2]!PAJAK[ID],0)),"&gt;") )</f>
        <v/>
      </c>
      <c r="D345" s="8" t="str">
        <f>IF(KENKO[[#This Row],[ID NOTA]]="","",INDEX(Table1[QB],MATCH(KENKO[[#This Row],[ID NOTA]],Table1[ID],0)))</f>
        <v/>
      </c>
      <c r="E34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5" s="6"/>
      <c r="G345" s="9" t="str">
        <f>IF(KENKO[[#This Row],[ID NOTA]]="","",INDEX([2]!NOTA[TGL_H],MATCH(KENKO[[#This Row],[ID NOTA]],[2]!NOTA[ID],0)))</f>
        <v/>
      </c>
      <c r="H345" s="9" t="str">
        <f>IF(KENKO[[#This Row],[ID NOTA]]="","",INDEX([2]!NOTA[TGL.NOTA],MATCH(KENKO[[#This Row],[ID NOTA]],[2]!NOTA[ID],0)))</f>
        <v/>
      </c>
      <c r="I345" s="16" t="str">
        <f>IF(KENKO[[#This Row],[ID NOTA]]="","",INDEX([2]!NOTA[NO.NOTA],MATCH(KENKO[[#This Row],[ID NOTA]],[2]!NOTA[ID],0)))</f>
        <v/>
      </c>
      <c r="J345" s="16" t="str">
        <f ca="1">IF(KENKO[[#This Row],[//]]="","",INDEX([4]!db[NB PAJAK],KENKO[[#This Row],[stt]]-1))</f>
        <v/>
      </c>
      <c r="K345" s="8" t="str">
        <f>""</f>
        <v/>
      </c>
      <c r="L345" s="8" t="str">
        <f ca="1">IF(KENKO[[#This Row],[//]]="","",IF(INDEX([2]!NOTA[QTY],KENKO[//]-2)="",INDEX([2]!NOTA[C],KENKO[//]-2),INDEX([2]!NOTA[QTY],KENKO[//]-2)))</f>
        <v/>
      </c>
      <c r="M345" s="8" t="str">
        <f ca="1">IF(KENKO[[#This Row],[//]]="","",IF(INDEX([2]!NOTA[STN],KENKO[//]-2)="","CTN",INDEX([2]!NOTA[STN],KENKO[//]-2)))</f>
        <v/>
      </c>
      <c r="N345" s="17" t="str">
        <f ca="1">IF(KENKO[[#This Row],[//]]="","",IF(INDEX([2]!NOTA[HARGA/ CTN],KENKO[[#This Row],[//]]-2)="",INDEX([2]!NOTA[HARGA SATUAN],KENKO[//]-2),INDEX([2]!NOTA[HARGA/ CTN],KENKO[[#This Row],[//]]-2)))</f>
        <v/>
      </c>
      <c r="O345" s="19" t="str">
        <f ca="1">IF(KENKO[[#This Row],[//]]="","",IF(INDEX([2]!NOTA[DISC 2],KENKO[[#This Row],[//]]-2)=0,"",INDEX([2]!NOTA[DISC 2],KENKO[[#This Row],[//]]-2)))</f>
        <v/>
      </c>
      <c r="P345" s="19"/>
      <c r="Q34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5" s="16" t="str">
        <f ca="1">IF(KENKO[[#This Row],[//]]="","",INDEX([2]!NOTA[NAMA BARANG],KENKO[[#This Row],[//]]-2))</f>
        <v/>
      </c>
      <c r="V345" s="16" t="str">
        <f ca="1">LOWER(SUBSTITUTE(SUBSTITUTE(SUBSTITUTE(SUBSTITUTE(SUBSTITUTE(SUBSTITUTE(SUBSTITUTE(SUBSTITUTE(KENKO[[#This Row],[N.B.nota]]," ",""),"-",""),"(",""),")",""),".",""),",",""),"/",""),"""",""))</f>
        <v/>
      </c>
      <c r="W345" s="8" t="str">
        <f ca="1">IF(KENKO[[#This Row],[concat]]="","",MATCH(KENKO[[#This Row],[concat]],[4]!db[NB NOTA_C],0)+1)</f>
        <v/>
      </c>
      <c r="X345" s="16" t="str">
        <f ca="1">IF(KENKO[[#This Row],[N.B.nota]]="","",ADDRESS(ROW(KENKO[QB]),COLUMN(KENKO[QB]))&amp;":"&amp;ADDRESS(ROW(),COLUMN(KENKO[QB])))</f>
        <v/>
      </c>
      <c r="Y345" s="16" t="str">
        <f ca="1">IF(KENKO[[#This Row],[//]]="","",HYPERLINK("[..\\DB.xlsx]DB!e"&amp;KENKO[[#This Row],[stt]],"&gt;"))</f>
        <v/>
      </c>
      <c r="Z345" s="4" t="str">
        <f ca="1">IF(KENKO[[#This Row],[//]]="","",IF(KENKO[[#This Row],[ID NOTA]]="",Z344,KENKO[[#This Row],[ID NOTA]]))</f>
        <v/>
      </c>
    </row>
    <row r="346" spans="1:26" ht="15" customHeight="1" x14ac:dyDescent="0.25">
      <c r="A346" s="2"/>
      <c r="B346" s="8" t="str">
        <f>IF(KENKO[[#This Row],[N_ID]]="","",INDEX(Table1[ID],MATCH(KENKO[[#This Row],[N_ID]],Table1[N_ID],0)))</f>
        <v/>
      </c>
      <c r="C346" s="8" t="str">
        <f>IF(KENKO[[#This Row],[ID NOTA]]="","",HYPERLINK("[NOTA_.xlsx]NOTA!e"&amp;INDEX([2]!PAJAK[//],MATCH(KENKO[[#This Row],[ID NOTA]],[2]!PAJAK[ID],0)),"&gt;") )</f>
        <v/>
      </c>
      <c r="D346" s="8" t="str">
        <f>IF(KENKO[[#This Row],[ID NOTA]]="","",INDEX(Table1[QB],MATCH(KENKO[[#This Row],[ID NOTA]],Table1[ID],0)))</f>
        <v/>
      </c>
      <c r="E34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6" s="6"/>
      <c r="G346" s="9" t="str">
        <f>IF(KENKO[[#This Row],[ID NOTA]]="","",INDEX([2]!NOTA[TGL_H],MATCH(KENKO[[#This Row],[ID NOTA]],[2]!NOTA[ID],0)))</f>
        <v/>
      </c>
      <c r="H346" s="9" t="str">
        <f>IF(KENKO[[#This Row],[ID NOTA]]="","",INDEX([2]!NOTA[TGL.NOTA],MATCH(KENKO[[#This Row],[ID NOTA]],[2]!NOTA[ID],0)))</f>
        <v/>
      </c>
      <c r="I346" s="16" t="str">
        <f>IF(KENKO[[#This Row],[ID NOTA]]="","",INDEX([2]!NOTA[NO.NOTA],MATCH(KENKO[[#This Row],[ID NOTA]],[2]!NOTA[ID],0)))</f>
        <v/>
      </c>
      <c r="J346" s="16" t="str">
        <f ca="1">IF(KENKO[[#This Row],[//]]="","",INDEX([4]!db[NB PAJAK],KENKO[[#This Row],[stt]]-1))</f>
        <v/>
      </c>
      <c r="K346" s="8" t="str">
        <f>""</f>
        <v/>
      </c>
      <c r="L346" s="8" t="str">
        <f ca="1">IF(KENKO[[#This Row],[//]]="","",IF(INDEX([2]!NOTA[QTY],KENKO[//]-2)="",INDEX([2]!NOTA[C],KENKO[//]-2),INDEX([2]!NOTA[QTY],KENKO[//]-2)))</f>
        <v/>
      </c>
      <c r="M346" s="8" t="str">
        <f ca="1">IF(KENKO[[#This Row],[//]]="","",IF(INDEX([2]!NOTA[STN],KENKO[//]-2)="","CTN",INDEX([2]!NOTA[STN],KENKO[//]-2)))</f>
        <v/>
      </c>
      <c r="N346" s="17" t="str">
        <f ca="1">IF(KENKO[[#This Row],[//]]="","",IF(INDEX([2]!NOTA[HARGA/ CTN],KENKO[[#This Row],[//]]-2)="",INDEX([2]!NOTA[HARGA SATUAN],KENKO[//]-2),INDEX([2]!NOTA[HARGA/ CTN],KENKO[[#This Row],[//]]-2)))</f>
        <v/>
      </c>
      <c r="O346" s="19" t="str">
        <f ca="1">IF(KENKO[[#This Row],[//]]="","",IF(INDEX([2]!NOTA[DISC 2],KENKO[[#This Row],[//]]-2)=0,"",INDEX([2]!NOTA[DISC 2],KENKO[[#This Row],[//]]-2)))</f>
        <v/>
      </c>
      <c r="P346" s="19"/>
      <c r="Q34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6" s="16" t="str">
        <f ca="1">IF(KENKO[[#This Row],[//]]="","",INDEX([2]!NOTA[NAMA BARANG],KENKO[[#This Row],[//]]-2))</f>
        <v/>
      </c>
      <c r="V346" s="16" t="str">
        <f ca="1">LOWER(SUBSTITUTE(SUBSTITUTE(SUBSTITUTE(SUBSTITUTE(SUBSTITUTE(SUBSTITUTE(SUBSTITUTE(SUBSTITUTE(KENKO[[#This Row],[N.B.nota]]," ",""),"-",""),"(",""),")",""),".",""),",",""),"/",""),"""",""))</f>
        <v/>
      </c>
      <c r="W346" s="8" t="str">
        <f ca="1">IF(KENKO[[#This Row],[concat]]="","",MATCH(KENKO[[#This Row],[concat]],[4]!db[NB NOTA_C],0)+1)</f>
        <v/>
      </c>
      <c r="X346" s="16" t="str">
        <f ca="1">IF(KENKO[[#This Row],[N.B.nota]]="","",ADDRESS(ROW(KENKO[QB]),COLUMN(KENKO[QB]))&amp;":"&amp;ADDRESS(ROW(),COLUMN(KENKO[QB])))</f>
        <v/>
      </c>
      <c r="Y346" s="16" t="str">
        <f ca="1">IF(KENKO[[#This Row],[//]]="","",HYPERLINK("[..\\DB.xlsx]DB!e"&amp;KENKO[[#This Row],[stt]],"&gt;"))</f>
        <v/>
      </c>
      <c r="Z346" s="4" t="str">
        <f ca="1">IF(KENKO[[#This Row],[//]]="","",IF(KENKO[[#This Row],[ID NOTA]]="",Z345,KENKO[[#This Row],[ID NOTA]]))</f>
        <v/>
      </c>
    </row>
    <row r="347" spans="1:26" ht="15" customHeight="1" x14ac:dyDescent="0.25">
      <c r="A347" s="2"/>
      <c r="B347" s="8" t="str">
        <f>IF(KENKO[[#This Row],[N_ID]]="","",INDEX(Table1[ID],MATCH(KENKO[[#This Row],[N_ID]],Table1[N_ID],0)))</f>
        <v/>
      </c>
      <c r="C347" s="8" t="str">
        <f>IF(KENKO[[#This Row],[ID NOTA]]="","",HYPERLINK("[NOTA_.xlsx]NOTA!e"&amp;INDEX([2]!PAJAK[//],MATCH(KENKO[[#This Row],[ID NOTA]],[2]!PAJAK[ID],0)),"&gt;") )</f>
        <v/>
      </c>
      <c r="D347" s="8" t="str">
        <f>IF(KENKO[[#This Row],[ID NOTA]]="","",INDEX(Table1[QB],MATCH(KENKO[[#This Row],[ID NOTA]],Table1[ID],0)))</f>
        <v/>
      </c>
      <c r="E34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7" s="6"/>
      <c r="G347" s="9" t="str">
        <f>IF(KENKO[[#This Row],[ID NOTA]]="","",INDEX([2]!NOTA[TGL_H],MATCH(KENKO[[#This Row],[ID NOTA]],[2]!NOTA[ID],0)))</f>
        <v/>
      </c>
      <c r="H347" s="9" t="str">
        <f>IF(KENKO[[#This Row],[ID NOTA]]="","",INDEX([2]!NOTA[TGL.NOTA],MATCH(KENKO[[#This Row],[ID NOTA]],[2]!NOTA[ID],0)))</f>
        <v/>
      </c>
      <c r="I347" s="16" t="str">
        <f>IF(KENKO[[#This Row],[ID NOTA]]="","",INDEX([2]!NOTA[NO.NOTA],MATCH(KENKO[[#This Row],[ID NOTA]],[2]!NOTA[ID],0)))</f>
        <v/>
      </c>
      <c r="J347" s="16" t="str">
        <f ca="1">IF(KENKO[[#This Row],[//]]="","",INDEX([4]!db[NB PAJAK],KENKO[[#This Row],[stt]]-1))</f>
        <v/>
      </c>
      <c r="K347" s="8" t="str">
        <f>""</f>
        <v/>
      </c>
      <c r="L347" s="8" t="str">
        <f ca="1">IF(KENKO[[#This Row],[//]]="","",IF(INDEX([2]!NOTA[QTY],KENKO[//]-2)="",INDEX([2]!NOTA[C],KENKO[//]-2),INDEX([2]!NOTA[QTY],KENKO[//]-2)))</f>
        <v/>
      </c>
      <c r="M347" s="8" t="str">
        <f ca="1">IF(KENKO[[#This Row],[//]]="","",IF(INDEX([2]!NOTA[STN],KENKO[//]-2)="","CTN",INDEX([2]!NOTA[STN],KENKO[//]-2)))</f>
        <v/>
      </c>
      <c r="N347" s="17" t="str">
        <f ca="1">IF(KENKO[[#This Row],[//]]="","",IF(INDEX([2]!NOTA[HARGA/ CTN],KENKO[[#This Row],[//]]-2)="",INDEX([2]!NOTA[HARGA SATUAN],KENKO[//]-2),INDEX([2]!NOTA[HARGA/ CTN],KENKO[[#This Row],[//]]-2)))</f>
        <v/>
      </c>
      <c r="O347" s="19" t="str">
        <f ca="1">IF(KENKO[[#This Row],[//]]="","",IF(INDEX([2]!NOTA[DISC 2],KENKO[[#This Row],[//]]-2)=0,"",INDEX([2]!NOTA[DISC 2],KENKO[[#This Row],[//]]-2)))</f>
        <v/>
      </c>
      <c r="P347" s="19"/>
      <c r="Q34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7" s="16" t="str">
        <f ca="1">IF(KENKO[[#This Row],[//]]="","",INDEX([2]!NOTA[NAMA BARANG],KENKO[[#This Row],[//]]-2))</f>
        <v/>
      </c>
      <c r="V347" s="16" t="str">
        <f ca="1">LOWER(SUBSTITUTE(SUBSTITUTE(SUBSTITUTE(SUBSTITUTE(SUBSTITUTE(SUBSTITUTE(SUBSTITUTE(SUBSTITUTE(KENKO[[#This Row],[N.B.nota]]," ",""),"-",""),"(",""),")",""),".",""),",",""),"/",""),"""",""))</f>
        <v/>
      </c>
      <c r="W347" s="8" t="str">
        <f ca="1">IF(KENKO[[#This Row],[concat]]="","",MATCH(KENKO[[#This Row],[concat]],[4]!db[NB NOTA_C],0)+1)</f>
        <v/>
      </c>
      <c r="X347" s="16" t="str">
        <f ca="1">IF(KENKO[[#This Row],[N.B.nota]]="","",ADDRESS(ROW(KENKO[QB]),COLUMN(KENKO[QB]))&amp;":"&amp;ADDRESS(ROW(),COLUMN(KENKO[QB])))</f>
        <v/>
      </c>
      <c r="Y347" s="16" t="str">
        <f ca="1">IF(KENKO[[#This Row],[//]]="","",HYPERLINK("[..\\DB.xlsx]DB!e"&amp;KENKO[[#This Row],[stt]],"&gt;"))</f>
        <v/>
      </c>
      <c r="Z347" s="4" t="str">
        <f ca="1">IF(KENKO[[#This Row],[//]]="","",IF(KENKO[[#This Row],[ID NOTA]]="",Z346,KENKO[[#This Row],[ID NOTA]]))</f>
        <v/>
      </c>
    </row>
    <row r="348" spans="1:26" ht="15" customHeight="1" x14ac:dyDescent="0.25">
      <c r="A348" s="2"/>
      <c r="B348" s="8" t="str">
        <f>IF(KENKO[[#This Row],[N_ID]]="","",INDEX(Table1[ID],MATCH(KENKO[[#This Row],[N_ID]],Table1[N_ID],0)))</f>
        <v/>
      </c>
      <c r="C348" s="8" t="str">
        <f>IF(KENKO[[#This Row],[ID NOTA]]="","",HYPERLINK("[NOTA_.xlsx]NOTA!e"&amp;INDEX([2]!PAJAK[//],MATCH(KENKO[[#This Row],[ID NOTA]],[2]!PAJAK[ID],0)),"&gt;") )</f>
        <v/>
      </c>
      <c r="D348" s="8" t="str">
        <f>IF(KENKO[[#This Row],[ID NOTA]]="","",INDEX(Table1[QB],MATCH(KENKO[[#This Row],[ID NOTA]],Table1[ID],0)))</f>
        <v/>
      </c>
      <c r="E34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8" s="6"/>
      <c r="G348" s="9" t="str">
        <f>IF(KENKO[[#This Row],[ID NOTA]]="","",INDEX([2]!NOTA[TGL_H],MATCH(KENKO[[#This Row],[ID NOTA]],[2]!NOTA[ID],0)))</f>
        <v/>
      </c>
      <c r="H348" s="9" t="str">
        <f>IF(KENKO[[#This Row],[ID NOTA]]="","",INDEX([2]!NOTA[TGL.NOTA],MATCH(KENKO[[#This Row],[ID NOTA]],[2]!NOTA[ID],0)))</f>
        <v/>
      </c>
      <c r="I348" s="16" t="str">
        <f>IF(KENKO[[#This Row],[ID NOTA]]="","",INDEX([2]!NOTA[NO.NOTA],MATCH(KENKO[[#This Row],[ID NOTA]],[2]!NOTA[ID],0)))</f>
        <v/>
      </c>
      <c r="J348" s="16" t="str">
        <f ca="1">IF(KENKO[[#This Row],[//]]="","",INDEX([4]!db[NB PAJAK],KENKO[[#This Row],[stt]]-1))</f>
        <v/>
      </c>
      <c r="K348" s="8" t="str">
        <f>""</f>
        <v/>
      </c>
      <c r="L348" s="8" t="str">
        <f ca="1">IF(KENKO[[#This Row],[//]]="","",IF(INDEX([2]!NOTA[QTY],KENKO[//]-2)="",INDEX([2]!NOTA[C],KENKO[//]-2),INDEX([2]!NOTA[QTY],KENKO[//]-2)))</f>
        <v/>
      </c>
      <c r="M348" s="8" t="str">
        <f ca="1">IF(KENKO[[#This Row],[//]]="","",IF(INDEX([2]!NOTA[STN],KENKO[//]-2)="","CTN",INDEX([2]!NOTA[STN],KENKO[//]-2)))</f>
        <v/>
      </c>
      <c r="N348" s="17" t="str">
        <f ca="1">IF(KENKO[[#This Row],[//]]="","",IF(INDEX([2]!NOTA[HARGA/ CTN],KENKO[[#This Row],[//]]-2)="",INDEX([2]!NOTA[HARGA SATUAN],KENKO[//]-2),INDEX([2]!NOTA[HARGA/ CTN],KENKO[[#This Row],[//]]-2)))</f>
        <v/>
      </c>
      <c r="O348" s="19" t="str">
        <f ca="1">IF(KENKO[[#This Row],[//]]="","",IF(INDEX([2]!NOTA[DISC 2],KENKO[[#This Row],[//]]-2)=0,"",INDEX([2]!NOTA[DISC 2],KENKO[[#This Row],[//]]-2)))</f>
        <v/>
      </c>
      <c r="P348" s="19"/>
      <c r="Q34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8" s="16" t="str">
        <f ca="1">IF(KENKO[[#This Row],[//]]="","",INDEX([2]!NOTA[NAMA BARANG],KENKO[[#This Row],[//]]-2))</f>
        <v/>
      </c>
      <c r="V348" s="16" t="str">
        <f ca="1">LOWER(SUBSTITUTE(SUBSTITUTE(SUBSTITUTE(SUBSTITUTE(SUBSTITUTE(SUBSTITUTE(SUBSTITUTE(SUBSTITUTE(KENKO[[#This Row],[N.B.nota]]," ",""),"-",""),"(",""),")",""),".",""),",",""),"/",""),"""",""))</f>
        <v/>
      </c>
      <c r="W348" s="8" t="str">
        <f ca="1">IF(KENKO[[#This Row],[concat]]="","",MATCH(KENKO[[#This Row],[concat]],[4]!db[NB NOTA_C],0)+1)</f>
        <v/>
      </c>
      <c r="X348" s="16" t="str">
        <f ca="1">IF(KENKO[[#This Row],[N.B.nota]]="","",ADDRESS(ROW(KENKO[QB]),COLUMN(KENKO[QB]))&amp;":"&amp;ADDRESS(ROW(),COLUMN(KENKO[QB])))</f>
        <v/>
      </c>
      <c r="Y348" s="16" t="str">
        <f ca="1">IF(KENKO[[#This Row],[//]]="","",HYPERLINK("[..\\DB.xlsx]DB!e"&amp;KENKO[[#This Row],[stt]],"&gt;"))</f>
        <v/>
      </c>
      <c r="Z348" s="4" t="str">
        <f ca="1">IF(KENKO[[#This Row],[//]]="","",IF(KENKO[[#This Row],[ID NOTA]]="",Z347,KENKO[[#This Row],[ID NOTA]]))</f>
        <v/>
      </c>
    </row>
    <row r="349" spans="1:26" ht="15" customHeight="1" x14ac:dyDescent="0.25">
      <c r="A349" s="2"/>
      <c r="B349" s="8" t="str">
        <f>IF(KENKO[[#This Row],[N_ID]]="","",INDEX(Table1[ID],MATCH(KENKO[[#This Row],[N_ID]],Table1[N_ID],0)))</f>
        <v/>
      </c>
      <c r="C349" s="8" t="str">
        <f>IF(KENKO[[#This Row],[ID NOTA]]="","",HYPERLINK("[NOTA_.xlsx]NOTA!e"&amp;INDEX([2]!PAJAK[//],MATCH(KENKO[[#This Row],[ID NOTA]],[2]!PAJAK[ID],0)),"&gt;") )</f>
        <v/>
      </c>
      <c r="D349" s="8" t="str">
        <f>IF(KENKO[[#This Row],[ID NOTA]]="","",INDEX(Table1[QB],MATCH(KENKO[[#This Row],[ID NOTA]],Table1[ID],0)))</f>
        <v/>
      </c>
      <c r="E3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9" s="6"/>
      <c r="G349" s="9" t="str">
        <f>IF(KENKO[[#This Row],[ID NOTA]]="","",INDEX([2]!NOTA[TGL_H],MATCH(KENKO[[#This Row],[ID NOTA]],[2]!NOTA[ID],0)))</f>
        <v/>
      </c>
      <c r="H349" s="9" t="str">
        <f>IF(KENKO[[#This Row],[ID NOTA]]="","",INDEX([2]!NOTA[TGL.NOTA],MATCH(KENKO[[#This Row],[ID NOTA]],[2]!NOTA[ID],0)))</f>
        <v/>
      </c>
      <c r="I349" s="16" t="str">
        <f>IF(KENKO[[#This Row],[ID NOTA]]="","",INDEX([2]!NOTA[NO.NOTA],MATCH(KENKO[[#This Row],[ID NOTA]],[2]!NOTA[ID],0)))</f>
        <v/>
      </c>
      <c r="J349" s="16" t="str">
        <f ca="1">IF(KENKO[[#This Row],[//]]="","",INDEX([4]!db[NB PAJAK],KENKO[[#This Row],[stt]]-1))</f>
        <v/>
      </c>
      <c r="K349" s="8" t="str">
        <f>""</f>
        <v/>
      </c>
      <c r="L349" s="8" t="str">
        <f ca="1">IF(KENKO[[#This Row],[//]]="","",IF(INDEX([2]!NOTA[QTY],KENKO[//]-2)="",INDEX([2]!NOTA[C],KENKO[//]-2),INDEX([2]!NOTA[QTY],KENKO[//]-2)))</f>
        <v/>
      </c>
      <c r="M349" s="8" t="str">
        <f ca="1">IF(KENKO[[#This Row],[//]]="","",IF(INDEX([2]!NOTA[STN],KENKO[//]-2)="","CTN",INDEX([2]!NOTA[STN],KENKO[//]-2)))</f>
        <v/>
      </c>
      <c r="N349" s="17" t="str">
        <f ca="1">IF(KENKO[[#This Row],[//]]="","",IF(INDEX([2]!NOTA[HARGA/ CTN],KENKO[[#This Row],[//]]-2)="",INDEX([2]!NOTA[HARGA SATUAN],KENKO[//]-2),INDEX([2]!NOTA[HARGA/ CTN],KENKO[[#This Row],[//]]-2)))</f>
        <v/>
      </c>
      <c r="O349" s="19" t="str">
        <f ca="1">IF(KENKO[[#This Row],[//]]="","",IF(INDEX([2]!NOTA[DISC 2],KENKO[[#This Row],[//]]-2)=0,"",INDEX([2]!NOTA[DISC 2],KENKO[[#This Row],[//]]-2)))</f>
        <v/>
      </c>
      <c r="P349" s="19"/>
      <c r="Q34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9" s="16" t="str">
        <f ca="1">IF(KENKO[[#This Row],[//]]="","",INDEX([2]!NOTA[NAMA BARANG],KENKO[[#This Row],[//]]-2))</f>
        <v/>
      </c>
      <c r="V349" s="16" t="str">
        <f ca="1">LOWER(SUBSTITUTE(SUBSTITUTE(SUBSTITUTE(SUBSTITUTE(SUBSTITUTE(SUBSTITUTE(SUBSTITUTE(SUBSTITUTE(KENKO[[#This Row],[N.B.nota]]," ",""),"-",""),"(",""),")",""),".",""),",",""),"/",""),"""",""))</f>
        <v/>
      </c>
      <c r="W349" s="8" t="str">
        <f ca="1">IF(KENKO[[#This Row],[concat]]="","",MATCH(KENKO[[#This Row],[concat]],[4]!db[NB NOTA_C],0)+1)</f>
        <v/>
      </c>
      <c r="X349" s="16" t="str">
        <f ca="1">IF(KENKO[[#This Row],[N.B.nota]]="","",ADDRESS(ROW(KENKO[QB]),COLUMN(KENKO[QB]))&amp;":"&amp;ADDRESS(ROW(),COLUMN(KENKO[QB])))</f>
        <v/>
      </c>
      <c r="Y349" s="16" t="str">
        <f ca="1">IF(KENKO[[#This Row],[//]]="","",HYPERLINK("[..\\DB.xlsx]DB!e"&amp;KENKO[[#This Row],[stt]],"&gt;"))</f>
        <v/>
      </c>
      <c r="Z349" s="4" t="str">
        <f ca="1">IF(KENKO[[#This Row],[//]]="","",IF(KENKO[[#This Row],[ID NOTA]]="",Z348,KENKO[[#This Row],[ID NOTA]]))</f>
        <v/>
      </c>
    </row>
    <row r="350" spans="1:26" ht="15" customHeight="1" x14ac:dyDescent="0.25">
      <c r="A350" s="2"/>
      <c r="B350" s="8" t="str">
        <f>IF(KENKO[[#This Row],[N_ID]]="","",INDEX(Table1[ID],MATCH(KENKO[[#This Row],[N_ID]],Table1[N_ID],0)))</f>
        <v/>
      </c>
      <c r="C350" s="8" t="str">
        <f>IF(KENKO[[#This Row],[ID NOTA]]="","",HYPERLINK("[NOTA_.xlsx]NOTA!e"&amp;INDEX([2]!PAJAK[//],MATCH(KENKO[[#This Row],[ID NOTA]],[2]!PAJAK[ID],0)),"&gt;") )</f>
        <v/>
      </c>
      <c r="D350" s="8" t="str">
        <f>IF(KENKO[[#This Row],[ID NOTA]]="","",INDEX(Table1[QB],MATCH(KENKO[[#This Row],[ID NOTA]],Table1[ID],0)))</f>
        <v/>
      </c>
      <c r="E35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0" s="6"/>
      <c r="G350" s="9" t="str">
        <f>IF(KENKO[[#This Row],[ID NOTA]]="","",INDEX([2]!NOTA[TGL_H],MATCH(KENKO[[#This Row],[ID NOTA]],[2]!NOTA[ID],0)))</f>
        <v/>
      </c>
      <c r="H350" s="9" t="str">
        <f>IF(KENKO[[#This Row],[ID NOTA]]="","",INDEX([2]!NOTA[TGL.NOTA],MATCH(KENKO[[#This Row],[ID NOTA]],[2]!NOTA[ID],0)))</f>
        <v/>
      </c>
      <c r="I350" s="16" t="str">
        <f>IF(KENKO[[#This Row],[ID NOTA]]="","",INDEX([2]!NOTA[NO.NOTA],MATCH(KENKO[[#This Row],[ID NOTA]],[2]!NOTA[ID],0)))</f>
        <v/>
      </c>
      <c r="J350" s="16" t="str">
        <f ca="1">IF(KENKO[[#This Row],[//]]="","",INDEX([4]!db[NB PAJAK],KENKO[[#This Row],[stt]]-1))</f>
        <v/>
      </c>
      <c r="K350" s="8" t="str">
        <f>""</f>
        <v/>
      </c>
      <c r="L350" s="8" t="str">
        <f ca="1">IF(KENKO[[#This Row],[//]]="","",IF(INDEX([2]!NOTA[QTY],KENKO[//]-2)="",INDEX([2]!NOTA[C],KENKO[//]-2),INDEX([2]!NOTA[QTY],KENKO[//]-2)))</f>
        <v/>
      </c>
      <c r="M350" s="8" t="str">
        <f ca="1">IF(KENKO[[#This Row],[//]]="","",IF(INDEX([2]!NOTA[STN],KENKO[//]-2)="","CTN",INDEX([2]!NOTA[STN],KENKO[//]-2)))</f>
        <v/>
      </c>
      <c r="N350" s="17" t="str">
        <f ca="1">IF(KENKO[[#This Row],[//]]="","",IF(INDEX([2]!NOTA[HARGA/ CTN],KENKO[[#This Row],[//]]-2)="",INDEX([2]!NOTA[HARGA SATUAN],KENKO[//]-2),INDEX([2]!NOTA[HARGA/ CTN],KENKO[[#This Row],[//]]-2)))</f>
        <v/>
      </c>
      <c r="O350" s="19" t="str">
        <f ca="1">IF(KENKO[[#This Row],[//]]="","",IF(INDEX([2]!NOTA[DISC 2],KENKO[[#This Row],[//]]-2)=0,"",INDEX([2]!NOTA[DISC 2],KENKO[[#This Row],[//]]-2)))</f>
        <v/>
      </c>
      <c r="P350" s="19"/>
      <c r="Q35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0" s="16" t="str">
        <f ca="1">IF(KENKO[[#This Row],[//]]="","",INDEX([2]!NOTA[NAMA BARANG],KENKO[[#This Row],[//]]-2))</f>
        <v/>
      </c>
      <c r="V350" s="16" t="str">
        <f ca="1">LOWER(SUBSTITUTE(SUBSTITUTE(SUBSTITUTE(SUBSTITUTE(SUBSTITUTE(SUBSTITUTE(SUBSTITUTE(SUBSTITUTE(KENKO[[#This Row],[N.B.nota]]," ",""),"-",""),"(",""),")",""),".",""),",",""),"/",""),"""",""))</f>
        <v/>
      </c>
      <c r="W350" s="8" t="str">
        <f ca="1">IF(KENKO[[#This Row],[concat]]="","",MATCH(KENKO[[#This Row],[concat]],[4]!db[NB NOTA_C],0)+1)</f>
        <v/>
      </c>
      <c r="X350" s="16" t="str">
        <f ca="1">IF(KENKO[[#This Row],[N.B.nota]]="","",ADDRESS(ROW(KENKO[QB]),COLUMN(KENKO[QB]))&amp;":"&amp;ADDRESS(ROW(),COLUMN(KENKO[QB])))</f>
        <v/>
      </c>
      <c r="Y350" s="16" t="str">
        <f ca="1">IF(KENKO[[#This Row],[//]]="","",HYPERLINK("[..\\DB.xlsx]DB!e"&amp;KENKO[[#This Row],[stt]],"&gt;"))</f>
        <v/>
      </c>
      <c r="Z350" s="4" t="str">
        <f ca="1">IF(KENKO[[#This Row],[//]]="","",IF(KENKO[[#This Row],[ID NOTA]]="",Z349,KENKO[[#This Row],[ID NOTA]]))</f>
        <v/>
      </c>
    </row>
    <row r="351" spans="1:26" ht="15" customHeight="1" x14ac:dyDescent="0.25">
      <c r="A351" s="2"/>
      <c r="B351" s="8" t="str">
        <f>IF(KENKO[[#This Row],[N_ID]]="","",INDEX(Table1[ID],MATCH(KENKO[[#This Row],[N_ID]],Table1[N_ID],0)))</f>
        <v/>
      </c>
      <c r="C351" s="8" t="str">
        <f>IF(KENKO[[#This Row],[ID NOTA]]="","",HYPERLINK("[NOTA_.xlsx]NOTA!e"&amp;INDEX([2]!PAJAK[//],MATCH(KENKO[[#This Row],[ID NOTA]],[2]!PAJAK[ID],0)),"&gt;") )</f>
        <v/>
      </c>
      <c r="D351" s="8" t="str">
        <f>IF(KENKO[[#This Row],[ID NOTA]]="","",INDEX(Table1[QB],MATCH(KENKO[[#This Row],[ID NOTA]],Table1[ID],0)))</f>
        <v/>
      </c>
      <c r="E35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1" s="6"/>
      <c r="G351" s="9" t="str">
        <f>IF(KENKO[[#This Row],[ID NOTA]]="","",INDEX([2]!NOTA[TGL_H],MATCH(KENKO[[#This Row],[ID NOTA]],[2]!NOTA[ID],0)))</f>
        <v/>
      </c>
      <c r="H351" s="9" t="str">
        <f>IF(KENKO[[#This Row],[ID NOTA]]="","",INDEX([2]!NOTA[TGL.NOTA],MATCH(KENKO[[#This Row],[ID NOTA]],[2]!NOTA[ID],0)))</f>
        <v/>
      </c>
      <c r="I351" s="16" t="str">
        <f>IF(KENKO[[#This Row],[ID NOTA]]="","",INDEX([2]!NOTA[NO.NOTA],MATCH(KENKO[[#This Row],[ID NOTA]],[2]!NOTA[ID],0)))</f>
        <v/>
      </c>
      <c r="J351" s="16" t="str">
        <f ca="1">IF(KENKO[[#This Row],[//]]="","",INDEX([4]!db[NB PAJAK],KENKO[[#This Row],[stt]]-1))</f>
        <v/>
      </c>
      <c r="K351" s="8" t="str">
        <f>""</f>
        <v/>
      </c>
      <c r="L351" s="8" t="str">
        <f ca="1">IF(KENKO[[#This Row],[//]]="","",IF(INDEX([2]!NOTA[QTY],KENKO[//]-2)="",INDEX([2]!NOTA[C],KENKO[//]-2),INDEX([2]!NOTA[QTY],KENKO[//]-2)))</f>
        <v/>
      </c>
      <c r="M351" s="8" t="str">
        <f ca="1">IF(KENKO[[#This Row],[//]]="","",IF(INDEX([2]!NOTA[STN],KENKO[//]-2)="","CTN",INDEX([2]!NOTA[STN],KENKO[//]-2)))</f>
        <v/>
      </c>
      <c r="N351" s="17" t="str">
        <f ca="1">IF(KENKO[[#This Row],[//]]="","",IF(INDEX([2]!NOTA[HARGA/ CTN],KENKO[[#This Row],[//]]-2)="",INDEX([2]!NOTA[HARGA SATUAN],KENKO[//]-2),INDEX([2]!NOTA[HARGA/ CTN],KENKO[[#This Row],[//]]-2)))</f>
        <v/>
      </c>
      <c r="O351" s="19" t="str">
        <f ca="1">IF(KENKO[[#This Row],[//]]="","",IF(INDEX([2]!NOTA[DISC 2],KENKO[[#This Row],[//]]-2)=0,"",INDEX([2]!NOTA[DISC 2],KENKO[[#This Row],[//]]-2)))</f>
        <v/>
      </c>
      <c r="P351" s="19"/>
      <c r="Q35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1" s="16" t="str">
        <f ca="1">IF(KENKO[[#This Row],[//]]="","",INDEX([2]!NOTA[NAMA BARANG],KENKO[[#This Row],[//]]-2))</f>
        <v/>
      </c>
      <c r="V351" s="16" t="str">
        <f ca="1">LOWER(SUBSTITUTE(SUBSTITUTE(SUBSTITUTE(SUBSTITUTE(SUBSTITUTE(SUBSTITUTE(SUBSTITUTE(SUBSTITUTE(KENKO[[#This Row],[N.B.nota]]," ",""),"-",""),"(",""),")",""),".",""),",",""),"/",""),"""",""))</f>
        <v/>
      </c>
      <c r="W351" s="8" t="str">
        <f ca="1">IF(KENKO[[#This Row],[concat]]="","",MATCH(KENKO[[#This Row],[concat]],[4]!db[NB NOTA_C],0)+1)</f>
        <v/>
      </c>
      <c r="X351" s="16" t="str">
        <f ca="1">IF(KENKO[[#This Row],[N.B.nota]]="","",ADDRESS(ROW(KENKO[QB]),COLUMN(KENKO[QB]))&amp;":"&amp;ADDRESS(ROW(),COLUMN(KENKO[QB])))</f>
        <v/>
      </c>
      <c r="Y351" s="16" t="str">
        <f ca="1">IF(KENKO[[#This Row],[//]]="","",HYPERLINK("[..\\DB.xlsx]DB!e"&amp;KENKO[[#This Row],[stt]],"&gt;"))</f>
        <v/>
      </c>
      <c r="Z351" s="4" t="str">
        <f ca="1">IF(KENKO[[#This Row],[//]]="","",IF(KENKO[[#This Row],[ID NOTA]]="",Z350,KENKO[[#This Row],[ID NOTA]]))</f>
        <v/>
      </c>
    </row>
    <row r="352" spans="1:26" ht="15" customHeight="1" x14ac:dyDescent="0.25">
      <c r="A352" s="2"/>
      <c r="B352" s="8" t="str">
        <f>IF(KENKO[[#This Row],[N_ID]]="","",INDEX(Table1[ID],MATCH(KENKO[[#This Row],[N_ID]],Table1[N_ID],0)))</f>
        <v/>
      </c>
      <c r="C352" s="8" t="str">
        <f>IF(KENKO[[#This Row],[ID NOTA]]="","",HYPERLINK("[NOTA_.xlsx]NOTA!e"&amp;INDEX([2]!PAJAK[//],MATCH(KENKO[[#This Row],[ID NOTA]],[2]!PAJAK[ID],0)),"&gt;") )</f>
        <v/>
      </c>
      <c r="D352" s="8" t="str">
        <f>IF(KENKO[[#This Row],[ID NOTA]]="","",INDEX(Table1[QB],MATCH(KENKO[[#This Row],[ID NOTA]],Table1[ID],0)))</f>
        <v/>
      </c>
      <c r="E35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2" s="6"/>
      <c r="G352" s="9" t="str">
        <f>IF(KENKO[[#This Row],[ID NOTA]]="","",INDEX([2]!NOTA[TGL_H],MATCH(KENKO[[#This Row],[ID NOTA]],[2]!NOTA[ID],0)))</f>
        <v/>
      </c>
      <c r="H352" s="9" t="str">
        <f>IF(KENKO[[#This Row],[ID NOTA]]="","",INDEX([2]!NOTA[TGL.NOTA],MATCH(KENKO[[#This Row],[ID NOTA]],[2]!NOTA[ID],0)))</f>
        <v/>
      </c>
      <c r="I352" s="16" t="str">
        <f>IF(KENKO[[#This Row],[ID NOTA]]="","",INDEX([2]!NOTA[NO.NOTA],MATCH(KENKO[[#This Row],[ID NOTA]],[2]!NOTA[ID],0)))</f>
        <v/>
      </c>
      <c r="J352" s="16" t="str">
        <f ca="1">IF(KENKO[[#This Row],[//]]="","",INDEX([4]!db[NB PAJAK],KENKO[[#This Row],[stt]]-1))</f>
        <v/>
      </c>
      <c r="K352" s="8" t="str">
        <f>""</f>
        <v/>
      </c>
      <c r="L352" s="8" t="str">
        <f ca="1">IF(KENKO[[#This Row],[//]]="","",IF(INDEX([2]!NOTA[QTY],KENKO[//]-2)="",INDEX([2]!NOTA[C],KENKO[//]-2),INDEX([2]!NOTA[QTY],KENKO[//]-2)))</f>
        <v/>
      </c>
      <c r="M352" s="8" t="str">
        <f ca="1">IF(KENKO[[#This Row],[//]]="","",IF(INDEX([2]!NOTA[STN],KENKO[//]-2)="","CTN",INDEX([2]!NOTA[STN],KENKO[//]-2)))</f>
        <v/>
      </c>
      <c r="N352" s="17" t="str">
        <f ca="1">IF(KENKO[[#This Row],[//]]="","",IF(INDEX([2]!NOTA[HARGA/ CTN],KENKO[[#This Row],[//]]-2)="",INDEX([2]!NOTA[HARGA SATUAN],KENKO[//]-2),INDEX([2]!NOTA[HARGA/ CTN],KENKO[[#This Row],[//]]-2)))</f>
        <v/>
      </c>
      <c r="O352" s="19" t="str">
        <f ca="1">IF(KENKO[[#This Row],[//]]="","",IF(INDEX([2]!NOTA[DISC 2],KENKO[[#This Row],[//]]-2)=0,"",INDEX([2]!NOTA[DISC 2],KENKO[[#This Row],[//]]-2)))</f>
        <v/>
      </c>
      <c r="P352" s="19"/>
      <c r="Q35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2" s="16" t="str">
        <f ca="1">IF(KENKO[[#This Row],[//]]="","",INDEX([2]!NOTA[NAMA BARANG],KENKO[[#This Row],[//]]-2))</f>
        <v/>
      </c>
      <c r="V352" s="16" t="str">
        <f ca="1">LOWER(SUBSTITUTE(SUBSTITUTE(SUBSTITUTE(SUBSTITUTE(SUBSTITUTE(SUBSTITUTE(SUBSTITUTE(SUBSTITUTE(KENKO[[#This Row],[N.B.nota]]," ",""),"-",""),"(",""),")",""),".",""),",",""),"/",""),"""",""))</f>
        <v/>
      </c>
      <c r="W352" s="8" t="str">
        <f ca="1">IF(KENKO[[#This Row],[concat]]="","",MATCH(KENKO[[#This Row],[concat]],[4]!db[NB NOTA_C],0)+1)</f>
        <v/>
      </c>
      <c r="X352" s="16" t="str">
        <f ca="1">IF(KENKO[[#This Row],[N.B.nota]]="","",ADDRESS(ROW(KENKO[QB]),COLUMN(KENKO[QB]))&amp;":"&amp;ADDRESS(ROW(),COLUMN(KENKO[QB])))</f>
        <v/>
      </c>
      <c r="Y352" s="16" t="str">
        <f ca="1">IF(KENKO[[#This Row],[//]]="","",HYPERLINK("[..\\DB.xlsx]DB!e"&amp;KENKO[[#This Row],[stt]],"&gt;"))</f>
        <v/>
      </c>
      <c r="Z352" s="4" t="str">
        <f ca="1">IF(KENKO[[#This Row],[//]]="","",IF(KENKO[[#This Row],[ID NOTA]]="",Z351,KENKO[[#This Row],[ID NOTA]]))</f>
        <v/>
      </c>
    </row>
    <row r="353" spans="1:26" ht="15" customHeight="1" x14ac:dyDescent="0.25">
      <c r="A353" s="2"/>
      <c r="B353" s="8" t="str">
        <f>IF(KENKO[[#This Row],[N_ID]]="","",INDEX(Table1[ID],MATCH(KENKO[[#This Row],[N_ID]],Table1[N_ID],0)))</f>
        <v/>
      </c>
      <c r="C353" s="8" t="str">
        <f>IF(KENKO[[#This Row],[ID NOTA]]="","",HYPERLINK("[NOTA_.xlsx]NOTA!e"&amp;INDEX([2]!PAJAK[//],MATCH(KENKO[[#This Row],[ID NOTA]],[2]!PAJAK[ID],0)),"&gt;") )</f>
        <v/>
      </c>
      <c r="D353" s="8" t="str">
        <f>IF(KENKO[[#This Row],[ID NOTA]]="","",INDEX(Table1[QB],MATCH(KENKO[[#This Row],[ID NOTA]],Table1[ID],0)))</f>
        <v/>
      </c>
      <c r="E35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3" s="6"/>
      <c r="G353" s="9" t="str">
        <f>IF(KENKO[[#This Row],[ID NOTA]]="","",INDEX([2]!NOTA[TGL_H],MATCH(KENKO[[#This Row],[ID NOTA]],[2]!NOTA[ID],0)))</f>
        <v/>
      </c>
      <c r="H353" s="9" t="str">
        <f>IF(KENKO[[#This Row],[ID NOTA]]="","",INDEX([2]!NOTA[TGL.NOTA],MATCH(KENKO[[#This Row],[ID NOTA]],[2]!NOTA[ID],0)))</f>
        <v/>
      </c>
      <c r="I353" s="16" t="str">
        <f>IF(KENKO[[#This Row],[ID NOTA]]="","",INDEX([2]!NOTA[NO.NOTA],MATCH(KENKO[[#This Row],[ID NOTA]],[2]!NOTA[ID],0)))</f>
        <v/>
      </c>
      <c r="J353" s="16" t="str">
        <f ca="1">IF(KENKO[[#This Row],[//]]="","",INDEX([4]!db[NB PAJAK],KENKO[[#This Row],[stt]]-1))</f>
        <v/>
      </c>
      <c r="K353" s="8" t="str">
        <f>""</f>
        <v/>
      </c>
      <c r="L353" s="8" t="str">
        <f ca="1">IF(KENKO[[#This Row],[//]]="","",IF(INDEX([2]!NOTA[QTY],KENKO[//]-2)="",INDEX([2]!NOTA[C],KENKO[//]-2),INDEX([2]!NOTA[QTY],KENKO[//]-2)))</f>
        <v/>
      </c>
      <c r="M353" s="8" t="str">
        <f ca="1">IF(KENKO[[#This Row],[//]]="","",IF(INDEX([2]!NOTA[STN],KENKO[//]-2)="","CTN",INDEX([2]!NOTA[STN],KENKO[//]-2)))</f>
        <v/>
      </c>
      <c r="N353" s="17" t="str">
        <f ca="1">IF(KENKO[[#This Row],[//]]="","",IF(INDEX([2]!NOTA[HARGA/ CTN],KENKO[[#This Row],[//]]-2)="",INDEX([2]!NOTA[HARGA SATUAN],KENKO[//]-2),INDEX([2]!NOTA[HARGA/ CTN],KENKO[[#This Row],[//]]-2)))</f>
        <v/>
      </c>
      <c r="O353" s="19" t="str">
        <f ca="1">IF(KENKO[[#This Row],[//]]="","",IF(INDEX([2]!NOTA[DISC 2],KENKO[[#This Row],[//]]-2)=0,"",INDEX([2]!NOTA[DISC 2],KENKO[[#This Row],[//]]-2)))</f>
        <v/>
      </c>
      <c r="P353" s="19"/>
      <c r="Q35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3" s="16" t="str">
        <f ca="1">IF(KENKO[[#This Row],[//]]="","",INDEX([2]!NOTA[NAMA BARANG],KENKO[[#This Row],[//]]-2))</f>
        <v/>
      </c>
      <c r="V353" s="16" t="str">
        <f ca="1">LOWER(SUBSTITUTE(SUBSTITUTE(SUBSTITUTE(SUBSTITUTE(SUBSTITUTE(SUBSTITUTE(SUBSTITUTE(SUBSTITUTE(KENKO[[#This Row],[N.B.nota]]," ",""),"-",""),"(",""),")",""),".",""),",",""),"/",""),"""",""))</f>
        <v/>
      </c>
      <c r="W353" s="8" t="str">
        <f ca="1">IF(KENKO[[#This Row],[concat]]="","",MATCH(KENKO[[#This Row],[concat]],[4]!db[NB NOTA_C],0)+1)</f>
        <v/>
      </c>
      <c r="X353" s="16" t="str">
        <f ca="1">IF(KENKO[[#This Row],[N.B.nota]]="","",ADDRESS(ROW(KENKO[QB]),COLUMN(KENKO[QB]))&amp;":"&amp;ADDRESS(ROW(),COLUMN(KENKO[QB])))</f>
        <v/>
      </c>
      <c r="Y353" s="16" t="str">
        <f ca="1">IF(KENKO[[#This Row],[//]]="","",HYPERLINK("[..\\DB.xlsx]DB!e"&amp;KENKO[[#This Row],[stt]],"&gt;"))</f>
        <v/>
      </c>
      <c r="Z353" s="4" t="str">
        <f ca="1">IF(KENKO[[#This Row],[//]]="","",IF(KENKO[[#This Row],[ID NOTA]]="",Z352,KENKO[[#This Row],[ID NOTA]]))</f>
        <v/>
      </c>
    </row>
    <row r="354" spans="1:26" ht="15" customHeight="1" x14ac:dyDescent="0.25">
      <c r="A354" s="2"/>
      <c r="B354" s="8" t="str">
        <f>IF(KENKO[[#This Row],[N_ID]]="","",INDEX(Table1[ID],MATCH(KENKO[[#This Row],[N_ID]],Table1[N_ID],0)))</f>
        <v/>
      </c>
      <c r="C354" s="8" t="str">
        <f>IF(KENKO[[#This Row],[ID NOTA]]="","",HYPERLINK("[NOTA_.xlsx]NOTA!e"&amp;INDEX([2]!PAJAK[//],MATCH(KENKO[[#This Row],[ID NOTA]],[2]!PAJAK[ID],0)),"&gt;") )</f>
        <v/>
      </c>
      <c r="D354" s="8" t="str">
        <f>IF(KENKO[[#This Row],[ID NOTA]]="","",INDEX(Table1[QB],MATCH(KENKO[[#This Row],[ID NOTA]],Table1[ID],0)))</f>
        <v/>
      </c>
      <c r="E35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4" s="6"/>
      <c r="G354" s="9" t="str">
        <f>IF(KENKO[[#This Row],[ID NOTA]]="","",INDEX([2]!NOTA[TGL_H],MATCH(KENKO[[#This Row],[ID NOTA]],[2]!NOTA[ID],0)))</f>
        <v/>
      </c>
      <c r="H354" s="9" t="str">
        <f>IF(KENKO[[#This Row],[ID NOTA]]="","",INDEX([2]!NOTA[TGL.NOTA],MATCH(KENKO[[#This Row],[ID NOTA]],[2]!NOTA[ID],0)))</f>
        <v/>
      </c>
      <c r="I354" s="16" t="str">
        <f>IF(KENKO[[#This Row],[ID NOTA]]="","",INDEX([2]!NOTA[NO.NOTA],MATCH(KENKO[[#This Row],[ID NOTA]],[2]!NOTA[ID],0)))</f>
        <v/>
      </c>
      <c r="J354" s="16" t="str">
        <f ca="1">IF(KENKO[[#This Row],[//]]="","",INDEX([4]!db[NB PAJAK],KENKO[[#This Row],[stt]]-1))</f>
        <v/>
      </c>
      <c r="K354" s="8" t="str">
        <f>""</f>
        <v/>
      </c>
      <c r="L354" s="8" t="str">
        <f ca="1">IF(KENKO[[#This Row],[//]]="","",IF(INDEX([2]!NOTA[QTY],KENKO[//]-2)="",INDEX([2]!NOTA[C],KENKO[//]-2),INDEX([2]!NOTA[QTY],KENKO[//]-2)))</f>
        <v/>
      </c>
      <c r="M354" s="8" t="str">
        <f ca="1">IF(KENKO[[#This Row],[//]]="","",IF(INDEX([2]!NOTA[STN],KENKO[//]-2)="","CTN",INDEX([2]!NOTA[STN],KENKO[//]-2)))</f>
        <v/>
      </c>
      <c r="N354" s="17" t="str">
        <f ca="1">IF(KENKO[[#This Row],[//]]="","",IF(INDEX([2]!NOTA[HARGA/ CTN],KENKO[[#This Row],[//]]-2)="",INDEX([2]!NOTA[HARGA SATUAN],KENKO[//]-2),INDEX([2]!NOTA[HARGA/ CTN],KENKO[[#This Row],[//]]-2)))</f>
        <v/>
      </c>
      <c r="O354" s="19" t="str">
        <f ca="1">IF(KENKO[[#This Row],[//]]="","",IF(INDEX([2]!NOTA[DISC 2],KENKO[[#This Row],[//]]-2)=0,"",INDEX([2]!NOTA[DISC 2],KENKO[[#This Row],[//]]-2)))</f>
        <v/>
      </c>
      <c r="P354" s="19"/>
      <c r="Q35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4" s="16" t="str">
        <f ca="1">IF(KENKO[[#This Row],[//]]="","",INDEX([2]!NOTA[NAMA BARANG],KENKO[[#This Row],[//]]-2))</f>
        <v/>
      </c>
      <c r="V354" s="16" t="str">
        <f ca="1">LOWER(SUBSTITUTE(SUBSTITUTE(SUBSTITUTE(SUBSTITUTE(SUBSTITUTE(SUBSTITUTE(SUBSTITUTE(SUBSTITUTE(KENKO[[#This Row],[N.B.nota]]," ",""),"-",""),"(",""),")",""),".",""),",",""),"/",""),"""",""))</f>
        <v/>
      </c>
      <c r="W354" s="8" t="str">
        <f ca="1">IF(KENKO[[#This Row],[concat]]="","",MATCH(KENKO[[#This Row],[concat]],[4]!db[NB NOTA_C],0)+1)</f>
        <v/>
      </c>
      <c r="X354" s="16" t="str">
        <f ca="1">IF(KENKO[[#This Row],[N.B.nota]]="","",ADDRESS(ROW(KENKO[QB]),COLUMN(KENKO[QB]))&amp;":"&amp;ADDRESS(ROW(),COLUMN(KENKO[QB])))</f>
        <v/>
      </c>
      <c r="Y354" s="16" t="str">
        <f ca="1">IF(KENKO[[#This Row],[//]]="","",HYPERLINK("[..\\DB.xlsx]DB!e"&amp;KENKO[[#This Row],[stt]],"&gt;"))</f>
        <v/>
      </c>
      <c r="Z354" s="4" t="str">
        <f ca="1">IF(KENKO[[#This Row],[//]]="","",IF(KENKO[[#This Row],[ID NOTA]]="",Z353,KENKO[[#This Row],[ID NOTA]]))</f>
        <v/>
      </c>
    </row>
    <row r="355" spans="1:26" ht="15" customHeight="1" x14ac:dyDescent="0.25">
      <c r="A355" s="2"/>
      <c r="B355" s="8" t="str">
        <f>IF(KENKO[[#This Row],[N_ID]]="","",INDEX(Table1[ID],MATCH(KENKO[[#This Row],[N_ID]],Table1[N_ID],0)))</f>
        <v/>
      </c>
      <c r="C355" s="8" t="str">
        <f>IF(KENKO[[#This Row],[ID NOTA]]="","",HYPERLINK("[NOTA_.xlsx]NOTA!e"&amp;INDEX([2]!PAJAK[//],MATCH(KENKO[[#This Row],[ID NOTA]],[2]!PAJAK[ID],0)),"&gt;") )</f>
        <v/>
      </c>
      <c r="D355" s="8" t="str">
        <f>IF(KENKO[[#This Row],[ID NOTA]]="","",INDEX(Table1[QB],MATCH(KENKO[[#This Row],[ID NOTA]],Table1[ID],0)))</f>
        <v/>
      </c>
      <c r="E35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5" s="6"/>
      <c r="G355" s="9" t="str">
        <f>IF(KENKO[[#This Row],[ID NOTA]]="","",INDEX([2]!NOTA[TGL_H],MATCH(KENKO[[#This Row],[ID NOTA]],[2]!NOTA[ID],0)))</f>
        <v/>
      </c>
      <c r="H355" s="9" t="str">
        <f>IF(KENKO[[#This Row],[ID NOTA]]="","",INDEX([2]!NOTA[TGL.NOTA],MATCH(KENKO[[#This Row],[ID NOTA]],[2]!NOTA[ID],0)))</f>
        <v/>
      </c>
      <c r="I355" s="16" t="str">
        <f>IF(KENKO[[#This Row],[ID NOTA]]="","",INDEX([2]!NOTA[NO.NOTA],MATCH(KENKO[[#This Row],[ID NOTA]],[2]!NOTA[ID],0)))</f>
        <v/>
      </c>
      <c r="J355" s="16" t="str">
        <f ca="1">IF(KENKO[[#This Row],[//]]="","",INDEX([4]!db[NB PAJAK],KENKO[[#This Row],[stt]]-1))</f>
        <v/>
      </c>
      <c r="K355" s="8" t="str">
        <f>""</f>
        <v/>
      </c>
      <c r="L355" s="8" t="str">
        <f ca="1">IF(KENKO[[#This Row],[//]]="","",IF(INDEX([2]!NOTA[QTY],KENKO[//]-2)="",INDEX([2]!NOTA[C],KENKO[//]-2),INDEX([2]!NOTA[QTY],KENKO[//]-2)))</f>
        <v/>
      </c>
      <c r="M355" s="8" t="str">
        <f ca="1">IF(KENKO[[#This Row],[//]]="","",IF(INDEX([2]!NOTA[STN],KENKO[//]-2)="","CTN",INDEX([2]!NOTA[STN],KENKO[//]-2)))</f>
        <v/>
      </c>
      <c r="N355" s="17" t="str">
        <f ca="1">IF(KENKO[[#This Row],[//]]="","",IF(INDEX([2]!NOTA[HARGA/ CTN],KENKO[[#This Row],[//]]-2)="",INDEX([2]!NOTA[HARGA SATUAN],KENKO[//]-2),INDEX([2]!NOTA[HARGA/ CTN],KENKO[[#This Row],[//]]-2)))</f>
        <v/>
      </c>
      <c r="O355" s="19" t="str">
        <f ca="1">IF(KENKO[[#This Row],[//]]="","",IF(INDEX([2]!NOTA[DISC 2],KENKO[[#This Row],[//]]-2)=0,"",INDEX([2]!NOTA[DISC 2],KENKO[[#This Row],[//]]-2)))</f>
        <v/>
      </c>
      <c r="P355" s="19"/>
      <c r="Q35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5" s="16" t="str">
        <f ca="1">IF(KENKO[[#This Row],[//]]="","",INDEX([2]!NOTA[NAMA BARANG],KENKO[[#This Row],[//]]-2))</f>
        <v/>
      </c>
      <c r="V355" s="16" t="str">
        <f ca="1">LOWER(SUBSTITUTE(SUBSTITUTE(SUBSTITUTE(SUBSTITUTE(SUBSTITUTE(SUBSTITUTE(SUBSTITUTE(SUBSTITUTE(KENKO[[#This Row],[N.B.nota]]," ",""),"-",""),"(",""),")",""),".",""),",",""),"/",""),"""",""))</f>
        <v/>
      </c>
      <c r="W355" s="8" t="str">
        <f ca="1">IF(KENKO[[#This Row],[concat]]="","",MATCH(KENKO[[#This Row],[concat]],[4]!db[NB NOTA_C],0)+1)</f>
        <v/>
      </c>
      <c r="X355" s="16" t="str">
        <f ca="1">IF(KENKO[[#This Row],[N.B.nota]]="","",ADDRESS(ROW(KENKO[QB]),COLUMN(KENKO[QB]))&amp;":"&amp;ADDRESS(ROW(),COLUMN(KENKO[QB])))</f>
        <v/>
      </c>
      <c r="Y355" s="16" t="str">
        <f ca="1">IF(KENKO[[#This Row],[//]]="","",HYPERLINK("[..\\DB.xlsx]DB!e"&amp;KENKO[[#This Row],[stt]],"&gt;"))</f>
        <v/>
      </c>
      <c r="Z355" s="4" t="str">
        <f ca="1">IF(KENKO[[#This Row],[//]]="","",IF(KENKO[[#This Row],[ID NOTA]]="",Z354,KENKO[[#This Row],[ID NOTA]]))</f>
        <v/>
      </c>
    </row>
    <row r="356" spans="1:26" ht="15" customHeight="1" x14ac:dyDescent="0.25">
      <c r="A356" s="2"/>
      <c r="B356" s="8" t="str">
        <f>IF(KENKO[[#This Row],[N_ID]]="","",INDEX(Table1[ID],MATCH(KENKO[[#This Row],[N_ID]],Table1[N_ID],0)))</f>
        <v/>
      </c>
      <c r="C356" s="8" t="str">
        <f>IF(KENKO[[#This Row],[ID NOTA]]="","",HYPERLINK("[NOTA_.xlsx]NOTA!e"&amp;INDEX([2]!PAJAK[//],MATCH(KENKO[[#This Row],[ID NOTA]],[2]!PAJAK[ID],0)),"&gt;") )</f>
        <v/>
      </c>
      <c r="D356" s="8" t="str">
        <f>IF(KENKO[[#This Row],[ID NOTA]]="","",INDEX(Table1[QB],MATCH(KENKO[[#This Row],[ID NOTA]],Table1[ID],0)))</f>
        <v/>
      </c>
      <c r="E35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6" s="6"/>
      <c r="G356" s="9" t="str">
        <f>IF(KENKO[[#This Row],[ID NOTA]]="","",INDEX([2]!NOTA[TGL_H],MATCH(KENKO[[#This Row],[ID NOTA]],[2]!NOTA[ID],0)))</f>
        <v/>
      </c>
      <c r="H356" s="9" t="str">
        <f>IF(KENKO[[#This Row],[ID NOTA]]="","",INDEX([2]!NOTA[TGL.NOTA],MATCH(KENKO[[#This Row],[ID NOTA]],[2]!NOTA[ID],0)))</f>
        <v/>
      </c>
      <c r="I356" s="16" t="str">
        <f>IF(KENKO[[#This Row],[ID NOTA]]="","",INDEX([2]!NOTA[NO.NOTA],MATCH(KENKO[[#This Row],[ID NOTA]],[2]!NOTA[ID],0)))</f>
        <v/>
      </c>
      <c r="J356" s="16" t="str">
        <f ca="1">IF(KENKO[[#This Row],[//]]="","",INDEX([4]!db[NB PAJAK],KENKO[[#This Row],[stt]]-1))</f>
        <v/>
      </c>
      <c r="K356" s="8" t="str">
        <f>""</f>
        <v/>
      </c>
      <c r="L356" s="8" t="str">
        <f ca="1">IF(KENKO[[#This Row],[//]]="","",IF(INDEX([2]!NOTA[QTY],KENKO[//]-2)="",INDEX([2]!NOTA[C],KENKO[//]-2),INDEX([2]!NOTA[QTY],KENKO[//]-2)))</f>
        <v/>
      </c>
      <c r="M356" s="8" t="str">
        <f ca="1">IF(KENKO[[#This Row],[//]]="","",IF(INDEX([2]!NOTA[STN],KENKO[//]-2)="","CTN",INDEX([2]!NOTA[STN],KENKO[//]-2)))</f>
        <v/>
      </c>
      <c r="N356" s="17" t="str">
        <f ca="1">IF(KENKO[[#This Row],[//]]="","",IF(INDEX([2]!NOTA[HARGA/ CTN],KENKO[[#This Row],[//]]-2)="",INDEX([2]!NOTA[HARGA SATUAN],KENKO[//]-2),INDEX([2]!NOTA[HARGA/ CTN],KENKO[[#This Row],[//]]-2)))</f>
        <v/>
      </c>
      <c r="O356" s="19" t="str">
        <f ca="1">IF(KENKO[[#This Row],[//]]="","",IF(INDEX([2]!NOTA[DISC 2],KENKO[[#This Row],[//]]-2)=0,"",INDEX([2]!NOTA[DISC 2],KENKO[[#This Row],[//]]-2)))</f>
        <v/>
      </c>
      <c r="P356" s="19"/>
      <c r="Q35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6" s="16" t="str">
        <f ca="1">IF(KENKO[[#This Row],[//]]="","",INDEX([2]!NOTA[NAMA BARANG],KENKO[[#This Row],[//]]-2))</f>
        <v/>
      </c>
      <c r="V356" s="16" t="str">
        <f ca="1">LOWER(SUBSTITUTE(SUBSTITUTE(SUBSTITUTE(SUBSTITUTE(SUBSTITUTE(SUBSTITUTE(SUBSTITUTE(SUBSTITUTE(KENKO[[#This Row],[N.B.nota]]," ",""),"-",""),"(",""),")",""),".",""),",",""),"/",""),"""",""))</f>
        <v/>
      </c>
      <c r="W356" s="8" t="str">
        <f ca="1">IF(KENKO[[#This Row],[concat]]="","",MATCH(KENKO[[#This Row],[concat]],[4]!db[NB NOTA_C],0)+1)</f>
        <v/>
      </c>
      <c r="X356" s="16" t="str">
        <f ca="1">IF(KENKO[[#This Row],[N.B.nota]]="","",ADDRESS(ROW(KENKO[QB]),COLUMN(KENKO[QB]))&amp;":"&amp;ADDRESS(ROW(),COLUMN(KENKO[QB])))</f>
        <v/>
      </c>
      <c r="Y356" s="16" t="str">
        <f ca="1">IF(KENKO[[#This Row],[//]]="","",HYPERLINK("[..\\DB.xlsx]DB!e"&amp;KENKO[[#This Row],[stt]],"&gt;"))</f>
        <v/>
      </c>
      <c r="Z356" s="4" t="str">
        <f ca="1">IF(KENKO[[#This Row],[//]]="","",IF(KENKO[[#This Row],[ID NOTA]]="",Z355,KENKO[[#This Row],[ID NOTA]]))</f>
        <v/>
      </c>
    </row>
    <row r="357" spans="1:26" ht="15" customHeight="1" x14ac:dyDescent="0.25">
      <c r="A357" s="2"/>
      <c r="B357" s="8" t="str">
        <f>IF(KENKO[[#This Row],[N_ID]]="","",INDEX(Table1[ID],MATCH(KENKO[[#This Row],[N_ID]],Table1[N_ID],0)))</f>
        <v/>
      </c>
      <c r="C357" s="8" t="str">
        <f>IF(KENKO[[#This Row],[ID NOTA]]="","",HYPERLINK("[NOTA_.xlsx]NOTA!e"&amp;INDEX([2]!PAJAK[//],MATCH(KENKO[[#This Row],[ID NOTA]],[2]!PAJAK[ID],0)),"&gt;") )</f>
        <v/>
      </c>
      <c r="D357" s="8" t="str">
        <f>IF(KENKO[[#This Row],[ID NOTA]]="","",INDEX(Table1[QB],MATCH(KENKO[[#This Row],[ID NOTA]],Table1[ID],0)))</f>
        <v/>
      </c>
      <c r="E35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7" s="6"/>
      <c r="G357" s="9" t="str">
        <f>IF(KENKO[[#This Row],[ID NOTA]]="","",INDEX([2]!NOTA[TGL_H],MATCH(KENKO[[#This Row],[ID NOTA]],[2]!NOTA[ID],0)))</f>
        <v/>
      </c>
      <c r="H357" s="9" t="str">
        <f>IF(KENKO[[#This Row],[ID NOTA]]="","",INDEX([2]!NOTA[TGL.NOTA],MATCH(KENKO[[#This Row],[ID NOTA]],[2]!NOTA[ID],0)))</f>
        <v/>
      </c>
      <c r="I357" s="16" t="str">
        <f>IF(KENKO[[#This Row],[ID NOTA]]="","",INDEX([2]!NOTA[NO.NOTA],MATCH(KENKO[[#This Row],[ID NOTA]],[2]!NOTA[ID],0)))</f>
        <v/>
      </c>
      <c r="J357" s="16" t="str">
        <f ca="1">IF(KENKO[[#This Row],[//]]="","",INDEX([4]!db[NB PAJAK],KENKO[[#This Row],[stt]]-1))</f>
        <v/>
      </c>
      <c r="K357" s="8" t="str">
        <f>""</f>
        <v/>
      </c>
      <c r="L357" s="8" t="str">
        <f ca="1">IF(KENKO[[#This Row],[//]]="","",IF(INDEX([2]!NOTA[QTY],KENKO[//]-2)="",INDEX([2]!NOTA[C],KENKO[//]-2),INDEX([2]!NOTA[QTY],KENKO[//]-2)))</f>
        <v/>
      </c>
      <c r="M357" s="8" t="str">
        <f ca="1">IF(KENKO[[#This Row],[//]]="","",IF(INDEX([2]!NOTA[STN],KENKO[//]-2)="","CTN",INDEX([2]!NOTA[STN],KENKO[//]-2)))</f>
        <v/>
      </c>
      <c r="N357" s="17" t="str">
        <f ca="1">IF(KENKO[[#This Row],[//]]="","",IF(INDEX([2]!NOTA[HARGA/ CTN],KENKO[[#This Row],[//]]-2)="",INDEX([2]!NOTA[HARGA SATUAN],KENKO[//]-2),INDEX([2]!NOTA[HARGA/ CTN],KENKO[[#This Row],[//]]-2)))</f>
        <v/>
      </c>
      <c r="O357" s="19" t="str">
        <f ca="1">IF(KENKO[[#This Row],[//]]="","",IF(INDEX([2]!NOTA[DISC 2],KENKO[[#This Row],[//]]-2)=0,"",INDEX([2]!NOTA[DISC 2],KENKO[[#This Row],[//]]-2)))</f>
        <v/>
      </c>
      <c r="P357" s="19"/>
      <c r="Q35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7" s="16" t="str">
        <f ca="1">IF(KENKO[[#This Row],[//]]="","",INDEX([2]!NOTA[NAMA BARANG],KENKO[[#This Row],[//]]-2))</f>
        <v/>
      </c>
      <c r="V357" s="16" t="str">
        <f ca="1">LOWER(SUBSTITUTE(SUBSTITUTE(SUBSTITUTE(SUBSTITUTE(SUBSTITUTE(SUBSTITUTE(SUBSTITUTE(SUBSTITUTE(KENKO[[#This Row],[N.B.nota]]," ",""),"-",""),"(",""),")",""),".",""),",",""),"/",""),"""",""))</f>
        <v/>
      </c>
      <c r="W357" s="8" t="str">
        <f ca="1">IF(KENKO[[#This Row],[concat]]="","",MATCH(KENKO[[#This Row],[concat]],[4]!db[NB NOTA_C],0)+1)</f>
        <v/>
      </c>
      <c r="X357" s="16" t="str">
        <f ca="1">IF(KENKO[[#This Row],[N.B.nota]]="","",ADDRESS(ROW(KENKO[QB]),COLUMN(KENKO[QB]))&amp;":"&amp;ADDRESS(ROW(),COLUMN(KENKO[QB])))</f>
        <v/>
      </c>
      <c r="Y357" s="16" t="str">
        <f ca="1">IF(KENKO[[#This Row],[//]]="","",HYPERLINK("[..\\DB.xlsx]DB!e"&amp;KENKO[[#This Row],[stt]],"&gt;"))</f>
        <v/>
      </c>
      <c r="Z357" s="4" t="str">
        <f ca="1">IF(KENKO[[#This Row],[//]]="","",IF(KENKO[[#This Row],[ID NOTA]]="",Z356,KENKO[[#This Row],[ID NOTA]]))</f>
        <v/>
      </c>
    </row>
    <row r="358" spans="1:26" ht="15" customHeight="1" x14ac:dyDescent="0.25">
      <c r="A358" s="2"/>
      <c r="B358" s="8" t="str">
        <f>IF(KENKO[[#This Row],[N_ID]]="","",INDEX(Table1[ID],MATCH(KENKO[[#This Row],[N_ID]],Table1[N_ID],0)))</f>
        <v/>
      </c>
      <c r="C358" s="8" t="str">
        <f>IF(KENKO[[#This Row],[ID NOTA]]="","",HYPERLINK("[NOTA_.xlsx]NOTA!e"&amp;INDEX([2]!PAJAK[//],MATCH(KENKO[[#This Row],[ID NOTA]],[2]!PAJAK[ID],0)),"&gt;") )</f>
        <v/>
      </c>
      <c r="D358" s="8" t="str">
        <f>IF(KENKO[[#This Row],[ID NOTA]]="","",INDEX(Table1[QB],MATCH(KENKO[[#This Row],[ID NOTA]],Table1[ID],0)))</f>
        <v/>
      </c>
      <c r="E35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8" s="6"/>
      <c r="G358" s="9" t="str">
        <f>IF(KENKO[[#This Row],[ID NOTA]]="","",INDEX([2]!NOTA[TGL_H],MATCH(KENKO[[#This Row],[ID NOTA]],[2]!NOTA[ID],0)))</f>
        <v/>
      </c>
      <c r="H358" s="9" t="str">
        <f>IF(KENKO[[#This Row],[ID NOTA]]="","",INDEX([2]!NOTA[TGL.NOTA],MATCH(KENKO[[#This Row],[ID NOTA]],[2]!NOTA[ID],0)))</f>
        <v/>
      </c>
      <c r="I358" s="16" t="str">
        <f>IF(KENKO[[#This Row],[ID NOTA]]="","",INDEX([2]!NOTA[NO.NOTA],MATCH(KENKO[[#This Row],[ID NOTA]],[2]!NOTA[ID],0)))</f>
        <v/>
      </c>
      <c r="J358" s="16" t="str">
        <f ca="1">IF(KENKO[[#This Row],[//]]="","",INDEX([4]!db[NB PAJAK],KENKO[[#This Row],[stt]]-1))</f>
        <v/>
      </c>
      <c r="K358" s="8" t="str">
        <f>""</f>
        <v/>
      </c>
      <c r="L358" s="8" t="str">
        <f ca="1">IF(KENKO[[#This Row],[//]]="","",IF(INDEX([2]!NOTA[QTY],KENKO[//]-2)="",INDEX([2]!NOTA[C],KENKO[//]-2),INDEX([2]!NOTA[QTY],KENKO[//]-2)))</f>
        <v/>
      </c>
      <c r="M358" s="8" t="str">
        <f ca="1">IF(KENKO[[#This Row],[//]]="","",IF(INDEX([2]!NOTA[STN],KENKO[//]-2)="","CTN",INDEX([2]!NOTA[STN],KENKO[//]-2)))</f>
        <v/>
      </c>
      <c r="N358" s="17" t="str">
        <f ca="1">IF(KENKO[[#This Row],[//]]="","",IF(INDEX([2]!NOTA[HARGA/ CTN],KENKO[[#This Row],[//]]-2)="",INDEX([2]!NOTA[HARGA SATUAN],KENKO[//]-2),INDEX([2]!NOTA[HARGA/ CTN],KENKO[[#This Row],[//]]-2)))</f>
        <v/>
      </c>
      <c r="O358" s="19" t="str">
        <f ca="1">IF(KENKO[[#This Row],[//]]="","",IF(INDEX([2]!NOTA[DISC 2],KENKO[[#This Row],[//]]-2)=0,"",INDEX([2]!NOTA[DISC 2],KENKO[[#This Row],[//]]-2)))</f>
        <v/>
      </c>
      <c r="P358" s="19"/>
      <c r="Q35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8" s="16" t="str">
        <f ca="1">IF(KENKO[[#This Row],[//]]="","",INDEX([2]!NOTA[NAMA BARANG],KENKO[[#This Row],[//]]-2))</f>
        <v/>
      </c>
      <c r="V358" s="16" t="str">
        <f ca="1">LOWER(SUBSTITUTE(SUBSTITUTE(SUBSTITUTE(SUBSTITUTE(SUBSTITUTE(SUBSTITUTE(SUBSTITUTE(SUBSTITUTE(KENKO[[#This Row],[N.B.nota]]," ",""),"-",""),"(",""),")",""),".",""),",",""),"/",""),"""",""))</f>
        <v/>
      </c>
      <c r="W358" s="8" t="str">
        <f ca="1">IF(KENKO[[#This Row],[concat]]="","",MATCH(KENKO[[#This Row],[concat]],[4]!db[NB NOTA_C],0)+1)</f>
        <v/>
      </c>
      <c r="X358" s="16" t="str">
        <f ca="1">IF(KENKO[[#This Row],[N.B.nota]]="","",ADDRESS(ROW(KENKO[QB]),COLUMN(KENKO[QB]))&amp;":"&amp;ADDRESS(ROW(),COLUMN(KENKO[QB])))</f>
        <v/>
      </c>
      <c r="Y358" s="16" t="str">
        <f ca="1">IF(KENKO[[#This Row],[//]]="","",HYPERLINK("[..\\DB.xlsx]DB!e"&amp;KENKO[[#This Row],[stt]],"&gt;"))</f>
        <v/>
      </c>
      <c r="Z358" s="4" t="str">
        <f ca="1">IF(KENKO[[#This Row],[//]]="","",IF(KENKO[[#This Row],[ID NOTA]]="",Z357,KENKO[[#This Row],[ID NOTA]]))</f>
        <v/>
      </c>
    </row>
    <row r="359" spans="1:26" ht="15" customHeight="1" x14ac:dyDescent="0.25">
      <c r="A359" s="2"/>
      <c r="B359" s="8" t="str">
        <f>IF(KENKO[[#This Row],[N_ID]]="","",INDEX(Table1[ID],MATCH(KENKO[[#This Row],[N_ID]],Table1[N_ID],0)))</f>
        <v/>
      </c>
      <c r="C359" s="8" t="str">
        <f>IF(KENKO[[#This Row],[ID NOTA]]="","",HYPERLINK("[NOTA_.xlsx]NOTA!e"&amp;INDEX([2]!PAJAK[//],MATCH(KENKO[[#This Row],[ID NOTA]],[2]!PAJAK[ID],0)),"&gt;") )</f>
        <v/>
      </c>
      <c r="D359" s="8" t="str">
        <f>IF(KENKO[[#This Row],[ID NOTA]]="","",INDEX(Table1[QB],MATCH(KENKO[[#This Row],[ID NOTA]],Table1[ID],0)))</f>
        <v/>
      </c>
      <c r="E35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9" s="6"/>
      <c r="G359" s="9" t="str">
        <f>IF(KENKO[[#This Row],[ID NOTA]]="","",INDEX([2]!NOTA[TGL_H],MATCH(KENKO[[#This Row],[ID NOTA]],[2]!NOTA[ID],0)))</f>
        <v/>
      </c>
      <c r="H359" s="9" t="str">
        <f>IF(KENKO[[#This Row],[ID NOTA]]="","",INDEX([2]!NOTA[TGL.NOTA],MATCH(KENKO[[#This Row],[ID NOTA]],[2]!NOTA[ID],0)))</f>
        <v/>
      </c>
      <c r="I359" s="16" t="str">
        <f>IF(KENKO[[#This Row],[ID NOTA]]="","",INDEX([2]!NOTA[NO.NOTA],MATCH(KENKO[[#This Row],[ID NOTA]],[2]!NOTA[ID],0)))</f>
        <v/>
      </c>
      <c r="J359" s="16" t="str">
        <f ca="1">IF(KENKO[[#This Row],[//]]="","",INDEX([4]!db[NB PAJAK],KENKO[[#This Row],[stt]]-1))</f>
        <v/>
      </c>
      <c r="K359" s="8" t="str">
        <f>""</f>
        <v/>
      </c>
      <c r="L359" s="8" t="str">
        <f ca="1">IF(KENKO[[#This Row],[//]]="","",IF(INDEX([2]!NOTA[QTY],KENKO[//]-2)="",INDEX([2]!NOTA[C],KENKO[//]-2),INDEX([2]!NOTA[QTY],KENKO[//]-2)))</f>
        <v/>
      </c>
      <c r="M359" s="8" t="str">
        <f ca="1">IF(KENKO[[#This Row],[//]]="","",IF(INDEX([2]!NOTA[STN],KENKO[//]-2)="","CTN",INDEX([2]!NOTA[STN],KENKO[//]-2)))</f>
        <v/>
      </c>
      <c r="N359" s="17" t="str">
        <f ca="1">IF(KENKO[[#This Row],[//]]="","",IF(INDEX([2]!NOTA[HARGA/ CTN],KENKO[[#This Row],[//]]-2)="",INDEX([2]!NOTA[HARGA SATUAN],KENKO[//]-2),INDEX([2]!NOTA[HARGA/ CTN],KENKO[[#This Row],[//]]-2)))</f>
        <v/>
      </c>
      <c r="O359" s="19" t="str">
        <f ca="1">IF(KENKO[[#This Row],[//]]="","",IF(INDEX([2]!NOTA[DISC 2],KENKO[[#This Row],[//]]-2)=0,"",INDEX([2]!NOTA[DISC 2],KENKO[[#This Row],[//]]-2)))</f>
        <v/>
      </c>
      <c r="P359" s="19"/>
      <c r="Q35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9" s="16" t="str">
        <f ca="1">IF(KENKO[[#This Row],[//]]="","",INDEX([2]!NOTA[NAMA BARANG],KENKO[[#This Row],[//]]-2))</f>
        <v/>
      </c>
      <c r="V359" s="16" t="str">
        <f ca="1">LOWER(SUBSTITUTE(SUBSTITUTE(SUBSTITUTE(SUBSTITUTE(SUBSTITUTE(SUBSTITUTE(SUBSTITUTE(SUBSTITUTE(KENKO[[#This Row],[N.B.nota]]," ",""),"-",""),"(",""),")",""),".",""),",",""),"/",""),"""",""))</f>
        <v/>
      </c>
      <c r="W359" s="8" t="str">
        <f ca="1">IF(KENKO[[#This Row],[concat]]="","",MATCH(KENKO[[#This Row],[concat]],[4]!db[NB NOTA_C],0)+1)</f>
        <v/>
      </c>
      <c r="X359" s="16" t="str">
        <f ca="1">IF(KENKO[[#This Row],[N.B.nota]]="","",ADDRESS(ROW(KENKO[QB]),COLUMN(KENKO[QB]))&amp;":"&amp;ADDRESS(ROW(),COLUMN(KENKO[QB])))</f>
        <v/>
      </c>
      <c r="Y359" s="16" t="str">
        <f ca="1">IF(KENKO[[#This Row],[//]]="","",HYPERLINK("[..\\DB.xlsx]DB!e"&amp;KENKO[[#This Row],[stt]],"&gt;"))</f>
        <v/>
      </c>
      <c r="Z359" s="4" t="str">
        <f ca="1">IF(KENKO[[#This Row],[//]]="","",IF(KENKO[[#This Row],[ID NOTA]]="",Z358,KENKO[[#This Row],[ID NOTA]]))</f>
        <v/>
      </c>
    </row>
    <row r="360" spans="1:26" ht="15" customHeight="1" x14ac:dyDescent="0.25">
      <c r="A360" s="2"/>
      <c r="B360" s="8" t="str">
        <f>IF(KENKO[[#This Row],[N_ID]]="","",INDEX(Table1[ID],MATCH(KENKO[[#This Row],[N_ID]],Table1[N_ID],0)))</f>
        <v/>
      </c>
      <c r="C360" s="8" t="str">
        <f>IF(KENKO[[#This Row],[ID NOTA]]="","",HYPERLINK("[NOTA_.xlsx]NOTA!e"&amp;INDEX([2]!PAJAK[//],MATCH(KENKO[[#This Row],[ID NOTA]],[2]!PAJAK[ID],0)),"&gt;") )</f>
        <v/>
      </c>
      <c r="D360" s="8" t="str">
        <f>IF(KENKO[[#This Row],[ID NOTA]]="","",INDEX(Table1[QB],MATCH(KENKO[[#This Row],[ID NOTA]],Table1[ID],0)))</f>
        <v/>
      </c>
      <c r="E3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0" s="6"/>
      <c r="G360" s="9" t="str">
        <f>IF(KENKO[[#This Row],[ID NOTA]]="","",INDEX([2]!NOTA[TGL_H],MATCH(KENKO[[#This Row],[ID NOTA]],[2]!NOTA[ID],0)))</f>
        <v/>
      </c>
      <c r="H360" s="9" t="str">
        <f>IF(KENKO[[#This Row],[ID NOTA]]="","",INDEX([2]!NOTA[TGL.NOTA],MATCH(KENKO[[#This Row],[ID NOTA]],[2]!NOTA[ID],0)))</f>
        <v/>
      </c>
      <c r="I360" s="16" t="str">
        <f>IF(KENKO[[#This Row],[ID NOTA]]="","",INDEX([2]!NOTA[NO.NOTA],MATCH(KENKO[[#This Row],[ID NOTA]],[2]!NOTA[ID],0)))</f>
        <v/>
      </c>
      <c r="J360" s="16" t="str">
        <f ca="1">IF(KENKO[[#This Row],[//]]="","",INDEX([4]!db[NB PAJAK],KENKO[[#This Row],[stt]]-1))</f>
        <v/>
      </c>
      <c r="K360" s="8" t="str">
        <f>""</f>
        <v/>
      </c>
      <c r="L360" s="8" t="str">
        <f ca="1">IF(KENKO[[#This Row],[//]]="","",IF(INDEX([2]!NOTA[QTY],KENKO[//]-2)="",INDEX([2]!NOTA[C],KENKO[//]-2),INDEX([2]!NOTA[QTY],KENKO[//]-2)))</f>
        <v/>
      </c>
      <c r="M360" s="8" t="str">
        <f ca="1">IF(KENKO[[#This Row],[//]]="","",IF(INDEX([2]!NOTA[STN],KENKO[//]-2)="","CTN",INDEX([2]!NOTA[STN],KENKO[//]-2)))</f>
        <v/>
      </c>
      <c r="N360" s="17" t="str">
        <f ca="1">IF(KENKO[[#This Row],[//]]="","",IF(INDEX([2]!NOTA[HARGA/ CTN],KENKO[[#This Row],[//]]-2)="",INDEX([2]!NOTA[HARGA SATUAN],KENKO[//]-2),INDEX([2]!NOTA[HARGA/ CTN],KENKO[[#This Row],[//]]-2)))</f>
        <v/>
      </c>
      <c r="O360" s="19" t="str">
        <f ca="1">IF(KENKO[[#This Row],[//]]="","",IF(INDEX([2]!NOTA[DISC 2],KENKO[[#This Row],[//]]-2)=0,"",INDEX([2]!NOTA[DISC 2],KENKO[[#This Row],[//]]-2)))</f>
        <v/>
      </c>
      <c r="P360" s="19"/>
      <c r="Q36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0" s="16" t="str">
        <f ca="1">IF(KENKO[[#This Row],[//]]="","",INDEX([2]!NOTA[NAMA BARANG],KENKO[[#This Row],[//]]-2))</f>
        <v/>
      </c>
      <c r="V360" s="16" t="str">
        <f ca="1">LOWER(SUBSTITUTE(SUBSTITUTE(SUBSTITUTE(SUBSTITUTE(SUBSTITUTE(SUBSTITUTE(SUBSTITUTE(SUBSTITUTE(KENKO[[#This Row],[N.B.nota]]," ",""),"-",""),"(",""),")",""),".",""),",",""),"/",""),"""",""))</f>
        <v/>
      </c>
      <c r="W360" s="8" t="str">
        <f ca="1">IF(KENKO[[#This Row],[concat]]="","",MATCH(KENKO[[#This Row],[concat]],[4]!db[NB NOTA_C],0)+1)</f>
        <v/>
      </c>
      <c r="X360" s="16" t="str">
        <f ca="1">IF(KENKO[[#This Row],[N.B.nota]]="","",ADDRESS(ROW(KENKO[QB]),COLUMN(KENKO[QB]))&amp;":"&amp;ADDRESS(ROW(),COLUMN(KENKO[QB])))</f>
        <v/>
      </c>
      <c r="Y360" s="16" t="str">
        <f ca="1">IF(KENKO[[#This Row],[//]]="","",HYPERLINK("[..\\DB.xlsx]DB!e"&amp;KENKO[[#This Row],[stt]],"&gt;"))</f>
        <v/>
      </c>
      <c r="Z360" s="4" t="str">
        <f ca="1">IF(KENKO[[#This Row],[//]]="","",IF(KENKO[[#This Row],[ID NOTA]]="",Z359,KENKO[[#This Row],[ID NOTA]]))</f>
        <v/>
      </c>
    </row>
    <row r="361" spans="1:26" ht="15" customHeight="1" x14ac:dyDescent="0.25">
      <c r="A361" s="4"/>
      <c r="B361" s="6" t="str">
        <f>IF(KENKO[[#This Row],[N_ID]]="","",INDEX(Table1[ID],MATCH(KENKO[[#This Row],[N_ID]],Table1[N_ID],0)))</f>
        <v/>
      </c>
      <c r="C361" s="6" t="str">
        <f>IF(KENKO[[#This Row],[ID NOTA]]="","",HYPERLINK("[NOTA_.xlsx]NOTA!e"&amp;INDEX([2]!PAJAK[//],MATCH(KENKO[[#This Row],[ID NOTA]],[2]!PAJAK[ID],0)),"&gt;") )</f>
        <v/>
      </c>
      <c r="D361" s="6" t="str">
        <f>IF(KENKO[[#This Row],[ID NOTA]]="","",INDEX(Table1[QB],MATCH(KENKO[[#This Row],[ID NOTA]],Table1[ID],0)))</f>
        <v/>
      </c>
      <c r="E36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1" s="6"/>
      <c r="G361" s="3" t="str">
        <f>IF(KENKO[[#This Row],[ID NOTA]]="","",INDEX([2]!NOTA[TGL_H],MATCH(KENKO[[#This Row],[ID NOTA]],[2]!NOTA[ID],0)))</f>
        <v/>
      </c>
      <c r="H361" s="3" t="str">
        <f>IF(KENKO[[#This Row],[ID NOTA]]="","",INDEX([2]!NOTA[TGL.NOTA],MATCH(KENKO[[#This Row],[ID NOTA]],[2]!NOTA[ID],0)))</f>
        <v/>
      </c>
      <c r="I361" s="18" t="str">
        <f>IF(KENKO[[#This Row],[ID NOTA]]="","",INDEX([2]!NOTA[NO.NOTA],MATCH(KENKO[[#This Row],[ID NOTA]],[2]!NOTA[ID],0)))</f>
        <v/>
      </c>
      <c r="J361" s="4" t="str">
        <f ca="1">IF(KENKO[[#This Row],[//]]="","",INDEX([4]!db[NB PAJAK],KENKO[[#This Row],[stt]]-1))</f>
        <v/>
      </c>
      <c r="K361" s="6" t="str">
        <f>""</f>
        <v/>
      </c>
      <c r="L361" s="6" t="str">
        <f ca="1">IF(KENKO[[#This Row],[//]]="","",IF(INDEX([2]!NOTA[QTY],KENKO[//]-2)="",INDEX([2]!NOTA[C],KENKO[//]-2),INDEX([2]!NOTA[QTY],KENKO[//]-2)))</f>
        <v/>
      </c>
      <c r="M361" s="6" t="str">
        <f ca="1">IF(KENKO[[#This Row],[//]]="","",IF(INDEX([2]!NOTA[STN],KENKO[//]-2)="","CTN",INDEX([2]!NOTA[STN],KENKO[//]-2)))</f>
        <v/>
      </c>
      <c r="N361" s="5" t="str">
        <f ca="1">IF(KENKO[[#This Row],[//]]="","",IF(INDEX([2]!NOTA[HARGA/ CTN],KENKO[[#This Row],[//]]-2)="",INDEX([2]!NOTA[HARGA SATUAN],KENKO[//]-2),INDEX([2]!NOTA[HARGA/ CTN],KENKO[[#This Row],[//]]-2)))</f>
        <v/>
      </c>
      <c r="O361" s="7" t="str">
        <f ca="1">IF(KENKO[[#This Row],[//]]="","",IF(INDEX([2]!NOTA[DISC 2],KENKO[[#This Row],[//]]-2)=0,"",INDEX([2]!NOTA[DISC 2],KENKO[[#This Row],[//]]-2)))</f>
        <v/>
      </c>
      <c r="P361" s="7"/>
      <c r="Q36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1" s="4" t="str">
        <f ca="1">IF(KENKO[[#This Row],[//]]="","",INDEX([2]!NOTA[NAMA BARANG],KENKO[[#This Row],[//]]-2))</f>
        <v/>
      </c>
      <c r="V361" s="4" t="str">
        <f ca="1">LOWER(SUBSTITUTE(SUBSTITUTE(SUBSTITUTE(SUBSTITUTE(SUBSTITUTE(SUBSTITUTE(SUBSTITUTE(SUBSTITUTE(KENKO[[#This Row],[N.B.nota]]," ",""),"-",""),"(",""),")",""),".",""),",",""),"/",""),"""",""))</f>
        <v/>
      </c>
      <c r="W361" s="6" t="str">
        <f ca="1">IF(KENKO[[#This Row],[concat]]="","",MATCH(KENKO[[#This Row],[concat]],[4]!db[NB NOTA_C],0)+1)</f>
        <v/>
      </c>
      <c r="X361" s="4" t="str">
        <f ca="1">IF(KENKO[[#This Row],[N.B.nota]]="","",ADDRESS(ROW(KENKO[QB]),COLUMN(KENKO[QB]))&amp;":"&amp;ADDRESS(ROW(),COLUMN(KENKO[QB])))</f>
        <v/>
      </c>
      <c r="Y361" s="13" t="str">
        <f ca="1">IF(KENKO[[#This Row],[//]]="","",HYPERLINK("[..\\DB.xlsx]DB!e"&amp;KENKO[[#This Row],[stt]],"&gt;"))</f>
        <v/>
      </c>
      <c r="Z361" s="4" t="str">
        <f ca="1">IF(KENKO[[#This Row],[//]]="","",IF(KENKO[[#This Row],[ID NOTA]]="",Z360,KENKO[[#This Row],[ID NOTA]]))</f>
        <v/>
      </c>
    </row>
    <row r="362" spans="1:26" ht="15" customHeight="1" x14ac:dyDescent="0.25">
      <c r="A362" s="4"/>
      <c r="B362" s="6" t="str">
        <f>IF(KENKO[[#This Row],[N_ID]]="","",INDEX(Table1[ID],MATCH(KENKO[[#This Row],[N_ID]],Table1[N_ID],0)))</f>
        <v/>
      </c>
      <c r="C362" s="6" t="str">
        <f>IF(KENKO[[#This Row],[ID NOTA]]="","",HYPERLINK("[NOTA_.xlsx]NOTA!e"&amp;INDEX([2]!PAJAK[//],MATCH(KENKO[[#This Row],[ID NOTA]],[2]!PAJAK[ID],0)),"&gt;") )</f>
        <v/>
      </c>
      <c r="D362" s="6" t="str">
        <f>IF(KENKO[[#This Row],[ID NOTA]]="","",INDEX(Table1[QB],MATCH(KENKO[[#This Row],[ID NOTA]],Table1[ID],0)))</f>
        <v/>
      </c>
      <c r="E36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2" s="6"/>
      <c r="G362" s="3" t="str">
        <f>IF(KENKO[[#This Row],[ID NOTA]]="","",INDEX([2]!NOTA[TGL_H],MATCH(KENKO[[#This Row],[ID NOTA]],[2]!NOTA[ID],0)))</f>
        <v/>
      </c>
      <c r="H362" s="3" t="str">
        <f>IF(KENKO[[#This Row],[ID NOTA]]="","",INDEX([2]!NOTA[TGL.NOTA],MATCH(KENKO[[#This Row],[ID NOTA]],[2]!NOTA[ID],0)))</f>
        <v/>
      </c>
      <c r="I362" s="18" t="str">
        <f>IF(KENKO[[#This Row],[ID NOTA]]="","",INDEX([2]!NOTA[NO.NOTA],MATCH(KENKO[[#This Row],[ID NOTA]],[2]!NOTA[ID],0)))</f>
        <v/>
      </c>
      <c r="J362" s="4" t="str">
        <f ca="1">IF(KENKO[[#This Row],[//]]="","",INDEX([4]!db[NB PAJAK],KENKO[[#This Row],[stt]]-1))</f>
        <v/>
      </c>
      <c r="K362" s="6" t="str">
        <f>""</f>
        <v/>
      </c>
      <c r="L362" s="6" t="str">
        <f ca="1">IF(KENKO[[#This Row],[//]]="","",IF(INDEX([2]!NOTA[QTY],KENKO[//]-2)="",INDEX([2]!NOTA[C],KENKO[//]-2),INDEX([2]!NOTA[QTY],KENKO[//]-2)))</f>
        <v/>
      </c>
      <c r="M362" s="6" t="str">
        <f ca="1">IF(KENKO[[#This Row],[//]]="","",IF(INDEX([2]!NOTA[STN],KENKO[//]-2)="","CTN",INDEX([2]!NOTA[STN],KENKO[//]-2)))</f>
        <v/>
      </c>
      <c r="N362" s="5" t="str">
        <f ca="1">IF(KENKO[[#This Row],[//]]="","",IF(INDEX([2]!NOTA[HARGA/ CTN],KENKO[[#This Row],[//]]-2)="",INDEX([2]!NOTA[HARGA SATUAN],KENKO[//]-2),INDEX([2]!NOTA[HARGA/ CTN],KENKO[[#This Row],[//]]-2)))</f>
        <v/>
      </c>
      <c r="O362" s="7" t="str">
        <f ca="1">IF(KENKO[[#This Row],[//]]="","",IF(INDEX([2]!NOTA[DISC 2],KENKO[[#This Row],[//]]-2)=0,"",INDEX([2]!NOTA[DISC 2],KENKO[[#This Row],[//]]-2)))</f>
        <v/>
      </c>
      <c r="P362" s="7"/>
      <c r="Q36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2" s="4" t="str">
        <f ca="1">IF(KENKO[[#This Row],[//]]="","",INDEX([2]!NOTA[NAMA BARANG],KENKO[[#This Row],[//]]-2))</f>
        <v/>
      </c>
      <c r="V362" s="4" t="str">
        <f ca="1">LOWER(SUBSTITUTE(SUBSTITUTE(SUBSTITUTE(SUBSTITUTE(SUBSTITUTE(SUBSTITUTE(SUBSTITUTE(SUBSTITUTE(KENKO[[#This Row],[N.B.nota]]," ",""),"-",""),"(",""),")",""),".",""),",",""),"/",""),"""",""))</f>
        <v/>
      </c>
      <c r="W362" s="6" t="str">
        <f ca="1">IF(KENKO[[#This Row],[concat]]="","",MATCH(KENKO[[#This Row],[concat]],[4]!db[NB NOTA_C],0)+1)</f>
        <v/>
      </c>
      <c r="X362" s="4" t="str">
        <f ca="1">IF(KENKO[[#This Row],[N.B.nota]]="","",ADDRESS(ROW(KENKO[QB]),COLUMN(KENKO[QB]))&amp;":"&amp;ADDRESS(ROW(),COLUMN(KENKO[QB])))</f>
        <v/>
      </c>
      <c r="Y362" s="13" t="str">
        <f ca="1">IF(KENKO[[#This Row],[//]]="","",HYPERLINK("[..\\DB.xlsx]DB!e"&amp;KENKO[[#This Row],[stt]],"&gt;"))</f>
        <v/>
      </c>
      <c r="Z362" s="4" t="str">
        <f ca="1">IF(KENKO[[#This Row],[//]]="","",IF(KENKO[[#This Row],[ID NOTA]]="",Z361,KENKO[[#This Row],[ID NOTA]]))</f>
        <v/>
      </c>
    </row>
    <row r="363" spans="1:26" ht="15" customHeight="1" x14ac:dyDescent="0.25">
      <c r="A363" s="4"/>
      <c r="B363" s="6" t="str">
        <f>IF(KENKO[[#This Row],[N_ID]]="","",INDEX(Table1[ID],MATCH(KENKO[[#This Row],[N_ID]],Table1[N_ID],0)))</f>
        <v/>
      </c>
      <c r="C363" s="6" t="str">
        <f>IF(KENKO[[#This Row],[ID NOTA]]="","",HYPERLINK("[NOTA_.xlsx]NOTA!e"&amp;INDEX([2]!PAJAK[//],MATCH(KENKO[[#This Row],[ID NOTA]],[2]!PAJAK[ID],0)),"&gt;") )</f>
        <v/>
      </c>
      <c r="D363" s="6" t="str">
        <f>IF(KENKO[[#This Row],[ID NOTA]]="","",INDEX(Table1[QB],MATCH(KENKO[[#This Row],[ID NOTA]],Table1[ID],0)))</f>
        <v/>
      </c>
      <c r="E36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3" s="6"/>
      <c r="G363" s="3" t="str">
        <f>IF(KENKO[[#This Row],[ID NOTA]]="","",INDEX([2]!NOTA[TGL_H],MATCH(KENKO[[#This Row],[ID NOTA]],[2]!NOTA[ID],0)))</f>
        <v/>
      </c>
      <c r="H363" s="3" t="str">
        <f>IF(KENKO[[#This Row],[ID NOTA]]="","",INDEX([2]!NOTA[TGL.NOTA],MATCH(KENKO[[#This Row],[ID NOTA]],[2]!NOTA[ID],0)))</f>
        <v/>
      </c>
      <c r="I363" s="18" t="str">
        <f>IF(KENKO[[#This Row],[ID NOTA]]="","",INDEX([2]!NOTA[NO.NOTA],MATCH(KENKO[[#This Row],[ID NOTA]],[2]!NOTA[ID],0)))</f>
        <v/>
      </c>
      <c r="J363" s="4" t="str">
        <f ca="1">IF(KENKO[[#This Row],[//]]="","",INDEX([4]!db[NB PAJAK],KENKO[[#This Row],[stt]]-1))</f>
        <v/>
      </c>
      <c r="K363" s="6" t="str">
        <f>""</f>
        <v/>
      </c>
      <c r="L363" s="6" t="str">
        <f ca="1">IF(KENKO[[#This Row],[//]]="","",IF(INDEX([2]!NOTA[QTY],KENKO[//]-2)="",INDEX([2]!NOTA[C],KENKO[//]-2),INDEX([2]!NOTA[QTY],KENKO[//]-2)))</f>
        <v/>
      </c>
      <c r="M363" s="6" t="str">
        <f ca="1">IF(KENKO[[#This Row],[//]]="","",IF(INDEX([2]!NOTA[STN],KENKO[//]-2)="","CTN",INDEX([2]!NOTA[STN],KENKO[//]-2)))</f>
        <v/>
      </c>
      <c r="N363" s="5" t="str">
        <f ca="1">IF(KENKO[[#This Row],[//]]="","",IF(INDEX([2]!NOTA[HARGA/ CTN],KENKO[[#This Row],[//]]-2)="",INDEX([2]!NOTA[HARGA SATUAN],KENKO[//]-2),INDEX([2]!NOTA[HARGA/ CTN],KENKO[[#This Row],[//]]-2)))</f>
        <v/>
      </c>
      <c r="O363" s="7" t="str">
        <f ca="1">IF(KENKO[[#This Row],[//]]="","",IF(INDEX([2]!NOTA[DISC 2],KENKO[[#This Row],[//]]-2)=0,"",INDEX([2]!NOTA[DISC 2],KENKO[[#This Row],[//]]-2)))</f>
        <v/>
      </c>
      <c r="P363" s="7"/>
      <c r="Q36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3" s="4" t="str">
        <f ca="1">IF(KENKO[[#This Row],[//]]="","",INDEX([2]!NOTA[NAMA BARANG],KENKO[[#This Row],[//]]-2))</f>
        <v/>
      </c>
      <c r="V363" s="4" t="str">
        <f ca="1">LOWER(SUBSTITUTE(SUBSTITUTE(SUBSTITUTE(SUBSTITUTE(SUBSTITUTE(SUBSTITUTE(SUBSTITUTE(SUBSTITUTE(KENKO[[#This Row],[N.B.nota]]," ",""),"-",""),"(",""),")",""),".",""),",",""),"/",""),"""",""))</f>
        <v/>
      </c>
      <c r="W363" s="6" t="str">
        <f ca="1">IF(KENKO[[#This Row],[concat]]="","",MATCH(KENKO[[#This Row],[concat]],[4]!db[NB NOTA_C],0)+1)</f>
        <v/>
      </c>
      <c r="X363" s="4" t="str">
        <f ca="1">IF(KENKO[[#This Row],[N.B.nota]]="","",ADDRESS(ROW(KENKO[QB]),COLUMN(KENKO[QB]))&amp;":"&amp;ADDRESS(ROW(),COLUMN(KENKO[QB])))</f>
        <v/>
      </c>
      <c r="Y363" s="13" t="str">
        <f ca="1">IF(KENKO[[#This Row],[//]]="","",HYPERLINK("[..\\DB.xlsx]DB!e"&amp;KENKO[[#This Row],[stt]],"&gt;"))</f>
        <v/>
      </c>
      <c r="Z363" s="4" t="str">
        <f ca="1">IF(KENKO[[#This Row],[//]]="","",IF(KENKO[[#This Row],[ID NOTA]]="",Z362,KENKO[[#This Row],[ID NOTA]]))</f>
        <v/>
      </c>
    </row>
    <row r="364" spans="1:26" ht="15" customHeight="1" x14ac:dyDescent="0.25">
      <c r="A364" s="4"/>
      <c r="B364" s="6" t="str">
        <f>IF(KENKO[[#This Row],[N_ID]]="","",INDEX(Table1[ID],MATCH(KENKO[[#This Row],[N_ID]],Table1[N_ID],0)))</f>
        <v/>
      </c>
      <c r="C364" s="6" t="str">
        <f>IF(KENKO[[#This Row],[ID NOTA]]="","",HYPERLINK("[NOTA_.xlsx]NOTA!e"&amp;INDEX([2]!PAJAK[//],MATCH(KENKO[[#This Row],[ID NOTA]],[2]!PAJAK[ID],0)),"&gt;") )</f>
        <v/>
      </c>
      <c r="D364" s="6" t="str">
        <f>IF(KENKO[[#This Row],[ID NOTA]]="","",INDEX(Table1[QB],MATCH(KENKO[[#This Row],[ID NOTA]],Table1[ID],0)))</f>
        <v/>
      </c>
      <c r="E36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4" s="6"/>
      <c r="G364" s="3" t="str">
        <f>IF(KENKO[[#This Row],[ID NOTA]]="","",INDEX([2]!NOTA[TGL_H],MATCH(KENKO[[#This Row],[ID NOTA]],[2]!NOTA[ID],0)))</f>
        <v/>
      </c>
      <c r="H364" s="3" t="str">
        <f>IF(KENKO[[#This Row],[ID NOTA]]="","",INDEX([2]!NOTA[TGL.NOTA],MATCH(KENKO[[#This Row],[ID NOTA]],[2]!NOTA[ID],0)))</f>
        <v/>
      </c>
      <c r="I364" s="18" t="str">
        <f>IF(KENKO[[#This Row],[ID NOTA]]="","",INDEX([2]!NOTA[NO.NOTA],MATCH(KENKO[[#This Row],[ID NOTA]],[2]!NOTA[ID],0)))</f>
        <v/>
      </c>
      <c r="J364" s="4" t="str">
        <f ca="1">IF(KENKO[[#This Row],[//]]="","",INDEX([4]!db[NB PAJAK],KENKO[[#This Row],[stt]]-1))</f>
        <v/>
      </c>
      <c r="K364" s="6" t="str">
        <f>""</f>
        <v/>
      </c>
      <c r="L364" s="6" t="str">
        <f ca="1">IF(KENKO[[#This Row],[//]]="","",IF(INDEX([2]!NOTA[QTY],KENKO[//]-2)="",INDEX([2]!NOTA[C],KENKO[//]-2),INDEX([2]!NOTA[QTY],KENKO[//]-2)))</f>
        <v/>
      </c>
      <c r="M364" s="6" t="str">
        <f ca="1">IF(KENKO[[#This Row],[//]]="","",IF(INDEX([2]!NOTA[STN],KENKO[//]-2)="","CTN",INDEX([2]!NOTA[STN],KENKO[//]-2)))</f>
        <v/>
      </c>
      <c r="N364" s="5" t="str">
        <f ca="1">IF(KENKO[[#This Row],[//]]="","",IF(INDEX([2]!NOTA[HARGA/ CTN],KENKO[[#This Row],[//]]-2)="",INDEX([2]!NOTA[HARGA SATUAN],KENKO[//]-2),INDEX([2]!NOTA[HARGA/ CTN],KENKO[[#This Row],[//]]-2)))</f>
        <v/>
      </c>
      <c r="O364" s="7" t="str">
        <f ca="1">IF(KENKO[[#This Row],[//]]="","",IF(INDEX([2]!NOTA[DISC 2],KENKO[[#This Row],[//]]-2)=0,"",INDEX([2]!NOTA[DISC 2],KENKO[[#This Row],[//]]-2)))</f>
        <v/>
      </c>
      <c r="P364" s="7"/>
      <c r="Q36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4" s="4" t="str">
        <f ca="1">IF(KENKO[[#This Row],[//]]="","",INDEX([2]!NOTA[NAMA BARANG],KENKO[[#This Row],[//]]-2))</f>
        <v/>
      </c>
      <c r="V364" s="4" t="str">
        <f ca="1">LOWER(SUBSTITUTE(SUBSTITUTE(SUBSTITUTE(SUBSTITUTE(SUBSTITUTE(SUBSTITUTE(SUBSTITUTE(SUBSTITUTE(KENKO[[#This Row],[N.B.nota]]," ",""),"-",""),"(",""),")",""),".",""),",",""),"/",""),"""",""))</f>
        <v/>
      </c>
      <c r="W364" s="6" t="str">
        <f ca="1">IF(KENKO[[#This Row],[concat]]="","",MATCH(KENKO[[#This Row],[concat]],[4]!db[NB NOTA_C],0)+1)</f>
        <v/>
      </c>
      <c r="X364" s="4" t="str">
        <f ca="1">IF(KENKO[[#This Row],[N.B.nota]]="","",ADDRESS(ROW(KENKO[QB]),COLUMN(KENKO[QB]))&amp;":"&amp;ADDRESS(ROW(),COLUMN(KENKO[QB])))</f>
        <v/>
      </c>
      <c r="Y364" s="13" t="str">
        <f ca="1">IF(KENKO[[#This Row],[//]]="","",HYPERLINK("[..\\DB.xlsx]DB!e"&amp;KENKO[[#This Row],[stt]],"&gt;"))</f>
        <v/>
      </c>
      <c r="Z364" s="4" t="str">
        <f ca="1">IF(KENKO[[#This Row],[//]]="","",IF(KENKO[[#This Row],[ID NOTA]]="",Z363,KENKO[[#This Row],[ID NOTA]]))</f>
        <v/>
      </c>
    </row>
    <row r="365" spans="1:26" ht="15" customHeight="1" x14ac:dyDescent="0.25">
      <c r="A365" s="4"/>
      <c r="B365" s="6" t="str">
        <f>IF(KENKO[[#This Row],[N_ID]]="","",INDEX(Table1[ID],MATCH(KENKO[[#This Row],[N_ID]],Table1[N_ID],0)))</f>
        <v/>
      </c>
      <c r="C365" s="6" t="str">
        <f>IF(KENKO[[#This Row],[ID NOTA]]="","",HYPERLINK("[NOTA_.xlsx]NOTA!e"&amp;INDEX([2]!PAJAK[//],MATCH(KENKO[[#This Row],[ID NOTA]],[2]!PAJAK[ID],0)),"&gt;") )</f>
        <v/>
      </c>
      <c r="D365" s="6" t="str">
        <f>IF(KENKO[[#This Row],[ID NOTA]]="","",INDEX(Table1[QB],MATCH(KENKO[[#This Row],[ID NOTA]],Table1[ID],0)))</f>
        <v/>
      </c>
      <c r="E3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5" s="6"/>
      <c r="G365" s="3" t="str">
        <f>IF(KENKO[[#This Row],[ID NOTA]]="","",INDEX([2]!NOTA[TGL_H],MATCH(KENKO[[#This Row],[ID NOTA]],[2]!NOTA[ID],0)))</f>
        <v/>
      </c>
      <c r="H365" s="3" t="str">
        <f>IF(KENKO[[#This Row],[ID NOTA]]="","",INDEX([2]!NOTA[TGL.NOTA],MATCH(KENKO[[#This Row],[ID NOTA]],[2]!NOTA[ID],0)))</f>
        <v/>
      </c>
      <c r="I365" s="18" t="str">
        <f>IF(KENKO[[#This Row],[ID NOTA]]="","",INDEX([2]!NOTA[NO.NOTA],MATCH(KENKO[[#This Row],[ID NOTA]],[2]!NOTA[ID],0)))</f>
        <v/>
      </c>
      <c r="J365" s="4" t="str">
        <f ca="1">IF(KENKO[[#This Row],[//]]="","",INDEX([4]!db[NB PAJAK],KENKO[[#This Row],[stt]]-1))</f>
        <v/>
      </c>
      <c r="K365" s="6" t="str">
        <f>""</f>
        <v/>
      </c>
      <c r="L365" s="6" t="str">
        <f ca="1">IF(KENKO[[#This Row],[//]]="","",IF(INDEX([2]!NOTA[QTY],KENKO[//]-2)="",INDEX([2]!NOTA[C],KENKO[//]-2),INDEX([2]!NOTA[QTY],KENKO[//]-2)))</f>
        <v/>
      </c>
      <c r="M365" s="6" t="str">
        <f ca="1">IF(KENKO[[#This Row],[//]]="","",IF(INDEX([2]!NOTA[STN],KENKO[//]-2)="","CTN",INDEX([2]!NOTA[STN],KENKO[//]-2)))</f>
        <v/>
      </c>
      <c r="N365" s="5" t="str">
        <f ca="1">IF(KENKO[[#This Row],[//]]="","",IF(INDEX([2]!NOTA[HARGA/ CTN],KENKO[[#This Row],[//]]-2)="",INDEX([2]!NOTA[HARGA SATUAN],KENKO[//]-2),INDEX([2]!NOTA[HARGA/ CTN],KENKO[[#This Row],[//]]-2)))</f>
        <v/>
      </c>
      <c r="O365" s="7" t="str">
        <f ca="1">IF(KENKO[[#This Row],[//]]="","",IF(INDEX([2]!NOTA[DISC 2],KENKO[[#This Row],[//]]-2)=0,"",INDEX([2]!NOTA[DISC 2],KENKO[[#This Row],[//]]-2)))</f>
        <v/>
      </c>
      <c r="P365" s="7"/>
      <c r="Q36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5" s="4" t="str">
        <f ca="1">IF(KENKO[[#This Row],[//]]="","",INDEX([2]!NOTA[NAMA BARANG],KENKO[[#This Row],[//]]-2))</f>
        <v/>
      </c>
      <c r="V365" s="4" t="str">
        <f ca="1">LOWER(SUBSTITUTE(SUBSTITUTE(SUBSTITUTE(SUBSTITUTE(SUBSTITUTE(SUBSTITUTE(SUBSTITUTE(SUBSTITUTE(KENKO[[#This Row],[N.B.nota]]," ",""),"-",""),"(",""),")",""),".",""),",",""),"/",""),"""",""))</f>
        <v/>
      </c>
      <c r="W365" s="6" t="str">
        <f ca="1">IF(KENKO[[#This Row],[concat]]="","",MATCH(KENKO[[#This Row],[concat]],[4]!db[NB NOTA_C],0)+1)</f>
        <v/>
      </c>
      <c r="X365" s="4" t="str">
        <f ca="1">IF(KENKO[[#This Row],[N.B.nota]]="","",ADDRESS(ROW(KENKO[QB]),COLUMN(KENKO[QB]))&amp;":"&amp;ADDRESS(ROW(),COLUMN(KENKO[QB])))</f>
        <v/>
      </c>
      <c r="Y365" s="13" t="str">
        <f ca="1">IF(KENKO[[#This Row],[//]]="","",HYPERLINK("[..\\DB.xlsx]DB!e"&amp;KENKO[[#This Row],[stt]],"&gt;"))</f>
        <v/>
      </c>
      <c r="Z365" s="4" t="str">
        <f ca="1">IF(KENKO[[#This Row],[//]]="","",IF(KENKO[[#This Row],[ID NOTA]]="",Z364,KENKO[[#This Row],[ID NOTA]]))</f>
        <v/>
      </c>
    </row>
    <row r="366" spans="1:26" ht="15" customHeight="1" x14ac:dyDescent="0.25">
      <c r="A366" s="4"/>
      <c r="B366" s="6" t="str">
        <f>IF(KENKO[[#This Row],[N_ID]]="","",INDEX(Table1[ID],MATCH(KENKO[[#This Row],[N_ID]],Table1[N_ID],0)))</f>
        <v/>
      </c>
      <c r="C366" s="6" t="str">
        <f>IF(KENKO[[#This Row],[ID NOTA]]="","",HYPERLINK("[NOTA_.xlsx]NOTA!e"&amp;INDEX([2]!PAJAK[//],MATCH(KENKO[[#This Row],[ID NOTA]],[2]!PAJAK[ID],0)),"&gt;") )</f>
        <v/>
      </c>
      <c r="D366" s="6" t="str">
        <f>IF(KENKO[[#This Row],[ID NOTA]]="","",INDEX(Table1[QB],MATCH(KENKO[[#This Row],[ID NOTA]],Table1[ID],0)))</f>
        <v/>
      </c>
      <c r="E36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6" s="6"/>
      <c r="G366" s="3" t="str">
        <f>IF(KENKO[[#This Row],[ID NOTA]]="","",INDEX([2]!NOTA[TGL_H],MATCH(KENKO[[#This Row],[ID NOTA]],[2]!NOTA[ID],0)))</f>
        <v/>
      </c>
      <c r="H366" s="3" t="str">
        <f>IF(KENKO[[#This Row],[ID NOTA]]="","",INDEX([2]!NOTA[TGL.NOTA],MATCH(KENKO[[#This Row],[ID NOTA]],[2]!NOTA[ID],0)))</f>
        <v/>
      </c>
      <c r="I366" s="18" t="str">
        <f>IF(KENKO[[#This Row],[ID NOTA]]="","",INDEX([2]!NOTA[NO.NOTA],MATCH(KENKO[[#This Row],[ID NOTA]],[2]!NOTA[ID],0)))</f>
        <v/>
      </c>
      <c r="J366" s="4" t="str">
        <f ca="1">IF(KENKO[[#This Row],[//]]="","",INDEX([4]!db[NB PAJAK],KENKO[[#This Row],[stt]]-1))</f>
        <v/>
      </c>
      <c r="K366" s="6" t="str">
        <f>""</f>
        <v/>
      </c>
      <c r="L366" s="6" t="str">
        <f ca="1">IF(KENKO[[#This Row],[//]]="","",IF(INDEX([2]!NOTA[QTY],KENKO[//]-2)="",INDEX([2]!NOTA[C],KENKO[//]-2),INDEX([2]!NOTA[QTY],KENKO[//]-2)))</f>
        <v/>
      </c>
      <c r="M366" s="6" t="str">
        <f ca="1">IF(KENKO[[#This Row],[//]]="","",IF(INDEX([2]!NOTA[STN],KENKO[//]-2)="","CTN",INDEX([2]!NOTA[STN],KENKO[//]-2)))</f>
        <v/>
      </c>
      <c r="N366" s="5" t="str">
        <f ca="1">IF(KENKO[[#This Row],[//]]="","",IF(INDEX([2]!NOTA[HARGA/ CTN],KENKO[[#This Row],[//]]-2)="",INDEX([2]!NOTA[HARGA SATUAN],KENKO[//]-2),INDEX([2]!NOTA[HARGA/ CTN],KENKO[[#This Row],[//]]-2)))</f>
        <v/>
      </c>
      <c r="O366" s="7" t="str">
        <f ca="1">IF(KENKO[[#This Row],[//]]="","",IF(INDEX([2]!NOTA[DISC 2],KENKO[[#This Row],[//]]-2)=0,"",INDEX([2]!NOTA[DISC 2],KENKO[[#This Row],[//]]-2)))</f>
        <v/>
      </c>
      <c r="P366" s="7"/>
      <c r="Q36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6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6" s="4" t="str">
        <f ca="1">IF(KENKO[[#This Row],[//]]="","",INDEX([2]!NOTA[NAMA BARANG],KENKO[[#This Row],[//]]-2))</f>
        <v/>
      </c>
      <c r="V366" s="4" t="str">
        <f ca="1">LOWER(SUBSTITUTE(SUBSTITUTE(SUBSTITUTE(SUBSTITUTE(SUBSTITUTE(SUBSTITUTE(SUBSTITUTE(SUBSTITUTE(KENKO[[#This Row],[N.B.nota]]," ",""),"-",""),"(",""),")",""),".",""),",",""),"/",""),"""",""))</f>
        <v/>
      </c>
      <c r="W366" s="6" t="str">
        <f ca="1">IF(KENKO[[#This Row],[concat]]="","",MATCH(KENKO[[#This Row],[concat]],[4]!db[NB NOTA_C],0)+1)</f>
        <v/>
      </c>
      <c r="X366" s="4" t="str">
        <f ca="1">IF(KENKO[[#This Row],[N.B.nota]]="","",ADDRESS(ROW(KENKO[QB]),COLUMN(KENKO[QB]))&amp;":"&amp;ADDRESS(ROW(),COLUMN(KENKO[QB])))</f>
        <v/>
      </c>
      <c r="Y366" s="58" t="str">
        <f ca="1">IF(KENKO[[#This Row],[//]]="","",HYPERLINK("[..\\DB.xlsx]DB!e"&amp;KENKO[[#This Row],[stt]],"&gt;"))</f>
        <v/>
      </c>
      <c r="Z366" s="4" t="str">
        <f ca="1">IF(KENKO[[#This Row],[//]]="","",IF(KENKO[[#This Row],[ID NOTA]]="",Z365,KENKO[[#This Row],[ID NOTA]]))</f>
        <v/>
      </c>
    </row>
    <row r="367" spans="1:26" ht="15" customHeight="1" x14ac:dyDescent="0.25">
      <c r="A367" s="4"/>
      <c r="B367" s="6" t="str">
        <f>IF(KENKO[[#This Row],[N_ID]]="","",INDEX(Table1[ID],MATCH(KENKO[[#This Row],[N_ID]],Table1[N_ID],0)))</f>
        <v/>
      </c>
      <c r="C367" s="6" t="str">
        <f>IF(KENKO[[#This Row],[ID NOTA]]="","",HYPERLINK("[NOTA_.xlsx]NOTA!e"&amp;INDEX([2]!PAJAK[//],MATCH(KENKO[[#This Row],[ID NOTA]],[2]!PAJAK[ID],0)),"&gt;") )</f>
        <v/>
      </c>
      <c r="D367" s="6" t="str">
        <f>IF(KENKO[[#This Row],[ID NOTA]]="","",INDEX(Table1[QB],MATCH(KENKO[[#This Row],[ID NOTA]],Table1[ID],0)))</f>
        <v/>
      </c>
      <c r="E36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7" s="6"/>
      <c r="G367" s="3" t="str">
        <f>IF(KENKO[[#This Row],[ID NOTA]]="","",INDEX([2]!NOTA[TGL_H],MATCH(KENKO[[#This Row],[ID NOTA]],[2]!NOTA[ID],0)))</f>
        <v/>
      </c>
      <c r="H367" s="3" t="str">
        <f>IF(KENKO[[#This Row],[ID NOTA]]="","",INDEX([2]!NOTA[TGL.NOTA],MATCH(KENKO[[#This Row],[ID NOTA]],[2]!NOTA[ID],0)))</f>
        <v/>
      </c>
      <c r="I367" s="18" t="str">
        <f>IF(KENKO[[#This Row],[ID NOTA]]="","",INDEX([2]!NOTA[NO.NOTA],MATCH(KENKO[[#This Row],[ID NOTA]],[2]!NOTA[ID],0)))</f>
        <v/>
      </c>
      <c r="J367" s="4" t="str">
        <f ca="1">IF(KENKO[[#This Row],[//]]="","",INDEX([4]!db[NB PAJAK],KENKO[[#This Row],[stt]]-1))</f>
        <v/>
      </c>
      <c r="K367" s="6" t="str">
        <f>""</f>
        <v/>
      </c>
      <c r="L367" s="6" t="str">
        <f ca="1">IF(KENKO[[#This Row],[//]]="","",IF(INDEX([2]!NOTA[QTY],KENKO[//]-2)="",INDEX([2]!NOTA[C],KENKO[//]-2),INDEX([2]!NOTA[QTY],KENKO[//]-2)))</f>
        <v/>
      </c>
      <c r="M367" s="6" t="str">
        <f ca="1">IF(KENKO[[#This Row],[//]]="","",IF(INDEX([2]!NOTA[STN],KENKO[//]-2)="","CTN",INDEX([2]!NOTA[STN],KENKO[//]-2)))</f>
        <v/>
      </c>
      <c r="N367" s="5" t="str">
        <f ca="1">IF(KENKO[[#This Row],[//]]="","",IF(INDEX([2]!NOTA[HARGA/ CTN],KENKO[[#This Row],[//]]-2)="",INDEX([2]!NOTA[HARGA SATUAN],KENKO[//]-2),INDEX([2]!NOTA[HARGA/ CTN],KENKO[[#This Row],[//]]-2)))</f>
        <v/>
      </c>
      <c r="O367" s="7" t="str">
        <f ca="1">IF(KENKO[[#This Row],[//]]="","",IF(INDEX([2]!NOTA[DISC 2],KENKO[[#This Row],[//]]-2)=0,"",INDEX([2]!NOTA[DISC 2],KENKO[[#This Row],[//]]-2)))</f>
        <v/>
      </c>
      <c r="P367" s="7"/>
      <c r="Q36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7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7" s="4" t="str">
        <f ca="1">IF(KENKO[[#This Row],[//]]="","",INDEX([2]!NOTA[NAMA BARANG],KENKO[[#This Row],[//]]-2))</f>
        <v/>
      </c>
      <c r="V367" s="4" t="str">
        <f ca="1">LOWER(SUBSTITUTE(SUBSTITUTE(SUBSTITUTE(SUBSTITUTE(SUBSTITUTE(SUBSTITUTE(SUBSTITUTE(SUBSTITUTE(KENKO[[#This Row],[N.B.nota]]," ",""),"-",""),"(",""),")",""),".",""),",",""),"/",""),"""",""))</f>
        <v/>
      </c>
      <c r="W367" s="6" t="str">
        <f ca="1">IF(KENKO[[#This Row],[concat]]="","",MATCH(KENKO[[#This Row],[concat]],[4]!db[NB NOTA_C],0)+1)</f>
        <v/>
      </c>
      <c r="X367" s="4" t="str">
        <f ca="1">IF(KENKO[[#This Row],[N.B.nota]]="","",ADDRESS(ROW(KENKO[QB]),COLUMN(KENKO[QB]))&amp;":"&amp;ADDRESS(ROW(),COLUMN(KENKO[QB])))</f>
        <v/>
      </c>
      <c r="Y367" s="58" t="str">
        <f ca="1">IF(KENKO[[#This Row],[//]]="","",HYPERLINK("[..\\DB.xlsx]DB!e"&amp;KENKO[[#This Row],[stt]],"&gt;"))</f>
        <v/>
      </c>
      <c r="Z367" s="4" t="str">
        <f ca="1">IF(KENKO[[#This Row],[//]]="","",IF(KENKO[[#This Row],[ID NOTA]]="",Z366,KENKO[[#This Row],[ID NOTA]]))</f>
        <v/>
      </c>
    </row>
    <row r="368" spans="1:26" ht="15" customHeight="1" x14ac:dyDescent="0.25">
      <c r="A368" s="4"/>
      <c r="B368" s="6" t="str">
        <f>IF(KENKO[[#This Row],[N_ID]]="","",INDEX(Table1[ID],MATCH(KENKO[[#This Row],[N_ID]],Table1[N_ID],0)))</f>
        <v/>
      </c>
      <c r="C368" s="6" t="str">
        <f>IF(KENKO[[#This Row],[ID NOTA]]="","",HYPERLINK("[NOTA_.xlsx]NOTA!e"&amp;INDEX([2]!PAJAK[//],MATCH(KENKO[[#This Row],[ID NOTA]],[2]!PAJAK[ID],0)),"&gt;") )</f>
        <v/>
      </c>
      <c r="D368" s="6" t="str">
        <f>IF(KENKO[[#This Row],[ID NOTA]]="","",INDEX(Table1[QB],MATCH(KENKO[[#This Row],[ID NOTA]],Table1[ID],0)))</f>
        <v/>
      </c>
      <c r="E36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8" s="6"/>
      <c r="G368" s="3" t="str">
        <f>IF(KENKO[[#This Row],[ID NOTA]]="","",INDEX([2]!NOTA[TGL_H],MATCH(KENKO[[#This Row],[ID NOTA]],[2]!NOTA[ID],0)))</f>
        <v/>
      </c>
      <c r="H368" s="3" t="str">
        <f>IF(KENKO[[#This Row],[ID NOTA]]="","",INDEX([2]!NOTA[TGL.NOTA],MATCH(KENKO[[#This Row],[ID NOTA]],[2]!NOTA[ID],0)))</f>
        <v/>
      </c>
      <c r="I368" s="18" t="str">
        <f>IF(KENKO[[#This Row],[ID NOTA]]="","",INDEX([2]!NOTA[NO.NOTA],MATCH(KENKO[[#This Row],[ID NOTA]],[2]!NOTA[ID],0)))</f>
        <v/>
      </c>
      <c r="J368" s="4" t="str">
        <f ca="1">IF(KENKO[[#This Row],[//]]="","",INDEX([4]!db[NB PAJAK],KENKO[[#This Row],[stt]]-1))</f>
        <v/>
      </c>
      <c r="K368" s="6" t="str">
        <f>""</f>
        <v/>
      </c>
      <c r="L368" s="6" t="str">
        <f ca="1">IF(KENKO[[#This Row],[//]]="","",IF(INDEX([2]!NOTA[QTY],KENKO[//]-2)="",INDEX([2]!NOTA[C],KENKO[//]-2),INDEX([2]!NOTA[QTY],KENKO[//]-2)))</f>
        <v/>
      </c>
      <c r="M368" s="6" t="str">
        <f ca="1">IF(KENKO[[#This Row],[//]]="","",IF(INDEX([2]!NOTA[STN],KENKO[//]-2)="","CTN",INDEX([2]!NOTA[STN],KENKO[//]-2)))</f>
        <v/>
      </c>
      <c r="N368" s="5" t="str">
        <f ca="1">IF(KENKO[[#This Row],[//]]="","",IF(INDEX([2]!NOTA[HARGA/ CTN],KENKO[[#This Row],[//]]-2)="",INDEX([2]!NOTA[HARGA SATUAN],KENKO[//]-2),INDEX([2]!NOTA[HARGA/ CTN],KENKO[[#This Row],[//]]-2)))</f>
        <v/>
      </c>
      <c r="O368" s="7" t="str">
        <f ca="1">IF(KENKO[[#This Row],[//]]="","",IF(INDEX([2]!NOTA[DISC 2],KENKO[[#This Row],[//]]-2)=0,"",INDEX([2]!NOTA[DISC 2],KENKO[[#This Row],[//]]-2)))</f>
        <v/>
      </c>
      <c r="P368" s="7"/>
      <c r="Q36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8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8" s="4" t="str">
        <f ca="1">IF(KENKO[[#This Row],[//]]="","",INDEX([2]!NOTA[NAMA BARANG],KENKO[[#This Row],[//]]-2))</f>
        <v/>
      </c>
      <c r="V368" s="4" t="str">
        <f ca="1">LOWER(SUBSTITUTE(SUBSTITUTE(SUBSTITUTE(SUBSTITUTE(SUBSTITUTE(SUBSTITUTE(SUBSTITUTE(SUBSTITUTE(KENKO[[#This Row],[N.B.nota]]," ",""),"-",""),"(",""),")",""),".",""),",",""),"/",""),"""",""))</f>
        <v/>
      </c>
      <c r="W368" s="6" t="str">
        <f ca="1">IF(KENKO[[#This Row],[concat]]="","",MATCH(KENKO[[#This Row],[concat]],[4]!db[NB NOTA_C],0)+1)</f>
        <v/>
      </c>
      <c r="X368" s="4" t="str">
        <f ca="1">IF(KENKO[[#This Row],[N.B.nota]]="","",ADDRESS(ROW(KENKO[QB]),COLUMN(KENKO[QB]))&amp;":"&amp;ADDRESS(ROW(),COLUMN(KENKO[QB])))</f>
        <v/>
      </c>
      <c r="Y368" s="58" t="str">
        <f ca="1">IF(KENKO[[#This Row],[//]]="","",HYPERLINK("[..\\DB.xlsx]DB!e"&amp;KENKO[[#This Row],[stt]],"&gt;"))</f>
        <v/>
      </c>
      <c r="Z368" s="4" t="str">
        <f ca="1">IF(KENKO[[#This Row],[//]]="","",IF(KENKO[[#This Row],[ID NOTA]]="",Z367,KENKO[[#This Row],[ID NOTA]]))</f>
        <v/>
      </c>
    </row>
    <row r="369" spans="1:26" ht="15" customHeight="1" x14ac:dyDescent="0.25">
      <c r="A369" s="4"/>
      <c r="B369" s="6" t="str">
        <f>IF(KENKO[[#This Row],[N_ID]]="","",INDEX(Table1[ID],MATCH(KENKO[[#This Row],[N_ID]],Table1[N_ID],0)))</f>
        <v/>
      </c>
      <c r="C369" s="6" t="str">
        <f>IF(KENKO[[#This Row],[ID NOTA]]="","",HYPERLINK("[NOTA_.xlsx]NOTA!e"&amp;INDEX([2]!PAJAK[//],MATCH(KENKO[[#This Row],[ID NOTA]],[2]!PAJAK[ID],0)),"&gt;") )</f>
        <v/>
      </c>
      <c r="D369" s="6" t="str">
        <f>IF(KENKO[[#This Row],[ID NOTA]]="","",INDEX(Table1[QB],MATCH(KENKO[[#This Row],[ID NOTA]],Table1[ID],0)))</f>
        <v/>
      </c>
      <c r="E3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9" s="6"/>
      <c r="G369" s="3" t="str">
        <f>IF(KENKO[[#This Row],[ID NOTA]]="","",INDEX([2]!NOTA[TGL_H],MATCH(KENKO[[#This Row],[ID NOTA]],[2]!NOTA[ID],0)))</f>
        <v/>
      </c>
      <c r="H369" s="3" t="str">
        <f>IF(KENKO[[#This Row],[ID NOTA]]="","",INDEX([2]!NOTA[TGL.NOTA],MATCH(KENKO[[#This Row],[ID NOTA]],[2]!NOTA[ID],0)))</f>
        <v/>
      </c>
      <c r="I369" s="18" t="str">
        <f>IF(KENKO[[#This Row],[ID NOTA]]="","",INDEX([2]!NOTA[NO.NOTA],MATCH(KENKO[[#This Row],[ID NOTA]],[2]!NOTA[ID],0)))</f>
        <v/>
      </c>
      <c r="J369" s="4" t="str">
        <f ca="1">IF(KENKO[[#This Row],[//]]="","",INDEX([4]!db[NB PAJAK],KENKO[[#This Row],[stt]]-1))</f>
        <v/>
      </c>
      <c r="K369" s="6" t="str">
        <f>""</f>
        <v/>
      </c>
      <c r="L369" s="6" t="str">
        <f ca="1">IF(KENKO[[#This Row],[//]]="","",IF(INDEX([2]!NOTA[QTY],KENKO[//]-2)="",INDEX([2]!NOTA[C],KENKO[//]-2),INDEX([2]!NOTA[QTY],KENKO[//]-2)))</f>
        <v/>
      </c>
      <c r="M369" s="6" t="str">
        <f ca="1">IF(KENKO[[#This Row],[//]]="","",IF(INDEX([2]!NOTA[STN],KENKO[//]-2)="","CTN",INDEX([2]!NOTA[STN],KENKO[//]-2)))</f>
        <v/>
      </c>
      <c r="N369" s="5" t="str">
        <f ca="1">IF(KENKO[[#This Row],[//]]="","",IF(INDEX([2]!NOTA[HARGA/ CTN],KENKO[[#This Row],[//]]-2)="",INDEX([2]!NOTA[HARGA SATUAN],KENKO[//]-2),INDEX([2]!NOTA[HARGA/ CTN],KENKO[[#This Row],[//]]-2)))</f>
        <v/>
      </c>
      <c r="O369" s="7" t="str">
        <f ca="1">IF(KENKO[[#This Row],[//]]="","",IF(INDEX([2]!NOTA[DISC 2],KENKO[[#This Row],[//]]-2)=0,"",INDEX([2]!NOTA[DISC 2],KENKO[[#This Row],[//]]-2)))</f>
        <v/>
      </c>
      <c r="P369" s="7"/>
      <c r="Q36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9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9" s="4" t="str">
        <f ca="1">IF(KENKO[[#This Row],[//]]="","",INDEX([2]!NOTA[NAMA BARANG],KENKO[[#This Row],[//]]-2))</f>
        <v/>
      </c>
      <c r="V369" s="4" t="str">
        <f ca="1">LOWER(SUBSTITUTE(SUBSTITUTE(SUBSTITUTE(SUBSTITUTE(SUBSTITUTE(SUBSTITUTE(SUBSTITUTE(SUBSTITUTE(KENKO[[#This Row],[N.B.nota]]," ",""),"-",""),"(",""),")",""),".",""),",",""),"/",""),"""",""))</f>
        <v/>
      </c>
      <c r="W369" s="6" t="str">
        <f ca="1">IF(KENKO[[#This Row],[concat]]="","",MATCH(KENKO[[#This Row],[concat]],[4]!db[NB NOTA_C],0)+1)</f>
        <v/>
      </c>
      <c r="X369" s="4" t="str">
        <f ca="1">IF(KENKO[[#This Row],[N.B.nota]]="","",ADDRESS(ROW(KENKO[QB]),COLUMN(KENKO[QB]))&amp;":"&amp;ADDRESS(ROW(),COLUMN(KENKO[QB])))</f>
        <v/>
      </c>
      <c r="Y369" s="58" t="str">
        <f ca="1">IF(KENKO[[#This Row],[//]]="","",HYPERLINK("[..\\DB.xlsx]DB!e"&amp;KENKO[[#This Row],[stt]],"&gt;"))</f>
        <v/>
      </c>
      <c r="Z369" s="4" t="str">
        <f ca="1">IF(KENKO[[#This Row],[//]]="","",IF(KENKO[[#This Row],[ID NOTA]]="",Z368,KENKO[[#This Row],[ID NOTA]]))</f>
        <v/>
      </c>
    </row>
    <row r="370" spans="1:26" ht="15" customHeight="1" x14ac:dyDescent="0.25">
      <c r="A370" s="4"/>
      <c r="B370" s="6" t="str">
        <f>IF(KENKO[[#This Row],[N_ID]]="","",INDEX(Table1[ID],MATCH(KENKO[[#This Row],[N_ID]],Table1[N_ID],0)))</f>
        <v/>
      </c>
      <c r="C370" s="6" t="str">
        <f>IF(KENKO[[#This Row],[ID NOTA]]="","",HYPERLINK("[NOTA_.xlsx]NOTA!e"&amp;INDEX([2]!PAJAK[//],MATCH(KENKO[[#This Row],[ID NOTA]],[2]!PAJAK[ID],0)),"&gt;") )</f>
        <v/>
      </c>
      <c r="D370" s="6" t="str">
        <f>IF(KENKO[[#This Row],[ID NOTA]]="","",INDEX(Table1[QB],MATCH(KENKO[[#This Row],[ID NOTA]],Table1[ID],0)))</f>
        <v/>
      </c>
      <c r="E37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0" s="6"/>
      <c r="G370" s="3" t="str">
        <f>IF(KENKO[[#This Row],[ID NOTA]]="","",INDEX([2]!NOTA[TGL_H],MATCH(KENKO[[#This Row],[ID NOTA]],[2]!NOTA[ID],0)))</f>
        <v/>
      </c>
      <c r="H370" s="3" t="str">
        <f>IF(KENKO[[#This Row],[ID NOTA]]="","",INDEX([2]!NOTA[TGL.NOTA],MATCH(KENKO[[#This Row],[ID NOTA]],[2]!NOTA[ID],0)))</f>
        <v/>
      </c>
      <c r="I370" s="18" t="str">
        <f>IF(KENKO[[#This Row],[ID NOTA]]="","",INDEX([2]!NOTA[NO.NOTA],MATCH(KENKO[[#This Row],[ID NOTA]],[2]!NOTA[ID],0)))</f>
        <v/>
      </c>
      <c r="J370" s="4" t="str">
        <f ca="1">IF(KENKO[[#This Row],[//]]="","",INDEX([4]!db[NB PAJAK],KENKO[[#This Row],[stt]]-1))</f>
        <v/>
      </c>
      <c r="K370" s="6" t="str">
        <f>""</f>
        <v/>
      </c>
      <c r="L370" s="6" t="str">
        <f ca="1">IF(KENKO[[#This Row],[//]]="","",IF(INDEX([2]!NOTA[QTY],KENKO[//]-2)="",INDEX([2]!NOTA[C],KENKO[//]-2),INDEX([2]!NOTA[QTY],KENKO[//]-2)))</f>
        <v/>
      </c>
      <c r="M370" s="6" t="str">
        <f ca="1">IF(KENKO[[#This Row],[//]]="","",IF(INDEX([2]!NOTA[STN],KENKO[//]-2)="","CTN",INDEX([2]!NOTA[STN],KENKO[//]-2)))</f>
        <v/>
      </c>
      <c r="N370" s="5" t="str">
        <f ca="1">IF(KENKO[[#This Row],[//]]="","",IF(INDEX([2]!NOTA[HARGA/ CTN],KENKO[[#This Row],[//]]-2)="",INDEX([2]!NOTA[HARGA SATUAN],KENKO[//]-2),INDEX([2]!NOTA[HARGA/ CTN],KENKO[[#This Row],[//]]-2)))</f>
        <v/>
      </c>
      <c r="O370" s="7" t="str">
        <f ca="1">IF(KENKO[[#This Row],[//]]="","",IF(INDEX([2]!NOTA[DISC 2],KENKO[[#This Row],[//]]-2)=0,"",INDEX([2]!NOTA[DISC 2],KENKO[[#This Row],[//]]-2)))</f>
        <v/>
      </c>
      <c r="P370" s="7"/>
      <c r="Q37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0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0" s="4" t="str">
        <f ca="1">IF(KENKO[[#This Row],[//]]="","",INDEX([2]!NOTA[NAMA BARANG],KENKO[[#This Row],[//]]-2))</f>
        <v/>
      </c>
      <c r="V370" s="4" t="str">
        <f ca="1">LOWER(SUBSTITUTE(SUBSTITUTE(SUBSTITUTE(SUBSTITUTE(SUBSTITUTE(SUBSTITUTE(SUBSTITUTE(SUBSTITUTE(KENKO[[#This Row],[N.B.nota]]," ",""),"-",""),"(",""),")",""),".",""),",",""),"/",""),"""",""))</f>
        <v/>
      </c>
      <c r="W370" s="6" t="str">
        <f ca="1">IF(KENKO[[#This Row],[concat]]="","",MATCH(KENKO[[#This Row],[concat]],[4]!db[NB NOTA_C],0)+1)</f>
        <v/>
      </c>
      <c r="X370" s="4" t="str">
        <f ca="1">IF(KENKO[[#This Row],[N.B.nota]]="","",ADDRESS(ROW(KENKO[QB]),COLUMN(KENKO[QB]))&amp;":"&amp;ADDRESS(ROW(),COLUMN(KENKO[QB])))</f>
        <v/>
      </c>
      <c r="Y370" s="58" t="str">
        <f ca="1">IF(KENKO[[#This Row],[//]]="","",HYPERLINK("[..\\DB.xlsx]DB!e"&amp;KENKO[[#This Row],[stt]],"&gt;"))</f>
        <v/>
      </c>
      <c r="Z370" s="4" t="str">
        <f ca="1">IF(KENKO[[#This Row],[//]]="","",IF(KENKO[[#This Row],[ID NOTA]]="",Z369,KENKO[[#This Row],[ID NOTA]]))</f>
        <v/>
      </c>
    </row>
    <row r="371" spans="1:26" ht="15" customHeight="1" x14ac:dyDescent="0.25">
      <c r="A371" s="4"/>
      <c r="B371" s="6" t="str">
        <f>IF(KENKO[[#This Row],[N_ID]]="","",INDEX(Table1[ID],MATCH(KENKO[[#This Row],[N_ID]],Table1[N_ID],0)))</f>
        <v/>
      </c>
      <c r="C371" s="6" t="str">
        <f>IF(KENKO[[#This Row],[ID NOTA]]="","",HYPERLINK("[NOTA_.xlsx]NOTA!e"&amp;INDEX([2]!PAJAK[//],MATCH(KENKO[[#This Row],[ID NOTA]],[2]!PAJAK[ID],0)),"&gt;") )</f>
        <v/>
      </c>
      <c r="D371" s="6" t="str">
        <f>IF(KENKO[[#This Row],[ID NOTA]]="","",INDEX(Table1[QB],MATCH(KENKO[[#This Row],[ID NOTA]],Table1[ID],0)))</f>
        <v/>
      </c>
      <c r="E37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1" s="6"/>
      <c r="G371" s="3" t="str">
        <f>IF(KENKO[[#This Row],[ID NOTA]]="","",INDEX([2]!NOTA[TGL_H],MATCH(KENKO[[#This Row],[ID NOTA]],[2]!NOTA[ID],0)))</f>
        <v/>
      </c>
      <c r="H371" s="3" t="str">
        <f>IF(KENKO[[#This Row],[ID NOTA]]="","",INDEX([2]!NOTA[TGL.NOTA],MATCH(KENKO[[#This Row],[ID NOTA]],[2]!NOTA[ID],0)))</f>
        <v/>
      </c>
      <c r="I371" s="18" t="str">
        <f>IF(KENKO[[#This Row],[ID NOTA]]="","",INDEX([2]!NOTA[NO.NOTA],MATCH(KENKO[[#This Row],[ID NOTA]],[2]!NOTA[ID],0)))</f>
        <v/>
      </c>
      <c r="J371" s="4" t="str">
        <f ca="1">IF(KENKO[[#This Row],[//]]="","",INDEX([4]!db[NB PAJAK],KENKO[[#This Row],[stt]]-1))</f>
        <v/>
      </c>
      <c r="K371" s="6" t="str">
        <f>""</f>
        <v/>
      </c>
      <c r="L371" s="6" t="str">
        <f ca="1">IF(KENKO[[#This Row],[//]]="","",IF(INDEX([2]!NOTA[QTY],KENKO[//]-2)="",INDEX([2]!NOTA[C],KENKO[//]-2),INDEX([2]!NOTA[QTY],KENKO[//]-2)))</f>
        <v/>
      </c>
      <c r="M371" s="6" t="str">
        <f ca="1">IF(KENKO[[#This Row],[//]]="","",IF(INDEX([2]!NOTA[STN],KENKO[//]-2)="","CTN",INDEX([2]!NOTA[STN],KENKO[//]-2)))</f>
        <v/>
      </c>
      <c r="N371" s="5" t="str">
        <f ca="1">IF(KENKO[[#This Row],[//]]="","",IF(INDEX([2]!NOTA[HARGA/ CTN],KENKO[[#This Row],[//]]-2)="",INDEX([2]!NOTA[HARGA SATUAN],KENKO[//]-2),INDEX([2]!NOTA[HARGA/ CTN],KENKO[[#This Row],[//]]-2)))</f>
        <v/>
      </c>
      <c r="O371" s="7" t="str">
        <f ca="1">IF(KENKO[[#This Row],[//]]="","",IF(INDEX([2]!NOTA[DISC 2],KENKO[[#This Row],[//]]-2)=0,"",INDEX([2]!NOTA[DISC 2],KENKO[[#This Row],[//]]-2)))</f>
        <v/>
      </c>
      <c r="P371" s="7"/>
      <c r="Q37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1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1" s="4" t="str">
        <f ca="1">IF(KENKO[[#This Row],[//]]="","",INDEX([2]!NOTA[NAMA BARANG],KENKO[[#This Row],[//]]-2))</f>
        <v/>
      </c>
      <c r="V371" s="4" t="str">
        <f ca="1">LOWER(SUBSTITUTE(SUBSTITUTE(SUBSTITUTE(SUBSTITUTE(SUBSTITUTE(SUBSTITUTE(SUBSTITUTE(SUBSTITUTE(KENKO[[#This Row],[N.B.nota]]," ",""),"-",""),"(",""),")",""),".",""),",",""),"/",""),"""",""))</f>
        <v/>
      </c>
      <c r="W371" s="6" t="str">
        <f ca="1">IF(KENKO[[#This Row],[concat]]="","",MATCH(KENKO[[#This Row],[concat]],[4]!db[NB NOTA_C],0)+1)</f>
        <v/>
      </c>
      <c r="X371" s="4" t="str">
        <f ca="1">IF(KENKO[[#This Row],[N.B.nota]]="","",ADDRESS(ROW(KENKO[QB]),COLUMN(KENKO[QB]))&amp;":"&amp;ADDRESS(ROW(),COLUMN(KENKO[QB])))</f>
        <v/>
      </c>
      <c r="Y371" s="58" t="str">
        <f ca="1">IF(KENKO[[#This Row],[//]]="","",HYPERLINK("[..\\DB.xlsx]DB!e"&amp;KENKO[[#This Row],[stt]],"&gt;"))</f>
        <v/>
      </c>
      <c r="Z371" s="4" t="str">
        <f ca="1">IF(KENKO[[#This Row],[//]]="","",IF(KENKO[[#This Row],[ID NOTA]]="",Z370,KENKO[[#This Row],[ID NOTA]]))</f>
        <v/>
      </c>
    </row>
    <row r="372" spans="1:26" ht="15" customHeight="1" x14ac:dyDescent="0.25">
      <c r="A372" s="4"/>
      <c r="B372" s="6" t="str">
        <f>IF(KENKO[[#This Row],[N_ID]]="","",INDEX(Table1[ID],MATCH(KENKO[[#This Row],[N_ID]],Table1[N_ID],0)))</f>
        <v/>
      </c>
      <c r="C372" s="6" t="str">
        <f>IF(KENKO[[#This Row],[ID NOTA]]="","",HYPERLINK("[NOTA_.xlsx]NOTA!e"&amp;INDEX([2]!PAJAK[//],MATCH(KENKO[[#This Row],[ID NOTA]],[2]!PAJAK[ID],0)),"&gt;") )</f>
        <v/>
      </c>
      <c r="D372" s="6" t="str">
        <f>IF(KENKO[[#This Row],[ID NOTA]]="","",INDEX(Table1[QB],MATCH(KENKO[[#This Row],[ID NOTA]],Table1[ID],0)))</f>
        <v/>
      </c>
      <c r="E37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2" s="6"/>
      <c r="G372" s="3" t="str">
        <f>IF(KENKO[[#This Row],[ID NOTA]]="","",INDEX([2]!NOTA[TGL_H],MATCH(KENKO[[#This Row],[ID NOTA]],[2]!NOTA[ID],0)))</f>
        <v/>
      </c>
      <c r="H372" s="3" t="str">
        <f>IF(KENKO[[#This Row],[ID NOTA]]="","",INDEX([2]!NOTA[TGL.NOTA],MATCH(KENKO[[#This Row],[ID NOTA]],[2]!NOTA[ID],0)))</f>
        <v/>
      </c>
      <c r="I372" s="18" t="str">
        <f>IF(KENKO[[#This Row],[ID NOTA]]="","",INDEX([2]!NOTA[NO.NOTA],MATCH(KENKO[[#This Row],[ID NOTA]],[2]!NOTA[ID],0)))</f>
        <v/>
      </c>
      <c r="J372" s="4" t="str">
        <f ca="1">IF(KENKO[[#This Row],[//]]="","",INDEX([4]!db[NB PAJAK],KENKO[[#This Row],[stt]]-1))</f>
        <v/>
      </c>
      <c r="K372" s="6" t="str">
        <f>""</f>
        <v/>
      </c>
      <c r="L372" s="6" t="str">
        <f ca="1">IF(KENKO[[#This Row],[//]]="","",IF(INDEX([2]!NOTA[QTY],KENKO[//]-2)="",INDEX([2]!NOTA[C],KENKO[//]-2),INDEX([2]!NOTA[QTY],KENKO[//]-2)))</f>
        <v/>
      </c>
      <c r="M372" s="6" t="str">
        <f ca="1">IF(KENKO[[#This Row],[//]]="","",IF(INDEX([2]!NOTA[STN],KENKO[//]-2)="","CTN",INDEX([2]!NOTA[STN],KENKO[//]-2)))</f>
        <v/>
      </c>
      <c r="N372" s="5" t="str">
        <f ca="1">IF(KENKO[[#This Row],[//]]="","",IF(INDEX([2]!NOTA[HARGA/ CTN],KENKO[[#This Row],[//]]-2)="",INDEX([2]!NOTA[HARGA SATUAN],KENKO[//]-2),INDEX([2]!NOTA[HARGA/ CTN],KENKO[[#This Row],[//]]-2)))</f>
        <v/>
      </c>
      <c r="O372" s="7" t="str">
        <f ca="1">IF(KENKO[[#This Row],[//]]="","",IF(INDEX([2]!NOTA[DISC 2],KENKO[[#This Row],[//]]-2)=0,"",INDEX([2]!NOTA[DISC 2],KENKO[[#This Row],[//]]-2)))</f>
        <v/>
      </c>
      <c r="P372" s="7"/>
      <c r="Q37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2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2" s="4" t="str">
        <f ca="1">IF(KENKO[[#This Row],[//]]="","",INDEX([2]!NOTA[NAMA BARANG],KENKO[[#This Row],[//]]-2))</f>
        <v/>
      </c>
      <c r="V372" s="4" t="str">
        <f ca="1">LOWER(SUBSTITUTE(SUBSTITUTE(SUBSTITUTE(SUBSTITUTE(SUBSTITUTE(SUBSTITUTE(SUBSTITUTE(SUBSTITUTE(KENKO[[#This Row],[N.B.nota]]," ",""),"-",""),"(",""),")",""),".",""),",",""),"/",""),"""",""))</f>
        <v/>
      </c>
      <c r="W372" s="6" t="str">
        <f ca="1">IF(KENKO[[#This Row],[concat]]="","",MATCH(KENKO[[#This Row],[concat]],[4]!db[NB NOTA_C],0)+1)</f>
        <v/>
      </c>
      <c r="X372" s="4" t="str">
        <f ca="1">IF(KENKO[[#This Row],[N.B.nota]]="","",ADDRESS(ROW(KENKO[QB]),COLUMN(KENKO[QB]))&amp;":"&amp;ADDRESS(ROW(),COLUMN(KENKO[QB])))</f>
        <v/>
      </c>
      <c r="Y372" s="58" t="str">
        <f ca="1">IF(KENKO[[#This Row],[//]]="","",HYPERLINK("[..\\DB.xlsx]DB!e"&amp;KENKO[[#This Row],[stt]],"&gt;"))</f>
        <v/>
      </c>
      <c r="Z372" s="4" t="str">
        <f ca="1">IF(KENKO[[#This Row],[//]]="","",IF(KENKO[[#This Row],[ID NOTA]]="",Z371,KENKO[[#This Row],[ID NOTA]]))</f>
        <v/>
      </c>
    </row>
    <row r="373" spans="1:26" ht="15" customHeight="1" x14ac:dyDescent="0.25">
      <c r="A373" s="4"/>
      <c r="B373" s="6" t="str">
        <f>IF(KENKO[[#This Row],[N_ID]]="","",INDEX(Table1[ID],MATCH(KENKO[[#This Row],[N_ID]],Table1[N_ID],0)))</f>
        <v/>
      </c>
      <c r="C373" s="6" t="str">
        <f>IF(KENKO[[#This Row],[ID NOTA]]="","",HYPERLINK("[NOTA_.xlsx]NOTA!e"&amp;INDEX([2]!PAJAK[//],MATCH(KENKO[[#This Row],[ID NOTA]],[2]!PAJAK[ID],0)),"&gt;") )</f>
        <v/>
      </c>
      <c r="D373" s="6" t="str">
        <f>IF(KENKO[[#This Row],[ID NOTA]]="","",INDEX(Table1[QB],MATCH(KENKO[[#This Row],[ID NOTA]],Table1[ID],0)))</f>
        <v/>
      </c>
      <c r="E37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3" s="6"/>
      <c r="G373" s="3" t="str">
        <f>IF(KENKO[[#This Row],[ID NOTA]]="","",INDEX([2]!NOTA[TGL_H],MATCH(KENKO[[#This Row],[ID NOTA]],[2]!NOTA[ID],0)))</f>
        <v/>
      </c>
      <c r="H373" s="3" t="str">
        <f>IF(KENKO[[#This Row],[ID NOTA]]="","",INDEX([2]!NOTA[TGL.NOTA],MATCH(KENKO[[#This Row],[ID NOTA]],[2]!NOTA[ID],0)))</f>
        <v/>
      </c>
      <c r="I373" s="18" t="str">
        <f>IF(KENKO[[#This Row],[ID NOTA]]="","",INDEX([2]!NOTA[NO.NOTA],MATCH(KENKO[[#This Row],[ID NOTA]],[2]!NOTA[ID],0)))</f>
        <v/>
      </c>
      <c r="J373" s="4" t="str">
        <f ca="1">IF(KENKO[[#This Row],[//]]="","",INDEX([4]!db[NB PAJAK],KENKO[[#This Row],[stt]]-1))</f>
        <v/>
      </c>
      <c r="K373" s="6" t="str">
        <f>""</f>
        <v/>
      </c>
      <c r="L373" s="6" t="str">
        <f ca="1">IF(KENKO[[#This Row],[//]]="","",IF(INDEX([2]!NOTA[QTY],KENKO[//]-2)="",INDEX([2]!NOTA[C],KENKO[//]-2),INDEX([2]!NOTA[QTY],KENKO[//]-2)))</f>
        <v/>
      </c>
      <c r="M373" s="6" t="str">
        <f ca="1">IF(KENKO[[#This Row],[//]]="","",IF(INDEX([2]!NOTA[STN],KENKO[//]-2)="","CTN",INDEX([2]!NOTA[STN],KENKO[//]-2)))</f>
        <v/>
      </c>
      <c r="N373" s="5" t="str">
        <f ca="1">IF(KENKO[[#This Row],[//]]="","",IF(INDEX([2]!NOTA[HARGA/ CTN],KENKO[[#This Row],[//]]-2)="",INDEX([2]!NOTA[HARGA SATUAN],KENKO[//]-2),INDEX([2]!NOTA[HARGA/ CTN],KENKO[[#This Row],[//]]-2)))</f>
        <v/>
      </c>
      <c r="O373" s="7" t="str">
        <f ca="1">IF(KENKO[[#This Row],[//]]="","",IF(INDEX([2]!NOTA[DISC 2],KENKO[[#This Row],[//]]-2)=0,"",INDEX([2]!NOTA[DISC 2],KENKO[[#This Row],[//]]-2)))</f>
        <v/>
      </c>
      <c r="P373" s="7"/>
      <c r="Q37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3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3" s="4" t="str">
        <f ca="1">IF(KENKO[[#This Row],[//]]="","",INDEX([2]!NOTA[NAMA BARANG],KENKO[[#This Row],[//]]-2))</f>
        <v/>
      </c>
      <c r="V373" s="4" t="str">
        <f ca="1">LOWER(SUBSTITUTE(SUBSTITUTE(SUBSTITUTE(SUBSTITUTE(SUBSTITUTE(SUBSTITUTE(SUBSTITUTE(SUBSTITUTE(KENKO[[#This Row],[N.B.nota]]," ",""),"-",""),"(",""),")",""),".",""),",",""),"/",""),"""",""))</f>
        <v/>
      </c>
      <c r="W373" s="6" t="str">
        <f ca="1">IF(KENKO[[#This Row],[concat]]="","",MATCH(KENKO[[#This Row],[concat]],[4]!db[NB NOTA_C],0)+1)</f>
        <v/>
      </c>
      <c r="X373" s="4" t="str">
        <f ca="1">IF(KENKO[[#This Row],[N.B.nota]]="","",ADDRESS(ROW(KENKO[QB]),COLUMN(KENKO[QB]))&amp;":"&amp;ADDRESS(ROW(),COLUMN(KENKO[QB])))</f>
        <v/>
      </c>
      <c r="Y373" s="58" t="str">
        <f ca="1">IF(KENKO[[#This Row],[//]]="","",HYPERLINK("[..\\DB.xlsx]DB!e"&amp;KENKO[[#This Row],[stt]],"&gt;"))</f>
        <v/>
      </c>
      <c r="Z373" s="4" t="str">
        <f ca="1">IF(KENKO[[#This Row],[//]]="","",IF(KENKO[[#This Row],[ID NOTA]]="",Z372,KENKO[[#This Row],[ID NOTA]]))</f>
        <v/>
      </c>
    </row>
    <row r="374" spans="1:26" ht="15" customHeight="1" x14ac:dyDescent="0.25">
      <c r="A374" s="4"/>
      <c r="B374" s="6" t="str">
        <f>IF(KENKO[[#This Row],[N_ID]]="","",INDEX(Table1[ID],MATCH(KENKO[[#This Row],[N_ID]],Table1[N_ID],0)))</f>
        <v/>
      </c>
      <c r="C374" s="6" t="str">
        <f>IF(KENKO[[#This Row],[ID NOTA]]="","",HYPERLINK("[NOTA_.xlsx]NOTA!e"&amp;INDEX([2]!PAJAK[//],MATCH(KENKO[[#This Row],[ID NOTA]],[2]!PAJAK[ID],0)),"&gt;") )</f>
        <v/>
      </c>
      <c r="D374" s="6" t="str">
        <f>IF(KENKO[[#This Row],[ID NOTA]]="","",INDEX(Table1[QB],MATCH(KENKO[[#This Row],[ID NOTA]],Table1[ID],0)))</f>
        <v/>
      </c>
      <c r="E37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4" s="6"/>
      <c r="G374" s="3" t="str">
        <f>IF(KENKO[[#This Row],[ID NOTA]]="","",INDEX([2]!NOTA[TGL_H],MATCH(KENKO[[#This Row],[ID NOTA]],[2]!NOTA[ID],0)))</f>
        <v/>
      </c>
      <c r="H374" s="3" t="str">
        <f>IF(KENKO[[#This Row],[ID NOTA]]="","",INDEX([2]!NOTA[TGL.NOTA],MATCH(KENKO[[#This Row],[ID NOTA]],[2]!NOTA[ID],0)))</f>
        <v/>
      </c>
      <c r="I374" s="18" t="str">
        <f>IF(KENKO[[#This Row],[ID NOTA]]="","",INDEX([2]!NOTA[NO.NOTA],MATCH(KENKO[[#This Row],[ID NOTA]],[2]!NOTA[ID],0)))</f>
        <v/>
      </c>
      <c r="J374" s="4" t="str">
        <f ca="1">IF(KENKO[[#This Row],[//]]="","",INDEX([4]!db[NB PAJAK],KENKO[[#This Row],[stt]]-1))</f>
        <v/>
      </c>
      <c r="K374" s="6" t="str">
        <f>""</f>
        <v/>
      </c>
      <c r="L374" s="6" t="str">
        <f ca="1">IF(KENKO[[#This Row],[//]]="","",IF(INDEX([2]!NOTA[QTY],KENKO[//]-2)="",INDEX([2]!NOTA[C],KENKO[//]-2),INDEX([2]!NOTA[QTY],KENKO[//]-2)))</f>
        <v/>
      </c>
      <c r="M374" s="6" t="str">
        <f ca="1">IF(KENKO[[#This Row],[//]]="","",IF(INDEX([2]!NOTA[STN],KENKO[//]-2)="","CTN",INDEX([2]!NOTA[STN],KENKO[//]-2)))</f>
        <v/>
      </c>
      <c r="N374" s="5" t="str">
        <f ca="1">IF(KENKO[[#This Row],[//]]="","",IF(INDEX([2]!NOTA[HARGA/ CTN],KENKO[[#This Row],[//]]-2)="",INDEX([2]!NOTA[HARGA SATUAN],KENKO[//]-2),INDEX([2]!NOTA[HARGA/ CTN],KENKO[[#This Row],[//]]-2)))</f>
        <v/>
      </c>
      <c r="O374" s="7" t="str">
        <f ca="1">IF(KENKO[[#This Row],[//]]="","",IF(INDEX([2]!NOTA[DISC 2],KENKO[[#This Row],[//]]-2)=0,"",INDEX([2]!NOTA[DISC 2],KENKO[[#This Row],[//]]-2)))</f>
        <v/>
      </c>
      <c r="P374" s="7"/>
      <c r="Q37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4" s="57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4" s="4" t="str">
        <f ca="1">IF(KENKO[[#This Row],[//]]="","",INDEX([2]!NOTA[NAMA BARANG],KENKO[[#This Row],[//]]-2))</f>
        <v/>
      </c>
      <c r="V374" s="4" t="str">
        <f ca="1">LOWER(SUBSTITUTE(SUBSTITUTE(SUBSTITUTE(SUBSTITUTE(SUBSTITUTE(SUBSTITUTE(SUBSTITUTE(SUBSTITUTE(KENKO[[#This Row],[N.B.nota]]," ",""),"-",""),"(",""),")",""),".",""),",",""),"/",""),"""",""))</f>
        <v/>
      </c>
      <c r="W374" s="6" t="str">
        <f ca="1">IF(KENKO[[#This Row],[concat]]="","",MATCH(KENKO[[#This Row],[concat]],[4]!db[NB NOTA_C],0)+1)</f>
        <v/>
      </c>
      <c r="X374" s="4" t="str">
        <f ca="1">IF(KENKO[[#This Row],[N.B.nota]]="","",ADDRESS(ROW(KENKO[QB]),COLUMN(KENKO[QB]))&amp;":"&amp;ADDRESS(ROW(),COLUMN(KENKO[QB])))</f>
        <v/>
      </c>
      <c r="Y374" s="58" t="str">
        <f ca="1">IF(KENKO[[#This Row],[//]]="","",HYPERLINK("[..\\DB.xlsx]DB!e"&amp;KENKO[[#This Row],[stt]],"&gt;"))</f>
        <v/>
      </c>
      <c r="Z374" s="4" t="str">
        <f ca="1">IF(KENKO[[#This Row],[//]]="","",IF(KENKO[[#This Row],[ID NOTA]]="",Z373,KENKO[[#This Row],[ID NOTA]]))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80"/>
  <sheetViews>
    <sheetView topLeftCell="A169" zoomScaleNormal="100" workbookViewId="0">
      <selection activeCell="J172" sqref="J172"/>
    </sheetView>
  </sheetViews>
  <sheetFormatPr defaultRowHeight="15" outlineLevelCol="1" x14ac:dyDescent="0.25"/>
  <cols>
    <col min="1" max="1" width="16.42578125" customWidth="1"/>
    <col min="2" max="2" width="3" customWidth="1"/>
    <col min="3" max="3" width="2" customWidth="1"/>
    <col min="4" max="4" width="3" customWidth="1"/>
    <col min="5" max="5" width="4" customWidth="1"/>
    <col min="6" max="6" width="5.5703125" customWidth="1"/>
    <col min="7" max="8" width="10.7109375" customWidth="1"/>
    <col min="9" max="9" width="12.28515625" customWidth="1"/>
    <col min="10" max="10" width="52.28515625" customWidth="1"/>
    <col min="11" max="11" width="3" customWidth="1"/>
    <col min="12" max="12" width="5" style="1" customWidth="1"/>
    <col min="13" max="13" width="4.7109375" style="1" customWidth="1"/>
    <col min="14" max="14" width="10.140625" customWidth="1"/>
    <col min="15" max="16" width="7.140625" customWidth="1"/>
    <col min="17" max="17" width="12.7109375" customWidth="1"/>
    <col min="18" max="18" width="11.7109375" customWidth="1"/>
    <col min="19" max="19" width="12.7109375" customWidth="1"/>
    <col min="20" max="20" width="49.5703125" customWidth="1"/>
    <col min="21" max="21" width="38.85546875" customWidth="1" outlineLevel="1"/>
    <col min="22" max="22" width="30.42578125" customWidth="1" outlineLevel="1"/>
    <col min="23" max="23" width="5.5703125" customWidth="1" outlineLevel="1"/>
    <col min="24" max="24" width="11.140625" customWidth="1" outlineLevel="1"/>
    <col min="25" max="25" width="6.140625" customWidth="1"/>
  </cols>
  <sheetData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IF(ATALI[[#This Row],[N_ID]]="","",INDEX(Table1[ID],MATCH(ATALI[[#This Row],[N_ID]],Table1[N_ID],0)))</f>
        <v/>
      </c>
      <c r="C3" s="1" t="str">
        <f>IF(ATALI[[#This Row],[ID NOTA]]="","",HYPERLINK("[NOTA_.xlsx]NOTA!e"&amp;INDEX([2]!PAJAK[//],MATCH(ATALI[[#This Row],[ID NOTA]],[2]!PAJAK[ID],0)),"&gt;") )</f>
        <v/>
      </c>
      <c r="D3" s="1" t="str">
        <f>IF(ATALI[[#This Row],[ID NOTA]]="","",INDEX(Table1[QB],MATCH(ATALI[[#This Row],[ID NOTA]],Table1[ID],0)))</f>
        <v/>
      </c>
      <c r="E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" s="1"/>
      <c r="G3" s="3" t="str">
        <f>IF(ATALI[[#This Row],[ID NOTA]]="","",INDEX([2]!NOTA[TGL_H],MATCH(ATALI[[#This Row],[ID NOTA]],[2]!NOTA[ID],0)))</f>
        <v/>
      </c>
      <c r="H3" s="3" t="str">
        <f>IF(ATALI[[#This Row],[ID NOTA]]="","",INDEX([2]!NOTA[TGL.NOTA],MATCH(ATALI[[#This Row],[ID NOTA]],[2]!NOTA[ID],0)))</f>
        <v/>
      </c>
      <c r="I3" t="str">
        <f>IF(ATALI[[#This Row],[ID NOTA]]="","",INDEX([2]!NOTA[NO.NOTA],MATCH(ATALI[[#This Row],[ID NOTA]],[2]!NOTA[ID],0)))</f>
        <v/>
      </c>
      <c r="J3" s="16" t="e">
        <f ca="1">IF(ATALI[[#This Row],[//]]="","",INDEX([4]!db[NB PAJAK],ATALI[[#This Row],[stt]]-1))</f>
        <v>#N/A</v>
      </c>
      <c r="K3" s="1" t="e">
        <f ca="1">IF(ATALI[[#This Row],[//]]="","",IF(INDEX([2]!NOTA[C],ATALI[[#This Row],[//]]-2)="","",INDEX([2]!NOTA[C],ATALI[[#This Row],[//]]-2)))</f>
        <v>#N/A</v>
      </c>
      <c r="L3" s="1" t="e">
        <f ca="1">IF(ATALI[[#This Row],[//]]="","",INDEX([2]!NOTA[QTY],ATALI[[#This Row],[//]]-2))</f>
        <v>#N/A</v>
      </c>
      <c r="M3" s="1" t="e">
        <f ca="1">IF(ATALI[[#This Row],[//]]="","",INDEX([2]!NOTA[STN],ATALI[[#This Row],[//]]-2))</f>
        <v>#N/A</v>
      </c>
      <c r="N3" s="5" t="e">
        <f ca="1">IF(ATALI[[#This Row],[//]]="","",INDEX([2]!NOTA[HARGA SATUAN],ATALI[[#This Row],[//]]-2))</f>
        <v>#N/A</v>
      </c>
      <c r="O3" s="7" t="e">
        <f ca="1">IF(ATALI[[#This Row],[//]]="","",INDEX([2]!NOTA[DISC 1],ATALI[[#This Row],[//]]-2))</f>
        <v>#N/A</v>
      </c>
      <c r="P3" s="7" t="e">
        <f ca="1">IF(ATALI[[#This Row],[//]]="","",INDEX([2]!NOTA[DISC 2],ATALI[[#This Row],[//]]-2))</f>
        <v>#N/A</v>
      </c>
      <c r="Q3" s="5" t="e">
        <f ca="1">IF(ATALI[[#This Row],[//]]="","",INDEX([2]!NOTA[TOTAL],ATALI[[#This Row],[//]]-2))</f>
        <v>#N/A</v>
      </c>
      <c r="R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" t="e">
        <f ca="1">IF(ATALI[[#This Row],[//]]="","",INDEX([2]!NOTA[NAMA BARANG],ATALI[[#This Row],[//]]-2))</f>
        <v>#N/A</v>
      </c>
      <c r="V3" t="e">
        <f ca="1">LOWER(SUBSTITUTE(SUBSTITUTE(SUBSTITUTE(SUBSTITUTE(SUBSTITUTE(SUBSTITUTE(SUBSTITUTE(ATALI[[#This Row],[N.B.nota]]," ",""),"-",""),"(",""),")",""),".",""),",",""),"/",""))</f>
        <v>#N/A</v>
      </c>
      <c r="W3" t="e">
        <f ca="1">IF(ATALI[[#This Row],[concat]]="","",MATCH(ATALI[[#This Row],[concat]],[4]!db[NB NOTA_C],0)+1)</f>
        <v>#N/A</v>
      </c>
      <c r="X3" t="e">
        <f ca="1">IF(ATALI[[#This Row],[N.B.nota]]="","",ADDRESS(ROW(ATALI[QB]),COLUMN(ATALI[QB]))&amp;":"&amp;ADDRESS(ROW(),COLUMN(ATALI[QB])))</f>
        <v>#N/A</v>
      </c>
      <c r="Y3" s="13" t="e">
        <f ca="1">IF(ATALI[[#This Row],[//]]="","",HYPERLINK("[../DB.xlsx]DB!e"&amp;MATCH(ATALI[[#This Row],[concat]],[4]!db[NB NOTA_C],0)+1,"&gt;"))</f>
        <v>#N/A</v>
      </c>
    </row>
    <row r="4" spans="1:25" x14ac:dyDescent="0.25">
      <c r="A4" s="4" t="s">
        <v>60</v>
      </c>
      <c r="B4" s="1">
        <f ca="1">IF(ATALI[[#This Row],[N_ID]]="","",INDEX(Table1[ID],MATCH(ATALI[[#This Row],[N_ID]],Table1[N_ID],0)))</f>
        <v>28</v>
      </c>
      <c r="C4" s="1" t="str">
        <f ca="1">IF(ATALI[[#This Row],[ID NOTA]]="","",HYPERLINK("[NOTA_.xlsx]NOTA!e"&amp;INDEX([2]!PAJAK[//],MATCH(ATALI[[#This Row],[ID NOTA]],[2]!PAJAK[ID],0)),"&gt;") )</f>
        <v>&gt;</v>
      </c>
      <c r="D4" s="1">
        <f ca="1">IF(ATALI[[#This Row],[ID NOTA]]="","",INDEX(Table1[QB],MATCH(ATALI[[#This Row],[ID NOTA]],Table1[ID],0)))</f>
        <v>9</v>
      </c>
      <c r="E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136</v>
      </c>
      <c r="F4" s="1">
        <v>1</v>
      </c>
      <c r="G4" s="3">
        <f ca="1">IF(ATALI[[#This Row],[ID NOTA]]="","",INDEX([2]!NOTA[TGL_H],MATCH(ATALI[[#This Row],[ID NOTA]],[2]!NOTA[ID],0)))</f>
        <v>44812</v>
      </c>
      <c r="H4" s="3">
        <f ca="1">IF(ATALI[[#This Row],[ID NOTA]]="","",INDEX([2]!NOTA[TGL.NOTA],MATCH(ATALI[[#This Row],[ID NOTA]],[2]!NOTA[ID],0)))</f>
        <v>44806</v>
      </c>
      <c r="I4" t="str">
        <f ca="1">IF(ATALI[[#This Row],[ID NOTA]]="","",INDEX([2]!NOTA[NO.NOTA],MATCH(ATALI[[#This Row],[ID NOTA]],[2]!NOTA[ID],0)))</f>
        <v>SA220913684</v>
      </c>
      <c r="J4" t="str">
        <f ca="1">IF(ATALI[[#This Row],[//]]="","",INDEX([4]!db[NB PAJAK],ATALI[[#This Row],[stt]]-1))</f>
        <v>TAPE CUTTER JOYKO TD-102</v>
      </c>
      <c r="K4" s="1">
        <f ca="1">IF(ATALI[[#This Row],[//]]="","",IF(INDEX([2]!NOTA[C],ATALI[[#This Row],[//]]-2)="","",INDEX([2]!NOTA[C],ATALI[[#This Row],[//]]-2)))</f>
        <v>5</v>
      </c>
      <c r="L4" s="1">
        <f ca="1">IF(ATALI[[#This Row],[//]]="","",INDEX([2]!NOTA[QTY],ATALI[[#This Row],[//]]-2))</f>
        <v>120</v>
      </c>
      <c r="M4" s="1" t="str">
        <f ca="1">IF(ATALI[[#This Row],[//]]="","",INDEX([2]!NOTA[STN],ATALI[[#This Row],[//]]-2))</f>
        <v>PCS</v>
      </c>
      <c r="N4" s="5">
        <f ca="1">IF(ATALI[[#This Row],[//]]="","",INDEX([2]!NOTA[HARGA SATUAN],ATALI[[#This Row],[//]]-2))</f>
        <v>10600</v>
      </c>
      <c r="O4" s="7">
        <f ca="1">IF(ATALI[[#This Row],[//]]="","",INDEX([2]!NOTA[DISC 1],ATALI[[#This Row],[//]]-2))</f>
        <v>0.125</v>
      </c>
      <c r="P4" s="7">
        <f ca="1">IF(ATALI[[#This Row],[//]]="","",INDEX([2]!NOTA[DISC 2],ATALI[[#This Row],[//]]-2))</f>
        <v>0.05</v>
      </c>
      <c r="Q4" s="5">
        <f ca="1">IF(ATALI[[#This Row],[//]]="","",INDEX([2]!NOTA[TOTAL],ATALI[[#This Row],[//]]-2))</f>
        <v>1057350</v>
      </c>
      <c r="R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t="str">
        <f ca="1">IF(ATALI[[#This Row],[//]]="","",INDEX([2]!NOTA[NAMA BARANG],ATALI[[#This Row],[//]]-2))</f>
        <v>TAPE CUTTER TD-102 JK</v>
      </c>
      <c r="V4" t="str">
        <f ca="1">LOWER(SUBSTITUTE(SUBSTITUTE(SUBSTITUTE(SUBSTITUTE(SUBSTITUTE(SUBSTITUTE(SUBSTITUTE(ATALI[[#This Row],[N.B.nota]]," ",""),"-",""),"(",""),")",""),".",""),",",""),"/",""))</f>
        <v>tapecuttertd102jk</v>
      </c>
      <c r="W4">
        <f ca="1">IF(ATALI[[#This Row],[concat]]="","",MATCH(ATALI[[#This Row],[concat]],[4]!db[NB NOTA_C],0)+1)</f>
        <v>1927</v>
      </c>
      <c r="X4" t="str">
        <f ca="1">IF(ATALI[[#This Row],[N.B.nota]]="","",ADDRESS(ROW(ATALI[QB]),COLUMN(ATALI[QB]))&amp;":"&amp;ADDRESS(ROW(),COLUMN(ATALI[QB])))</f>
        <v>$D$3:$D$4</v>
      </c>
      <c r="Y4" s="13" t="str">
        <f ca="1">IF(ATALI[[#This Row],[//]]="","",HYPERLINK("[../DB.xlsx]DB!e"&amp;MATCH(ATALI[[#This Row],[concat]],[4]!db[NB NOTA_C],0)+1,"&gt;"))</f>
        <v>&gt;</v>
      </c>
    </row>
    <row r="5" spans="1:25" x14ac:dyDescent="0.25">
      <c r="A5" s="4"/>
      <c r="B5" s="1" t="str">
        <f>IF(ATALI[[#This Row],[N_ID]]="","",INDEX(Table1[ID],MATCH(ATALI[[#This Row],[N_ID]],Table1[N_ID],0)))</f>
        <v/>
      </c>
      <c r="C5" s="1" t="str">
        <f>IF(ATALI[[#This Row],[ID NOTA]]="","",HYPERLINK("[NOTA_.xlsx]NOTA!e"&amp;INDEX([2]!PAJAK[//],MATCH(ATALI[[#This Row],[ID NOTA]],[2]!PAJAK[ID],0)),"&gt;") )</f>
        <v/>
      </c>
      <c r="D5" s="1" t="str">
        <f>IF(ATALI[[#This Row],[ID NOTA]]="","",INDEX(Table1[QB],MATCH(ATALI[[#This Row],[ID NOTA]],Table1[ID],0)))</f>
        <v/>
      </c>
      <c r="E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137</v>
      </c>
      <c r="F5" s="1"/>
      <c r="G5" s="3" t="str">
        <f>IF(ATALI[[#This Row],[ID NOTA]]="","",INDEX([2]!NOTA[TGL_H],MATCH(ATALI[[#This Row],[ID NOTA]],[2]!NOTA[ID],0)))</f>
        <v/>
      </c>
      <c r="H5" s="3" t="str">
        <f>IF(ATALI[[#This Row],[ID NOTA]]="","",INDEX([2]!NOTA[TGL.NOTA],MATCH(ATALI[[#This Row],[ID NOTA]],[2]!NOTA[ID],0)))</f>
        <v/>
      </c>
      <c r="I5" t="str">
        <f>IF(ATALI[[#This Row],[ID NOTA]]="","",INDEX([2]!NOTA[NO.NOTA],MATCH(ATALI[[#This Row],[ID NOTA]],[2]!NOTA[ID],0)))</f>
        <v/>
      </c>
      <c r="J5" t="str">
        <f ca="1">IF(ATALI[[#This Row],[//]]="","",INDEX([4]!db[NB PAJAK],ATALI[[#This Row],[stt]]-1))</f>
        <v>CORRECTION FLUID JOYKO CF-S224</v>
      </c>
      <c r="K5" s="1">
        <f ca="1">IF(ATALI[[#This Row],[//]]="","",IF(INDEX([2]!NOTA[C],ATALI[[#This Row],[//]]-2)="","",INDEX([2]!NOTA[C],ATALI[[#This Row],[//]]-2)))</f>
        <v>5</v>
      </c>
      <c r="L5" s="1">
        <f ca="1">IF(ATALI[[#This Row],[//]]="","",INDEX([2]!NOTA[QTY],ATALI[[#This Row],[//]]-2))</f>
        <v>120</v>
      </c>
      <c r="M5" s="1" t="str">
        <f ca="1">IF(ATALI[[#This Row],[//]]="","",INDEX([2]!NOTA[STN],ATALI[[#This Row],[//]]-2))</f>
        <v>BOX</v>
      </c>
      <c r="N5" s="5">
        <f ca="1">IF(ATALI[[#This Row],[//]]="","",INDEX([2]!NOTA[HARGA SATUAN],ATALI[[#This Row],[//]]-2))</f>
        <v>70800</v>
      </c>
      <c r="O5" s="7">
        <f ca="1">IF(ATALI[[#This Row],[//]]="","",INDEX([2]!NOTA[DISC 1],ATALI[[#This Row],[//]]-2))</f>
        <v>0.125</v>
      </c>
      <c r="P5" s="7">
        <f ca="1">IF(ATALI[[#This Row],[//]]="","",INDEX([2]!NOTA[DISC 2],ATALI[[#This Row],[//]]-2))</f>
        <v>0.05</v>
      </c>
      <c r="Q5" s="5">
        <f ca="1">IF(ATALI[[#This Row],[//]]="","",INDEX([2]!NOTA[TOTAL],ATALI[[#This Row],[//]]-2))</f>
        <v>7062300</v>
      </c>
      <c r="R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t="str">
        <f ca="1">IF(ATALI[[#This Row],[//]]="","",INDEX([2]!NOTA[NAMA BARANG],ATALI[[#This Row],[//]]-2))</f>
        <v>CORRECTION FLUID CF-S224 JK</v>
      </c>
      <c r="V5" t="str">
        <f ca="1">LOWER(SUBSTITUTE(SUBSTITUTE(SUBSTITUTE(SUBSTITUTE(SUBSTITUTE(SUBSTITUTE(SUBSTITUTE(ATALI[[#This Row],[N.B.nota]]," ",""),"-",""),"(",""),")",""),".",""),",",""),"/",""))</f>
        <v>correctionfluidcfs224jk</v>
      </c>
      <c r="W5">
        <f ca="1">IF(ATALI[[#This Row],[concat]]="","",MATCH(ATALI[[#This Row],[concat]],[4]!db[NB NOTA_C],0)+1)</f>
        <v>500</v>
      </c>
      <c r="X5" t="str">
        <f ca="1">IF(ATALI[[#This Row],[N.B.nota]]="","",ADDRESS(ROW(ATALI[QB]),COLUMN(ATALI[QB]))&amp;":"&amp;ADDRESS(ROW(),COLUMN(ATALI[QB])))</f>
        <v>$D$3:$D$5</v>
      </c>
      <c r="Y5" s="13" t="str">
        <f ca="1">IF(ATALI[[#This Row],[//]]="","",HYPERLINK("[../DB.xlsx]DB!e"&amp;MATCH(ATALI[[#This Row],[concat]],[4]!db[NB NOTA_C],0)+1,"&gt;"))</f>
        <v>&gt;</v>
      </c>
    </row>
    <row r="6" spans="1:25" x14ac:dyDescent="0.25">
      <c r="A6" s="4"/>
      <c r="B6" s="1" t="str">
        <f>IF(ATALI[[#This Row],[N_ID]]="","",INDEX(Table1[ID],MATCH(ATALI[[#This Row],[N_ID]],Table1[N_ID],0)))</f>
        <v/>
      </c>
      <c r="C6" s="1" t="str">
        <f>IF(ATALI[[#This Row],[ID NOTA]]="","",HYPERLINK("[NOTA_.xlsx]NOTA!e"&amp;INDEX([2]!PAJAK[//],MATCH(ATALI[[#This Row],[ID NOTA]],[2]!PAJAK[ID],0)),"&gt;") )</f>
        <v/>
      </c>
      <c r="D6" s="1" t="str">
        <f>IF(ATALI[[#This Row],[ID NOTA]]="","",INDEX(Table1[QB],MATCH(ATALI[[#This Row],[ID NOTA]],Table1[ID],0)))</f>
        <v/>
      </c>
      <c r="E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138</v>
      </c>
      <c r="F6" s="1"/>
      <c r="G6" s="3" t="str">
        <f>IF(ATALI[[#This Row],[ID NOTA]]="","",INDEX([2]!NOTA[TGL_H],MATCH(ATALI[[#This Row],[ID NOTA]],[2]!NOTA[ID],0)))</f>
        <v/>
      </c>
      <c r="H6" s="3" t="str">
        <f>IF(ATALI[[#This Row],[ID NOTA]]="","",INDEX([2]!NOTA[TGL.NOTA],MATCH(ATALI[[#This Row],[ID NOTA]],[2]!NOTA[ID],0)))</f>
        <v/>
      </c>
      <c r="I6" t="str">
        <f>IF(ATALI[[#This Row],[ID NOTA]]="","",INDEX([2]!NOTA[NO.NOTA],MATCH(ATALI[[#This Row],[ID NOTA]],[2]!NOTA[ID],0)))</f>
        <v/>
      </c>
      <c r="J6" t="str">
        <f ca="1">IF(ATALI[[#This Row],[//]]="","",INDEX([4]!db[NB PAJAK],ATALI[[#This Row],[stt]]-1))</f>
        <v>LEM STICK JOYKO 15 GR GS-104 TG (ANIMAL KINGDOM) isi 24 pc</v>
      </c>
      <c r="K6" s="1">
        <f ca="1">IF(ATALI[[#This Row],[//]]="","",IF(INDEX([2]!NOTA[C],ATALI[[#This Row],[//]]-2)="","",INDEX([2]!NOTA[C],ATALI[[#This Row],[//]]-2)))</f>
        <v>10</v>
      </c>
      <c r="L6" s="1">
        <f ca="1">IF(ATALI[[#This Row],[//]]="","",INDEX([2]!NOTA[QTY],ATALI[[#This Row],[//]]-2))</f>
        <v>8640</v>
      </c>
      <c r="M6" s="1" t="str">
        <f ca="1">IF(ATALI[[#This Row],[//]]="","",INDEX([2]!NOTA[STN],ATALI[[#This Row],[//]]-2))</f>
        <v>PCS</v>
      </c>
      <c r="N6" s="5">
        <f ca="1">IF(ATALI[[#This Row],[//]]="","",INDEX([2]!NOTA[HARGA SATUAN],ATALI[[#This Row],[//]]-2))</f>
        <v>2450</v>
      </c>
      <c r="O6" s="7">
        <f ca="1">IF(ATALI[[#This Row],[//]]="","",INDEX([2]!NOTA[DISC 1],ATALI[[#This Row],[//]]-2))</f>
        <v>0.125</v>
      </c>
      <c r="P6" s="7">
        <f ca="1">IF(ATALI[[#This Row],[//]]="","",INDEX([2]!NOTA[DISC 2],ATALI[[#This Row],[//]]-2))</f>
        <v>0.05</v>
      </c>
      <c r="Q6" s="5">
        <f ca="1">IF(ATALI[[#This Row],[//]]="","",INDEX([2]!NOTA[TOTAL],ATALI[[#This Row],[//]]-2))</f>
        <v>17595900</v>
      </c>
      <c r="R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t="str">
        <f ca="1">IF(ATALI[[#This Row],[//]]="","",INDEX([2]!NOTA[NAMA BARANG],ATALI[[#This Row],[//]]-2))</f>
        <v>GLUE STICK GS-104 (ANIMAL KINGDOM) JK</v>
      </c>
      <c r="V6" t="str">
        <f ca="1">LOWER(SUBSTITUTE(SUBSTITUTE(SUBSTITUTE(SUBSTITUTE(SUBSTITUTE(SUBSTITUTE(SUBSTITUTE(ATALI[[#This Row],[N.B.nota]]," ",""),"-",""),"(",""),")",""),".",""),",",""),"/",""))</f>
        <v>gluestickgs104animalkingdomjk</v>
      </c>
      <c r="W6">
        <f ca="1">IF(ATALI[[#This Row],[concat]]="","",MATCH(ATALI[[#This Row],[concat]],[4]!db[NB NOTA_C],0)+1)</f>
        <v>900</v>
      </c>
      <c r="X6" t="str">
        <f ca="1">IF(ATALI[[#This Row],[N.B.nota]]="","",ADDRESS(ROW(ATALI[QB]),COLUMN(ATALI[QB]))&amp;":"&amp;ADDRESS(ROW(),COLUMN(ATALI[QB])))</f>
        <v>$D$3:$D$6</v>
      </c>
      <c r="Y6" s="13" t="str">
        <f ca="1">IF(ATALI[[#This Row],[//]]="","",HYPERLINK("[../DB.xlsx]DB!e"&amp;MATCH(ATALI[[#This Row],[concat]],[4]!db[NB NOTA_C],0)+1,"&gt;"))</f>
        <v>&gt;</v>
      </c>
    </row>
    <row r="7" spans="1:25" x14ac:dyDescent="0.25">
      <c r="A7" s="4"/>
      <c r="B7" s="1" t="str">
        <f>IF(ATALI[[#This Row],[N_ID]]="","",INDEX(Table1[ID],MATCH(ATALI[[#This Row],[N_ID]],Table1[N_ID],0)))</f>
        <v/>
      </c>
      <c r="C7" s="1" t="str">
        <f>IF(ATALI[[#This Row],[ID NOTA]]="","",HYPERLINK("[NOTA_.xlsx]NOTA!e"&amp;INDEX([2]!PAJAK[//],MATCH(ATALI[[#This Row],[ID NOTA]],[2]!PAJAK[ID],0)),"&gt;") )</f>
        <v/>
      </c>
      <c r="D7" s="1" t="str">
        <f>IF(ATALI[[#This Row],[ID NOTA]]="","",INDEX(Table1[QB],MATCH(ATALI[[#This Row],[ID NOTA]],Table1[ID],0)))</f>
        <v/>
      </c>
      <c r="E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139</v>
      </c>
      <c r="F7" s="1"/>
      <c r="G7" s="3" t="str">
        <f>IF(ATALI[[#This Row],[ID NOTA]]="","",INDEX([2]!NOTA[TGL_H],MATCH(ATALI[[#This Row],[ID NOTA]],[2]!NOTA[ID],0)))</f>
        <v/>
      </c>
      <c r="H7" s="3" t="str">
        <f>IF(ATALI[[#This Row],[ID NOTA]]="","",INDEX([2]!NOTA[TGL.NOTA],MATCH(ATALI[[#This Row],[ID NOTA]],[2]!NOTA[ID],0)))</f>
        <v/>
      </c>
      <c r="I7" t="str">
        <f>IF(ATALI[[#This Row],[ID NOTA]]="","",INDEX([2]!NOTA[NO.NOTA],MATCH(ATALI[[#This Row],[ID NOTA]],[2]!NOTA[ID],0)))</f>
        <v/>
      </c>
      <c r="J7" t="str">
        <f ca="1">IF(ATALI[[#This Row],[//]]="","",INDEX([4]!db[NB PAJAK],ATALI[[#This Row],[stt]]-1))</f>
        <v>BINDER NOTE JOYKO A5-TSFC-M480 (FACULTY) - U</v>
      </c>
      <c r="K7" s="1">
        <f ca="1">IF(ATALI[[#This Row],[//]]="","",IF(INDEX([2]!NOTA[C],ATALI[[#This Row],[//]]-2)="","",INDEX([2]!NOTA[C],ATALI[[#This Row],[//]]-2)))</f>
        <v>1</v>
      </c>
      <c r="L7" s="1">
        <f ca="1">IF(ATALI[[#This Row],[//]]="","",INDEX([2]!NOTA[QTY],ATALI[[#This Row],[//]]-2))</f>
        <v>72</v>
      </c>
      <c r="M7" s="1" t="str">
        <f ca="1">IF(ATALI[[#This Row],[//]]="","",INDEX([2]!NOTA[STN],ATALI[[#This Row],[//]]-2))</f>
        <v>PCS</v>
      </c>
      <c r="N7" s="5">
        <f ca="1">IF(ATALI[[#This Row],[//]]="","",INDEX([2]!NOTA[HARGA SATUAN],ATALI[[#This Row],[//]]-2))</f>
        <v>15800</v>
      </c>
      <c r="O7" s="7">
        <f ca="1">IF(ATALI[[#This Row],[//]]="","",INDEX([2]!NOTA[DISC 1],ATALI[[#This Row],[//]]-2))</f>
        <v>0.125</v>
      </c>
      <c r="P7" s="7">
        <f ca="1">IF(ATALI[[#This Row],[//]]="","",INDEX([2]!NOTA[DISC 2],ATALI[[#This Row],[//]]-2))</f>
        <v>0.05</v>
      </c>
      <c r="Q7" s="5">
        <f ca="1">IF(ATALI[[#This Row],[//]]="","",INDEX([2]!NOTA[TOTAL],ATALI[[#This Row],[//]]-2))</f>
        <v>945630</v>
      </c>
      <c r="R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" t="str">
        <f ca="1">IF(ATALI[[#This Row],[//]]="","",INDEX([2]!NOTA[NAMA BARANG],ATALI[[#This Row],[//]]-2))</f>
        <v>BINDER A5-TSFC-M480 (FACULTY) JK-U</v>
      </c>
      <c r="V7" t="str">
        <f ca="1">LOWER(SUBSTITUTE(SUBSTITUTE(SUBSTITUTE(SUBSTITUTE(SUBSTITUTE(SUBSTITUTE(SUBSTITUTE(ATALI[[#This Row],[N.B.nota]]," ",""),"-",""),"(",""),")",""),".",""),",",""),"/",""))</f>
        <v>bindera5tsfcm480facultyjku</v>
      </c>
      <c r="W7">
        <f ca="1">IF(ATALI[[#This Row],[concat]]="","",MATCH(ATALI[[#This Row],[concat]],[4]!db[NB NOTA_C],0)+1)</f>
        <v>151</v>
      </c>
      <c r="X7" t="str">
        <f ca="1">IF(ATALI[[#This Row],[N.B.nota]]="","",ADDRESS(ROW(ATALI[QB]),COLUMN(ATALI[QB]))&amp;":"&amp;ADDRESS(ROW(),COLUMN(ATALI[QB])))</f>
        <v>$D$3:$D$7</v>
      </c>
      <c r="Y7" s="13" t="str">
        <f ca="1">IF(ATALI[[#This Row],[//]]="","",HYPERLINK("[../DB.xlsx]DB!e"&amp;MATCH(ATALI[[#This Row],[concat]],[4]!db[NB NOTA_C],0)+1,"&gt;"))</f>
        <v>&gt;</v>
      </c>
    </row>
    <row r="8" spans="1:25" x14ac:dyDescent="0.25">
      <c r="A8" s="4"/>
      <c r="B8" s="1" t="str">
        <f>IF(ATALI[[#This Row],[N_ID]]="","",INDEX(Table1[ID],MATCH(ATALI[[#This Row],[N_ID]],Table1[N_ID],0)))</f>
        <v/>
      </c>
      <c r="C8" s="1" t="str">
        <f>IF(ATALI[[#This Row],[ID NOTA]]="","",HYPERLINK("[NOTA_.xlsx]NOTA!e"&amp;INDEX([2]!PAJAK[//],MATCH(ATALI[[#This Row],[ID NOTA]],[2]!PAJAK[ID],0)),"&gt;") )</f>
        <v/>
      </c>
      <c r="D8" s="1" t="str">
        <f>IF(ATALI[[#This Row],[ID NOTA]]="","",INDEX(Table1[QB],MATCH(ATALI[[#This Row],[ID NOTA]],Table1[ID],0)))</f>
        <v/>
      </c>
      <c r="E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140</v>
      </c>
      <c r="F8" s="1"/>
      <c r="G8" s="3" t="str">
        <f>IF(ATALI[[#This Row],[ID NOTA]]="","",INDEX([2]!NOTA[TGL_H],MATCH(ATALI[[#This Row],[ID NOTA]],[2]!NOTA[ID],0)))</f>
        <v/>
      </c>
      <c r="H8" s="3" t="str">
        <f>IF(ATALI[[#This Row],[ID NOTA]]="","",INDEX([2]!NOTA[TGL.NOTA],MATCH(ATALI[[#This Row],[ID NOTA]],[2]!NOTA[ID],0)))</f>
        <v/>
      </c>
      <c r="I8" t="str">
        <f>IF(ATALI[[#This Row],[ID NOTA]]="","",INDEX([2]!NOTA[NO.NOTA],MATCH(ATALI[[#This Row],[ID NOTA]],[2]!NOTA[ID],0)))</f>
        <v/>
      </c>
      <c r="J8" t="str">
        <f ca="1">IF(ATALI[[#This Row],[//]]="","",INDEX([4]!db[NB PAJAK],ATALI[[#This Row],[stt]]-1))</f>
        <v>BINDER NOTE JOYKO A5-TSED-M477 (ACADEMY) - U</v>
      </c>
      <c r="K8" s="1">
        <f ca="1">IF(ATALI[[#This Row],[//]]="","",IF(INDEX([2]!NOTA[C],ATALI[[#This Row],[//]]-2)="","",INDEX([2]!NOTA[C],ATALI[[#This Row],[//]]-2)))</f>
        <v>1</v>
      </c>
      <c r="L8" s="1">
        <f ca="1">IF(ATALI[[#This Row],[//]]="","",INDEX([2]!NOTA[QTY],ATALI[[#This Row],[//]]-2))</f>
        <v>72</v>
      </c>
      <c r="M8" s="1" t="str">
        <f ca="1">IF(ATALI[[#This Row],[//]]="","",INDEX([2]!NOTA[STN],ATALI[[#This Row],[//]]-2))</f>
        <v>PCS</v>
      </c>
      <c r="N8" s="5">
        <f ca="1">IF(ATALI[[#This Row],[//]]="","",INDEX([2]!NOTA[HARGA SATUAN],ATALI[[#This Row],[//]]-2))</f>
        <v>15800</v>
      </c>
      <c r="O8" s="7">
        <f ca="1">IF(ATALI[[#This Row],[//]]="","",INDEX([2]!NOTA[DISC 1],ATALI[[#This Row],[//]]-2))</f>
        <v>0.125</v>
      </c>
      <c r="P8" s="7">
        <f ca="1">IF(ATALI[[#This Row],[//]]="","",INDEX([2]!NOTA[DISC 2],ATALI[[#This Row],[//]]-2))</f>
        <v>0.05</v>
      </c>
      <c r="Q8" s="5">
        <f ca="1">IF(ATALI[[#This Row],[//]]="","",INDEX([2]!NOTA[TOTAL],ATALI[[#This Row],[//]]-2))</f>
        <v>945630</v>
      </c>
      <c r="R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t="str">
        <f ca="1">IF(ATALI[[#This Row],[//]]="","",INDEX([2]!NOTA[NAMA BARANG],ATALI[[#This Row],[//]]-2))</f>
        <v>BINDER A5-TSAC-M477 (ACADEMY) JK-U</v>
      </c>
      <c r="V8" t="str">
        <f ca="1">LOWER(SUBSTITUTE(SUBSTITUTE(SUBSTITUTE(SUBSTITUTE(SUBSTITUTE(SUBSTITUTE(SUBSTITUTE(ATALI[[#This Row],[N.B.nota]]," ",""),"-",""),"(",""),")",""),".",""),",",""),"/",""))</f>
        <v>bindera5tsacm477academyjku</v>
      </c>
      <c r="W8">
        <f ca="1">IF(ATALI[[#This Row],[concat]]="","",MATCH(ATALI[[#This Row],[concat]],[4]!db[NB NOTA_C],0)+1)</f>
        <v>137</v>
      </c>
      <c r="X8" t="str">
        <f ca="1">IF(ATALI[[#This Row],[N.B.nota]]="","",ADDRESS(ROW(ATALI[QB]),COLUMN(ATALI[QB]))&amp;":"&amp;ADDRESS(ROW(),COLUMN(ATALI[QB])))</f>
        <v>$D$3:$D$8</v>
      </c>
      <c r="Y8" s="13" t="str">
        <f ca="1">IF(ATALI[[#This Row],[//]]="","",HYPERLINK("[../DB.xlsx]DB!e"&amp;MATCH(ATALI[[#This Row],[concat]],[4]!db[NB NOTA_C],0)+1,"&gt;"))</f>
        <v>&gt;</v>
      </c>
    </row>
    <row r="9" spans="1:25" x14ac:dyDescent="0.25">
      <c r="A9" s="4"/>
      <c r="B9" s="1" t="str">
        <f>IF(ATALI[[#This Row],[N_ID]]="","",INDEX(Table1[ID],MATCH(ATALI[[#This Row],[N_ID]],Table1[N_ID],0)))</f>
        <v/>
      </c>
      <c r="C9" s="1" t="str">
        <f>IF(ATALI[[#This Row],[ID NOTA]]="","",HYPERLINK("[NOTA_.xlsx]NOTA!e"&amp;INDEX([2]!PAJAK[//],MATCH(ATALI[[#This Row],[ID NOTA]],[2]!PAJAK[ID],0)),"&gt;") )</f>
        <v/>
      </c>
      <c r="D9" s="1" t="str">
        <f>IF(ATALI[[#This Row],[ID NOTA]]="","",INDEX(Table1[QB],MATCH(ATALI[[#This Row],[ID NOTA]],Table1[ID],0)))</f>
        <v/>
      </c>
      <c r="E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141</v>
      </c>
      <c r="F9" s="1"/>
      <c r="G9" s="3" t="str">
        <f>IF(ATALI[[#This Row],[ID NOTA]]="","",INDEX([2]!NOTA[TGL_H],MATCH(ATALI[[#This Row],[ID NOTA]],[2]!NOTA[ID],0)))</f>
        <v/>
      </c>
      <c r="H9" s="3" t="str">
        <f>IF(ATALI[[#This Row],[ID NOTA]]="","",INDEX([2]!NOTA[TGL.NOTA],MATCH(ATALI[[#This Row],[ID NOTA]],[2]!NOTA[ID],0)))</f>
        <v/>
      </c>
      <c r="I9" t="str">
        <f>IF(ATALI[[#This Row],[ID NOTA]]="","",INDEX([2]!NOTA[NO.NOTA],MATCH(ATALI[[#This Row],[ID NOTA]],[2]!NOTA[ID],0)))</f>
        <v/>
      </c>
      <c r="J9" s="65" t="str">
        <f ca="1">IF(ATALI[[#This Row],[//]]="","",INDEX([4]!db[NB PAJAK],ATALI[[#This Row],[stt]]-1))</f>
        <v>BINDER NOTE JOYKO A5-TSAT-521</v>
      </c>
      <c r="K9" s="1">
        <f ca="1">IF(ATALI[[#This Row],[//]]="","",IF(INDEX([2]!NOTA[C],ATALI[[#This Row],[//]]-2)="","",INDEX([2]!NOTA[C],ATALI[[#This Row],[//]]-2)))</f>
        <v>1</v>
      </c>
      <c r="L9" s="1">
        <f ca="1">IF(ATALI[[#This Row],[//]]="","",INDEX([2]!NOTA[QTY],ATALI[[#This Row],[//]]-2))</f>
        <v>72</v>
      </c>
      <c r="M9" s="1" t="str">
        <f ca="1">IF(ATALI[[#This Row],[//]]="","",INDEX([2]!NOTA[STN],ATALI[[#This Row],[//]]-2))</f>
        <v>PCS</v>
      </c>
      <c r="N9" s="5">
        <f ca="1">IF(ATALI[[#This Row],[//]]="","",INDEX([2]!NOTA[HARGA SATUAN],ATALI[[#This Row],[//]]-2))</f>
        <v>15800</v>
      </c>
      <c r="O9" s="7">
        <f ca="1">IF(ATALI[[#This Row],[//]]="","",INDEX([2]!NOTA[DISC 1],ATALI[[#This Row],[//]]-2))</f>
        <v>0.125</v>
      </c>
      <c r="P9" s="7">
        <f ca="1">IF(ATALI[[#This Row],[//]]="","",INDEX([2]!NOTA[DISC 2],ATALI[[#This Row],[//]]-2))</f>
        <v>0.05</v>
      </c>
      <c r="Q9" s="5">
        <f ca="1">IF(ATALI[[#This Row],[//]]="","",INDEX([2]!NOTA[TOTAL],ATALI[[#This Row],[//]]-2))</f>
        <v>945630</v>
      </c>
      <c r="R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t="str">
        <f ca="1">IF(ATALI[[#This Row],[//]]="","",INDEX([2]!NOTA[NAMA BARANG],ATALI[[#This Row],[//]]-2))</f>
        <v>BINDER A5-TSAT-521 JK-U</v>
      </c>
      <c r="V9" t="str">
        <f ca="1">LOWER(SUBSTITUTE(SUBSTITUTE(SUBSTITUTE(SUBSTITUTE(SUBSTITUTE(SUBSTITUTE(SUBSTITUTE(ATALI[[#This Row],[N.B.nota]]," ",""),"-",""),"(",""),")",""),".",""),",",""),"/",""))</f>
        <v>bindera5tsat521jku</v>
      </c>
      <c r="W9">
        <f ca="1">IF(ATALI[[#This Row],[concat]]="","",MATCH(ATALI[[#This Row],[concat]],[4]!db[NB NOTA_C],0)+1)</f>
        <v>140</v>
      </c>
      <c r="X9" t="str">
        <f ca="1">IF(ATALI[[#This Row],[N.B.nota]]="","",ADDRESS(ROW(ATALI[QB]),COLUMN(ATALI[QB]))&amp;":"&amp;ADDRESS(ROW(),COLUMN(ATALI[QB])))</f>
        <v>$D$3:$D$9</v>
      </c>
      <c r="Y9" s="13" t="str">
        <f ca="1">IF(ATALI[[#This Row],[//]]="","",HYPERLINK("[../DB.xlsx]DB!e"&amp;MATCH(ATALI[[#This Row],[concat]],[4]!db[NB NOTA_C],0)+1,"&gt;"))</f>
        <v>&gt;</v>
      </c>
    </row>
    <row r="10" spans="1:25" x14ac:dyDescent="0.25">
      <c r="A10" s="4"/>
      <c r="B10" s="1" t="str">
        <f>IF(ATALI[[#This Row],[N_ID]]="","",INDEX(Table1[ID],MATCH(ATALI[[#This Row],[N_ID]],Table1[N_ID],0)))</f>
        <v/>
      </c>
      <c r="C10" s="1" t="str">
        <f>IF(ATALI[[#This Row],[ID NOTA]]="","",HYPERLINK("[NOTA_.xlsx]NOTA!e"&amp;INDEX([2]!PAJAK[//],MATCH(ATALI[[#This Row],[ID NOTA]],[2]!PAJAK[ID],0)),"&gt;") )</f>
        <v/>
      </c>
      <c r="D10" s="1" t="str">
        <f>IF(ATALI[[#This Row],[ID NOTA]]="","",INDEX(Table1[QB],MATCH(ATALI[[#This Row],[ID NOTA]],Table1[ID],0)))</f>
        <v/>
      </c>
      <c r="E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142</v>
      </c>
      <c r="F10" s="1"/>
      <c r="G10" s="3" t="str">
        <f>IF(ATALI[[#This Row],[ID NOTA]]="","",INDEX([2]!NOTA[TGL_H],MATCH(ATALI[[#This Row],[ID NOTA]],[2]!NOTA[ID],0)))</f>
        <v/>
      </c>
      <c r="H10" s="3" t="str">
        <f>IF(ATALI[[#This Row],[ID NOTA]]="","",INDEX([2]!NOTA[TGL.NOTA],MATCH(ATALI[[#This Row],[ID NOTA]],[2]!NOTA[ID],0)))</f>
        <v/>
      </c>
      <c r="I10" t="str">
        <f>IF(ATALI[[#This Row],[ID NOTA]]="","",INDEX([2]!NOTA[NO.NOTA],MATCH(ATALI[[#This Row],[ID NOTA]],[2]!NOTA[ID],0)))</f>
        <v/>
      </c>
      <c r="J10" t="str">
        <f ca="1">IF(ATALI[[#This Row],[//]]="","",INDEX([4]!db[NB PAJAK],ATALI[[#This Row],[stt]]-1))</f>
        <v>BINDER NOTE JOYKO B5-TSIM-M130 (IMAGINATION) - U</v>
      </c>
      <c r="K10" s="1">
        <f ca="1">IF(ATALI[[#This Row],[//]]="","",IF(INDEX([2]!NOTA[C],ATALI[[#This Row],[//]]-2)="","",INDEX([2]!NOTA[C],ATALI[[#This Row],[//]]-2)))</f>
        <v>1</v>
      </c>
      <c r="L10" s="1">
        <f ca="1">IF(ATALI[[#This Row],[//]]="","",INDEX([2]!NOTA[QTY],ATALI[[#This Row],[//]]-2))</f>
        <v>72</v>
      </c>
      <c r="M10" s="1" t="str">
        <f ca="1">IF(ATALI[[#This Row],[//]]="","",INDEX([2]!NOTA[STN],ATALI[[#This Row],[//]]-2))</f>
        <v>PCS</v>
      </c>
      <c r="N10" s="5">
        <f ca="1">IF(ATALI[[#This Row],[//]]="","",INDEX([2]!NOTA[HARGA SATUAN],ATALI[[#This Row],[//]]-2))</f>
        <v>20700</v>
      </c>
      <c r="O10" s="7">
        <f ca="1">IF(ATALI[[#This Row],[//]]="","",INDEX([2]!NOTA[DISC 1],ATALI[[#This Row],[//]]-2))</f>
        <v>0.125</v>
      </c>
      <c r="P10" s="7">
        <f ca="1">IF(ATALI[[#This Row],[//]]="","",INDEX([2]!NOTA[DISC 2],ATALI[[#This Row],[//]]-2))</f>
        <v>0.05</v>
      </c>
      <c r="Q10" s="5">
        <f ca="1">IF(ATALI[[#This Row],[//]]="","",INDEX([2]!NOTA[TOTAL],ATALI[[#This Row],[//]]-2))</f>
        <v>1238895</v>
      </c>
      <c r="R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t="str">
        <f ca="1">IF(ATALI[[#This Row],[//]]="","",INDEX([2]!NOTA[NAMA BARANG],ATALI[[#This Row],[//]]-2))</f>
        <v>BINDER B5-TSIM-M130 (IMAGINTN) JK-U</v>
      </c>
      <c r="V10" t="str">
        <f ca="1">LOWER(SUBSTITUTE(SUBSTITUTE(SUBSTITUTE(SUBSTITUTE(SUBSTITUTE(SUBSTITUTE(SUBSTITUTE(ATALI[[#This Row],[N.B.nota]]," ",""),"-",""),"(",""),")",""),".",""),",",""),"/",""))</f>
        <v>binderb5tsimm130imagintnjku</v>
      </c>
      <c r="W10">
        <f ca="1">IF(ATALI[[#This Row],[concat]]="","",MATCH(ATALI[[#This Row],[concat]],[4]!db[NB NOTA_C],0)+1)</f>
        <v>190</v>
      </c>
      <c r="X10" t="str">
        <f ca="1">IF(ATALI[[#This Row],[N.B.nota]]="","",ADDRESS(ROW(ATALI[QB]),COLUMN(ATALI[QB]))&amp;":"&amp;ADDRESS(ROW(),COLUMN(ATALI[QB])))</f>
        <v>$D$3:$D$10</v>
      </c>
      <c r="Y10" s="13" t="str">
        <f ca="1">IF(ATALI[[#This Row],[//]]="","",HYPERLINK("[../DB.xlsx]DB!e"&amp;MATCH(ATALI[[#This Row],[concat]],[4]!db[NB NOTA_C],0)+1,"&gt;"))</f>
        <v>&gt;</v>
      </c>
    </row>
    <row r="11" spans="1:25" x14ac:dyDescent="0.25">
      <c r="A11" s="4"/>
      <c r="B11" s="1" t="str">
        <f>IF(ATALI[[#This Row],[N_ID]]="","",INDEX(Table1[ID],MATCH(ATALI[[#This Row],[N_ID]],Table1[N_ID],0)))</f>
        <v/>
      </c>
      <c r="C11" s="1" t="str">
        <f>IF(ATALI[[#This Row],[ID NOTA]]="","",HYPERLINK("[NOTA_.xlsx]NOTA!e"&amp;INDEX([2]!PAJAK[//],MATCH(ATALI[[#This Row],[ID NOTA]],[2]!PAJAK[ID],0)),"&gt;") )</f>
        <v/>
      </c>
      <c r="D11" s="1" t="str">
        <f>IF(ATALI[[#This Row],[ID NOTA]]="","",INDEX(Table1[QB],MATCH(ATALI[[#This Row],[ID NOTA]],Table1[ID],0)))</f>
        <v/>
      </c>
      <c r="E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143</v>
      </c>
      <c r="F11" s="1"/>
      <c r="G11" s="3" t="str">
        <f>IF(ATALI[[#This Row],[ID NOTA]]="","",INDEX([2]!NOTA[TGL_H],MATCH(ATALI[[#This Row],[ID NOTA]],[2]!NOTA[ID],0)))</f>
        <v/>
      </c>
      <c r="H11" s="3" t="str">
        <f>IF(ATALI[[#This Row],[ID NOTA]]="","",INDEX([2]!NOTA[TGL.NOTA],MATCH(ATALI[[#This Row],[ID NOTA]],[2]!NOTA[ID],0)))</f>
        <v/>
      </c>
      <c r="I11" t="str">
        <f>IF(ATALI[[#This Row],[ID NOTA]]="","",INDEX([2]!NOTA[NO.NOTA],MATCH(ATALI[[#This Row],[ID NOTA]],[2]!NOTA[ID],0)))</f>
        <v/>
      </c>
      <c r="J11" t="str">
        <f ca="1">IF(ATALI[[#This Row],[//]]="","",INDEX([4]!db[NB PAJAK],ATALI[[#This Row],[stt]]-1))</f>
        <v>BINDER NOTE JOYKO B5-TSBL-M119 (BELIEVE) - U</v>
      </c>
      <c r="K11" s="1">
        <f ca="1">IF(ATALI[[#This Row],[//]]="","",IF(INDEX([2]!NOTA[C],ATALI[[#This Row],[//]]-2)="","",INDEX([2]!NOTA[C],ATALI[[#This Row],[//]]-2)))</f>
        <v>1</v>
      </c>
      <c r="L11" s="1">
        <f ca="1">IF(ATALI[[#This Row],[//]]="","",INDEX([2]!NOTA[QTY],ATALI[[#This Row],[//]]-2))</f>
        <v>72</v>
      </c>
      <c r="M11" s="1" t="str">
        <f ca="1">IF(ATALI[[#This Row],[//]]="","",INDEX([2]!NOTA[STN],ATALI[[#This Row],[//]]-2))</f>
        <v>PCS</v>
      </c>
      <c r="N11" s="5">
        <f ca="1">IF(ATALI[[#This Row],[//]]="","",INDEX([2]!NOTA[HARGA SATUAN],ATALI[[#This Row],[//]]-2))</f>
        <v>20700</v>
      </c>
      <c r="O11" s="7">
        <f ca="1">IF(ATALI[[#This Row],[//]]="","",INDEX([2]!NOTA[DISC 1],ATALI[[#This Row],[//]]-2))</f>
        <v>0.125</v>
      </c>
      <c r="P11" s="7">
        <f ca="1">IF(ATALI[[#This Row],[//]]="","",INDEX([2]!NOTA[DISC 2],ATALI[[#This Row],[//]]-2))</f>
        <v>0.05</v>
      </c>
      <c r="Q11" s="5">
        <f ca="1">IF(ATALI[[#This Row],[//]]="","",INDEX([2]!NOTA[TOTAL],ATALI[[#This Row],[//]]-2))</f>
        <v>1238895</v>
      </c>
      <c r="R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t="str">
        <f ca="1">IF(ATALI[[#This Row],[//]]="","",INDEX([2]!NOTA[NAMA BARANG],ATALI[[#This Row],[//]]-2))</f>
        <v>BINDER B5-TSBL-M119 (BELIEVE) JK-U</v>
      </c>
      <c r="V11" t="str">
        <f ca="1">LOWER(SUBSTITUTE(SUBSTITUTE(SUBSTITUTE(SUBSTITUTE(SUBSTITUTE(SUBSTITUTE(SUBSTITUTE(ATALI[[#This Row],[N.B.nota]]," ",""),"-",""),"(",""),")",""),".",""),",",""),"/",""))</f>
        <v>binderb5tsblm119believejku</v>
      </c>
      <c r="W11">
        <f ca="1">IF(ATALI[[#This Row],[concat]]="","",MATCH(ATALI[[#This Row],[concat]],[4]!db[NB NOTA_C],0)+1)</f>
        <v>181</v>
      </c>
      <c r="X11" t="str">
        <f ca="1">IF(ATALI[[#This Row],[N.B.nota]]="","",ADDRESS(ROW(ATALI[QB]),COLUMN(ATALI[QB]))&amp;":"&amp;ADDRESS(ROW(),COLUMN(ATALI[QB])))</f>
        <v>$D$3:$D$11</v>
      </c>
      <c r="Y11" s="13" t="str">
        <f ca="1">IF(ATALI[[#This Row],[//]]="","",HYPERLINK("[../DB.xlsx]DB!e"&amp;MATCH(ATALI[[#This Row],[concat]],[4]!db[NB NOTA_C],0)+1,"&gt;"))</f>
        <v>&gt;</v>
      </c>
    </row>
    <row r="12" spans="1:25" x14ac:dyDescent="0.25">
      <c r="A12" s="4"/>
      <c r="B12" s="1" t="str">
        <f>IF(ATALI[[#This Row],[N_ID]]="","",INDEX(Table1[ID],MATCH(ATALI[[#This Row],[N_ID]],Table1[N_ID],0)))</f>
        <v/>
      </c>
      <c r="C12" s="1" t="str">
        <f>IF(ATALI[[#This Row],[ID NOTA]]="","",HYPERLINK("[NOTA_.xlsx]NOTA!e"&amp;INDEX([2]!PAJAK[//],MATCH(ATALI[[#This Row],[ID NOTA]],[2]!PAJAK[ID],0)),"&gt;") )</f>
        <v/>
      </c>
      <c r="D12" s="1" t="str">
        <f>IF(ATALI[[#This Row],[ID NOTA]]="","",INDEX(Table1[QB],MATCH(ATALI[[#This Row],[ID NOTA]],Table1[ID],0)))</f>
        <v/>
      </c>
      <c r="E1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144</v>
      </c>
      <c r="F12" s="1"/>
      <c r="G12" s="3" t="str">
        <f>IF(ATALI[[#This Row],[ID NOTA]]="","",INDEX([2]!NOTA[TGL_H],MATCH(ATALI[[#This Row],[ID NOTA]],[2]!NOTA[ID],0)))</f>
        <v/>
      </c>
      <c r="H12" s="3" t="str">
        <f>IF(ATALI[[#This Row],[ID NOTA]]="","",INDEX([2]!NOTA[TGL.NOTA],MATCH(ATALI[[#This Row],[ID NOTA]],[2]!NOTA[ID],0)))</f>
        <v/>
      </c>
      <c r="I12" t="str">
        <f>IF(ATALI[[#This Row],[ID NOTA]]="","",INDEX([2]!NOTA[NO.NOTA],MATCH(ATALI[[#This Row],[ID NOTA]],[2]!NOTA[ID],0)))</f>
        <v/>
      </c>
      <c r="J12" s="65" t="str">
        <f ca="1">IF(ATALI[[#This Row],[//]]="","",INDEX([4]!db[NB PAJAK],ATALI[[#This Row],[stt]]-1))</f>
        <v>BINDER NOTE JOYKO B5-TSCS-M79 JK-U</v>
      </c>
      <c r="K12" s="1">
        <f ca="1">IF(ATALI[[#This Row],[//]]="","",IF(INDEX([2]!NOTA[C],ATALI[[#This Row],[//]]-2)="","",INDEX([2]!NOTA[C],ATALI[[#This Row],[//]]-2)))</f>
        <v>1</v>
      </c>
      <c r="L12" s="1">
        <f ca="1">IF(ATALI[[#This Row],[//]]="","",INDEX([2]!NOTA[QTY],ATALI[[#This Row],[//]]-2))</f>
        <v>72</v>
      </c>
      <c r="M12" s="1" t="str">
        <f ca="1">IF(ATALI[[#This Row],[//]]="","",INDEX([2]!NOTA[STN],ATALI[[#This Row],[//]]-2))</f>
        <v>PCS</v>
      </c>
      <c r="N12" s="5">
        <f ca="1">IF(ATALI[[#This Row],[//]]="","",INDEX([2]!NOTA[HARGA SATUAN],ATALI[[#This Row],[//]]-2))</f>
        <v>20700</v>
      </c>
      <c r="O12" s="7">
        <f ca="1">IF(ATALI[[#This Row],[//]]="","",INDEX([2]!NOTA[DISC 1],ATALI[[#This Row],[//]]-2))</f>
        <v>0.125</v>
      </c>
      <c r="P12" s="7">
        <f ca="1">IF(ATALI[[#This Row],[//]]="","",INDEX([2]!NOTA[DISC 2],ATALI[[#This Row],[//]]-2))</f>
        <v>0.05</v>
      </c>
      <c r="Q12" s="5">
        <f ca="1">IF(ATALI[[#This Row],[//]]="","",INDEX([2]!NOTA[TOTAL],ATALI[[#This Row],[//]]-2))</f>
        <v>1238895</v>
      </c>
      <c r="R1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32269125</v>
      </c>
      <c r="T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t="str">
        <f ca="1">IF(ATALI[[#This Row],[//]]="","",INDEX([2]!NOTA[NAMA BARANG],ATALI[[#This Row],[//]]-2))</f>
        <v>BINDER B5-TSCS-M79 (CLASSIC) JK-U</v>
      </c>
      <c r="V12" t="str">
        <f ca="1">LOWER(SUBSTITUTE(SUBSTITUTE(SUBSTITUTE(SUBSTITUTE(SUBSTITUTE(SUBSTITUTE(SUBSTITUTE(ATALI[[#This Row],[N.B.nota]]," ",""),"-",""),"(",""),")",""),".",""),",",""),"/",""))</f>
        <v>binderb5tscsm79classicjku</v>
      </c>
      <c r="W12">
        <f ca="1">IF(ATALI[[#This Row],[concat]]="","",MATCH(ATALI[[#This Row],[concat]],[4]!db[NB NOTA_C],0)+1)</f>
        <v>183</v>
      </c>
      <c r="X12" t="str">
        <f ca="1">IF(ATALI[[#This Row],[N.B.nota]]="","",ADDRESS(ROW(ATALI[QB]),COLUMN(ATALI[QB]))&amp;":"&amp;ADDRESS(ROW(),COLUMN(ATALI[QB])))</f>
        <v>$D$3:$D$12</v>
      </c>
      <c r="Y12" s="13" t="str">
        <f ca="1">IF(ATALI[[#This Row],[//]]="","",HYPERLINK("[../DB.xlsx]DB!e"&amp;MATCH(ATALI[[#This Row],[concat]],[4]!db[NB NOTA_C],0)+1,"&gt;"))</f>
        <v>&gt;</v>
      </c>
    </row>
    <row r="13" spans="1:25" x14ac:dyDescent="0.25">
      <c r="A13" s="4"/>
      <c r="B13" s="1" t="str">
        <f>IF(ATALI[[#This Row],[N_ID]]="","",INDEX(Table1[ID],MATCH(ATALI[[#This Row],[N_ID]],Table1[N_ID],0)))</f>
        <v/>
      </c>
      <c r="C13" s="1" t="str">
        <f>IF(ATALI[[#This Row],[ID NOTA]]="","",HYPERLINK("[NOTA_.xlsx]NOTA!e"&amp;INDEX([2]!PAJAK[//],MATCH(ATALI[[#This Row],[ID NOTA]],[2]!PAJAK[ID],0)),"&gt;") )</f>
        <v/>
      </c>
      <c r="D13" s="1" t="str">
        <f>IF(ATALI[[#This Row],[ID NOTA]]="","",INDEX(Table1[QB],MATCH(ATALI[[#This Row],[ID NOTA]],Table1[ID],0)))</f>
        <v/>
      </c>
      <c r="E1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" s="1"/>
      <c r="G13" s="3" t="str">
        <f>IF(ATALI[[#This Row],[ID NOTA]]="","",INDEX([2]!NOTA[TGL_H],MATCH(ATALI[[#This Row],[ID NOTA]],[2]!NOTA[ID],0)))</f>
        <v/>
      </c>
      <c r="H13" s="3" t="str">
        <f>IF(ATALI[[#This Row],[ID NOTA]]="","",INDEX([2]!NOTA[TGL.NOTA],MATCH(ATALI[[#This Row],[ID NOTA]],[2]!NOTA[ID],0)))</f>
        <v/>
      </c>
      <c r="I13" t="str">
        <f>IF(ATALI[[#This Row],[ID NOTA]]="","",INDEX([2]!NOTA[NO.NOTA],MATCH(ATALI[[#This Row],[ID NOTA]],[2]!NOTA[ID],0)))</f>
        <v/>
      </c>
      <c r="J13" t="str">
        <f ca="1">IF(ATALI[[#This Row],[//]]="","",INDEX([4]!db[NB PAJAK],ATALI[[#This Row],[stt]]-1))</f>
        <v/>
      </c>
      <c r="K13" s="1" t="str">
        <f ca="1">IF(ATALI[[#This Row],[//]]="","",IF(INDEX([2]!NOTA[C],ATALI[[#This Row],[//]]-2)="","",INDEX([2]!NOTA[C],ATALI[[#This Row],[//]]-2)))</f>
        <v/>
      </c>
      <c r="L13" s="1" t="str">
        <f ca="1">IF(ATALI[[#This Row],[//]]="","",INDEX([2]!NOTA[QTY],ATALI[[#This Row],[//]]-2))</f>
        <v/>
      </c>
      <c r="M13" s="1" t="str">
        <f ca="1">IF(ATALI[[#This Row],[//]]="","",INDEX([2]!NOTA[STN],ATALI[[#This Row],[//]]-2))</f>
        <v/>
      </c>
      <c r="N13" s="5" t="str">
        <f ca="1">IF(ATALI[[#This Row],[//]]="","",INDEX([2]!NOTA[HARGA SATUAN],ATALI[[#This Row],[//]]-2))</f>
        <v/>
      </c>
      <c r="O13" s="7" t="str">
        <f ca="1">IF(ATALI[[#This Row],[//]]="","",INDEX([2]!NOTA[DISC 1],ATALI[[#This Row],[//]]-2))</f>
        <v/>
      </c>
      <c r="P13" s="7" t="str">
        <f ca="1">IF(ATALI[[#This Row],[//]]="","",INDEX([2]!NOTA[DISC 2],ATALI[[#This Row],[//]]-2))</f>
        <v/>
      </c>
      <c r="Q13" s="5" t="str">
        <f ca="1">IF(ATALI[[#This Row],[//]]="","",INDEX([2]!NOTA[TOTAL],ATALI[[#This Row],[//]]-2))</f>
        <v/>
      </c>
      <c r="R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t="str">
        <f ca="1">IF(ATALI[[#This Row],[//]]="","",INDEX([2]!NOTA[NAMA BARANG],ATALI[[#This Row],[//]]-2))</f>
        <v/>
      </c>
      <c r="V13" t="str">
        <f ca="1">LOWER(SUBSTITUTE(SUBSTITUTE(SUBSTITUTE(SUBSTITUTE(SUBSTITUTE(SUBSTITUTE(SUBSTITUTE(ATALI[[#This Row],[N.B.nota]]," ",""),"-",""),"(",""),")",""),".",""),",",""),"/",""))</f>
        <v/>
      </c>
      <c r="W13" t="str">
        <f ca="1">IF(ATALI[[#This Row],[concat]]="","",MATCH(ATALI[[#This Row],[concat]],[4]!db[NB NOTA_C],0)+1)</f>
        <v/>
      </c>
      <c r="X13" t="str">
        <f ca="1">IF(ATALI[[#This Row],[N.B.nota]]="","",ADDRESS(ROW(ATALI[QB]),COLUMN(ATALI[QB]))&amp;":"&amp;ADDRESS(ROW(),COLUMN(ATALI[QB])))</f>
        <v/>
      </c>
      <c r="Y13" s="13" t="str">
        <f ca="1">IF(ATALI[[#This Row],[//]]="","",HYPERLINK("[../DB.xlsx]DB!e"&amp;MATCH(ATALI[[#This Row],[concat]],[4]!db[NB NOTA_C],0)+1,"&gt;"))</f>
        <v/>
      </c>
    </row>
    <row r="14" spans="1:25" x14ac:dyDescent="0.25">
      <c r="A14" s="4" t="s">
        <v>61</v>
      </c>
      <c r="B14" s="1">
        <f ca="1">IF(ATALI[[#This Row],[N_ID]]="","",INDEX(Table1[ID],MATCH(ATALI[[#This Row],[N_ID]],Table1[N_ID],0)))</f>
        <v>29</v>
      </c>
      <c r="C14" s="1" t="str">
        <f ca="1">IF(ATALI[[#This Row],[ID NOTA]]="","",HYPERLINK("[NOTA_.xlsx]NOTA!e"&amp;INDEX([2]!PAJAK[//],MATCH(ATALI[[#This Row],[ID NOTA]],[2]!PAJAK[ID],0)),"&gt;") )</f>
        <v>&gt;</v>
      </c>
      <c r="D14" s="1">
        <f ca="1">IF(ATALI[[#This Row],[ID NOTA]]="","",INDEX(Table1[QB],MATCH(ATALI[[#This Row],[ID NOTA]],Table1[ID],0)))</f>
        <v>1</v>
      </c>
      <c r="E1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146</v>
      </c>
      <c r="F14" s="1">
        <v>2</v>
      </c>
      <c r="G14" s="3">
        <f ca="1">IF(ATALI[[#This Row],[ID NOTA]]="","",INDEX([2]!NOTA[TGL_H],MATCH(ATALI[[#This Row],[ID NOTA]],[2]!NOTA[ID],0)))</f>
        <v>44812</v>
      </c>
      <c r="H14" s="3">
        <f ca="1">IF(ATALI[[#This Row],[ID NOTA]]="","",INDEX([2]!NOTA[TGL.NOTA],MATCH(ATALI[[#This Row],[ID NOTA]],[2]!NOTA[ID],0)))</f>
        <v>44809</v>
      </c>
      <c r="I14" t="str">
        <f ca="1">IF(ATALI[[#This Row],[ID NOTA]]="","",INDEX([2]!NOTA[NO.NOTA],MATCH(ATALI[[#This Row],[ID NOTA]],[2]!NOTA[ID],0)))</f>
        <v>SA220913878</v>
      </c>
      <c r="J14" t="str">
        <f ca="1">IF(ATALI[[#This Row],[//]]="","",INDEX([4]!db[NB PAJAK],ATALI[[#This Row],[stt]]-1))</f>
        <v>GUNTING JOYKO SC-14</v>
      </c>
      <c r="K14" s="1">
        <f ca="1">IF(ATALI[[#This Row],[//]]="","",IF(INDEX([2]!NOTA[C],ATALI[[#This Row],[//]]-2)="","",INDEX([2]!NOTA[C],ATALI[[#This Row],[//]]-2)))</f>
        <v>1</v>
      </c>
      <c r="L14" s="1">
        <f ca="1">IF(ATALI[[#This Row],[//]]="","",INDEX([2]!NOTA[QTY],ATALI[[#This Row],[//]]-2))</f>
        <v>144</v>
      </c>
      <c r="M14" s="1" t="str">
        <f ca="1">IF(ATALI[[#This Row],[//]]="","",INDEX([2]!NOTA[STN],ATALI[[#This Row],[//]]-2))</f>
        <v>PCS</v>
      </c>
      <c r="N14" s="5">
        <f ca="1">IF(ATALI[[#This Row],[//]]="","",INDEX([2]!NOTA[HARGA SATUAN],ATALI[[#This Row],[//]]-2))</f>
        <v>22000</v>
      </c>
      <c r="O14" s="7">
        <f ca="1">IF(ATALI[[#This Row],[//]]="","",INDEX([2]!NOTA[DISC 1],ATALI[[#This Row],[//]]-2))</f>
        <v>0.125</v>
      </c>
      <c r="P14" s="7">
        <f ca="1">IF(ATALI[[#This Row],[//]]="","",INDEX([2]!NOTA[DISC 2],ATALI[[#This Row],[//]]-2))</f>
        <v>0.05</v>
      </c>
      <c r="Q14" s="5">
        <f ca="1">IF(ATALI[[#This Row],[//]]="","",INDEX([2]!NOTA[TOTAL],ATALI[[#This Row],[//]]-2))</f>
        <v>2633400</v>
      </c>
      <c r="R1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2633400</v>
      </c>
      <c r="T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" t="str">
        <f ca="1">IF(ATALI[[#This Row],[//]]="","",INDEX([2]!NOTA[NAMA BARANG],ATALI[[#This Row],[//]]-2))</f>
        <v>SCISSOR SC-14 JK</v>
      </c>
      <c r="V14" t="str">
        <f ca="1">LOWER(SUBSTITUTE(SUBSTITUTE(SUBSTITUTE(SUBSTITUTE(SUBSTITUTE(SUBSTITUTE(SUBSTITUTE(ATALI[[#This Row],[N.B.nota]]," ",""),"-",""),"(",""),")",""),".",""),",",""),"/",""))</f>
        <v>scissorsc14jk</v>
      </c>
      <c r="W14">
        <f ca="1">IF(ATALI[[#This Row],[concat]]="","",MATCH(ATALI[[#This Row],[concat]],[4]!db[NB NOTA_C],0)+1)</f>
        <v>1829</v>
      </c>
      <c r="X14" t="str">
        <f ca="1">IF(ATALI[[#This Row],[N.B.nota]]="","",ADDRESS(ROW(ATALI[QB]),COLUMN(ATALI[QB]))&amp;":"&amp;ADDRESS(ROW(),COLUMN(ATALI[QB])))</f>
        <v>$D$3:$D$14</v>
      </c>
      <c r="Y14" s="13" t="str">
        <f ca="1">IF(ATALI[[#This Row],[//]]="","",HYPERLINK("[../DB.xlsx]DB!e"&amp;MATCH(ATALI[[#This Row],[concat]],[4]!db[NB NOTA_C],0)+1,"&gt;"))</f>
        <v>&gt;</v>
      </c>
    </row>
    <row r="15" spans="1:25" x14ac:dyDescent="0.25">
      <c r="A15" s="4"/>
      <c r="B15" s="1" t="str">
        <f>IF(ATALI[[#This Row],[N_ID]]="","",INDEX(Table1[ID],MATCH(ATALI[[#This Row],[N_ID]],Table1[N_ID],0)))</f>
        <v/>
      </c>
      <c r="C15" s="1" t="str">
        <f>IF(ATALI[[#This Row],[ID NOTA]]="","",HYPERLINK("[NOTA_.xlsx]NOTA!e"&amp;INDEX([2]!PAJAK[//],MATCH(ATALI[[#This Row],[ID NOTA]],[2]!PAJAK[ID],0)),"&gt;") )</f>
        <v/>
      </c>
      <c r="D15" s="1" t="str">
        <f>IF(ATALI[[#This Row],[ID NOTA]]="","",INDEX(Table1[QB],MATCH(ATALI[[#This Row],[ID NOTA]],Table1[ID],0)))</f>
        <v/>
      </c>
      <c r="E1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" s="1"/>
      <c r="G15" s="3" t="str">
        <f>IF(ATALI[[#This Row],[ID NOTA]]="","",INDEX([2]!NOTA[TGL_H],MATCH(ATALI[[#This Row],[ID NOTA]],[2]!NOTA[ID],0)))</f>
        <v/>
      </c>
      <c r="H15" s="3" t="str">
        <f>IF(ATALI[[#This Row],[ID NOTA]]="","",INDEX([2]!NOTA[TGL.NOTA],MATCH(ATALI[[#This Row],[ID NOTA]],[2]!NOTA[ID],0)))</f>
        <v/>
      </c>
      <c r="I15" t="str">
        <f>IF(ATALI[[#This Row],[ID NOTA]]="","",INDEX([2]!NOTA[NO.NOTA],MATCH(ATALI[[#This Row],[ID NOTA]],[2]!NOTA[ID],0)))</f>
        <v/>
      </c>
      <c r="J15" t="str">
        <f ca="1">IF(ATALI[[#This Row],[//]]="","",INDEX([4]!db[NB PAJAK],ATALI[[#This Row],[stt]]-1))</f>
        <v/>
      </c>
      <c r="K15" s="1" t="str">
        <f ca="1">IF(ATALI[[#This Row],[//]]="","",IF(INDEX([2]!NOTA[C],ATALI[[#This Row],[//]]-2)="","",INDEX([2]!NOTA[C],ATALI[[#This Row],[//]]-2)))</f>
        <v/>
      </c>
      <c r="L15" s="1" t="str">
        <f ca="1">IF(ATALI[[#This Row],[//]]="","",INDEX([2]!NOTA[QTY],ATALI[[#This Row],[//]]-2))</f>
        <v/>
      </c>
      <c r="M15" s="1" t="str">
        <f ca="1">IF(ATALI[[#This Row],[//]]="","",INDEX([2]!NOTA[STN],ATALI[[#This Row],[//]]-2))</f>
        <v/>
      </c>
      <c r="N15" s="5" t="str">
        <f ca="1">IF(ATALI[[#This Row],[//]]="","",INDEX([2]!NOTA[HARGA SATUAN],ATALI[[#This Row],[//]]-2))</f>
        <v/>
      </c>
      <c r="O15" s="7" t="str">
        <f ca="1">IF(ATALI[[#This Row],[//]]="","",INDEX([2]!NOTA[DISC 1],ATALI[[#This Row],[//]]-2))</f>
        <v/>
      </c>
      <c r="P15" s="7" t="str">
        <f ca="1">IF(ATALI[[#This Row],[//]]="","",INDEX([2]!NOTA[DISC 2],ATALI[[#This Row],[//]]-2))</f>
        <v/>
      </c>
      <c r="Q15" s="5" t="str">
        <f ca="1">IF(ATALI[[#This Row],[//]]="","",INDEX([2]!NOTA[TOTAL],ATALI[[#This Row],[//]]-2))</f>
        <v/>
      </c>
      <c r="R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t="str">
        <f ca="1">IF(ATALI[[#This Row],[//]]="","",INDEX([2]!NOTA[NAMA BARANG],ATALI[[#This Row],[//]]-2))</f>
        <v/>
      </c>
      <c r="V15" t="str">
        <f ca="1">LOWER(SUBSTITUTE(SUBSTITUTE(SUBSTITUTE(SUBSTITUTE(SUBSTITUTE(SUBSTITUTE(SUBSTITUTE(ATALI[[#This Row],[N.B.nota]]," ",""),"-",""),"(",""),")",""),".",""),",",""),"/",""))</f>
        <v/>
      </c>
      <c r="W15" t="str">
        <f ca="1">IF(ATALI[[#This Row],[concat]]="","",MATCH(ATALI[[#This Row],[concat]],[4]!db[NB NOTA_C],0)+1)</f>
        <v/>
      </c>
      <c r="X15" t="str">
        <f ca="1">IF(ATALI[[#This Row],[N.B.nota]]="","",ADDRESS(ROW(ATALI[QB]),COLUMN(ATALI[QB]))&amp;":"&amp;ADDRESS(ROW(),COLUMN(ATALI[QB])))</f>
        <v/>
      </c>
      <c r="Y15" s="13" t="str">
        <f ca="1">IF(ATALI[[#This Row],[//]]="","",HYPERLINK("[../DB.xlsx]DB!e"&amp;MATCH(ATALI[[#This Row],[concat]],[4]!db[NB NOTA_C],0)+1,"&gt;"))</f>
        <v/>
      </c>
    </row>
    <row r="16" spans="1:25" x14ac:dyDescent="0.25">
      <c r="A16" s="4" t="s">
        <v>74</v>
      </c>
      <c r="B16" s="1">
        <f ca="1">IF(ATALI[[#This Row],[N_ID]]="","",INDEX(Table1[ID],MATCH(ATALI[[#This Row],[N_ID]],Table1[N_ID],0)))</f>
        <v>39</v>
      </c>
      <c r="C16" s="1" t="str">
        <f ca="1">IF(ATALI[[#This Row],[ID NOTA]]="","",HYPERLINK("[NOTA_.xlsx]NOTA!e"&amp;INDEX([2]!PAJAK[//],MATCH(ATALI[[#This Row],[ID NOTA]],[2]!PAJAK[ID],0)),"&gt;") )</f>
        <v>&gt;</v>
      </c>
      <c r="D16" s="1">
        <f ca="1">IF(ATALI[[#This Row],[ID NOTA]]="","",INDEX(Table1[QB],MATCH(ATALI[[#This Row],[ID NOTA]],Table1[ID],0)))</f>
        <v>4</v>
      </c>
      <c r="E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202</v>
      </c>
      <c r="F16" s="1">
        <v>3</v>
      </c>
      <c r="G16" s="3">
        <f ca="1">IF(ATALI[[#This Row],[ID NOTA]]="","",INDEX([2]!NOTA[TGL_H],MATCH(ATALI[[#This Row],[ID NOTA]],[2]!NOTA[ID],0)))</f>
        <v>44816</v>
      </c>
      <c r="H16" s="3">
        <f ca="1">IF(ATALI[[#This Row],[ID NOTA]]="","",INDEX([2]!NOTA[TGL.NOTA],MATCH(ATALI[[#This Row],[ID NOTA]],[2]!NOTA[ID],0)))</f>
        <v>44810</v>
      </c>
      <c r="I16" t="str">
        <f ca="1">IF(ATALI[[#This Row],[ID NOTA]]="","",INDEX([2]!NOTA[NO.NOTA],MATCH(ATALI[[#This Row],[ID NOTA]],[2]!NOTA[ID],0)))</f>
        <v>SA220913901</v>
      </c>
      <c r="J16" t="str">
        <f ca="1">IF(ATALI[[#This Row],[//]]="","",INDEX([4]!db[NB PAJAK],ATALI[[#This Row],[stt]]-1))</f>
        <v>MAP TAS / BAG JOYKO B-2637-3 MERAH</v>
      </c>
      <c r="K16" s="1">
        <f ca="1">IF(ATALI[[#This Row],[//]]="","",IF(INDEX([2]!NOTA[C],ATALI[[#This Row],[//]]-2)="","",INDEX([2]!NOTA[C],ATALI[[#This Row],[//]]-2)))</f>
        <v>1</v>
      </c>
      <c r="L16" s="1">
        <f ca="1">IF(ATALI[[#This Row],[//]]="","",INDEX([2]!NOTA[QTY],ATALI[[#This Row],[//]]-2))</f>
        <v>48</v>
      </c>
      <c r="M16" s="1" t="str">
        <f ca="1">IF(ATALI[[#This Row],[//]]="","",INDEX([2]!NOTA[STN],ATALI[[#This Row],[//]]-2))</f>
        <v>PCS</v>
      </c>
      <c r="N16" s="5">
        <f ca="1">IF(ATALI[[#This Row],[//]]="","",INDEX([2]!NOTA[HARGA SATUAN],ATALI[[#This Row],[//]]-2))</f>
        <v>17600</v>
      </c>
      <c r="O16" s="7">
        <f ca="1">IF(ATALI[[#This Row],[//]]="","",INDEX([2]!NOTA[DISC 1],ATALI[[#This Row],[//]]-2))</f>
        <v>0.125</v>
      </c>
      <c r="P16" s="7">
        <f ca="1">IF(ATALI[[#This Row],[//]]="","",INDEX([2]!NOTA[DISC 2],ATALI[[#This Row],[//]]-2))</f>
        <v>0.05</v>
      </c>
      <c r="Q16" s="5">
        <f ca="1">IF(ATALI[[#This Row],[//]]="","",INDEX([2]!NOTA[TOTAL],ATALI[[#This Row],[//]]-2))</f>
        <v>702240</v>
      </c>
      <c r="R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t="str">
        <f ca="1">IF(ATALI[[#This Row],[//]]="","",INDEX([2]!NOTA[NAMA BARANG],ATALI[[#This Row],[//]]-2))</f>
        <v>BAG B-2637-3 (RED) JK</v>
      </c>
      <c r="V16" t="str">
        <f ca="1">LOWER(SUBSTITUTE(SUBSTITUTE(SUBSTITUTE(SUBSTITUTE(SUBSTITUTE(SUBSTITUTE(SUBSTITUTE(ATALI[[#This Row],[N.B.nota]]," ",""),"-",""),"(",""),")",""),".",""),",",""),"/",""))</f>
        <v>bagb26373redjk</v>
      </c>
      <c r="W16">
        <f ca="1">IF(ATALI[[#This Row],[concat]]="","",MATCH(ATALI[[#This Row],[concat]],[4]!db[NB NOTA_C],0)+1)</f>
        <v>61</v>
      </c>
      <c r="X16" t="str">
        <f ca="1">IF(ATALI[[#This Row],[N.B.nota]]="","",ADDRESS(ROW(ATALI[QB]),COLUMN(ATALI[QB]))&amp;":"&amp;ADDRESS(ROW(),COLUMN(ATALI[QB])))</f>
        <v>$D$3:$D$16</v>
      </c>
      <c r="Y16" s="13" t="str">
        <f ca="1">IF(ATALI[[#This Row],[//]]="","",HYPERLINK("[../DB.xlsx]DB!e"&amp;MATCH(ATALI[[#This Row],[concat]],[4]!db[NB NOTA_C],0)+1,"&gt;"))</f>
        <v>&gt;</v>
      </c>
    </row>
    <row r="17" spans="1:25" x14ac:dyDescent="0.25">
      <c r="A17" s="4"/>
      <c r="B17" s="1" t="str">
        <f>IF(ATALI[[#This Row],[N_ID]]="","",INDEX(Table1[ID],MATCH(ATALI[[#This Row],[N_ID]],Table1[N_ID],0)))</f>
        <v/>
      </c>
      <c r="C17" s="1" t="str">
        <f>IF(ATALI[[#This Row],[ID NOTA]]="","",HYPERLINK("[NOTA_.xlsx]NOTA!e"&amp;INDEX([2]!PAJAK[//],MATCH(ATALI[[#This Row],[ID NOTA]],[2]!PAJAK[ID],0)),"&gt;") )</f>
        <v/>
      </c>
      <c r="D17" s="1" t="str">
        <f>IF(ATALI[[#This Row],[ID NOTA]]="","",INDEX(Table1[QB],MATCH(ATALI[[#This Row],[ID NOTA]],Table1[ID],0)))</f>
        <v/>
      </c>
      <c r="E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203</v>
      </c>
      <c r="F17" s="1"/>
      <c r="G17" s="3" t="str">
        <f>IF(ATALI[[#This Row],[ID NOTA]]="","",INDEX([2]!NOTA[TGL_H],MATCH(ATALI[[#This Row],[ID NOTA]],[2]!NOTA[ID],0)))</f>
        <v/>
      </c>
      <c r="H17" s="3" t="str">
        <f>IF(ATALI[[#This Row],[ID NOTA]]="","",INDEX([2]!NOTA[TGL.NOTA],MATCH(ATALI[[#This Row],[ID NOTA]],[2]!NOTA[ID],0)))</f>
        <v/>
      </c>
      <c r="I17" t="str">
        <f>IF(ATALI[[#This Row],[ID NOTA]]="","",INDEX([2]!NOTA[NO.NOTA],MATCH(ATALI[[#This Row],[ID NOTA]],[2]!NOTA[ID],0)))</f>
        <v/>
      </c>
      <c r="J17" t="str">
        <f ca="1">IF(ATALI[[#This Row],[//]]="","",INDEX([4]!db[NB PAJAK],ATALI[[#This Row],[stt]]-1))</f>
        <v>MAP TAS / BAG JOYKO B-2637-3 PUTIH</v>
      </c>
      <c r="K17" s="1">
        <f ca="1">IF(ATALI[[#This Row],[//]]="","",IF(INDEX([2]!NOTA[C],ATALI[[#This Row],[//]]-2)="","",INDEX([2]!NOTA[C],ATALI[[#This Row],[//]]-2)))</f>
        <v>1</v>
      </c>
      <c r="L17" s="1">
        <f ca="1">IF(ATALI[[#This Row],[//]]="","",INDEX([2]!NOTA[QTY],ATALI[[#This Row],[//]]-2))</f>
        <v>48</v>
      </c>
      <c r="M17" s="1" t="str">
        <f ca="1">IF(ATALI[[#This Row],[//]]="","",INDEX([2]!NOTA[STN],ATALI[[#This Row],[//]]-2))</f>
        <v>PCS</v>
      </c>
      <c r="N17" s="5">
        <f ca="1">IF(ATALI[[#This Row],[//]]="","",INDEX([2]!NOTA[HARGA SATUAN],ATALI[[#This Row],[//]]-2))</f>
        <v>17600</v>
      </c>
      <c r="O17" s="7">
        <f ca="1">IF(ATALI[[#This Row],[//]]="","",INDEX([2]!NOTA[DISC 1],ATALI[[#This Row],[//]]-2))</f>
        <v>0.125</v>
      </c>
      <c r="P17" s="7">
        <f ca="1">IF(ATALI[[#This Row],[//]]="","",INDEX([2]!NOTA[DISC 2],ATALI[[#This Row],[//]]-2))</f>
        <v>0.05</v>
      </c>
      <c r="Q17" s="5">
        <f ca="1">IF(ATALI[[#This Row],[//]]="","",INDEX([2]!NOTA[TOTAL],ATALI[[#This Row],[//]]-2))</f>
        <v>702240</v>
      </c>
      <c r="R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t="str">
        <f ca="1">IF(ATALI[[#This Row],[//]]="","",INDEX([2]!NOTA[NAMA BARANG],ATALI[[#This Row],[//]]-2))</f>
        <v>BAG B-2637-3 (WHITE) JK</v>
      </c>
      <c r="V17" t="str">
        <f ca="1">LOWER(SUBSTITUTE(SUBSTITUTE(SUBSTITUTE(SUBSTITUTE(SUBSTITUTE(SUBSTITUTE(SUBSTITUTE(ATALI[[#This Row],[N.B.nota]]," ",""),"-",""),"(",""),")",""),".",""),",",""),"/",""))</f>
        <v>bagb26373whitejk</v>
      </c>
      <c r="W17">
        <f ca="1">IF(ATALI[[#This Row],[concat]]="","",MATCH(ATALI[[#This Row],[concat]],[4]!db[NB NOTA_C],0)+1)</f>
        <v>62</v>
      </c>
      <c r="X17" t="str">
        <f ca="1">IF(ATALI[[#This Row],[N.B.nota]]="","",ADDRESS(ROW(ATALI[QB]),COLUMN(ATALI[QB]))&amp;":"&amp;ADDRESS(ROW(),COLUMN(ATALI[QB])))</f>
        <v>$D$3:$D$17</v>
      </c>
      <c r="Y17" s="13" t="str">
        <f ca="1">IF(ATALI[[#This Row],[//]]="","",HYPERLINK("[../DB.xlsx]DB!e"&amp;MATCH(ATALI[[#This Row],[concat]],[4]!db[NB NOTA_C],0)+1,"&gt;"))</f>
        <v>&gt;</v>
      </c>
    </row>
    <row r="18" spans="1:25" x14ac:dyDescent="0.25">
      <c r="A18" s="4"/>
      <c r="B18" s="1" t="str">
        <f>IF(ATALI[[#This Row],[N_ID]]="","",INDEX(Table1[ID],MATCH(ATALI[[#This Row],[N_ID]],Table1[N_ID],0)))</f>
        <v/>
      </c>
      <c r="C18" s="1" t="str">
        <f>IF(ATALI[[#This Row],[ID NOTA]]="","",HYPERLINK("[NOTA_.xlsx]NOTA!e"&amp;INDEX([2]!PAJAK[//],MATCH(ATALI[[#This Row],[ID NOTA]],[2]!PAJAK[ID],0)),"&gt;") )</f>
        <v/>
      </c>
      <c r="D18" s="1" t="str">
        <f>IF(ATALI[[#This Row],[ID NOTA]]="","",INDEX(Table1[QB],MATCH(ATALI[[#This Row],[ID NOTA]],Table1[ID],0)))</f>
        <v/>
      </c>
      <c r="E1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204</v>
      </c>
      <c r="F18" s="1"/>
      <c r="G18" s="3" t="str">
        <f>IF(ATALI[[#This Row],[ID NOTA]]="","",INDEX([2]!NOTA[TGL_H],MATCH(ATALI[[#This Row],[ID NOTA]],[2]!NOTA[ID],0)))</f>
        <v/>
      </c>
      <c r="H18" s="3" t="str">
        <f>IF(ATALI[[#This Row],[ID NOTA]]="","",INDEX([2]!NOTA[TGL.NOTA],MATCH(ATALI[[#This Row],[ID NOTA]],[2]!NOTA[ID],0)))</f>
        <v/>
      </c>
      <c r="I18" t="str">
        <f>IF(ATALI[[#This Row],[ID NOTA]]="","",INDEX([2]!NOTA[NO.NOTA],MATCH(ATALI[[#This Row],[ID NOTA]],[2]!NOTA[ID],0)))</f>
        <v/>
      </c>
      <c r="J18" t="str">
        <f ca="1">IF(ATALI[[#This Row],[//]]="","",INDEX([4]!db[NB PAJAK],ATALI[[#This Row],[stt]]-1))</f>
        <v>MAP TAS / BAG JOYKO B-2637-3 KUNING</v>
      </c>
      <c r="K18" s="1">
        <f ca="1">IF(ATALI[[#This Row],[//]]="","",IF(INDEX([2]!NOTA[C],ATALI[[#This Row],[//]]-2)="","",INDEX([2]!NOTA[C],ATALI[[#This Row],[//]]-2)))</f>
        <v>1</v>
      </c>
      <c r="L18" s="1">
        <f ca="1">IF(ATALI[[#This Row],[//]]="","",INDEX([2]!NOTA[QTY],ATALI[[#This Row],[//]]-2))</f>
        <v>48</v>
      </c>
      <c r="M18" s="1" t="str">
        <f ca="1">IF(ATALI[[#This Row],[//]]="","",INDEX([2]!NOTA[STN],ATALI[[#This Row],[//]]-2))</f>
        <v>PCS</v>
      </c>
      <c r="N18" s="5">
        <f ca="1">IF(ATALI[[#This Row],[//]]="","",INDEX([2]!NOTA[HARGA SATUAN],ATALI[[#This Row],[//]]-2))</f>
        <v>17600</v>
      </c>
      <c r="O18" s="7">
        <f ca="1">IF(ATALI[[#This Row],[//]]="","",INDEX([2]!NOTA[DISC 1],ATALI[[#This Row],[//]]-2))</f>
        <v>0.125</v>
      </c>
      <c r="P18" s="7">
        <f ca="1">IF(ATALI[[#This Row],[//]]="","",INDEX([2]!NOTA[DISC 2],ATALI[[#This Row],[//]]-2))</f>
        <v>0.05</v>
      </c>
      <c r="Q18" s="5">
        <f ca="1">IF(ATALI[[#This Row],[//]]="","",INDEX([2]!NOTA[TOTAL],ATALI[[#This Row],[//]]-2))</f>
        <v>702240</v>
      </c>
      <c r="R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t="str">
        <f ca="1">IF(ATALI[[#This Row],[//]]="","",INDEX([2]!NOTA[NAMA BARANG],ATALI[[#This Row],[//]]-2))</f>
        <v>BAG B-2637-3 (YELLOW) JK</v>
      </c>
      <c r="V18" t="str">
        <f ca="1">LOWER(SUBSTITUTE(SUBSTITUTE(SUBSTITUTE(SUBSTITUTE(SUBSTITUTE(SUBSTITUTE(SUBSTITUTE(ATALI[[#This Row],[N.B.nota]]," ",""),"-",""),"(",""),")",""),".",""),",",""),"/",""))</f>
        <v>bagb26373yellowjk</v>
      </c>
      <c r="W18">
        <f ca="1">IF(ATALI[[#This Row],[concat]]="","",MATCH(ATALI[[#This Row],[concat]],[4]!db[NB NOTA_C],0)+1)</f>
        <v>63</v>
      </c>
      <c r="X18" t="str">
        <f ca="1">IF(ATALI[[#This Row],[N.B.nota]]="","",ADDRESS(ROW(ATALI[QB]),COLUMN(ATALI[QB]))&amp;":"&amp;ADDRESS(ROW(),COLUMN(ATALI[QB])))</f>
        <v>$D$3:$D$18</v>
      </c>
      <c r="Y18" s="13" t="str">
        <f ca="1">IF(ATALI[[#This Row],[//]]="","",HYPERLINK("[../DB.xlsx]DB!e"&amp;MATCH(ATALI[[#This Row],[concat]],[4]!db[NB NOTA_C],0)+1,"&gt;"))</f>
        <v>&gt;</v>
      </c>
    </row>
    <row r="19" spans="1:25" x14ac:dyDescent="0.25">
      <c r="A19" s="4"/>
      <c r="B19" s="1" t="str">
        <f>IF(ATALI[[#This Row],[N_ID]]="","",INDEX(Table1[ID],MATCH(ATALI[[#This Row],[N_ID]],Table1[N_ID],0)))</f>
        <v/>
      </c>
      <c r="C19" s="1" t="str">
        <f>IF(ATALI[[#This Row],[ID NOTA]]="","",HYPERLINK("[NOTA_.xlsx]NOTA!e"&amp;INDEX([2]!PAJAK[//],MATCH(ATALI[[#This Row],[ID NOTA]],[2]!PAJAK[ID],0)),"&gt;") )</f>
        <v/>
      </c>
      <c r="D19" s="1" t="str">
        <f>IF(ATALI[[#This Row],[ID NOTA]]="","",INDEX(Table1[QB],MATCH(ATALI[[#This Row],[ID NOTA]],Table1[ID],0)))</f>
        <v/>
      </c>
      <c r="E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205</v>
      </c>
      <c r="F19" s="1"/>
      <c r="G19" s="3" t="str">
        <f>IF(ATALI[[#This Row],[ID NOTA]]="","",INDEX([2]!NOTA[TGL_H],MATCH(ATALI[[#This Row],[ID NOTA]],[2]!NOTA[ID],0)))</f>
        <v/>
      </c>
      <c r="H19" s="3" t="str">
        <f>IF(ATALI[[#This Row],[ID NOTA]]="","",INDEX([2]!NOTA[TGL.NOTA],MATCH(ATALI[[#This Row],[ID NOTA]],[2]!NOTA[ID],0)))</f>
        <v/>
      </c>
      <c r="I19" t="str">
        <f>IF(ATALI[[#This Row],[ID NOTA]]="","",INDEX([2]!NOTA[NO.NOTA],MATCH(ATALI[[#This Row],[ID NOTA]],[2]!NOTA[ID],0)))</f>
        <v/>
      </c>
      <c r="J19" t="str">
        <f ca="1">IF(ATALI[[#This Row],[//]]="","",INDEX([4]!db[NB PAJAK],ATALI[[#This Row],[stt]]-1))</f>
        <v>MAP TAS / BAG JOYKO B-2637-3 BIRU</v>
      </c>
      <c r="K19" s="1">
        <f ca="1">IF(ATALI[[#This Row],[//]]="","",IF(INDEX([2]!NOTA[C],ATALI[[#This Row],[//]]-2)="","",INDEX([2]!NOTA[C],ATALI[[#This Row],[//]]-2)))</f>
        <v>1</v>
      </c>
      <c r="L19" s="1">
        <f ca="1">IF(ATALI[[#This Row],[//]]="","",INDEX([2]!NOTA[QTY],ATALI[[#This Row],[//]]-2))</f>
        <v>48</v>
      </c>
      <c r="M19" s="1" t="str">
        <f ca="1">IF(ATALI[[#This Row],[//]]="","",INDEX([2]!NOTA[STN],ATALI[[#This Row],[//]]-2))</f>
        <v>PCS</v>
      </c>
      <c r="N19" s="5">
        <f ca="1">IF(ATALI[[#This Row],[//]]="","",INDEX([2]!NOTA[HARGA SATUAN],ATALI[[#This Row],[//]]-2))</f>
        <v>17600</v>
      </c>
      <c r="O19" s="7">
        <f ca="1">IF(ATALI[[#This Row],[//]]="","",INDEX([2]!NOTA[DISC 1],ATALI[[#This Row],[//]]-2))</f>
        <v>0.125</v>
      </c>
      <c r="P19" s="7">
        <f ca="1">IF(ATALI[[#This Row],[//]]="","",INDEX([2]!NOTA[DISC 2],ATALI[[#This Row],[//]]-2))</f>
        <v>0.05</v>
      </c>
      <c r="Q19" s="5">
        <f ca="1">IF(ATALI[[#This Row],[//]]="","",INDEX([2]!NOTA[TOTAL],ATALI[[#This Row],[//]]-2))</f>
        <v>702240</v>
      </c>
      <c r="R1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2808960</v>
      </c>
      <c r="T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t="str">
        <f ca="1">IF(ATALI[[#This Row],[//]]="","",INDEX([2]!NOTA[NAMA BARANG],ATALI[[#This Row],[//]]-2))</f>
        <v>BAG B-2637-3 (BLUE) JK</v>
      </c>
      <c r="V19" t="str">
        <f ca="1">LOWER(SUBSTITUTE(SUBSTITUTE(SUBSTITUTE(SUBSTITUTE(SUBSTITUTE(SUBSTITUTE(SUBSTITUTE(ATALI[[#This Row],[N.B.nota]]," ",""),"-",""),"(",""),")",""),".",""),",",""),"/",""))</f>
        <v>bagb26373bluejk</v>
      </c>
      <c r="W19">
        <f ca="1">IF(ATALI[[#This Row],[concat]]="","",MATCH(ATALI[[#This Row],[concat]],[4]!db[NB NOTA_C],0)+1)</f>
        <v>60</v>
      </c>
      <c r="X19" t="str">
        <f ca="1">IF(ATALI[[#This Row],[N.B.nota]]="","",ADDRESS(ROW(ATALI[QB]),COLUMN(ATALI[QB]))&amp;":"&amp;ADDRESS(ROW(),COLUMN(ATALI[QB])))</f>
        <v>$D$3:$D$19</v>
      </c>
      <c r="Y19" s="13" t="str">
        <f ca="1">IF(ATALI[[#This Row],[//]]="","",HYPERLINK("[../DB.xlsx]DB!e"&amp;MATCH(ATALI[[#This Row],[concat]],[4]!db[NB NOTA_C],0)+1,"&gt;"))</f>
        <v>&gt;</v>
      </c>
    </row>
    <row r="20" spans="1:25" x14ac:dyDescent="0.25">
      <c r="A20" s="4"/>
      <c r="B20" s="1" t="str">
        <f>IF(ATALI[[#This Row],[N_ID]]="","",INDEX(Table1[ID],MATCH(ATALI[[#This Row],[N_ID]],Table1[N_ID],0)))</f>
        <v/>
      </c>
      <c r="C20" s="1" t="str">
        <f>IF(ATALI[[#This Row],[ID NOTA]]="","",HYPERLINK("[NOTA_.xlsx]NOTA!e"&amp;INDEX([2]!PAJAK[//],MATCH(ATALI[[#This Row],[ID NOTA]],[2]!PAJAK[ID],0)),"&gt;") )</f>
        <v/>
      </c>
      <c r="D20" s="1" t="str">
        <f>IF(ATALI[[#This Row],[ID NOTA]]="","",INDEX(Table1[QB],MATCH(ATALI[[#This Row],[ID NOTA]],Table1[ID],0)))</f>
        <v/>
      </c>
      <c r="E2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" s="1"/>
      <c r="G20" s="3" t="str">
        <f>IF(ATALI[[#This Row],[ID NOTA]]="","",INDEX([2]!NOTA[TGL_H],MATCH(ATALI[[#This Row],[ID NOTA]],[2]!NOTA[ID],0)))</f>
        <v/>
      </c>
      <c r="H20" s="3" t="str">
        <f>IF(ATALI[[#This Row],[ID NOTA]]="","",INDEX([2]!NOTA[TGL.NOTA],MATCH(ATALI[[#This Row],[ID NOTA]],[2]!NOTA[ID],0)))</f>
        <v/>
      </c>
      <c r="I20" t="str">
        <f>IF(ATALI[[#This Row],[ID NOTA]]="","",INDEX([2]!NOTA[NO.NOTA],MATCH(ATALI[[#This Row],[ID NOTA]],[2]!NOTA[ID],0)))</f>
        <v/>
      </c>
      <c r="J20" t="str">
        <f ca="1">IF(ATALI[[#This Row],[//]]="","",INDEX([4]!db[NB PAJAK],ATALI[[#This Row],[stt]]-1))</f>
        <v/>
      </c>
      <c r="K20" s="1" t="str">
        <f ca="1">IF(ATALI[[#This Row],[//]]="","",IF(INDEX([2]!NOTA[C],ATALI[[#This Row],[//]]-2)="","",INDEX([2]!NOTA[C],ATALI[[#This Row],[//]]-2)))</f>
        <v/>
      </c>
      <c r="L20" s="1" t="str">
        <f ca="1">IF(ATALI[[#This Row],[//]]="","",INDEX([2]!NOTA[QTY],ATALI[[#This Row],[//]]-2))</f>
        <v/>
      </c>
      <c r="M20" s="1" t="str">
        <f ca="1">IF(ATALI[[#This Row],[//]]="","",INDEX([2]!NOTA[STN],ATALI[[#This Row],[//]]-2))</f>
        <v/>
      </c>
      <c r="N20" s="5" t="str">
        <f ca="1">IF(ATALI[[#This Row],[//]]="","",INDEX([2]!NOTA[HARGA SATUAN],ATALI[[#This Row],[//]]-2))</f>
        <v/>
      </c>
      <c r="O20" s="7" t="str">
        <f ca="1">IF(ATALI[[#This Row],[//]]="","",INDEX([2]!NOTA[DISC 1],ATALI[[#This Row],[//]]-2))</f>
        <v/>
      </c>
      <c r="P20" s="7" t="str">
        <f ca="1">IF(ATALI[[#This Row],[//]]="","",INDEX([2]!NOTA[DISC 2],ATALI[[#This Row],[//]]-2))</f>
        <v/>
      </c>
      <c r="Q20" s="5" t="str">
        <f ca="1">IF(ATALI[[#This Row],[//]]="","",INDEX([2]!NOTA[TOTAL],ATALI[[#This Row],[//]]-2))</f>
        <v/>
      </c>
      <c r="R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t="str">
        <f ca="1">IF(ATALI[[#This Row],[//]]="","",INDEX([2]!NOTA[NAMA BARANG],ATALI[[#This Row],[//]]-2))</f>
        <v/>
      </c>
      <c r="V20" t="str">
        <f ca="1">LOWER(SUBSTITUTE(SUBSTITUTE(SUBSTITUTE(SUBSTITUTE(SUBSTITUTE(SUBSTITUTE(SUBSTITUTE(ATALI[[#This Row],[N.B.nota]]," ",""),"-",""),"(",""),")",""),".",""),",",""),"/",""))</f>
        <v/>
      </c>
      <c r="W20" t="str">
        <f ca="1">IF(ATALI[[#This Row],[concat]]="","",MATCH(ATALI[[#This Row],[concat]],[4]!db[NB NOTA_C],0)+1)</f>
        <v/>
      </c>
      <c r="X20" t="str">
        <f ca="1">IF(ATALI[[#This Row],[N.B.nota]]="","",ADDRESS(ROW(ATALI[QB]),COLUMN(ATALI[QB]))&amp;":"&amp;ADDRESS(ROW(),COLUMN(ATALI[QB])))</f>
        <v/>
      </c>
      <c r="Y20" s="13" t="str">
        <f ca="1">IF(ATALI[[#This Row],[//]]="","",HYPERLINK("[../DB.xlsx]DB!e"&amp;MATCH(ATALI[[#This Row],[concat]],[4]!db[NB NOTA_C],0)+1,"&gt;"))</f>
        <v/>
      </c>
    </row>
    <row r="21" spans="1:25" x14ac:dyDescent="0.25">
      <c r="A21" s="4" t="s">
        <v>73</v>
      </c>
      <c r="B21" s="1">
        <f ca="1">IF(ATALI[[#This Row],[N_ID]]="","",INDEX(Table1[ID],MATCH(ATALI[[#This Row],[N_ID]],Table1[N_ID],0)))</f>
        <v>38</v>
      </c>
      <c r="C21" s="1" t="str">
        <f ca="1">IF(ATALI[[#This Row],[ID NOTA]]="","",HYPERLINK("[NOTA_.xlsx]NOTA!e"&amp;INDEX([2]!PAJAK[//],MATCH(ATALI[[#This Row],[ID NOTA]],[2]!PAJAK[ID],0)),"&gt;") )</f>
        <v>&gt;</v>
      </c>
      <c r="D21" s="1">
        <f ca="1">IF(ATALI[[#This Row],[ID NOTA]]="","",INDEX(Table1[QB],MATCH(ATALI[[#This Row],[ID NOTA]],Table1[ID],0)))</f>
        <v>4</v>
      </c>
      <c r="E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197</v>
      </c>
      <c r="F21" s="1">
        <v>4</v>
      </c>
      <c r="G21" s="3">
        <f ca="1">IF(ATALI[[#This Row],[ID NOTA]]="","",INDEX([2]!NOTA[TGL_H],MATCH(ATALI[[#This Row],[ID NOTA]],[2]!NOTA[ID],0)))</f>
        <v>44816</v>
      </c>
      <c r="H21" s="3">
        <f ca="1">IF(ATALI[[#This Row],[ID NOTA]]="","",INDEX([2]!NOTA[TGL.NOTA],MATCH(ATALI[[#This Row],[ID NOTA]],[2]!NOTA[ID],0)))</f>
        <v>44810</v>
      </c>
      <c r="I21" t="str">
        <f ca="1">IF(ATALI[[#This Row],[ID NOTA]]="","",INDEX([2]!NOTA[NO.NOTA],MATCH(ATALI[[#This Row],[ID NOTA]],[2]!NOTA[ID],0)))</f>
        <v>SA220913941</v>
      </c>
      <c r="J21" t="str">
        <f ca="1">IF(ATALI[[#This Row],[//]]="","",INDEX([4]!db[NB PAJAK],ATALI[[#This Row],[stt]]-1))</f>
        <v>LABEL HARGA JOYKO LB-2RL (1 LINE PUTIH)</v>
      </c>
      <c r="K21" s="1">
        <f ca="1">IF(ATALI[[#This Row],[//]]="","",IF(INDEX([2]!NOTA[C],ATALI[[#This Row],[//]]-2)="","",INDEX([2]!NOTA[C],ATALI[[#This Row],[//]]-2)))</f>
        <v>3</v>
      </c>
      <c r="L21" s="1">
        <f ca="1">IF(ATALI[[#This Row],[//]]="","",INDEX([2]!NOTA[QTY],ATALI[[#This Row],[//]]-2))</f>
        <v>3000</v>
      </c>
      <c r="M21" s="1" t="str">
        <f ca="1">IF(ATALI[[#This Row],[//]]="","",INDEX([2]!NOTA[STN],ATALI[[#This Row],[//]]-2))</f>
        <v>ROL</v>
      </c>
      <c r="N21" s="5">
        <f ca="1">IF(ATALI[[#This Row],[//]]="","",INDEX([2]!NOTA[HARGA SATUAN],ATALI[[#This Row],[//]]-2))</f>
        <v>2050</v>
      </c>
      <c r="O21" s="7">
        <f ca="1">IF(ATALI[[#This Row],[//]]="","",INDEX([2]!NOTA[DISC 1],ATALI[[#This Row],[//]]-2))</f>
        <v>0.125</v>
      </c>
      <c r="P21" s="7">
        <f ca="1">IF(ATALI[[#This Row],[//]]="","",INDEX([2]!NOTA[DISC 2],ATALI[[#This Row],[//]]-2))</f>
        <v>0.05</v>
      </c>
      <c r="Q21" s="5">
        <f ca="1">IF(ATALI[[#This Row],[//]]="","",INDEX([2]!NOTA[TOTAL],ATALI[[#This Row],[//]]-2))</f>
        <v>5112187.5</v>
      </c>
      <c r="R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t="str">
        <f ca="1">IF(ATALI[[#This Row],[//]]="","",INDEX([2]!NOTA[NAMA BARANG],ATALI[[#This Row],[//]]-2))</f>
        <v>LABEL LB-2RL (1 BARIS) JK</v>
      </c>
      <c r="V21" t="str">
        <f ca="1">LOWER(SUBSTITUTE(SUBSTITUTE(SUBSTITUTE(SUBSTITUTE(SUBSTITUTE(SUBSTITUTE(SUBSTITUTE(ATALI[[#This Row],[N.B.nota]]," ",""),"-",""),"(",""),")",""),".",""),",",""),"/",""))</f>
        <v>labellb2rl1barisjk</v>
      </c>
      <c r="W21">
        <f ca="1">IF(ATALI[[#This Row],[concat]]="","",MATCH(ATALI[[#This Row],[concat]],[4]!db[NB NOTA_C],0)+1)</f>
        <v>1297</v>
      </c>
      <c r="X21" t="str">
        <f ca="1">IF(ATALI[[#This Row],[N.B.nota]]="","",ADDRESS(ROW(ATALI[QB]),COLUMN(ATALI[QB]))&amp;":"&amp;ADDRESS(ROW(),COLUMN(ATALI[QB])))</f>
        <v>$D$3:$D$21</v>
      </c>
      <c r="Y21" s="13" t="str">
        <f ca="1">IF(ATALI[[#This Row],[//]]="","",HYPERLINK("[../DB.xlsx]DB!e"&amp;MATCH(ATALI[[#This Row],[concat]],[4]!db[NB NOTA_C],0)+1,"&gt;"))</f>
        <v>&gt;</v>
      </c>
    </row>
    <row r="22" spans="1:25" x14ac:dyDescent="0.25">
      <c r="A22" s="4"/>
      <c r="B22" s="1" t="str">
        <f>IF(ATALI[[#This Row],[N_ID]]="","",INDEX(Table1[ID],MATCH(ATALI[[#This Row],[N_ID]],Table1[N_ID],0)))</f>
        <v/>
      </c>
      <c r="C22" s="1" t="str">
        <f>IF(ATALI[[#This Row],[ID NOTA]]="","",HYPERLINK("[NOTA_.xlsx]NOTA!e"&amp;INDEX([2]!PAJAK[//],MATCH(ATALI[[#This Row],[ID NOTA]],[2]!PAJAK[ID],0)),"&gt;") )</f>
        <v/>
      </c>
      <c r="D22" s="1" t="str">
        <f>IF(ATALI[[#This Row],[ID NOTA]]="","",INDEX(Table1[QB],MATCH(ATALI[[#This Row],[ID NOTA]],Table1[ID],0)))</f>
        <v/>
      </c>
      <c r="E2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198</v>
      </c>
      <c r="F22" s="1"/>
      <c r="G22" s="3" t="str">
        <f>IF(ATALI[[#This Row],[ID NOTA]]="","",INDEX([2]!NOTA[TGL_H],MATCH(ATALI[[#This Row],[ID NOTA]],[2]!NOTA[ID],0)))</f>
        <v/>
      </c>
      <c r="H22" s="3" t="str">
        <f>IF(ATALI[[#This Row],[ID NOTA]]="","",INDEX([2]!NOTA[TGL.NOTA],MATCH(ATALI[[#This Row],[ID NOTA]],[2]!NOTA[ID],0)))</f>
        <v/>
      </c>
      <c r="I22" t="str">
        <f>IF(ATALI[[#This Row],[ID NOTA]]="","",INDEX([2]!NOTA[NO.NOTA],MATCH(ATALI[[#This Row],[ID NOTA]],[2]!NOTA[ID],0)))</f>
        <v/>
      </c>
      <c r="J22" t="str">
        <f ca="1">IF(ATALI[[#This Row],[//]]="","",INDEX([4]!db[NB PAJAK],ATALI[[#This Row],[stt]]-1))</f>
        <v>LABEL HARGA JOYKO LB-P2LN (2 LINE PUTIH)</v>
      </c>
      <c r="K22" s="1">
        <f ca="1">IF(ATALI[[#This Row],[//]]="","",IF(INDEX([2]!NOTA[C],ATALI[[#This Row],[//]]-2)="","",INDEX([2]!NOTA[C],ATALI[[#This Row],[//]]-2)))</f>
        <v>1</v>
      </c>
      <c r="L22" s="1">
        <f ca="1">IF(ATALI[[#This Row],[//]]="","",INDEX([2]!NOTA[QTY],ATALI[[#This Row],[//]]-2))</f>
        <v>500</v>
      </c>
      <c r="M22" s="1" t="str">
        <f ca="1">IF(ATALI[[#This Row],[//]]="","",INDEX([2]!NOTA[STN],ATALI[[#This Row],[//]]-2))</f>
        <v>ROL</v>
      </c>
      <c r="N22" s="5">
        <f ca="1">IF(ATALI[[#This Row],[//]]="","",INDEX([2]!NOTA[HARGA SATUAN],ATALI[[#This Row],[//]]-2))</f>
        <v>3050</v>
      </c>
      <c r="O22" s="7">
        <f ca="1">IF(ATALI[[#This Row],[//]]="","",INDEX([2]!NOTA[DISC 1],ATALI[[#This Row],[//]]-2))</f>
        <v>0.125</v>
      </c>
      <c r="P22" s="7">
        <f ca="1">IF(ATALI[[#This Row],[//]]="","",INDEX([2]!NOTA[DISC 2],ATALI[[#This Row],[//]]-2))</f>
        <v>0.05</v>
      </c>
      <c r="Q22" s="5">
        <f ca="1">IF(ATALI[[#This Row],[//]]="","",INDEX([2]!NOTA[TOTAL],ATALI[[#This Row],[//]]-2))</f>
        <v>1267656.25</v>
      </c>
      <c r="R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" t="str">
        <f ca="1">IF(ATALI[[#This Row],[//]]="","",INDEX([2]!NOTA[NAMA BARANG],ATALI[[#This Row],[//]]-2))</f>
        <v>LABEL LB-P2LN (2 BARIS) JK</v>
      </c>
      <c r="V22" t="str">
        <f ca="1">LOWER(SUBSTITUTE(SUBSTITUTE(SUBSTITUTE(SUBSTITUTE(SUBSTITUTE(SUBSTITUTE(SUBSTITUTE(ATALI[[#This Row],[N.B.nota]]," ",""),"-",""),"(",""),")",""),".",""),",",""),"/",""))</f>
        <v>labellbp2ln2barisjk</v>
      </c>
      <c r="W22">
        <f ca="1">IF(ATALI[[#This Row],[concat]]="","",MATCH(ATALI[[#This Row],[concat]],[4]!db[NB NOTA_C],0)+1)</f>
        <v>1301</v>
      </c>
      <c r="X22" t="str">
        <f ca="1">IF(ATALI[[#This Row],[N.B.nota]]="","",ADDRESS(ROW(ATALI[QB]),COLUMN(ATALI[QB]))&amp;":"&amp;ADDRESS(ROW(),COLUMN(ATALI[QB])))</f>
        <v>$D$3:$D$22</v>
      </c>
      <c r="Y22" s="13" t="str">
        <f ca="1">IF(ATALI[[#This Row],[//]]="","",HYPERLINK("[../DB.xlsx]DB!e"&amp;MATCH(ATALI[[#This Row],[concat]],[4]!db[NB NOTA_C],0)+1,"&gt;"))</f>
        <v>&gt;</v>
      </c>
    </row>
    <row r="23" spans="1:25" x14ac:dyDescent="0.25">
      <c r="A23" s="4"/>
      <c r="B23" s="1" t="str">
        <f>IF(ATALI[[#This Row],[N_ID]]="","",INDEX(Table1[ID],MATCH(ATALI[[#This Row],[N_ID]],Table1[N_ID],0)))</f>
        <v/>
      </c>
      <c r="C23" s="1" t="str">
        <f>IF(ATALI[[#This Row],[ID NOTA]]="","",HYPERLINK("[NOTA_.xlsx]NOTA!e"&amp;INDEX([2]!PAJAK[//],MATCH(ATALI[[#This Row],[ID NOTA]],[2]!PAJAK[ID],0)),"&gt;") )</f>
        <v/>
      </c>
      <c r="D23" s="1" t="str">
        <f>IF(ATALI[[#This Row],[ID NOTA]]="","",INDEX(Table1[QB],MATCH(ATALI[[#This Row],[ID NOTA]],Table1[ID],0)))</f>
        <v/>
      </c>
      <c r="E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199</v>
      </c>
      <c r="F23" s="1"/>
      <c r="G23" s="3" t="str">
        <f>IF(ATALI[[#This Row],[ID NOTA]]="","",INDEX([2]!NOTA[TGL_H],MATCH(ATALI[[#This Row],[ID NOTA]],[2]!NOTA[ID],0)))</f>
        <v/>
      </c>
      <c r="H23" s="3" t="str">
        <f>IF(ATALI[[#This Row],[ID NOTA]]="","",INDEX([2]!NOTA[TGL.NOTA],MATCH(ATALI[[#This Row],[ID NOTA]],[2]!NOTA[ID],0)))</f>
        <v/>
      </c>
      <c r="I23" t="str">
        <f>IF(ATALI[[#This Row],[ID NOTA]]="","",INDEX([2]!NOTA[NO.NOTA],MATCH(ATALI[[#This Row],[ID NOTA]],[2]!NOTA[ID],0)))</f>
        <v/>
      </c>
      <c r="J23" t="str">
        <f ca="1">IF(ATALI[[#This Row],[//]]="","",INDEX([4]!db[NB PAJAK],ATALI[[#This Row],[stt]]-1))</f>
        <v>LABEL HARGA JOYKO LB-1LY (1 LINE KUNING)</v>
      </c>
      <c r="K23" s="1">
        <f ca="1">IF(ATALI[[#This Row],[//]]="","",IF(INDEX([2]!NOTA[C],ATALI[[#This Row],[//]]-2)="","",INDEX([2]!NOTA[C],ATALI[[#This Row],[//]]-2)))</f>
        <v>1</v>
      </c>
      <c r="L23" s="1">
        <f ca="1">IF(ATALI[[#This Row],[//]]="","",INDEX([2]!NOTA[QTY],ATALI[[#This Row],[//]]-2))</f>
        <v>1000</v>
      </c>
      <c r="M23" s="1" t="str">
        <f ca="1">IF(ATALI[[#This Row],[//]]="","",INDEX([2]!NOTA[STN],ATALI[[#This Row],[//]]-2))</f>
        <v>ROL</v>
      </c>
      <c r="N23" s="5">
        <f ca="1">IF(ATALI[[#This Row],[//]]="","",INDEX([2]!NOTA[HARGA SATUAN],ATALI[[#This Row],[//]]-2))</f>
        <v>3000</v>
      </c>
      <c r="O23" s="7">
        <f ca="1">IF(ATALI[[#This Row],[//]]="","",INDEX([2]!NOTA[DISC 1],ATALI[[#This Row],[//]]-2))</f>
        <v>0.125</v>
      </c>
      <c r="P23" s="7">
        <f ca="1">IF(ATALI[[#This Row],[//]]="","",INDEX([2]!NOTA[DISC 2],ATALI[[#This Row],[//]]-2))</f>
        <v>0.05</v>
      </c>
      <c r="Q23" s="5">
        <f ca="1">IF(ATALI[[#This Row],[//]]="","",INDEX([2]!NOTA[TOTAL],ATALI[[#This Row],[//]]-2))</f>
        <v>2493750</v>
      </c>
      <c r="R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t="str">
        <f ca="1">IF(ATALI[[#This Row],[//]]="","",INDEX([2]!NOTA[NAMA BARANG],ATALI[[#This Row],[//]]-2))</f>
        <v>LABEL LB-1LY (1 BARIS, YELLOW) JK</v>
      </c>
      <c r="V23" t="str">
        <f ca="1">LOWER(SUBSTITUTE(SUBSTITUTE(SUBSTITUTE(SUBSTITUTE(SUBSTITUTE(SUBSTITUTE(SUBSTITUTE(ATALI[[#This Row],[N.B.nota]]," ",""),"-",""),"(",""),")",""),".",""),",",""),"/",""))</f>
        <v>labellb1ly1barisyellowjk</v>
      </c>
      <c r="W23">
        <f ca="1">IF(ATALI[[#This Row],[concat]]="","",MATCH(ATALI[[#This Row],[concat]],[4]!db[NB NOTA_C],0)+1)</f>
        <v>1296</v>
      </c>
      <c r="X23" t="str">
        <f ca="1">IF(ATALI[[#This Row],[N.B.nota]]="","",ADDRESS(ROW(ATALI[QB]),COLUMN(ATALI[QB]))&amp;":"&amp;ADDRESS(ROW(),COLUMN(ATALI[QB])))</f>
        <v>$D$3:$D$23</v>
      </c>
      <c r="Y23" s="13" t="str">
        <f ca="1">IF(ATALI[[#This Row],[//]]="","",HYPERLINK("[../DB.xlsx]DB!e"&amp;MATCH(ATALI[[#This Row],[concat]],[4]!db[NB NOTA_C],0)+1,"&gt;"))</f>
        <v>&gt;</v>
      </c>
    </row>
    <row r="24" spans="1:25" x14ac:dyDescent="0.25">
      <c r="A24" s="4"/>
      <c r="B24" s="1" t="str">
        <f>IF(ATALI[[#This Row],[N_ID]]="","",INDEX(Table1[ID],MATCH(ATALI[[#This Row],[N_ID]],Table1[N_ID],0)))</f>
        <v/>
      </c>
      <c r="C24" s="1" t="str">
        <f>IF(ATALI[[#This Row],[ID NOTA]]="","",HYPERLINK("[NOTA_.xlsx]NOTA!e"&amp;INDEX([2]!PAJAK[//],MATCH(ATALI[[#This Row],[ID NOTA]],[2]!PAJAK[ID],0)),"&gt;") )</f>
        <v/>
      </c>
      <c r="D24" s="1" t="str">
        <f>IF(ATALI[[#This Row],[ID NOTA]]="","",INDEX(Table1[QB],MATCH(ATALI[[#This Row],[ID NOTA]],Table1[ID],0)))</f>
        <v/>
      </c>
      <c r="E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200</v>
      </c>
      <c r="F24" s="1"/>
      <c r="G24" s="3" t="str">
        <f>IF(ATALI[[#This Row],[ID NOTA]]="","",INDEX([2]!NOTA[TGL_H],MATCH(ATALI[[#This Row],[ID NOTA]],[2]!NOTA[ID],0)))</f>
        <v/>
      </c>
      <c r="H24" s="3" t="str">
        <f>IF(ATALI[[#This Row],[ID NOTA]]="","",INDEX([2]!NOTA[TGL.NOTA],MATCH(ATALI[[#This Row],[ID NOTA]],[2]!NOTA[ID],0)))</f>
        <v/>
      </c>
      <c r="I24" t="str">
        <f>IF(ATALI[[#This Row],[ID NOTA]]="","",INDEX([2]!NOTA[NO.NOTA],MATCH(ATALI[[#This Row],[ID NOTA]],[2]!NOTA[ID],0)))</f>
        <v/>
      </c>
      <c r="J24" t="str">
        <f ca="1">IF(ATALI[[#This Row],[//]]="","",INDEX([4]!db[NB PAJAK],ATALI[[#This Row],[stt]]-1))</f>
        <v>LABEL HARGA JOYKO LB-3 (2 LINE KUNING FLUOR)</v>
      </c>
      <c r="K24" s="1">
        <f ca="1">IF(ATALI[[#This Row],[//]]="","",IF(INDEX([2]!NOTA[C],ATALI[[#This Row],[//]]-2)="","",INDEX([2]!NOTA[C],ATALI[[#This Row],[//]]-2)))</f>
        <v>1</v>
      </c>
      <c r="L24" s="1">
        <f ca="1">IF(ATALI[[#This Row],[//]]="","",INDEX([2]!NOTA[QTY],ATALI[[#This Row],[//]]-2))</f>
        <v>500</v>
      </c>
      <c r="M24" s="1" t="str">
        <f ca="1">IF(ATALI[[#This Row],[//]]="","",INDEX([2]!NOTA[STN],ATALI[[#This Row],[//]]-2))</f>
        <v>ROL</v>
      </c>
      <c r="N24" s="5">
        <f ca="1">IF(ATALI[[#This Row],[//]]="","",INDEX([2]!NOTA[HARGA SATUAN],ATALI[[#This Row],[//]]-2))</f>
        <v>4300</v>
      </c>
      <c r="O24" s="7">
        <f ca="1">IF(ATALI[[#This Row],[//]]="","",INDEX([2]!NOTA[DISC 1],ATALI[[#This Row],[//]]-2))</f>
        <v>0.125</v>
      </c>
      <c r="P24" s="7">
        <f ca="1">IF(ATALI[[#This Row],[//]]="","",INDEX([2]!NOTA[DISC 2],ATALI[[#This Row],[//]]-2))</f>
        <v>0.05</v>
      </c>
      <c r="Q24" s="5">
        <f ca="1">IF(ATALI[[#This Row],[//]]="","",INDEX([2]!NOTA[TOTAL],ATALI[[#This Row],[//]]-2))</f>
        <v>1787187.5</v>
      </c>
      <c r="R2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10660781.25</v>
      </c>
      <c r="T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t="str">
        <f ca="1">IF(ATALI[[#This Row],[//]]="","",INDEX([2]!NOTA[NAMA BARANG],ATALI[[#This Row],[//]]-2))</f>
        <v>LABEL LB-3 (2 BARIS, YELLOW FLOUR) JK</v>
      </c>
      <c r="V24" t="str">
        <f ca="1">LOWER(SUBSTITUTE(SUBSTITUTE(SUBSTITUTE(SUBSTITUTE(SUBSTITUTE(SUBSTITUTE(SUBSTITUTE(ATALI[[#This Row],[N.B.nota]]," ",""),"-",""),"(",""),")",""),".",""),",",""),"/",""))</f>
        <v>labellb32barisyellowflourjk</v>
      </c>
      <c r="W24">
        <f ca="1">IF(ATALI[[#This Row],[concat]]="","",MATCH(ATALI[[#This Row],[concat]],[4]!db[NB NOTA_C],0)+1)</f>
        <v>1298</v>
      </c>
      <c r="X24" t="str">
        <f ca="1">IF(ATALI[[#This Row],[N.B.nota]]="","",ADDRESS(ROW(ATALI[QB]),COLUMN(ATALI[QB]))&amp;":"&amp;ADDRESS(ROW(),COLUMN(ATALI[QB])))</f>
        <v>$D$3:$D$24</v>
      </c>
      <c r="Y24" s="13" t="str">
        <f ca="1">IF(ATALI[[#This Row],[//]]="","",HYPERLINK("[../DB.xlsx]DB!e"&amp;MATCH(ATALI[[#This Row],[concat]],[4]!db[NB NOTA_C],0)+1,"&gt;"))</f>
        <v>&gt;</v>
      </c>
    </row>
    <row r="25" spans="1:25" x14ac:dyDescent="0.25">
      <c r="A25" s="4"/>
      <c r="B25" s="1" t="str">
        <f>IF(ATALI[[#This Row],[N_ID]]="","",INDEX(Table1[ID],MATCH(ATALI[[#This Row],[N_ID]],Table1[N_ID],0)))</f>
        <v/>
      </c>
      <c r="C25" s="1" t="str">
        <f>IF(ATALI[[#This Row],[ID NOTA]]="","",HYPERLINK("[NOTA_.xlsx]NOTA!e"&amp;INDEX([2]!PAJAK[//],MATCH(ATALI[[#This Row],[ID NOTA]],[2]!PAJAK[ID],0)),"&gt;") )</f>
        <v/>
      </c>
      <c r="D25" s="1" t="str">
        <f>IF(ATALI[[#This Row],[ID NOTA]]="","",INDEX(Table1[QB],MATCH(ATALI[[#This Row],[ID NOTA]],Table1[ID],0)))</f>
        <v/>
      </c>
      <c r="E2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" s="1"/>
      <c r="G25" s="3" t="str">
        <f>IF(ATALI[[#This Row],[ID NOTA]]="","",INDEX([2]!NOTA[TGL_H],MATCH(ATALI[[#This Row],[ID NOTA]],[2]!NOTA[ID],0)))</f>
        <v/>
      </c>
      <c r="H25" s="3" t="str">
        <f>IF(ATALI[[#This Row],[ID NOTA]]="","",INDEX([2]!NOTA[TGL.NOTA],MATCH(ATALI[[#This Row],[ID NOTA]],[2]!NOTA[ID],0)))</f>
        <v/>
      </c>
      <c r="I25" t="str">
        <f>IF(ATALI[[#This Row],[ID NOTA]]="","",INDEX([2]!NOTA[NO.NOTA],MATCH(ATALI[[#This Row],[ID NOTA]],[2]!NOTA[ID],0)))</f>
        <v/>
      </c>
      <c r="J25" t="str">
        <f ca="1">IF(ATALI[[#This Row],[//]]="","",INDEX([4]!db[NB PAJAK],ATALI[[#This Row],[stt]]-1))</f>
        <v/>
      </c>
      <c r="K25" s="1" t="str">
        <f ca="1">IF(ATALI[[#This Row],[//]]="","",IF(INDEX([2]!NOTA[C],ATALI[[#This Row],[//]]-2)="","",INDEX([2]!NOTA[C],ATALI[[#This Row],[//]]-2)))</f>
        <v/>
      </c>
      <c r="L25" s="1" t="str">
        <f ca="1">IF(ATALI[[#This Row],[//]]="","",INDEX([2]!NOTA[QTY],ATALI[[#This Row],[//]]-2))</f>
        <v/>
      </c>
      <c r="M25" s="1" t="str">
        <f ca="1">IF(ATALI[[#This Row],[//]]="","",INDEX([2]!NOTA[STN],ATALI[[#This Row],[//]]-2))</f>
        <v/>
      </c>
      <c r="N25" s="5" t="str">
        <f ca="1">IF(ATALI[[#This Row],[//]]="","",INDEX([2]!NOTA[HARGA SATUAN],ATALI[[#This Row],[//]]-2))</f>
        <v/>
      </c>
      <c r="O25" s="7" t="str">
        <f ca="1">IF(ATALI[[#This Row],[//]]="","",INDEX([2]!NOTA[DISC 1],ATALI[[#This Row],[//]]-2))</f>
        <v/>
      </c>
      <c r="P25" s="7" t="str">
        <f ca="1">IF(ATALI[[#This Row],[//]]="","",INDEX([2]!NOTA[DISC 2],ATALI[[#This Row],[//]]-2))</f>
        <v/>
      </c>
      <c r="Q25" s="5" t="str">
        <f ca="1">IF(ATALI[[#This Row],[//]]="","",INDEX([2]!NOTA[TOTAL],ATALI[[#This Row],[//]]-2))</f>
        <v/>
      </c>
      <c r="R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t="str">
        <f ca="1">IF(ATALI[[#This Row],[//]]="","",INDEX([2]!NOTA[NAMA BARANG],ATALI[[#This Row],[//]]-2))</f>
        <v/>
      </c>
      <c r="V25" t="str">
        <f ca="1">LOWER(SUBSTITUTE(SUBSTITUTE(SUBSTITUTE(SUBSTITUTE(SUBSTITUTE(SUBSTITUTE(SUBSTITUTE(ATALI[[#This Row],[N.B.nota]]," ",""),"-",""),"(",""),")",""),".",""),",",""),"/",""))</f>
        <v/>
      </c>
      <c r="W25" t="str">
        <f ca="1">IF(ATALI[[#This Row],[concat]]="","",MATCH(ATALI[[#This Row],[concat]],[4]!db[NB NOTA_C],0)+1)</f>
        <v/>
      </c>
      <c r="X25" t="str">
        <f ca="1">IF(ATALI[[#This Row],[N.B.nota]]="","",ADDRESS(ROW(ATALI[QB]),COLUMN(ATALI[QB]))&amp;":"&amp;ADDRESS(ROW(),COLUMN(ATALI[QB])))</f>
        <v/>
      </c>
      <c r="Y25" s="13" t="str">
        <f ca="1">IF(ATALI[[#This Row],[//]]="","",HYPERLINK("[../DB.xlsx]DB!e"&amp;MATCH(ATALI[[#This Row],[concat]],[4]!db[NB NOTA_C],0)+1,"&gt;"))</f>
        <v/>
      </c>
    </row>
    <row r="26" spans="1:25" x14ac:dyDescent="0.25">
      <c r="A26" s="4" t="s">
        <v>75</v>
      </c>
      <c r="B26" s="1">
        <f ca="1">IF(ATALI[[#This Row],[N_ID]]="","",INDEX(Table1[ID],MATCH(ATALI[[#This Row],[N_ID]],Table1[N_ID],0)))</f>
        <v>40</v>
      </c>
      <c r="C26" s="1" t="str">
        <f ca="1">IF(ATALI[[#This Row],[ID NOTA]]="","",HYPERLINK("[NOTA_.xlsx]NOTA!e"&amp;INDEX([2]!PAJAK[//],MATCH(ATALI[[#This Row],[ID NOTA]],[2]!PAJAK[ID],0)),"&gt;") )</f>
        <v>&gt;</v>
      </c>
      <c r="D26" s="1">
        <f ca="1">IF(ATALI[[#This Row],[ID NOTA]]="","",INDEX(Table1[QB],MATCH(ATALI[[#This Row],[ID NOTA]],Table1[ID],0)))</f>
        <v>5</v>
      </c>
      <c r="E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207</v>
      </c>
      <c r="F26" s="1">
        <v>5</v>
      </c>
      <c r="G26" s="3">
        <f ca="1">IF(ATALI[[#This Row],[ID NOTA]]="","",INDEX([2]!NOTA[TGL_H],MATCH(ATALI[[#This Row],[ID NOTA]],[2]!NOTA[ID],0)))</f>
        <v>44816</v>
      </c>
      <c r="H26" s="3">
        <f ca="1">IF(ATALI[[#This Row],[ID NOTA]]="","",INDEX([2]!NOTA[TGL.NOTA],MATCH(ATALI[[#This Row],[ID NOTA]],[2]!NOTA[ID],0)))</f>
        <v>44810</v>
      </c>
      <c r="I26" t="str">
        <f ca="1">IF(ATALI[[#This Row],[ID NOTA]]="","",INDEX([2]!NOTA[NO.NOTA],MATCH(ATALI[[#This Row],[ID NOTA]],[2]!NOTA[ID],0)))</f>
        <v>SA220913954</v>
      </c>
      <c r="J26" t="str">
        <f ca="1">IF(ATALI[[#This Row],[//]]="","",INDEX([4]!db[NB PAJAK],ATALI[[#This Row],[stt]]-1))</f>
        <v>LABEL HARGA JOYKO LB-1LY (1 LINE KUNING)</v>
      </c>
      <c r="K26" s="1">
        <f ca="1">IF(ATALI[[#This Row],[//]]="","",IF(INDEX([2]!NOTA[C],ATALI[[#This Row],[//]]-2)="","",INDEX([2]!NOTA[C],ATALI[[#This Row],[//]]-2)))</f>
        <v>3</v>
      </c>
      <c r="L26" s="1">
        <f ca="1">IF(ATALI[[#This Row],[//]]="","",INDEX([2]!NOTA[QTY],ATALI[[#This Row],[//]]-2))</f>
        <v>3000</v>
      </c>
      <c r="M26" s="1" t="str">
        <f ca="1">IF(ATALI[[#This Row],[//]]="","",INDEX([2]!NOTA[STN],ATALI[[#This Row],[//]]-2))</f>
        <v>ROL</v>
      </c>
      <c r="N26" s="5">
        <f ca="1">IF(ATALI[[#This Row],[//]]="","",INDEX([2]!NOTA[HARGA SATUAN],ATALI[[#This Row],[//]]-2))</f>
        <v>3000</v>
      </c>
      <c r="O26" s="7">
        <f ca="1">IF(ATALI[[#This Row],[//]]="","",INDEX([2]!NOTA[DISC 1],ATALI[[#This Row],[//]]-2))</f>
        <v>0.125</v>
      </c>
      <c r="P26" s="7">
        <f ca="1">IF(ATALI[[#This Row],[//]]="","",INDEX([2]!NOTA[DISC 2],ATALI[[#This Row],[//]]-2))</f>
        <v>0.05</v>
      </c>
      <c r="Q26" s="5">
        <f ca="1">IF(ATALI[[#This Row],[//]]="","",INDEX([2]!NOTA[TOTAL],ATALI[[#This Row],[//]]-2))</f>
        <v>7481250</v>
      </c>
      <c r="R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t="str">
        <f ca="1">IF(ATALI[[#This Row],[//]]="","",INDEX([2]!NOTA[NAMA BARANG],ATALI[[#This Row],[//]]-2))</f>
        <v>LABEL LB-1LY (1 BARIS, YELLOW) JK</v>
      </c>
      <c r="V26" t="str">
        <f ca="1">LOWER(SUBSTITUTE(SUBSTITUTE(SUBSTITUTE(SUBSTITUTE(SUBSTITUTE(SUBSTITUTE(SUBSTITUTE(ATALI[[#This Row],[N.B.nota]]," ",""),"-",""),"(",""),")",""),".",""),",",""),"/",""))</f>
        <v>labellb1ly1barisyellowjk</v>
      </c>
      <c r="W26">
        <f ca="1">IF(ATALI[[#This Row],[concat]]="","",MATCH(ATALI[[#This Row],[concat]],[4]!db[NB NOTA_C],0)+1)</f>
        <v>1296</v>
      </c>
      <c r="X26" t="str">
        <f ca="1">IF(ATALI[[#This Row],[N.B.nota]]="","",ADDRESS(ROW(ATALI[QB]),COLUMN(ATALI[QB]))&amp;":"&amp;ADDRESS(ROW(),COLUMN(ATALI[QB])))</f>
        <v>$D$3:$D$26</v>
      </c>
      <c r="Y26" s="13" t="str">
        <f ca="1">IF(ATALI[[#This Row],[//]]="","",HYPERLINK("[../DB.xlsx]DB!e"&amp;MATCH(ATALI[[#This Row],[concat]],[4]!db[NB NOTA_C],0)+1,"&gt;"))</f>
        <v>&gt;</v>
      </c>
    </row>
    <row r="27" spans="1:25" x14ac:dyDescent="0.25">
      <c r="A27" s="4"/>
      <c r="B27" s="1" t="str">
        <f>IF(ATALI[[#This Row],[N_ID]]="","",INDEX(Table1[ID],MATCH(ATALI[[#This Row],[N_ID]],Table1[N_ID],0)))</f>
        <v/>
      </c>
      <c r="C27" s="1" t="str">
        <f>IF(ATALI[[#This Row],[ID NOTA]]="","",HYPERLINK("[NOTA_.xlsx]NOTA!e"&amp;INDEX([2]!PAJAK[//],MATCH(ATALI[[#This Row],[ID NOTA]],[2]!PAJAK[ID],0)),"&gt;") )</f>
        <v/>
      </c>
      <c r="D27" s="1" t="str">
        <f>IF(ATALI[[#This Row],[ID NOTA]]="","",INDEX(Table1[QB],MATCH(ATALI[[#This Row],[ID NOTA]],Table1[ID],0)))</f>
        <v/>
      </c>
      <c r="E2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208</v>
      </c>
      <c r="F27" s="1"/>
      <c r="G27" s="3" t="str">
        <f>IF(ATALI[[#This Row],[ID NOTA]]="","",INDEX([2]!NOTA[TGL_H],MATCH(ATALI[[#This Row],[ID NOTA]],[2]!NOTA[ID],0)))</f>
        <v/>
      </c>
      <c r="H27" s="3" t="str">
        <f>IF(ATALI[[#This Row],[ID NOTA]]="","",INDEX([2]!NOTA[TGL.NOTA],MATCH(ATALI[[#This Row],[ID NOTA]],[2]!NOTA[ID],0)))</f>
        <v/>
      </c>
      <c r="I27" t="str">
        <f>IF(ATALI[[#This Row],[ID NOTA]]="","",INDEX([2]!NOTA[NO.NOTA],MATCH(ATALI[[#This Row],[ID NOTA]],[2]!NOTA[ID],0)))</f>
        <v/>
      </c>
      <c r="J27" t="str">
        <f ca="1">IF(ATALI[[#This Row],[//]]="","",INDEX([4]!db[NB PAJAK],ATALI[[#This Row],[stt]]-1))</f>
        <v>LABEL HARGA JOYKO LB-P2CY (2 LINE KUNING)</v>
      </c>
      <c r="K27" s="1">
        <f ca="1">IF(ATALI[[#This Row],[//]]="","",IF(INDEX([2]!NOTA[C],ATALI[[#This Row],[//]]-2)="","",INDEX([2]!NOTA[C],ATALI[[#This Row],[//]]-2)))</f>
        <v>3</v>
      </c>
      <c r="L27" s="1">
        <f ca="1">IF(ATALI[[#This Row],[//]]="","",INDEX([2]!NOTA[QTY],ATALI[[#This Row],[//]]-2))</f>
        <v>1500</v>
      </c>
      <c r="M27" s="1" t="str">
        <f ca="1">IF(ATALI[[#This Row],[//]]="","",INDEX([2]!NOTA[STN],ATALI[[#This Row],[//]]-2))</f>
        <v>ROL</v>
      </c>
      <c r="N27" s="5">
        <f ca="1">IF(ATALI[[#This Row],[//]]="","",INDEX([2]!NOTA[HARGA SATUAN],ATALI[[#This Row],[//]]-2))</f>
        <v>4200</v>
      </c>
      <c r="O27" s="7">
        <f ca="1">IF(ATALI[[#This Row],[//]]="","",INDEX([2]!NOTA[DISC 1],ATALI[[#This Row],[//]]-2))</f>
        <v>0.125</v>
      </c>
      <c r="P27" s="7">
        <f ca="1">IF(ATALI[[#This Row],[//]]="","",INDEX([2]!NOTA[DISC 2],ATALI[[#This Row],[//]]-2))</f>
        <v>0.05</v>
      </c>
      <c r="Q27" s="5">
        <f ca="1">IF(ATALI[[#This Row],[//]]="","",INDEX([2]!NOTA[TOTAL],ATALI[[#This Row],[//]]-2))</f>
        <v>5236875</v>
      </c>
      <c r="R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t="str">
        <f ca="1">IF(ATALI[[#This Row],[//]]="","",INDEX([2]!NOTA[NAMA BARANG],ATALI[[#This Row],[//]]-2))</f>
        <v>LABEL LB-P2CY (2 BARIS, YELLOW) JK</v>
      </c>
      <c r="V27" t="str">
        <f ca="1">LOWER(SUBSTITUTE(SUBSTITUTE(SUBSTITUTE(SUBSTITUTE(SUBSTITUTE(SUBSTITUTE(SUBSTITUTE(ATALI[[#This Row],[N.B.nota]]," ",""),"-",""),"(",""),")",""),".",""),",",""),"/",""))</f>
        <v>labellbp2cy2barisyellowjk</v>
      </c>
      <c r="W27">
        <f ca="1">IF(ATALI[[#This Row],[concat]]="","",MATCH(ATALI[[#This Row],[concat]],[4]!db[NB NOTA_C],0)+1)</f>
        <v>1300</v>
      </c>
      <c r="X27" t="str">
        <f ca="1">IF(ATALI[[#This Row],[N.B.nota]]="","",ADDRESS(ROW(ATALI[QB]),COLUMN(ATALI[QB]))&amp;":"&amp;ADDRESS(ROW(),COLUMN(ATALI[QB])))</f>
        <v>$D$3:$D$27</v>
      </c>
      <c r="Y27" s="13" t="str">
        <f ca="1">IF(ATALI[[#This Row],[//]]="","",HYPERLINK("[../DB.xlsx]DB!e"&amp;MATCH(ATALI[[#This Row],[concat]],[4]!db[NB NOTA_C],0)+1,"&gt;"))</f>
        <v>&gt;</v>
      </c>
    </row>
    <row r="28" spans="1:25" x14ac:dyDescent="0.25">
      <c r="A28" s="4"/>
      <c r="B28" s="1" t="str">
        <f>IF(ATALI[[#This Row],[N_ID]]="","",INDEX(Table1[ID],MATCH(ATALI[[#This Row],[N_ID]],Table1[N_ID],0)))</f>
        <v/>
      </c>
      <c r="C28" s="1" t="str">
        <f>IF(ATALI[[#This Row],[ID NOTA]]="","",HYPERLINK("[NOTA_.xlsx]NOTA!e"&amp;INDEX([2]!PAJAK[//],MATCH(ATALI[[#This Row],[ID NOTA]],[2]!PAJAK[ID],0)),"&gt;") )</f>
        <v/>
      </c>
      <c r="D28" s="1" t="str">
        <f>IF(ATALI[[#This Row],[ID NOTA]]="","",INDEX(Table1[QB],MATCH(ATALI[[#This Row],[ID NOTA]],Table1[ID],0)))</f>
        <v/>
      </c>
      <c r="E2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209</v>
      </c>
      <c r="F28" s="1"/>
      <c r="G28" s="3" t="str">
        <f>IF(ATALI[[#This Row],[ID NOTA]]="","",INDEX([2]!NOTA[TGL_H],MATCH(ATALI[[#This Row],[ID NOTA]],[2]!NOTA[ID],0)))</f>
        <v/>
      </c>
      <c r="H28" s="3" t="str">
        <f>IF(ATALI[[#This Row],[ID NOTA]]="","",INDEX([2]!NOTA[TGL.NOTA],MATCH(ATALI[[#This Row],[ID NOTA]],[2]!NOTA[ID],0)))</f>
        <v/>
      </c>
      <c r="I28" t="str">
        <f>IF(ATALI[[#This Row],[ID NOTA]]="","",INDEX([2]!NOTA[NO.NOTA],MATCH(ATALI[[#This Row],[ID NOTA]],[2]!NOTA[ID],0)))</f>
        <v/>
      </c>
      <c r="J28" t="str">
        <f ca="1">IF(ATALI[[#This Row],[//]]="","",INDEX([4]!db[NB PAJAK],ATALI[[#This Row],[stt]]-1))</f>
        <v>ISI PENSIL 2B 2.0 MM JOYKO PL-11</v>
      </c>
      <c r="K28" s="1">
        <f ca="1">IF(ATALI[[#This Row],[//]]="","",IF(INDEX([2]!NOTA[C],ATALI[[#This Row],[//]]-2)="","",INDEX([2]!NOTA[C],ATALI[[#This Row],[//]]-2)))</f>
        <v>1</v>
      </c>
      <c r="L28" s="1">
        <f ca="1">IF(ATALI[[#This Row],[//]]="","",INDEX([2]!NOTA[QTY],ATALI[[#This Row],[//]]-2))</f>
        <v>72</v>
      </c>
      <c r="M28" s="1" t="str">
        <f ca="1">IF(ATALI[[#This Row],[//]]="","",INDEX([2]!NOTA[STN],ATALI[[#This Row],[//]]-2))</f>
        <v>DZ</v>
      </c>
      <c r="N28" s="5">
        <f ca="1">IF(ATALI[[#This Row],[//]]="","",INDEX([2]!NOTA[HARGA SATUAN],ATALI[[#This Row],[//]]-2))</f>
        <v>34500</v>
      </c>
      <c r="O28" s="7">
        <f ca="1">IF(ATALI[[#This Row],[//]]="","",INDEX([2]!NOTA[DISC 1],ATALI[[#This Row],[//]]-2))</f>
        <v>0.125</v>
      </c>
      <c r="P28" s="7">
        <f ca="1">IF(ATALI[[#This Row],[//]]="","",INDEX([2]!NOTA[DISC 2],ATALI[[#This Row],[//]]-2))</f>
        <v>0.05</v>
      </c>
      <c r="Q28" s="5">
        <f ca="1">IF(ATALI[[#This Row],[//]]="","",INDEX([2]!NOTA[TOTAL],ATALI[[#This Row],[//]]-2))</f>
        <v>2064825</v>
      </c>
      <c r="R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t="str">
        <f ca="1">IF(ATALI[[#This Row],[//]]="","",INDEX([2]!NOTA[NAMA BARANG],ATALI[[#This Row],[//]]-2))</f>
        <v>PENCIL LEAD PL-11 (2.0) JK</v>
      </c>
      <c r="V28" t="str">
        <f ca="1">LOWER(SUBSTITUTE(SUBSTITUTE(SUBSTITUTE(SUBSTITUTE(SUBSTITUTE(SUBSTITUTE(SUBSTITUTE(ATALI[[#This Row],[N.B.nota]]," ",""),"-",""),"(",""),")",""),".",""),",",""),"/",""))</f>
        <v>pencilleadpl1120jk</v>
      </c>
      <c r="W28">
        <f ca="1">IF(ATALI[[#This Row],[concat]]="","",MATCH(ATALI[[#This Row],[concat]],[4]!db[NB NOTA_C],0)+1)</f>
        <v>1681</v>
      </c>
      <c r="X28" t="str">
        <f ca="1">IF(ATALI[[#This Row],[N.B.nota]]="","",ADDRESS(ROW(ATALI[QB]),COLUMN(ATALI[QB]))&amp;":"&amp;ADDRESS(ROW(),COLUMN(ATALI[QB])))</f>
        <v>$D$3:$D$28</v>
      </c>
      <c r="Y28" s="13" t="str">
        <f ca="1">IF(ATALI[[#This Row],[//]]="","",HYPERLINK("[../DB.xlsx]DB!e"&amp;MATCH(ATALI[[#This Row],[concat]],[4]!db[NB NOTA_C],0)+1,"&gt;"))</f>
        <v>&gt;</v>
      </c>
    </row>
    <row r="29" spans="1:25" x14ac:dyDescent="0.25">
      <c r="A29" s="4"/>
      <c r="B29" s="1" t="str">
        <f>IF(ATALI[[#This Row],[N_ID]]="","",INDEX(Table1[ID],MATCH(ATALI[[#This Row],[N_ID]],Table1[N_ID],0)))</f>
        <v/>
      </c>
      <c r="C29" s="1" t="str">
        <f>IF(ATALI[[#This Row],[ID NOTA]]="","",HYPERLINK("[NOTA_.xlsx]NOTA!e"&amp;INDEX([2]!PAJAK[//],MATCH(ATALI[[#This Row],[ID NOTA]],[2]!PAJAK[ID],0)),"&gt;") )</f>
        <v/>
      </c>
      <c r="D29" s="1" t="str">
        <f>IF(ATALI[[#This Row],[ID NOTA]]="","",INDEX(Table1[QB],MATCH(ATALI[[#This Row],[ID NOTA]],Table1[ID],0)))</f>
        <v/>
      </c>
      <c r="E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210</v>
      </c>
      <c r="F29" s="1"/>
      <c r="G29" s="3" t="str">
        <f>IF(ATALI[[#This Row],[ID NOTA]]="","",INDEX([2]!NOTA[TGL_H],MATCH(ATALI[[#This Row],[ID NOTA]],[2]!NOTA[ID],0)))</f>
        <v/>
      </c>
      <c r="H29" s="3" t="str">
        <f>IF(ATALI[[#This Row],[ID NOTA]]="","",INDEX([2]!NOTA[TGL.NOTA],MATCH(ATALI[[#This Row],[ID NOTA]],[2]!NOTA[ID],0)))</f>
        <v/>
      </c>
      <c r="I29" t="str">
        <f>IF(ATALI[[#This Row],[ID NOTA]]="","",INDEX([2]!NOTA[NO.NOTA],MATCH(ATALI[[#This Row],[ID NOTA]],[2]!NOTA[ID],0)))</f>
        <v/>
      </c>
      <c r="J29" t="str">
        <f ca="1">IF(ATALI[[#This Row],[//]]="","",INDEX([4]!db[NB PAJAK],ATALI[[#This Row],[stt]]-1))</f>
        <v>ISI PENSIL 2B 2.0 MM JOYKO PL-16</v>
      </c>
      <c r="K29" s="1">
        <f ca="1">IF(ATALI[[#This Row],[//]]="","",IF(INDEX([2]!NOTA[C],ATALI[[#This Row],[//]]-2)="","",INDEX([2]!NOTA[C],ATALI[[#This Row],[//]]-2)))</f>
        <v>1</v>
      </c>
      <c r="L29" s="1">
        <f ca="1">IF(ATALI[[#This Row],[//]]="","",INDEX([2]!NOTA[QTY],ATALI[[#This Row],[//]]-2))</f>
        <v>12</v>
      </c>
      <c r="M29" s="1" t="str">
        <f ca="1">IF(ATALI[[#This Row],[//]]="","",INDEX([2]!NOTA[STN],ATALI[[#This Row],[//]]-2))</f>
        <v>GRS</v>
      </c>
      <c r="N29" s="5">
        <f ca="1">IF(ATALI[[#This Row],[//]]="","",INDEX([2]!NOTA[HARGA SATUAN],ATALI[[#This Row],[//]]-2))</f>
        <v>183600</v>
      </c>
      <c r="O29" s="7">
        <f ca="1">IF(ATALI[[#This Row],[//]]="","",INDEX([2]!NOTA[DISC 1],ATALI[[#This Row],[//]]-2))</f>
        <v>0.125</v>
      </c>
      <c r="P29" s="7">
        <f ca="1">IF(ATALI[[#This Row],[//]]="","",INDEX([2]!NOTA[DISC 2],ATALI[[#This Row],[//]]-2))</f>
        <v>0.05</v>
      </c>
      <c r="Q29" s="5">
        <f ca="1">IF(ATALI[[#This Row],[//]]="","",INDEX([2]!NOTA[TOTAL],ATALI[[#This Row],[//]]-2))</f>
        <v>1831410</v>
      </c>
      <c r="R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t="str">
        <f ca="1">IF(ATALI[[#This Row],[//]]="","",INDEX([2]!NOTA[NAMA BARANG],ATALI[[#This Row],[//]]-2))</f>
        <v>PENCIL LEAD PL-16 (2.0) JK</v>
      </c>
      <c r="V29" t="str">
        <f ca="1">LOWER(SUBSTITUTE(SUBSTITUTE(SUBSTITUTE(SUBSTITUTE(SUBSTITUTE(SUBSTITUTE(SUBSTITUTE(ATALI[[#This Row],[N.B.nota]]," ",""),"-",""),"(",""),")",""),".",""),",",""),"/",""))</f>
        <v>pencilleadpl1620jk</v>
      </c>
      <c r="W29">
        <f ca="1">IF(ATALI[[#This Row],[concat]]="","",MATCH(ATALI[[#This Row],[concat]],[4]!db[NB NOTA_C],0)+1)</f>
        <v>1682</v>
      </c>
      <c r="X29" t="str">
        <f ca="1">IF(ATALI[[#This Row],[N.B.nota]]="","",ADDRESS(ROW(ATALI[QB]),COLUMN(ATALI[QB]))&amp;":"&amp;ADDRESS(ROW(),COLUMN(ATALI[QB])))</f>
        <v>$D$3:$D$29</v>
      </c>
      <c r="Y29" s="13" t="str">
        <f ca="1">IF(ATALI[[#This Row],[//]]="","",HYPERLINK("[../DB.xlsx]DB!e"&amp;MATCH(ATALI[[#This Row],[concat]],[4]!db[NB NOTA_C],0)+1,"&gt;"))</f>
        <v>&gt;</v>
      </c>
    </row>
    <row r="30" spans="1:25" x14ac:dyDescent="0.25">
      <c r="A30" s="4"/>
      <c r="B30" s="1" t="str">
        <f>IF(ATALI[[#This Row],[N_ID]]="","",INDEX(Table1[ID],MATCH(ATALI[[#This Row],[N_ID]],Table1[N_ID],0)))</f>
        <v/>
      </c>
      <c r="C30" s="1" t="str">
        <f>IF(ATALI[[#This Row],[ID NOTA]]="","",HYPERLINK("[NOTA_.xlsx]NOTA!e"&amp;INDEX([2]!PAJAK[//],MATCH(ATALI[[#This Row],[ID NOTA]],[2]!PAJAK[ID],0)),"&gt;") )</f>
        <v/>
      </c>
      <c r="D30" s="1" t="str">
        <f>IF(ATALI[[#This Row],[ID NOTA]]="","",INDEX(Table1[QB],MATCH(ATALI[[#This Row],[ID NOTA]],Table1[ID],0)))</f>
        <v/>
      </c>
      <c r="E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211</v>
      </c>
      <c r="F30" s="1"/>
      <c r="G30" s="3" t="str">
        <f>IF(ATALI[[#This Row],[ID NOTA]]="","",INDEX([2]!NOTA[TGL_H],MATCH(ATALI[[#This Row],[ID NOTA]],[2]!NOTA[ID],0)))</f>
        <v/>
      </c>
      <c r="H30" s="3" t="str">
        <f>IF(ATALI[[#This Row],[ID NOTA]]="","",INDEX([2]!NOTA[TGL.NOTA],MATCH(ATALI[[#This Row],[ID NOTA]],[2]!NOTA[ID],0)))</f>
        <v/>
      </c>
      <c r="I30" t="str">
        <f>IF(ATALI[[#This Row],[ID NOTA]]="","",INDEX([2]!NOTA[NO.NOTA],MATCH(ATALI[[#This Row],[ID NOTA]],[2]!NOTA[ID],0)))</f>
        <v/>
      </c>
      <c r="J30" t="str">
        <f ca="1">IF(ATALI[[#This Row],[//]]="","",INDEX([4]!db[NB PAJAK],ATALI[[#This Row],[stt]]-1))</f>
        <v>MECHANICAL PENCIL 0.5 MM JOYKO MP-07</v>
      </c>
      <c r="K30" s="1">
        <f ca="1">IF(ATALI[[#This Row],[//]]="","",IF(INDEX([2]!NOTA[C],ATALI[[#This Row],[//]]-2)="","",INDEX([2]!NOTA[C],ATALI[[#This Row],[//]]-2)))</f>
        <v>1</v>
      </c>
      <c r="L30" s="1">
        <f ca="1">IF(ATALI[[#This Row],[//]]="","",INDEX([2]!NOTA[QTY],ATALI[[#This Row],[//]]-2))</f>
        <v>120</v>
      </c>
      <c r="M30" s="1" t="str">
        <f ca="1">IF(ATALI[[#This Row],[//]]="","",INDEX([2]!NOTA[STN],ATALI[[#This Row],[//]]-2))</f>
        <v>DZ</v>
      </c>
      <c r="N30" s="5">
        <f ca="1">IF(ATALI[[#This Row],[//]]="","",INDEX([2]!NOTA[HARGA SATUAN],ATALI[[#This Row],[//]]-2))</f>
        <v>30600</v>
      </c>
      <c r="O30" s="7">
        <f ca="1">IF(ATALI[[#This Row],[//]]="","",INDEX([2]!NOTA[DISC 1],ATALI[[#This Row],[//]]-2))</f>
        <v>0.125</v>
      </c>
      <c r="P30" s="7">
        <f ca="1">IF(ATALI[[#This Row],[//]]="","",INDEX([2]!NOTA[DISC 2],ATALI[[#This Row],[//]]-2))</f>
        <v>0.05</v>
      </c>
      <c r="Q30" s="5">
        <f ca="1">IF(ATALI[[#This Row],[//]]="","",INDEX([2]!NOTA[TOTAL],ATALI[[#This Row],[//]]-2))</f>
        <v>3052350</v>
      </c>
      <c r="R3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3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19666710</v>
      </c>
      <c r="T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" t="str">
        <f ca="1">IF(ATALI[[#This Row],[//]]="","",INDEX([2]!NOTA[NAMA BARANG],ATALI[[#This Row],[//]]-2))</f>
        <v>MECH PENCIL MP-07 JK</v>
      </c>
      <c r="V30" t="str">
        <f ca="1">LOWER(SUBSTITUTE(SUBSTITUTE(SUBSTITUTE(SUBSTITUTE(SUBSTITUTE(SUBSTITUTE(SUBSTITUTE(ATALI[[#This Row],[N.B.nota]]," ",""),"-",""),"(",""),")",""),".",""),",",""),"/",""))</f>
        <v>mechpencilmp07jk</v>
      </c>
      <c r="W30">
        <f ca="1">IF(ATALI[[#This Row],[concat]]="","",MATCH(ATALI[[#This Row],[concat]],[4]!db[NB NOTA_C],0)+1)</f>
        <v>1432</v>
      </c>
      <c r="X30" t="str">
        <f ca="1">IF(ATALI[[#This Row],[N.B.nota]]="","",ADDRESS(ROW(ATALI[QB]),COLUMN(ATALI[QB]))&amp;":"&amp;ADDRESS(ROW(),COLUMN(ATALI[QB])))</f>
        <v>$D$3:$D$30</v>
      </c>
      <c r="Y30" s="13" t="str">
        <f ca="1">IF(ATALI[[#This Row],[//]]="","",HYPERLINK("[../DB.xlsx]DB!e"&amp;MATCH(ATALI[[#This Row],[concat]],[4]!db[NB NOTA_C],0)+1,"&gt;"))</f>
        <v>&gt;</v>
      </c>
    </row>
    <row r="31" spans="1:25" x14ac:dyDescent="0.25">
      <c r="A31" s="4"/>
      <c r="B31" s="1" t="str">
        <f>IF(ATALI[[#This Row],[N_ID]]="","",INDEX(Table1[ID],MATCH(ATALI[[#This Row],[N_ID]],Table1[N_ID],0)))</f>
        <v/>
      </c>
      <c r="C31" s="1" t="str">
        <f>IF(ATALI[[#This Row],[ID NOTA]]="","",HYPERLINK("[NOTA_.xlsx]NOTA!e"&amp;INDEX([2]!PAJAK[//],MATCH(ATALI[[#This Row],[ID NOTA]],[2]!PAJAK[ID],0)),"&gt;") )</f>
        <v/>
      </c>
      <c r="D31" s="1" t="str">
        <f>IF(ATALI[[#This Row],[ID NOTA]]="","",INDEX(Table1[QB],MATCH(ATALI[[#This Row],[ID NOTA]],Table1[ID],0)))</f>
        <v/>
      </c>
      <c r="E3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" s="1"/>
      <c r="G31" s="3" t="str">
        <f>IF(ATALI[[#This Row],[ID NOTA]]="","",INDEX([2]!NOTA[TGL_H],MATCH(ATALI[[#This Row],[ID NOTA]],[2]!NOTA[ID],0)))</f>
        <v/>
      </c>
      <c r="H31" s="3" t="str">
        <f>IF(ATALI[[#This Row],[ID NOTA]]="","",INDEX([2]!NOTA[TGL.NOTA],MATCH(ATALI[[#This Row],[ID NOTA]],[2]!NOTA[ID],0)))</f>
        <v/>
      </c>
      <c r="I31" t="str">
        <f>IF(ATALI[[#This Row],[ID NOTA]]="","",INDEX([2]!NOTA[NO.NOTA],MATCH(ATALI[[#This Row],[ID NOTA]],[2]!NOTA[ID],0)))</f>
        <v/>
      </c>
      <c r="J31" t="str">
        <f ca="1">IF(ATALI[[#This Row],[//]]="","",INDEX([4]!db[NB PAJAK],ATALI[[#This Row],[stt]]-1))</f>
        <v/>
      </c>
      <c r="K31" s="1" t="str">
        <f ca="1">IF(ATALI[[#This Row],[//]]="","",IF(INDEX([2]!NOTA[C],ATALI[[#This Row],[//]]-2)="","",INDEX([2]!NOTA[C],ATALI[[#This Row],[//]]-2)))</f>
        <v/>
      </c>
      <c r="L31" s="1" t="str">
        <f ca="1">IF(ATALI[[#This Row],[//]]="","",INDEX([2]!NOTA[QTY],ATALI[[#This Row],[//]]-2))</f>
        <v/>
      </c>
      <c r="M31" s="1" t="str">
        <f ca="1">IF(ATALI[[#This Row],[//]]="","",INDEX([2]!NOTA[STN],ATALI[[#This Row],[//]]-2))</f>
        <v/>
      </c>
      <c r="N31" s="5" t="str">
        <f ca="1">IF(ATALI[[#This Row],[//]]="","",INDEX([2]!NOTA[HARGA SATUAN],ATALI[[#This Row],[//]]-2))</f>
        <v/>
      </c>
      <c r="O31" s="7" t="str">
        <f ca="1">IF(ATALI[[#This Row],[//]]="","",INDEX([2]!NOTA[DISC 1],ATALI[[#This Row],[//]]-2))</f>
        <v/>
      </c>
      <c r="P31" s="7" t="str">
        <f ca="1">IF(ATALI[[#This Row],[//]]="","",INDEX([2]!NOTA[DISC 2],ATALI[[#This Row],[//]]-2))</f>
        <v/>
      </c>
      <c r="Q31" s="5" t="str">
        <f ca="1">IF(ATALI[[#This Row],[//]]="","",INDEX([2]!NOTA[TOTAL],ATALI[[#This Row],[//]]-2))</f>
        <v/>
      </c>
      <c r="R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t="str">
        <f ca="1">IF(ATALI[[#This Row],[//]]="","",INDEX([2]!NOTA[NAMA BARANG],ATALI[[#This Row],[//]]-2))</f>
        <v/>
      </c>
      <c r="V31" t="str">
        <f ca="1">LOWER(SUBSTITUTE(SUBSTITUTE(SUBSTITUTE(SUBSTITUTE(SUBSTITUTE(SUBSTITUTE(SUBSTITUTE(ATALI[[#This Row],[N.B.nota]]," ",""),"-",""),"(",""),")",""),".",""),",",""),"/",""))</f>
        <v/>
      </c>
      <c r="W31" t="str">
        <f ca="1">IF(ATALI[[#This Row],[concat]]="","",MATCH(ATALI[[#This Row],[concat]],[4]!db[NB NOTA_C],0)+1)</f>
        <v/>
      </c>
      <c r="X31" t="str">
        <f ca="1">IF(ATALI[[#This Row],[N.B.nota]]="","",ADDRESS(ROW(ATALI[QB]),COLUMN(ATALI[QB]))&amp;":"&amp;ADDRESS(ROW(),COLUMN(ATALI[QB])))</f>
        <v/>
      </c>
      <c r="Y31" s="13" t="str">
        <f ca="1">IF(ATALI[[#This Row],[//]]="","",HYPERLINK("[../DB.xlsx]DB!e"&amp;MATCH(ATALI[[#This Row],[concat]],[4]!db[NB NOTA_C],0)+1,"&gt;"))</f>
        <v/>
      </c>
    </row>
    <row r="32" spans="1:25" x14ac:dyDescent="0.25">
      <c r="A32" s="4" t="s">
        <v>76</v>
      </c>
      <c r="B32" s="1">
        <f ca="1">IF(ATALI[[#This Row],[N_ID]]="","",INDEX(Table1[ID],MATCH(ATALI[[#This Row],[N_ID]],Table1[N_ID],0)))</f>
        <v>41</v>
      </c>
      <c r="C32" s="1" t="str">
        <f ca="1">IF(ATALI[[#This Row],[ID NOTA]]="","",HYPERLINK("[NOTA_.xlsx]NOTA!e"&amp;INDEX([2]!PAJAK[//],MATCH(ATALI[[#This Row],[ID NOTA]],[2]!PAJAK[ID],0)),"&gt;") )</f>
        <v>&gt;</v>
      </c>
      <c r="D32" s="1">
        <f ca="1">IF(ATALI[[#This Row],[ID NOTA]]="","",INDEX(Table1[QB],MATCH(ATALI[[#This Row],[ID NOTA]],Table1[ID],0)))</f>
        <v>9</v>
      </c>
      <c r="E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213</v>
      </c>
      <c r="F32" s="1">
        <v>6</v>
      </c>
      <c r="G32" s="3">
        <f ca="1">IF(ATALI[[#This Row],[ID NOTA]]="","",INDEX([2]!NOTA[TGL_H],MATCH(ATALI[[#This Row],[ID NOTA]],[2]!NOTA[ID],0)))</f>
        <v>44816</v>
      </c>
      <c r="H32" s="3">
        <f ca="1">IF(ATALI[[#This Row],[ID NOTA]]="","",INDEX([2]!NOTA[TGL.NOTA],MATCH(ATALI[[#This Row],[ID NOTA]],[2]!NOTA[ID],0)))</f>
        <v>44811</v>
      </c>
      <c r="I32" t="str">
        <f ca="1">IF(ATALI[[#This Row],[ID NOTA]]="","",INDEX([2]!NOTA[NO.NOTA],MATCH(ATALI[[#This Row],[ID NOTA]],[2]!NOTA[ID],0)))</f>
        <v>SA220913992</v>
      </c>
      <c r="J32" t="str">
        <f ca="1">IF(ATALI[[#This Row],[//]]="","",INDEX([4]!db[NB PAJAK],ATALI[[#This Row],[stt]]-1))</f>
        <v>GUNTING JOYKO SC-13</v>
      </c>
      <c r="K32" s="1">
        <f ca="1">IF(ATALI[[#This Row],[//]]="","",IF(INDEX([2]!NOTA[C],ATALI[[#This Row],[//]]-2)="","",INDEX([2]!NOTA[C],ATALI[[#This Row],[//]]-2)))</f>
        <v>1</v>
      </c>
      <c r="L32" s="1">
        <f ca="1">IF(ATALI[[#This Row],[//]]="","",INDEX([2]!NOTA[QTY],ATALI[[#This Row],[//]]-2))</f>
        <v>144</v>
      </c>
      <c r="M32" s="1" t="str">
        <f ca="1">IF(ATALI[[#This Row],[//]]="","",INDEX([2]!NOTA[STN],ATALI[[#This Row],[//]]-2))</f>
        <v>PCS</v>
      </c>
      <c r="N32" s="5">
        <f ca="1">IF(ATALI[[#This Row],[//]]="","",INDEX([2]!NOTA[HARGA SATUAN],ATALI[[#This Row],[//]]-2))</f>
        <v>20500</v>
      </c>
      <c r="O32" s="7">
        <f ca="1">IF(ATALI[[#This Row],[//]]="","",INDEX([2]!NOTA[DISC 1],ATALI[[#This Row],[//]]-2))</f>
        <v>0.125</v>
      </c>
      <c r="P32" s="7">
        <f ca="1">IF(ATALI[[#This Row],[//]]="","",INDEX([2]!NOTA[DISC 2],ATALI[[#This Row],[//]]-2))</f>
        <v>0.05</v>
      </c>
      <c r="Q32" s="5">
        <f ca="1">IF(ATALI[[#This Row],[//]]="","",INDEX([2]!NOTA[TOTAL],ATALI[[#This Row],[//]]-2))</f>
        <v>2453850</v>
      </c>
      <c r="R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t="str">
        <f ca="1">IF(ATALI[[#This Row],[//]]="","",INDEX([2]!NOTA[NAMA BARANG],ATALI[[#This Row],[//]]-2))</f>
        <v>SCISSOR SC-13 JK</v>
      </c>
      <c r="V32" t="str">
        <f ca="1">LOWER(SUBSTITUTE(SUBSTITUTE(SUBSTITUTE(SUBSTITUTE(SUBSTITUTE(SUBSTITUTE(SUBSTITUTE(ATALI[[#This Row],[N.B.nota]]," ",""),"-",""),"(",""),")",""),".",""),",",""),"/",""))</f>
        <v>scissorsc13jk</v>
      </c>
      <c r="W32">
        <f ca="1">IF(ATALI[[#This Row],[concat]]="","",MATCH(ATALI[[#This Row],[concat]],[4]!db[NB NOTA_C],0)+1)</f>
        <v>1828</v>
      </c>
      <c r="X32" t="str">
        <f ca="1">IF(ATALI[[#This Row],[N.B.nota]]="","",ADDRESS(ROW(ATALI[QB]),COLUMN(ATALI[QB]))&amp;":"&amp;ADDRESS(ROW(),COLUMN(ATALI[QB])))</f>
        <v>$D$3:$D$32</v>
      </c>
      <c r="Y32" s="13" t="str">
        <f ca="1">IF(ATALI[[#This Row],[//]]="","",HYPERLINK("[../DB.xlsx]DB!e"&amp;MATCH(ATALI[[#This Row],[concat]],[4]!db[NB NOTA_C],0)+1,"&gt;"))</f>
        <v>&gt;</v>
      </c>
    </row>
    <row r="33" spans="1:25" x14ac:dyDescent="0.25">
      <c r="A33" s="4"/>
      <c r="B33" s="1" t="str">
        <f>IF(ATALI[[#This Row],[N_ID]]="","",INDEX(Table1[ID],MATCH(ATALI[[#This Row],[N_ID]],Table1[N_ID],0)))</f>
        <v/>
      </c>
      <c r="C33" s="1" t="str">
        <f>IF(ATALI[[#This Row],[ID NOTA]]="","",HYPERLINK("[NOTA_.xlsx]NOTA!e"&amp;INDEX([2]!PAJAK[//],MATCH(ATALI[[#This Row],[ID NOTA]],[2]!PAJAK[ID],0)),"&gt;") )</f>
        <v/>
      </c>
      <c r="D33" s="1" t="str">
        <f>IF(ATALI[[#This Row],[ID NOTA]]="","",INDEX(Table1[QB],MATCH(ATALI[[#This Row],[ID NOTA]],Table1[ID],0)))</f>
        <v/>
      </c>
      <c r="E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214</v>
      </c>
      <c r="F33" s="1"/>
      <c r="G33" s="3" t="str">
        <f>IF(ATALI[[#This Row],[ID NOTA]]="","",INDEX([2]!NOTA[TGL_H],MATCH(ATALI[[#This Row],[ID NOTA]],[2]!NOTA[ID],0)))</f>
        <v/>
      </c>
      <c r="H33" s="3" t="str">
        <f>IF(ATALI[[#This Row],[ID NOTA]]="","",INDEX([2]!NOTA[TGL.NOTA],MATCH(ATALI[[#This Row],[ID NOTA]],[2]!NOTA[ID],0)))</f>
        <v/>
      </c>
      <c r="I33" t="str">
        <f>IF(ATALI[[#This Row],[ID NOTA]]="","",INDEX([2]!NOTA[NO.NOTA],MATCH(ATALI[[#This Row],[ID NOTA]],[2]!NOTA[ID],0)))</f>
        <v/>
      </c>
      <c r="J33" t="str">
        <f ca="1">IF(ATALI[[#This Row],[//]]="","",INDEX([4]!db[NB PAJAK],ATALI[[#This Row],[stt]]-1))</f>
        <v>STIP / PENGHAPUS JOYKO 526-B40P PUTIH</v>
      </c>
      <c r="K33" s="1">
        <f ca="1">IF(ATALI[[#This Row],[//]]="","",IF(INDEX([2]!NOTA[C],ATALI[[#This Row],[//]]-2)="","",INDEX([2]!NOTA[C],ATALI[[#This Row],[//]]-2)))</f>
        <v>1</v>
      </c>
      <c r="L33" s="1">
        <f ca="1">IF(ATALI[[#This Row],[//]]="","",INDEX([2]!NOTA[QTY],ATALI[[#This Row],[//]]-2))</f>
        <v>50</v>
      </c>
      <c r="M33" s="1" t="str">
        <f ca="1">IF(ATALI[[#This Row],[//]]="","",INDEX([2]!NOTA[STN],ATALI[[#This Row],[//]]-2))</f>
        <v>BOX</v>
      </c>
      <c r="N33" s="5">
        <f ca="1">IF(ATALI[[#This Row],[//]]="","",INDEX([2]!NOTA[HARGA SATUAN],ATALI[[#This Row],[//]]-2))</f>
        <v>28300</v>
      </c>
      <c r="O33" s="7">
        <f ca="1">IF(ATALI[[#This Row],[//]]="","",INDEX([2]!NOTA[DISC 1],ATALI[[#This Row],[//]]-2))</f>
        <v>0.125</v>
      </c>
      <c r="P33" s="7">
        <f ca="1">IF(ATALI[[#This Row],[//]]="","",INDEX([2]!NOTA[DISC 2],ATALI[[#This Row],[//]]-2))</f>
        <v>0.05</v>
      </c>
      <c r="Q33" s="5">
        <f ca="1">IF(ATALI[[#This Row],[//]]="","",INDEX([2]!NOTA[TOTAL],ATALI[[#This Row],[//]]-2))</f>
        <v>1176218.75</v>
      </c>
      <c r="R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" t="str">
        <f ca="1">IF(ATALI[[#This Row],[//]]="","",INDEX([2]!NOTA[NAMA BARANG],ATALI[[#This Row],[//]]-2))</f>
        <v>ERASER 526-B40P JK</v>
      </c>
      <c r="V33" t="str">
        <f ca="1">LOWER(SUBSTITUTE(SUBSTITUTE(SUBSTITUTE(SUBSTITUTE(SUBSTITUTE(SUBSTITUTE(SUBSTITUTE(ATALI[[#This Row],[N.B.nota]]," ",""),"-",""),"(",""),")",""),".",""),",",""),"/",""))</f>
        <v>eraser526b40pjk</v>
      </c>
      <c r="W33">
        <f ca="1">IF(ATALI[[#This Row],[concat]]="","",MATCH(ATALI[[#This Row],[concat]],[4]!db[NB NOTA_C],0)+1)</f>
        <v>654</v>
      </c>
      <c r="X33" t="str">
        <f ca="1">IF(ATALI[[#This Row],[N.B.nota]]="","",ADDRESS(ROW(ATALI[QB]),COLUMN(ATALI[QB]))&amp;":"&amp;ADDRESS(ROW(),COLUMN(ATALI[QB])))</f>
        <v>$D$3:$D$33</v>
      </c>
      <c r="Y33" s="13" t="str">
        <f ca="1">IF(ATALI[[#This Row],[//]]="","",HYPERLINK("[../DB.xlsx]DB!e"&amp;MATCH(ATALI[[#This Row],[concat]],[4]!db[NB NOTA_C],0)+1,"&gt;"))</f>
        <v>&gt;</v>
      </c>
    </row>
    <row r="34" spans="1:25" x14ac:dyDescent="0.25">
      <c r="A34" s="4"/>
      <c r="B34" s="1" t="str">
        <f>IF(ATALI[[#This Row],[N_ID]]="","",INDEX(Table1[ID],MATCH(ATALI[[#This Row],[N_ID]],Table1[N_ID],0)))</f>
        <v/>
      </c>
      <c r="C34" s="1" t="str">
        <f>IF(ATALI[[#This Row],[ID NOTA]]="","",HYPERLINK("[NOTA_.xlsx]NOTA!e"&amp;INDEX([2]!PAJAK[//],MATCH(ATALI[[#This Row],[ID NOTA]],[2]!PAJAK[ID],0)),"&gt;") )</f>
        <v/>
      </c>
      <c r="D34" s="1" t="str">
        <f>IF(ATALI[[#This Row],[ID NOTA]]="","",INDEX(Table1[QB],MATCH(ATALI[[#This Row],[ID NOTA]],Table1[ID],0)))</f>
        <v/>
      </c>
      <c r="E3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215</v>
      </c>
      <c r="F34" s="1"/>
      <c r="G34" s="3" t="str">
        <f>IF(ATALI[[#This Row],[ID NOTA]]="","",INDEX([2]!NOTA[TGL_H],MATCH(ATALI[[#This Row],[ID NOTA]],[2]!NOTA[ID],0)))</f>
        <v/>
      </c>
      <c r="H34" s="3" t="str">
        <f>IF(ATALI[[#This Row],[ID NOTA]]="","",INDEX([2]!NOTA[TGL.NOTA],MATCH(ATALI[[#This Row],[ID NOTA]],[2]!NOTA[ID],0)))</f>
        <v/>
      </c>
      <c r="I34" t="str">
        <f>IF(ATALI[[#This Row],[ID NOTA]]="","",INDEX([2]!NOTA[NO.NOTA],MATCH(ATALI[[#This Row],[ID NOTA]],[2]!NOTA[ID],0)))</f>
        <v/>
      </c>
      <c r="J34" t="str">
        <f ca="1">IF(ATALI[[#This Row],[//]]="","",INDEX([4]!db[NB PAJAK],ATALI[[#This Row],[stt]]-1))</f>
        <v>PENSIL JOYKO 2B P-88</v>
      </c>
      <c r="K34" s="1">
        <f ca="1">IF(ATALI[[#This Row],[//]]="","",IF(INDEX([2]!NOTA[C],ATALI[[#This Row],[//]]-2)="","",INDEX([2]!NOTA[C],ATALI[[#This Row],[//]]-2)))</f>
        <v>1</v>
      </c>
      <c r="L34" s="1">
        <f ca="1">IF(ATALI[[#This Row],[//]]="","",INDEX([2]!NOTA[QTY],ATALI[[#This Row],[//]]-2))</f>
        <v>30</v>
      </c>
      <c r="M34" s="1" t="str">
        <f ca="1">IF(ATALI[[#This Row],[//]]="","",INDEX([2]!NOTA[STN],ATALI[[#This Row],[//]]-2))</f>
        <v>GRS</v>
      </c>
      <c r="N34" s="5">
        <f ca="1">IF(ATALI[[#This Row],[//]]="","",INDEX([2]!NOTA[HARGA SATUAN],ATALI[[#This Row],[//]]-2))</f>
        <v>104400</v>
      </c>
      <c r="O34" s="7">
        <f ca="1">IF(ATALI[[#This Row],[//]]="","",INDEX([2]!NOTA[DISC 1],ATALI[[#This Row],[//]]-2))</f>
        <v>0.125</v>
      </c>
      <c r="P34" s="7">
        <f ca="1">IF(ATALI[[#This Row],[//]]="","",INDEX([2]!NOTA[DISC 2],ATALI[[#This Row],[//]]-2))</f>
        <v>0.05</v>
      </c>
      <c r="Q34" s="5">
        <f ca="1">IF(ATALI[[#This Row],[//]]="","",INDEX([2]!NOTA[TOTAL],ATALI[[#This Row],[//]]-2))</f>
        <v>2603475</v>
      </c>
      <c r="R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t="str">
        <f ca="1">IF(ATALI[[#This Row],[//]]="","",INDEX([2]!NOTA[NAMA BARANG],ATALI[[#This Row],[//]]-2))</f>
        <v>PENCIL P-88 2B JK</v>
      </c>
      <c r="V34" t="str">
        <f ca="1">LOWER(SUBSTITUTE(SUBSTITUTE(SUBSTITUTE(SUBSTITUTE(SUBSTITUTE(SUBSTITUTE(SUBSTITUTE(ATALI[[#This Row],[N.B.nota]]," ",""),"-",""),"(",""),")",""),".",""),",",""),"/",""))</f>
        <v>pencilp882bjk</v>
      </c>
      <c r="W34">
        <f ca="1">IF(ATALI[[#This Row],[concat]]="","",MATCH(ATALI[[#This Row],[concat]],[4]!db[NB NOTA_C],0)+1)</f>
        <v>1684</v>
      </c>
      <c r="X34" t="str">
        <f ca="1">IF(ATALI[[#This Row],[N.B.nota]]="","",ADDRESS(ROW(ATALI[QB]),COLUMN(ATALI[QB]))&amp;":"&amp;ADDRESS(ROW(),COLUMN(ATALI[QB])))</f>
        <v>$D$3:$D$34</v>
      </c>
      <c r="Y34" s="13" t="str">
        <f ca="1">IF(ATALI[[#This Row],[//]]="","",HYPERLINK("[../DB.xlsx]DB!e"&amp;MATCH(ATALI[[#This Row],[concat]],[4]!db[NB NOTA_C],0)+1,"&gt;"))</f>
        <v>&gt;</v>
      </c>
    </row>
    <row r="35" spans="1:25" x14ac:dyDescent="0.25">
      <c r="A35" s="4"/>
      <c r="B35" s="1" t="str">
        <f>IF(ATALI[[#This Row],[N_ID]]="","",INDEX(Table1[ID],MATCH(ATALI[[#This Row],[N_ID]],Table1[N_ID],0)))</f>
        <v/>
      </c>
      <c r="C35" s="1" t="str">
        <f>IF(ATALI[[#This Row],[ID NOTA]]="","",HYPERLINK("[NOTA_.xlsx]NOTA!e"&amp;INDEX([2]!PAJAK[//],MATCH(ATALI[[#This Row],[ID NOTA]],[2]!PAJAK[ID],0)),"&gt;") )</f>
        <v/>
      </c>
      <c r="D35" s="1" t="str">
        <f>IF(ATALI[[#This Row],[ID NOTA]]="","",INDEX(Table1[QB],MATCH(ATALI[[#This Row],[ID NOTA]],Table1[ID],0)))</f>
        <v/>
      </c>
      <c r="E3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216</v>
      </c>
      <c r="F35" s="1"/>
      <c r="G35" s="3" t="str">
        <f>IF(ATALI[[#This Row],[ID NOTA]]="","",INDEX([2]!NOTA[TGL_H],MATCH(ATALI[[#This Row],[ID NOTA]],[2]!NOTA[ID],0)))</f>
        <v/>
      </c>
      <c r="H35" s="3" t="str">
        <f>IF(ATALI[[#This Row],[ID NOTA]]="","",INDEX([2]!NOTA[TGL.NOTA],MATCH(ATALI[[#This Row],[ID NOTA]],[2]!NOTA[ID],0)))</f>
        <v/>
      </c>
      <c r="I35" t="str">
        <f>IF(ATALI[[#This Row],[ID NOTA]]="","",INDEX([2]!NOTA[NO.NOTA],MATCH(ATALI[[#This Row],[ID NOTA]],[2]!NOTA[ID],0)))</f>
        <v/>
      </c>
      <c r="J35" t="str">
        <f ca="1">IF(ATALI[[#This Row],[//]]="","",INDEX([4]!db[NB PAJAK],ATALI[[#This Row],[stt]]-1))</f>
        <v>PENSIL WARNA JOYKO CP-12PB (PANJANG)</v>
      </c>
      <c r="K35" s="1">
        <f ca="1">IF(ATALI[[#This Row],[//]]="","",IF(INDEX([2]!NOTA[C],ATALI[[#This Row],[//]]-2)="","",INDEX([2]!NOTA[C],ATALI[[#This Row],[//]]-2)))</f>
        <v>1</v>
      </c>
      <c r="L35" s="1">
        <f ca="1">IF(ATALI[[#This Row],[//]]="","",INDEX([2]!NOTA[QTY],ATALI[[#This Row],[//]]-2))</f>
        <v>144</v>
      </c>
      <c r="M35" s="1" t="str">
        <f ca="1">IF(ATALI[[#This Row],[//]]="","",INDEX([2]!NOTA[STN],ATALI[[#This Row],[//]]-2))</f>
        <v>SET</v>
      </c>
      <c r="N35" s="5">
        <f ca="1">IF(ATALI[[#This Row],[//]]="","",INDEX([2]!NOTA[HARGA SATUAN],ATALI[[#This Row],[//]]-2))</f>
        <v>10600</v>
      </c>
      <c r="O35" s="7">
        <f ca="1">IF(ATALI[[#This Row],[//]]="","",INDEX([2]!NOTA[DISC 1],ATALI[[#This Row],[//]]-2))</f>
        <v>0.125</v>
      </c>
      <c r="P35" s="7">
        <f ca="1">IF(ATALI[[#This Row],[//]]="","",INDEX([2]!NOTA[DISC 2],ATALI[[#This Row],[//]]-2))</f>
        <v>0.05</v>
      </c>
      <c r="Q35" s="5">
        <f ca="1">IF(ATALI[[#This Row],[//]]="","",INDEX([2]!NOTA[TOTAL],ATALI[[#This Row],[//]]-2))</f>
        <v>1268820</v>
      </c>
      <c r="R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" t="str">
        <f ca="1">IF(ATALI[[#This Row],[//]]="","",INDEX([2]!NOTA[NAMA BARANG],ATALI[[#This Row],[//]]-2))</f>
        <v>COLOR PENCIL CP-12PB JK</v>
      </c>
      <c r="V35" t="str">
        <f ca="1">LOWER(SUBSTITUTE(SUBSTITUTE(SUBSTITUTE(SUBSTITUTE(SUBSTITUTE(SUBSTITUTE(SUBSTITUTE(ATALI[[#This Row],[N.B.nota]]," ",""),"-",""),"(",""),")",""),".",""),",",""),"/",""))</f>
        <v>colorpencilcp12pbjk</v>
      </c>
      <c r="W35">
        <f ca="1">IF(ATALI[[#This Row],[concat]]="","",MATCH(ATALI[[#This Row],[concat]],[4]!db[NB NOTA_C],0)+1)</f>
        <v>477</v>
      </c>
      <c r="X35" t="str">
        <f ca="1">IF(ATALI[[#This Row],[N.B.nota]]="","",ADDRESS(ROW(ATALI[QB]),COLUMN(ATALI[QB]))&amp;":"&amp;ADDRESS(ROW(),COLUMN(ATALI[QB])))</f>
        <v>$D$3:$D$35</v>
      </c>
      <c r="Y35" s="13" t="str">
        <f ca="1">IF(ATALI[[#This Row],[//]]="","",HYPERLINK("[../DB.xlsx]DB!e"&amp;MATCH(ATALI[[#This Row],[concat]],[4]!db[NB NOTA_C],0)+1,"&gt;"))</f>
        <v>&gt;</v>
      </c>
    </row>
    <row r="36" spans="1:25" x14ac:dyDescent="0.25">
      <c r="A36" s="4"/>
      <c r="B36" s="1" t="str">
        <f>IF(ATALI[[#This Row],[N_ID]]="","",INDEX(Table1[ID],MATCH(ATALI[[#This Row],[N_ID]],Table1[N_ID],0)))</f>
        <v/>
      </c>
      <c r="C36" s="1" t="str">
        <f>IF(ATALI[[#This Row],[ID NOTA]]="","",HYPERLINK("[NOTA_.xlsx]NOTA!e"&amp;INDEX([2]!PAJAK[//],MATCH(ATALI[[#This Row],[ID NOTA]],[2]!PAJAK[ID],0)),"&gt;") )</f>
        <v/>
      </c>
      <c r="D36" s="1" t="str">
        <f>IF(ATALI[[#This Row],[ID NOTA]]="","",INDEX(Table1[QB],MATCH(ATALI[[#This Row],[ID NOTA]],Table1[ID],0)))</f>
        <v/>
      </c>
      <c r="E3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217</v>
      </c>
      <c r="F36" s="1"/>
      <c r="G36" s="3" t="str">
        <f>IF(ATALI[[#This Row],[ID NOTA]]="","",INDEX([2]!NOTA[TGL_H],MATCH(ATALI[[#This Row],[ID NOTA]],[2]!NOTA[ID],0)))</f>
        <v/>
      </c>
      <c r="H36" s="3" t="str">
        <f>IF(ATALI[[#This Row],[ID NOTA]]="","",INDEX([2]!NOTA[TGL.NOTA],MATCH(ATALI[[#This Row],[ID NOTA]],[2]!NOTA[ID],0)))</f>
        <v/>
      </c>
      <c r="I36" t="str">
        <f>IF(ATALI[[#This Row],[ID NOTA]]="","",INDEX([2]!NOTA[NO.NOTA],MATCH(ATALI[[#This Row],[ID NOTA]],[2]!NOTA[ID],0)))</f>
        <v/>
      </c>
      <c r="J36" t="str">
        <f ca="1">IF(ATALI[[#This Row],[//]]="","",INDEX([4]!db[NB PAJAK],ATALI[[#This Row],[stt]]-1))</f>
        <v>GUNTING JOYKO SC-828</v>
      </c>
      <c r="K36" s="1">
        <f ca="1">IF(ATALI[[#This Row],[//]]="","",IF(INDEX([2]!NOTA[C],ATALI[[#This Row],[//]]-2)="","",INDEX([2]!NOTA[C],ATALI[[#This Row],[//]]-2)))</f>
        <v>1</v>
      </c>
      <c r="L36" s="1">
        <f ca="1">IF(ATALI[[#This Row],[//]]="","",INDEX([2]!NOTA[QTY],ATALI[[#This Row],[//]]-2))</f>
        <v>144</v>
      </c>
      <c r="M36" s="1" t="str">
        <f ca="1">IF(ATALI[[#This Row],[//]]="","",INDEX([2]!NOTA[STN],ATALI[[#This Row],[//]]-2))</f>
        <v>PCS</v>
      </c>
      <c r="N36" s="5">
        <f ca="1">IF(ATALI[[#This Row],[//]]="","",INDEX([2]!NOTA[HARGA SATUAN],ATALI[[#This Row],[//]]-2))</f>
        <v>4100</v>
      </c>
      <c r="O36" s="7">
        <f ca="1">IF(ATALI[[#This Row],[//]]="","",INDEX([2]!NOTA[DISC 1],ATALI[[#This Row],[//]]-2))</f>
        <v>0.125</v>
      </c>
      <c r="P36" s="7">
        <f ca="1">IF(ATALI[[#This Row],[//]]="","",INDEX([2]!NOTA[DISC 2],ATALI[[#This Row],[//]]-2))</f>
        <v>0.05</v>
      </c>
      <c r="Q36" s="5">
        <f ca="1">IF(ATALI[[#This Row],[//]]="","",INDEX([2]!NOTA[TOTAL],ATALI[[#This Row],[//]]-2))</f>
        <v>490770</v>
      </c>
      <c r="R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t="str">
        <f ca="1">IF(ATALI[[#This Row],[//]]="","",INDEX([2]!NOTA[NAMA BARANG],ATALI[[#This Row],[//]]-2))</f>
        <v>SCISSOR SC-828 JK</v>
      </c>
      <c r="V36" t="str">
        <f ca="1">LOWER(SUBSTITUTE(SUBSTITUTE(SUBSTITUTE(SUBSTITUTE(SUBSTITUTE(SUBSTITUTE(SUBSTITUTE(ATALI[[#This Row],[N.B.nota]]," ",""),"-",""),"(",""),")",""),".",""),",",""),"/",""))</f>
        <v>scissorsc828jk</v>
      </c>
      <c r="W36">
        <f ca="1">IF(ATALI[[#This Row],[concat]]="","",MATCH(ATALI[[#This Row],[concat]],[4]!db[NB NOTA_C],0)+1)</f>
        <v>1830</v>
      </c>
      <c r="X36" t="str">
        <f ca="1">IF(ATALI[[#This Row],[N.B.nota]]="","",ADDRESS(ROW(ATALI[QB]),COLUMN(ATALI[QB]))&amp;":"&amp;ADDRESS(ROW(),COLUMN(ATALI[QB])))</f>
        <v>$D$3:$D$36</v>
      </c>
      <c r="Y36" s="13" t="str">
        <f ca="1">IF(ATALI[[#This Row],[//]]="","",HYPERLINK("[../DB.xlsx]DB!e"&amp;MATCH(ATALI[[#This Row],[concat]],[4]!db[NB NOTA_C],0)+1,"&gt;"))</f>
        <v>&gt;</v>
      </c>
    </row>
    <row r="37" spans="1:25" x14ac:dyDescent="0.25">
      <c r="A37" s="4"/>
      <c r="B37" s="1" t="str">
        <f>IF(ATALI[[#This Row],[N_ID]]="","",INDEX(Table1[ID],MATCH(ATALI[[#This Row],[N_ID]],Table1[N_ID],0)))</f>
        <v/>
      </c>
      <c r="C37" s="1" t="str">
        <f>IF(ATALI[[#This Row],[ID NOTA]]="","",HYPERLINK("[NOTA_.xlsx]NOTA!e"&amp;INDEX([2]!PAJAK[//],MATCH(ATALI[[#This Row],[ID NOTA]],[2]!PAJAK[ID],0)),"&gt;") )</f>
        <v/>
      </c>
      <c r="D37" s="1" t="str">
        <f>IF(ATALI[[#This Row],[ID NOTA]]="","",INDEX(Table1[QB],MATCH(ATALI[[#This Row],[ID NOTA]],Table1[ID],0)))</f>
        <v/>
      </c>
      <c r="E3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218</v>
      </c>
      <c r="F37" s="1"/>
      <c r="G37" s="3" t="str">
        <f>IF(ATALI[[#This Row],[ID NOTA]]="","",INDEX([2]!NOTA[TGL_H],MATCH(ATALI[[#This Row],[ID NOTA]],[2]!NOTA[ID],0)))</f>
        <v/>
      </c>
      <c r="H37" s="3" t="str">
        <f>IF(ATALI[[#This Row],[ID NOTA]]="","",INDEX([2]!NOTA[TGL.NOTA],MATCH(ATALI[[#This Row],[ID NOTA]],[2]!NOTA[ID],0)))</f>
        <v/>
      </c>
      <c r="I37" t="str">
        <f>IF(ATALI[[#This Row],[ID NOTA]]="","",INDEX([2]!NOTA[NO.NOTA],MATCH(ATALI[[#This Row],[ID NOTA]],[2]!NOTA[ID],0)))</f>
        <v/>
      </c>
      <c r="J37" t="str">
        <f ca="1">IF(ATALI[[#This Row],[//]]="","",INDEX([4]!db[NB PAJAK],ATALI[[#This Row],[stt]]-1))</f>
        <v>LABEL HARGA JOYKO LB-P2CY (2 LINE KUNING)</v>
      </c>
      <c r="K37" s="1">
        <f ca="1">IF(ATALI[[#This Row],[//]]="","",IF(INDEX([2]!NOTA[C],ATALI[[#This Row],[//]]-2)="","",INDEX([2]!NOTA[C],ATALI[[#This Row],[//]]-2)))</f>
        <v>1</v>
      </c>
      <c r="L37" s="1">
        <f ca="1">IF(ATALI[[#This Row],[//]]="","",INDEX([2]!NOTA[QTY],ATALI[[#This Row],[//]]-2))</f>
        <v>500</v>
      </c>
      <c r="M37" s="1" t="str">
        <f ca="1">IF(ATALI[[#This Row],[//]]="","",INDEX([2]!NOTA[STN],ATALI[[#This Row],[//]]-2))</f>
        <v>ROL</v>
      </c>
      <c r="N37" s="5">
        <f ca="1">IF(ATALI[[#This Row],[//]]="","",INDEX([2]!NOTA[HARGA SATUAN],ATALI[[#This Row],[//]]-2))</f>
        <v>4200</v>
      </c>
      <c r="O37" s="7">
        <f ca="1">IF(ATALI[[#This Row],[//]]="","",INDEX([2]!NOTA[DISC 1],ATALI[[#This Row],[//]]-2))</f>
        <v>0.125</v>
      </c>
      <c r="P37" s="7">
        <f ca="1">IF(ATALI[[#This Row],[//]]="","",INDEX([2]!NOTA[DISC 2],ATALI[[#This Row],[//]]-2))</f>
        <v>0.05</v>
      </c>
      <c r="Q37" s="5">
        <f ca="1">IF(ATALI[[#This Row],[//]]="","",INDEX([2]!NOTA[TOTAL],ATALI[[#This Row],[//]]-2))</f>
        <v>1745625</v>
      </c>
      <c r="R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t="str">
        <f ca="1">IF(ATALI[[#This Row],[//]]="","",INDEX([2]!NOTA[NAMA BARANG],ATALI[[#This Row],[//]]-2))</f>
        <v>LABEL LB-P2CY (2 BARIS, YELLOW) JK</v>
      </c>
      <c r="V37" t="str">
        <f ca="1">LOWER(SUBSTITUTE(SUBSTITUTE(SUBSTITUTE(SUBSTITUTE(SUBSTITUTE(SUBSTITUTE(SUBSTITUTE(ATALI[[#This Row],[N.B.nota]]," ",""),"-",""),"(",""),")",""),".",""),",",""),"/",""))</f>
        <v>labellbp2cy2barisyellowjk</v>
      </c>
      <c r="W37">
        <f ca="1">IF(ATALI[[#This Row],[concat]]="","",MATCH(ATALI[[#This Row],[concat]],[4]!db[NB NOTA_C],0)+1)</f>
        <v>1300</v>
      </c>
      <c r="X37" t="str">
        <f ca="1">IF(ATALI[[#This Row],[N.B.nota]]="","",ADDRESS(ROW(ATALI[QB]),COLUMN(ATALI[QB]))&amp;":"&amp;ADDRESS(ROW(),COLUMN(ATALI[QB])))</f>
        <v>$D$3:$D$37</v>
      </c>
      <c r="Y37" s="13" t="str">
        <f ca="1">IF(ATALI[[#This Row],[//]]="","",HYPERLINK("[../DB.xlsx]DB!e"&amp;MATCH(ATALI[[#This Row],[concat]],[4]!db[NB NOTA_C],0)+1,"&gt;"))</f>
        <v>&gt;</v>
      </c>
    </row>
    <row r="38" spans="1:25" x14ac:dyDescent="0.25">
      <c r="A38" s="4"/>
      <c r="B38" s="1" t="str">
        <f>IF(ATALI[[#This Row],[N_ID]]="","",INDEX(Table1[ID],MATCH(ATALI[[#This Row],[N_ID]],Table1[N_ID],0)))</f>
        <v/>
      </c>
      <c r="C38" s="1" t="str">
        <f>IF(ATALI[[#This Row],[ID NOTA]]="","",HYPERLINK("[NOTA_.xlsx]NOTA!e"&amp;INDEX([2]!PAJAK[//],MATCH(ATALI[[#This Row],[ID NOTA]],[2]!PAJAK[ID],0)),"&gt;") )</f>
        <v/>
      </c>
      <c r="D38" s="1" t="str">
        <f>IF(ATALI[[#This Row],[ID NOTA]]="","",INDEX(Table1[QB],MATCH(ATALI[[#This Row],[ID NOTA]],Table1[ID],0)))</f>
        <v/>
      </c>
      <c r="E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219</v>
      </c>
      <c r="F38" s="1"/>
      <c r="G38" s="3" t="str">
        <f>IF(ATALI[[#This Row],[ID NOTA]]="","",INDEX([2]!NOTA[TGL_H],MATCH(ATALI[[#This Row],[ID NOTA]],[2]!NOTA[ID],0)))</f>
        <v/>
      </c>
      <c r="H38" s="3" t="str">
        <f>IF(ATALI[[#This Row],[ID NOTA]]="","",INDEX([2]!NOTA[TGL.NOTA],MATCH(ATALI[[#This Row],[ID NOTA]],[2]!NOTA[ID],0)))</f>
        <v/>
      </c>
      <c r="I38" t="str">
        <f>IF(ATALI[[#This Row],[ID NOTA]]="","",INDEX([2]!NOTA[NO.NOTA],MATCH(ATALI[[#This Row],[ID NOTA]],[2]!NOTA[ID],0)))</f>
        <v/>
      </c>
      <c r="J38" t="str">
        <f ca="1">IF(ATALI[[#This Row],[//]]="","",INDEX([4]!db[NB PAJAK],ATALI[[#This Row],[stt]]-1))</f>
        <v>LABEL HARGA JOYKO LB-1LY (1 LINE KUNING)</v>
      </c>
      <c r="K38" s="1">
        <f ca="1">IF(ATALI[[#This Row],[//]]="","",IF(INDEX([2]!NOTA[C],ATALI[[#This Row],[//]]-2)="","",INDEX([2]!NOTA[C],ATALI[[#This Row],[//]]-2)))</f>
        <v>1</v>
      </c>
      <c r="L38" s="1">
        <f ca="1">IF(ATALI[[#This Row],[//]]="","",INDEX([2]!NOTA[QTY],ATALI[[#This Row],[//]]-2))</f>
        <v>1000</v>
      </c>
      <c r="M38" s="1" t="str">
        <f ca="1">IF(ATALI[[#This Row],[//]]="","",INDEX([2]!NOTA[STN],ATALI[[#This Row],[//]]-2))</f>
        <v>ROL</v>
      </c>
      <c r="N38" s="5">
        <f ca="1">IF(ATALI[[#This Row],[//]]="","",INDEX([2]!NOTA[HARGA SATUAN],ATALI[[#This Row],[//]]-2))</f>
        <v>3000</v>
      </c>
      <c r="O38" s="7">
        <f ca="1">IF(ATALI[[#This Row],[//]]="","",INDEX([2]!NOTA[DISC 1],ATALI[[#This Row],[//]]-2))</f>
        <v>0.125</v>
      </c>
      <c r="P38" s="7">
        <f ca="1">IF(ATALI[[#This Row],[//]]="","",INDEX([2]!NOTA[DISC 2],ATALI[[#This Row],[//]]-2))</f>
        <v>0.05</v>
      </c>
      <c r="Q38" s="5">
        <f ca="1">IF(ATALI[[#This Row],[//]]="","",INDEX([2]!NOTA[TOTAL],ATALI[[#This Row],[//]]-2))</f>
        <v>2493750</v>
      </c>
      <c r="R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t="str">
        <f ca="1">IF(ATALI[[#This Row],[//]]="","",INDEX([2]!NOTA[NAMA BARANG],ATALI[[#This Row],[//]]-2))</f>
        <v>LABEL LB-1LY (1 BARIS, YELLOW) JK</v>
      </c>
      <c r="V38" t="str">
        <f ca="1">LOWER(SUBSTITUTE(SUBSTITUTE(SUBSTITUTE(SUBSTITUTE(SUBSTITUTE(SUBSTITUTE(SUBSTITUTE(ATALI[[#This Row],[N.B.nota]]," ",""),"-",""),"(",""),")",""),".",""),",",""),"/",""))</f>
        <v>labellb1ly1barisyellowjk</v>
      </c>
      <c r="W38">
        <f ca="1">IF(ATALI[[#This Row],[concat]]="","",MATCH(ATALI[[#This Row],[concat]],[4]!db[NB NOTA_C],0)+1)</f>
        <v>1296</v>
      </c>
      <c r="X38" t="str">
        <f ca="1">IF(ATALI[[#This Row],[N.B.nota]]="","",ADDRESS(ROW(ATALI[QB]),COLUMN(ATALI[QB]))&amp;":"&amp;ADDRESS(ROW(),COLUMN(ATALI[QB])))</f>
        <v>$D$3:$D$38</v>
      </c>
      <c r="Y38" s="13" t="str">
        <f ca="1">IF(ATALI[[#This Row],[//]]="","",HYPERLINK("[../DB.xlsx]DB!e"&amp;MATCH(ATALI[[#This Row],[concat]],[4]!db[NB NOTA_C],0)+1,"&gt;"))</f>
        <v>&gt;</v>
      </c>
    </row>
    <row r="39" spans="1:25" x14ac:dyDescent="0.25">
      <c r="A39" s="4"/>
      <c r="B39" s="1" t="str">
        <f>IF(ATALI[[#This Row],[N_ID]]="","",INDEX(Table1[ID],MATCH(ATALI[[#This Row],[N_ID]],Table1[N_ID],0)))</f>
        <v/>
      </c>
      <c r="C39" s="1" t="str">
        <f>IF(ATALI[[#This Row],[ID NOTA]]="","",HYPERLINK("[NOTA_.xlsx]NOTA!e"&amp;INDEX([2]!PAJAK[//],MATCH(ATALI[[#This Row],[ID NOTA]],[2]!PAJAK[ID],0)),"&gt;") )</f>
        <v/>
      </c>
      <c r="D39" s="1" t="str">
        <f>IF(ATALI[[#This Row],[ID NOTA]]="","",INDEX(Table1[QB],MATCH(ATALI[[#This Row],[ID NOTA]],Table1[ID],0)))</f>
        <v/>
      </c>
      <c r="E3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220</v>
      </c>
      <c r="F39" s="1"/>
      <c r="G39" s="3" t="str">
        <f>IF(ATALI[[#This Row],[ID NOTA]]="","",INDEX([2]!NOTA[TGL_H],MATCH(ATALI[[#This Row],[ID NOTA]],[2]!NOTA[ID],0)))</f>
        <v/>
      </c>
      <c r="H39" s="3" t="str">
        <f>IF(ATALI[[#This Row],[ID NOTA]]="","",INDEX([2]!NOTA[TGL.NOTA],MATCH(ATALI[[#This Row],[ID NOTA]],[2]!NOTA[ID],0)))</f>
        <v/>
      </c>
      <c r="I39" t="str">
        <f>IF(ATALI[[#This Row],[ID NOTA]]="","",INDEX([2]!NOTA[NO.NOTA],MATCH(ATALI[[#This Row],[ID NOTA]],[2]!NOTA[ID],0)))</f>
        <v/>
      </c>
      <c r="J39" t="str">
        <f ca="1">IF(ATALI[[#This Row],[//]]="","",INDEX([4]!db[NB PAJAK],ATALI[[#This Row],[stt]]-1))</f>
        <v>LABEL HARGA JOYKO LB-2RL (1 LINE PUTIH)</v>
      </c>
      <c r="K39" s="1">
        <f ca="1">IF(ATALI[[#This Row],[//]]="","",IF(INDEX([2]!NOTA[C],ATALI[[#This Row],[//]]-2)="","",INDEX([2]!NOTA[C],ATALI[[#This Row],[//]]-2)))</f>
        <v>2</v>
      </c>
      <c r="L39" s="1">
        <f ca="1">IF(ATALI[[#This Row],[//]]="","",INDEX([2]!NOTA[QTY],ATALI[[#This Row],[//]]-2))</f>
        <v>2000</v>
      </c>
      <c r="M39" s="1" t="str">
        <f ca="1">IF(ATALI[[#This Row],[//]]="","",INDEX([2]!NOTA[STN],ATALI[[#This Row],[//]]-2))</f>
        <v>ROL</v>
      </c>
      <c r="N39" s="5">
        <f ca="1">IF(ATALI[[#This Row],[//]]="","",INDEX([2]!NOTA[HARGA SATUAN],ATALI[[#This Row],[//]]-2))</f>
        <v>2050</v>
      </c>
      <c r="O39" s="7">
        <f ca="1">IF(ATALI[[#This Row],[//]]="","",INDEX([2]!NOTA[DISC 1],ATALI[[#This Row],[//]]-2))</f>
        <v>0.125</v>
      </c>
      <c r="P39" s="7">
        <f ca="1">IF(ATALI[[#This Row],[//]]="","",INDEX([2]!NOTA[DISC 2],ATALI[[#This Row],[//]]-2))</f>
        <v>0.05</v>
      </c>
      <c r="Q39" s="5">
        <f ca="1">IF(ATALI[[#This Row],[//]]="","",INDEX([2]!NOTA[TOTAL],ATALI[[#This Row],[//]]-2))</f>
        <v>3408125</v>
      </c>
      <c r="R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t="str">
        <f ca="1">IF(ATALI[[#This Row],[//]]="","",INDEX([2]!NOTA[NAMA BARANG],ATALI[[#This Row],[//]]-2))</f>
        <v>LABEL LB-2RL (1 BARIS) JK</v>
      </c>
      <c r="V39" t="str">
        <f ca="1">LOWER(SUBSTITUTE(SUBSTITUTE(SUBSTITUTE(SUBSTITUTE(SUBSTITUTE(SUBSTITUTE(SUBSTITUTE(ATALI[[#This Row],[N.B.nota]]," ",""),"-",""),"(",""),")",""),".",""),",",""),"/",""))</f>
        <v>labellb2rl1barisjk</v>
      </c>
      <c r="W39">
        <f ca="1">IF(ATALI[[#This Row],[concat]]="","",MATCH(ATALI[[#This Row],[concat]],[4]!db[NB NOTA_C],0)+1)</f>
        <v>1297</v>
      </c>
      <c r="X39" t="str">
        <f ca="1">IF(ATALI[[#This Row],[N.B.nota]]="","",ADDRESS(ROW(ATALI[QB]),COLUMN(ATALI[QB]))&amp;":"&amp;ADDRESS(ROW(),COLUMN(ATALI[QB])))</f>
        <v>$D$3:$D$39</v>
      </c>
      <c r="Y39" s="13" t="str">
        <f ca="1">IF(ATALI[[#This Row],[//]]="","",HYPERLINK("[../DB.xlsx]DB!e"&amp;MATCH(ATALI[[#This Row],[concat]],[4]!db[NB NOTA_C],0)+1,"&gt;"))</f>
        <v>&gt;</v>
      </c>
    </row>
    <row r="40" spans="1:25" x14ac:dyDescent="0.25">
      <c r="A40" s="4"/>
      <c r="B40" s="1" t="str">
        <f>IF(ATALI[[#This Row],[N_ID]]="","",INDEX(Table1[ID],MATCH(ATALI[[#This Row],[N_ID]],Table1[N_ID],0)))</f>
        <v/>
      </c>
      <c r="C40" s="1" t="str">
        <f>IF(ATALI[[#This Row],[ID NOTA]]="","",HYPERLINK("[NOTA_.xlsx]NOTA!e"&amp;INDEX([2]!PAJAK[//],MATCH(ATALI[[#This Row],[ID NOTA]],[2]!PAJAK[ID],0)),"&gt;") )</f>
        <v/>
      </c>
      <c r="D40" s="1" t="str">
        <f>IF(ATALI[[#This Row],[ID NOTA]]="","",INDEX(Table1[QB],MATCH(ATALI[[#This Row],[ID NOTA]],Table1[ID],0)))</f>
        <v/>
      </c>
      <c r="E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221</v>
      </c>
      <c r="F40" s="1"/>
      <c r="G40" s="3" t="str">
        <f>IF(ATALI[[#This Row],[ID NOTA]]="","",INDEX([2]!NOTA[TGL_H],MATCH(ATALI[[#This Row],[ID NOTA]],[2]!NOTA[ID],0)))</f>
        <v/>
      </c>
      <c r="H40" s="3" t="str">
        <f>IF(ATALI[[#This Row],[ID NOTA]]="","",INDEX([2]!NOTA[TGL.NOTA],MATCH(ATALI[[#This Row],[ID NOTA]],[2]!NOTA[ID],0)))</f>
        <v/>
      </c>
      <c r="I40" t="str">
        <f>IF(ATALI[[#This Row],[ID NOTA]]="","",INDEX([2]!NOTA[NO.NOTA],MATCH(ATALI[[#This Row],[ID NOTA]],[2]!NOTA[ID],0)))</f>
        <v/>
      </c>
      <c r="J40" t="str">
        <f ca="1">IF(ATALI[[#This Row],[//]]="","",INDEX([4]!db[NB PAJAK],ATALI[[#This Row],[stt]]-1))</f>
        <v>STIP / PENGHAPUS JOYKO EB-30 HITAM</v>
      </c>
      <c r="K40" s="1">
        <f ca="1">IF(ATALI[[#This Row],[//]]="","",IF(INDEX([2]!NOTA[C],ATALI[[#This Row],[//]]-2)="","",INDEX([2]!NOTA[C],ATALI[[#This Row],[//]]-2)))</f>
        <v>1</v>
      </c>
      <c r="L40" s="1">
        <f ca="1">IF(ATALI[[#This Row],[//]]="","",INDEX([2]!NOTA[QTY],ATALI[[#This Row],[//]]-2))</f>
        <v>50</v>
      </c>
      <c r="M40" s="1" t="str">
        <f ca="1">IF(ATALI[[#This Row],[//]]="","",INDEX([2]!NOTA[STN],ATALI[[#This Row],[//]]-2))</f>
        <v>BOX</v>
      </c>
      <c r="N40" s="5">
        <f ca="1">IF(ATALI[[#This Row],[//]]="","",INDEX([2]!NOTA[HARGA SATUAN],ATALI[[#This Row],[//]]-2))</f>
        <v>32000</v>
      </c>
      <c r="O40" s="7">
        <f ca="1">IF(ATALI[[#This Row],[//]]="","",INDEX([2]!NOTA[DISC 1],ATALI[[#This Row],[//]]-2))</f>
        <v>0.125</v>
      </c>
      <c r="P40" s="7">
        <f ca="1">IF(ATALI[[#This Row],[//]]="","",INDEX([2]!NOTA[DISC 2],ATALI[[#This Row],[//]]-2))</f>
        <v>0.05</v>
      </c>
      <c r="Q40" s="5">
        <f ca="1">IF(ATALI[[#This Row],[//]]="","",INDEX([2]!NOTA[TOTAL],ATALI[[#This Row],[//]]-2))</f>
        <v>1330000</v>
      </c>
      <c r="R4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4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16970633.75</v>
      </c>
      <c r="T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t="str">
        <f ca="1">IF(ATALI[[#This Row],[//]]="","",INDEX([2]!NOTA[NAMA BARANG],ATALI[[#This Row],[//]]-2))</f>
        <v>ERASER EB-30 JK</v>
      </c>
      <c r="V40" t="str">
        <f ca="1">LOWER(SUBSTITUTE(SUBSTITUTE(SUBSTITUTE(SUBSTITUTE(SUBSTITUTE(SUBSTITUTE(SUBSTITUTE(ATALI[[#This Row],[N.B.nota]]," ",""),"-",""),"(",""),")",""),".",""),",",""),"/",""))</f>
        <v>erasereb30jk</v>
      </c>
      <c r="W40">
        <f ca="1">IF(ATALI[[#This Row],[concat]]="","",MATCH(ATALI[[#This Row],[concat]],[4]!db[NB NOTA_C],0)+1)</f>
        <v>655</v>
      </c>
      <c r="X40" t="str">
        <f ca="1">IF(ATALI[[#This Row],[N.B.nota]]="","",ADDRESS(ROW(ATALI[QB]),COLUMN(ATALI[QB]))&amp;":"&amp;ADDRESS(ROW(),COLUMN(ATALI[QB])))</f>
        <v>$D$3:$D$40</v>
      </c>
      <c r="Y40" s="13" t="str">
        <f ca="1">IF(ATALI[[#This Row],[//]]="","",HYPERLINK("[../DB.xlsx]DB!e"&amp;MATCH(ATALI[[#This Row],[concat]],[4]!db[NB NOTA_C],0)+1,"&gt;"))</f>
        <v>&gt;</v>
      </c>
    </row>
    <row r="41" spans="1:25" x14ac:dyDescent="0.25">
      <c r="A41" s="4"/>
      <c r="B41" s="1" t="str">
        <f>IF(ATALI[[#This Row],[N_ID]]="","",INDEX(Table1[ID],MATCH(ATALI[[#This Row],[N_ID]],Table1[N_ID],0)))</f>
        <v/>
      </c>
      <c r="C41" s="1" t="str">
        <f>IF(ATALI[[#This Row],[ID NOTA]]="","",HYPERLINK("[NOTA_.xlsx]NOTA!e"&amp;INDEX([2]!PAJAK[//],MATCH(ATALI[[#This Row],[ID NOTA]],[2]!PAJAK[ID],0)),"&gt;") )</f>
        <v/>
      </c>
      <c r="D41" s="1" t="str">
        <f>IF(ATALI[[#This Row],[ID NOTA]]="","",INDEX(Table1[QB],MATCH(ATALI[[#This Row],[ID NOTA]],Table1[ID],0)))</f>
        <v/>
      </c>
      <c r="E4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" s="1"/>
      <c r="G41" s="3" t="str">
        <f>IF(ATALI[[#This Row],[ID NOTA]]="","",INDEX([2]!NOTA[TGL_H],MATCH(ATALI[[#This Row],[ID NOTA]],[2]!NOTA[ID],0)))</f>
        <v/>
      </c>
      <c r="H41" s="3" t="str">
        <f>IF(ATALI[[#This Row],[ID NOTA]]="","",INDEX([2]!NOTA[TGL.NOTA],MATCH(ATALI[[#This Row],[ID NOTA]],[2]!NOTA[ID],0)))</f>
        <v/>
      </c>
      <c r="I41" t="str">
        <f>IF(ATALI[[#This Row],[ID NOTA]]="","",INDEX([2]!NOTA[NO.NOTA],MATCH(ATALI[[#This Row],[ID NOTA]],[2]!NOTA[ID],0)))</f>
        <v/>
      </c>
      <c r="J41" t="str">
        <f ca="1">IF(ATALI[[#This Row],[//]]="","",INDEX([4]!db[NB PAJAK],ATALI[[#This Row],[stt]]-1))</f>
        <v/>
      </c>
      <c r="K41" s="1" t="str">
        <f ca="1">IF(ATALI[[#This Row],[//]]="","",IF(INDEX([2]!NOTA[C],ATALI[[#This Row],[//]]-2)="","",INDEX([2]!NOTA[C],ATALI[[#This Row],[//]]-2)))</f>
        <v/>
      </c>
      <c r="L41" s="1" t="str">
        <f ca="1">IF(ATALI[[#This Row],[//]]="","",INDEX([2]!NOTA[QTY],ATALI[[#This Row],[//]]-2))</f>
        <v/>
      </c>
      <c r="M41" s="1" t="str">
        <f ca="1">IF(ATALI[[#This Row],[//]]="","",INDEX([2]!NOTA[STN],ATALI[[#This Row],[//]]-2))</f>
        <v/>
      </c>
      <c r="N41" s="5" t="str">
        <f ca="1">IF(ATALI[[#This Row],[//]]="","",INDEX([2]!NOTA[HARGA SATUAN],ATALI[[#This Row],[//]]-2))</f>
        <v/>
      </c>
      <c r="O41" s="7" t="str">
        <f ca="1">IF(ATALI[[#This Row],[//]]="","",INDEX([2]!NOTA[DISC 1],ATALI[[#This Row],[//]]-2))</f>
        <v/>
      </c>
      <c r="P41" s="7" t="str">
        <f ca="1">IF(ATALI[[#This Row],[//]]="","",INDEX([2]!NOTA[DISC 2],ATALI[[#This Row],[//]]-2))</f>
        <v/>
      </c>
      <c r="Q41" s="5" t="str">
        <f ca="1">IF(ATALI[[#This Row],[//]]="","",INDEX([2]!NOTA[TOTAL],ATALI[[#This Row],[//]]-2))</f>
        <v/>
      </c>
      <c r="R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t="str">
        <f ca="1">IF(ATALI[[#This Row],[//]]="","",INDEX([2]!NOTA[NAMA BARANG],ATALI[[#This Row],[//]]-2))</f>
        <v/>
      </c>
      <c r="V41" t="str">
        <f ca="1">LOWER(SUBSTITUTE(SUBSTITUTE(SUBSTITUTE(SUBSTITUTE(SUBSTITUTE(SUBSTITUTE(SUBSTITUTE(ATALI[[#This Row],[N.B.nota]]," ",""),"-",""),"(",""),")",""),".",""),",",""),"/",""))</f>
        <v/>
      </c>
      <c r="W41" t="str">
        <f ca="1">IF(ATALI[[#This Row],[concat]]="","",MATCH(ATALI[[#This Row],[concat]],[4]!db[NB NOTA_C],0)+1)</f>
        <v/>
      </c>
      <c r="X41" t="str">
        <f ca="1">IF(ATALI[[#This Row],[N.B.nota]]="","",ADDRESS(ROW(ATALI[QB]),COLUMN(ATALI[QB]))&amp;":"&amp;ADDRESS(ROW(),COLUMN(ATALI[QB])))</f>
        <v/>
      </c>
      <c r="Y41" s="13" t="str">
        <f ca="1">IF(ATALI[[#This Row],[//]]="","",HYPERLINK("[../DB.xlsx]DB!e"&amp;MATCH(ATALI[[#This Row],[concat]],[4]!db[NB NOTA_C],0)+1,"&gt;"))</f>
        <v/>
      </c>
    </row>
    <row r="42" spans="1:25" x14ac:dyDescent="0.25">
      <c r="A42" s="4" t="s">
        <v>78</v>
      </c>
      <c r="B42" s="1">
        <f ca="1">IF(ATALI[[#This Row],[N_ID]]="","",INDEX(Table1[ID],MATCH(ATALI[[#This Row],[N_ID]],Table1[N_ID],0)))</f>
        <v>46</v>
      </c>
      <c r="C42" s="1" t="str">
        <f ca="1">IF(ATALI[[#This Row],[ID NOTA]]="","",HYPERLINK("[NOTA_.xlsx]NOTA!e"&amp;INDEX([2]!PAJAK[//],MATCH(ATALI[[#This Row],[ID NOTA]],[2]!PAJAK[ID],0)),"&gt;") )</f>
        <v>&gt;</v>
      </c>
      <c r="D42" s="1">
        <f ca="1">IF(ATALI[[#This Row],[ID NOTA]]="","",INDEX(Table1[QB],MATCH(ATALI[[#This Row],[ID NOTA]],Table1[ID],0)))</f>
        <v>8</v>
      </c>
      <c r="E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244</v>
      </c>
      <c r="F42" s="1">
        <v>7</v>
      </c>
      <c r="G42" s="3">
        <f ca="1">IF(ATALI[[#This Row],[ID NOTA]]="","",INDEX([2]!NOTA[TGL_H],MATCH(ATALI[[#This Row],[ID NOTA]],[2]!NOTA[ID],0)))</f>
        <v>44817</v>
      </c>
      <c r="H42" s="3">
        <f ca="1">IF(ATALI[[#This Row],[ID NOTA]]="","",INDEX([2]!NOTA[TGL.NOTA],MATCH(ATALI[[#This Row],[ID NOTA]],[2]!NOTA[ID],0)))</f>
        <v>44812</v>
      </c>
      <c r="I42" t="str">
        <f ca="1">IF(ATALI[[#This Row],[ID NOTA]]="","",INDEX([2]!NOTA[NO.NOTA],MATCH(ATALI[[#This Row],[ID NOTA]],[2]!NOTA[ID],0)))</f>
        <v>SA220914106</v>
      </c>
      <c r="J42" t="str">
        <f ca="1">IF(ATALI[[#This Row],[//]]="","",INDEX([4]!db[NB PAJAK],ATALI[[#This Row],[stt]]-1))</f>
        <v>LEM LIQUID (CAIR) JOYKO GL-R35 (35 ML)</v>
      </c>
      <c r="K42" s="1">
        <f ca="1">IF(ATALI[[#This Row],[//]]="","",IF(INDEX([2]!NOTA[C],ATALI[[#This Row],[//]]-2)="","",INDEX([2]!NOTA[C],ATALI[[#This Row],[//]]-2)))</f>
        <v>1</v>
      </c>
      <c r="L42" s="1">
        <f ca="1">IF(ATALI[[#This Row],[//]]="","",INDEX([2]!NOTA[QTY],ATALI[[#This Row],[//]]-2))</f>
        <v>576</v>
      </c>
      <c r="M42" s="1" t="str">
        <f ca="1">IF(ATALI[[#This Row],[//]]="","",INDEX([2]!NOTA[STN],ATALI[[#This Row],[//]]-2))</f>
        <v>PCS</v>
      </c>
      <c r="N42" s="5">
        <f ca="1">IF(ATALI[[#This Row],[//]]="","",INDEX([2]!NOTA[HARGA SATUAN],ATALI[[#This Row],[//]]-2))</f>
        <v>1550</v>
      </c>
      <c r="O42" s="7">
        <f ca="1">IF(ATALI[[#This Row],[//]]="","",INDEX([2]!NOTA[DISC 1],ATALI[[#This Row],[//]]-2))</f>
        <v>0.125</v>
      </c>
      <c r="P42" s="7">
        <f ca="1">IF(ATALI[[#This Row],[//]]="","",INDEX([2]!NOTA[DISC 2],ATALI[[#This Row],[//]]-2))</f>
        <v>0.05</v>
      </c>
      <c r="Q42" s="5">
        <f ca="1">IF(ATALI[[#This Row],[//]]="","",INDEX([2]!NOTA[TOTAL],ATALI[[#This Row],[//]]-2))</f>
        <v>742140</v>
      </c>
      <c r="R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t="str">
        <f ca="1">IF(ATALI[[#This Row],[//]]="","",INDEX([2]!NOTA[NAMA BARANG],ATALI[[#This Row],[//]]-2))</f>
        <v>GLUE GL-R35 JK</v>
      </c>
      <c r="V42" t="str">
        <f ca="1">LOWER(SUBSTITUTE(SUBSTITUTE(SUBSTITUTE(SUBSTITUTE(SUBSTITUTE(SUBSTITUTE(SUBSTITUTE(ATALI[[#This Row],[N.B.nota]]," ",""),"-",""),"(",""),")",""),".",""),",",""),"/",""))</f>
        <v>glueglr35jk</v>
      </c>
      <c r="W42">
        <f ca="1">IF(ATALI[[#This Row],[concat]]="","",MATCH(ATALI[[#This Row],[concat]],[4]!db[NB NOTA_C],0)+1)</f>
        <v>892</v>
      </c>
      <c r="X42" t="str">
        <f ca="1">IF(ATALI[[#This Row],[N.B.nota]]="","",ADDRESS(ROW(ATALI[QB]),COLUMN(ATALI[QB]))&amp;":"&amp;ADDRESS(ROW(),COLUMN(ATALI[QB])))</f>
        <v>$D$3:$D$42</v>
      </c>
      <c r="Y42" s="13" t="str">
        <f ca="1">IF(ATALI[[#This Row],[//]]="","",HYPERLINK("[../DB.xlsx]DB!e"&amp;MATCH(ATALI[[#This Row],[concat]],[4]!db[NB NOTA_C],0)+1,"&gt;"))</f>
        <v>&gt;</v>
      </c>
    </row>
    <row r="43" spans="1:25" x14ac:dyDescent="0.25">
      <c r="A43" s="4"/>
      <c r="B43" s="1" t="str">
        <f>IF(ATALI[[#This Row],[N_ID]]="","",INDEX(Table1[ID],MATCH(ATALI[[#This Row],[N_ID]],Table1[N_ID],0)))</f>
        <v/>
      </c>
      <c r="C43" s="1" t="str">
        <f>IF(ATALI[[#This Row],[ID NOTA]]="","",HYPERLINK("[NOTA_.xlsx]NOTA!e"&amp;INDEX([2]!PAJAK[//],MATCH(ATALI[[#This Row],[ID NOTA]],[2]!PAJAK[ID],0)),"&gt;") )</f>
        <v/>
      </c>
      <c r="D43" s="1" t="str">
        <f>IF(ATALI[[#This Row],[ID NOTA]]="","",INDEX(Table1[QB],MATCH(ATALI[[#This Row],[ID NOTA]],Table1[ID],0)))</f>
        <v/>
      </c>
      <c r="E4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245</v>
      </c>
      <c r="F43" s="1"/>
      <c r="G43" s="3" t="str">
        <f>IF(ATALI[[#This Row],[ID NOTA]]="","",INDEX([2]!NOTA[TGL_H],MATCH(ATALI[[#This Row],[ID NOTA]],[2]!NOTA[ID],0)))</f>
        <v/>
      </c>
      <c r="H43" s="3" t="str">
        <f>IF(ATALI[[#This Row],[ID NOTA]]="","",INDEX([2]!NOTA[TGL.NOTA],MATCH(ATALI[[#This Row],[ID NOTA]],[2]!NOTA[ID],0)))</f>
        <v/>
      </c>
      <c r="I43" t="str">
        <f>IF(ATALI[[#This Row],[ID NOTA]]="","",INDEX([2]!NOTA[NO.NOTA],MATCH(ATALI[[#This Row],[ID NOTA]],[2]!NOTA[ID],0)))</f>
        <v/>
      </c>
      <c r="J43" t="str">
        <f ca="1">IF(ATALI[[#This Row],[//]]="","",INDEX([4]!db[NB PAJAK],ATALI[[#This Row],[stt]]-1))</f>
        <v>STIP / PENGHAPUS JOYKO 526-B40P PUTIH</v>
      </c>
      <c r="K43" s="1">
        <f ca="1">IF(ATALI[[#This Row],[//]]="","",IF(INDEX([2]!NOTA[C],ATALI[[#This Row],[//]]-2)="","",INDEX([2]!NOTA[C],ATALI[[#This Row],[//]]-2)))</f>
        <v>5</v>
      </c>
      <c r="L43" s="1">
        <f ca="1">IF(ATALI[[#This Row],[//]]="","",INDEX([2]!NOTA[QTY],ATALI[[#This Row],[//]]-2))</f>
        <v>250</v>
      </c>
      <c r="M43" s="1" t="str">
        <f ca="1">IF(ATALI[[#This Row],[//]]="","",INDEX([2]!NOTA[STN],ATALI[[#This Row],[//]]-2))</f>
        <v>BOX</v>
      </c>
      <c r="N43" s="5">
        <f ca="1">IF(ATALI[[#This Row],[//]]="","",INDEX([2]!NOTA[HARGA SATUAN],ATALI[[#This Row],[//]]-2))</f>
        <v>28300</v>
      </c>
      <c r="O43" s="7">
        <f ca="1">IF(ATALI[[#This Row],[//]]="","",INDEX([2]!NOTA[DISC 1],ATALI[[#This Row],[//]]-2))</f>
        <v>0.125</v>
      </c>
      <c r="P43" s="7">
        <f ca="1">IF(ATALI[[#This Row],[//]]="","",INDEX([2]!NOTA[DISC 2],ATALI[[#This Row],[//]]-2))</f>
        <v>0.05</v>
      </c>
      <c r="Q43" s="5">
        <f ca="1">IF(ATALI[[#This Row],[//]]="","",INDEX([2]!NOTA[TOTAL],ATALI[[#This Row],[//]]-2))</f>
        <v>5881093.75</v>
      </c>
      <c r="R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" t="str">
        <f ca="1">IF(ATALI[[#This Row],[//]]="","",INDEX([2]!NOTA[NAMA BARANG],ATALI[[#This Row],[//]]-2))</f>
        <v>ERASER 526-B40P JK</v>
      </c>
      <c r="V43" t="str">
        <f ca="1">LOWER(SUBSTITUTE(SUBSTITUTE(SUBSTITUTE(SUBSTITUTE(SUBSTITUTE(SUBSTITUTE(SUBSTITUTE(ATALI[[#This Row],[N.B.nota]]," ",""),"-",""),"(",""),")",""),".",""),",",""),"/",""))</f>
        <v>eraser526b40pjk</v>
      </c>
      <c r="W43">
        <f ca="1">IF(ATALI[[#This Row],[concat]]="","",MATCH(ATALI[[#This Row],[concat]],[4]!db[NB NOTA_C],0)+1)</f>
        <v>654</v>
      </c>
      <c r="X43" t="str">
        <f ca="1">IF(ATALI[[#This Row],[N.B.nota]]="","",ADDRESS(ROW(ATALI[QB]),COLUMN(ATALI[QB]))&amp;":"&amp;ADDRESS(ROW(),COLUMN(ATALI[QB])))</f>
        <v>$D$3:$D$43</v>
      </c>
      <c r="Y43" s="13" t="str">
        <f ca="1">IF(ATALI[[#This Row],[//]]="","",HYPERLINK("[../DB.xlsx]DB!e"&amp;MATCH(ATALI[[#This Row],[concat]],[4]!db[NB NOTA_C],0)+1,"&gt;"))</f>
        <v>&gt;</v>
      </c>
    </row>
    <row r="44" spans="1:25" x14ac:dyDescent="0.25">
      <c r="A44" s="4"/>
      <c r="B44" s="1" t="str">
        <f>IF(ATALI[[#This Row],[N_ID]]="","",INDEX(Table1[ID],MATCH(ATALI[[#This Row],[N_ID]],Table1[N_ID],0)))</f>
        <v/>
      </c>
      <c r="C44" s="1" t="str">
        <f>IF(ATALI[[#This Row],[ID NOTA]]="","",HYPERLINK("[NOTA_.xlsx]NOTA!e"&amp;INDEX([2]!PAJAK[//],MATCH(ATALI[[#This Row],[ID NOTA]],[2]!PAJAK[ID],0)),"&gt;") )</f>
        <v/>
      </c>
      <c r="D44" s="1" t="str">
        <f>IF(ATALI[[#This Row],[ID NOTA]]="","",INDEX(Table1[QB],MATCH(ATALI[[#This Row],[ID NOTA]],Table1[ID],0)))</f>
        <v/>
      </c>
      <c r="E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246</v>
      </c>
      <c r="F44" s="1"/>
      <c r="G44" s="3" t="str">
        <f>IF(ATALI[[#This Row],[ID NOTA]]="","",INDEX([2]!NOTA[TGL_H],MATCH(ATALI[[#This Row],[ID NOTA]],[2]!NOTA[ID],0)))</f>
        <v/>
      </c>
      <c r="H44" s="3" t="str">
        <f>IF(ATALI[[#This Row],[ID NOTA]]="","",INDEX([2]!NOTA[TGL.NOTA],MATCH(ATALI[[#This Row],[ID NOTA]],[2]!NOTA[ID],0)))</f>
        <v/>
      </c>
      <c r="I44" t="str">
        <f>IF(ATALI[[#This Row],[ID NOTA]]="","",INDEX([2]!NOTA[NO.NOTA],MATCH(ATALI[[#This Row],[ID NOTA]],[2]!NOTA[ID],0)))</f>
        <v/>
      </c>
      <c r="J44" t="str">
        <f ca="1">IF(ATALI[[#This Row],[//]]="","",INDEX([4]!db[NB PAJAK],ATALI[[#This Row],[stt]]-1))</f>
        <v>GUNTING JOYKO SC-14</v>
      </c>
      <c r="K44" s="1">
        <f ca="1">IF(ATALI[[#This Row],[//]]="","",IF(INDEX([2]!NOTA[C],ATALI[[#This Row],[//]]-2)="","",INDEX([2]!NOTA[C],ATALI[[#This Row],[//]]-2)))</f>
        <v>1</v>
      </c>
      <c r="L44" s="1">
        <f ca="1">IF(ATALI[[#This Row],[//]]="","",INDEX([2]!NOTA[QTY],ATALI[[#This Row],[//]]-2))</f>
        <v>144</v>
      </c>
      <c r="M44" s="1" t="str">
        <f ca="1">IF(ATALI[[#This Row],[//]]="","",INDEX([2]!NOTA[STN],ATALI[[#This Row],[//]]-2))</f>
        <v>PCS</v>
      </c>
      <c r="N44" s="5">
        <f ca="1">IF(ATALI[[#This Row],[//]]="","",INDEX([2]!NOTA[HARGA SATUAN],ATALI[[#This Row],[//]]-2))</f>
        <v>22000</v>
      </c>
      <c r="O44" s="7">
        <f ca="1">IF(ATALI[[#This Row],[//]]="","",INDEX([2]!NOTA[DISC 1],ATALI[[#This Row],[//]]-2))</f>
        <v>0.125</v>
      </c>
      <c r="P44" s="7">
        <f ca="1">IF(ATALI[[#This Row],[//]]="","",INDEX([2]!NOTA[DISC 2],ATALI[[#This Row],[//]]-2))</f>
        <v>0.05</v>
      </c>
      <c r="Q44" s="5">
        <f ca="1">IF(ATALI[[#This Row],[//]]="","",INDEX([2]!NOTA[TOTAL],ATALI[[#This Row],[//]]-2))</f>
        <v>2633400</v>
      </c>
      <c r="R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t="str">
        <f ca="1">IF(ATALI[[#This Row],[//]]="","",INDEX([2]!NOTA[NAMA BARANG],ATALI[[#This Row],[//]]-2))</f>
        <v>SCISSOR SC-14 JK</v>
      </c>
      <c r="V44" t="str">
        <f ca="1">LOWER(SUBSTITUTE(SUBSTITUTE(SUBSTITUTE(SUBSTITUTE(SUBSTITUTE(SUBSTITUTE(SUBSTITUTE(ATALI[[#This Row],[N.B.nota]]," ",""),"-",""),"(",""),")",""),".",""),",",""),"/",""))</f>
        <v>scissorsc14jk</v>
      </c>
      <c r="W44">
        <f ca="1">IF(ATALI[[#This Row],[concat]]="","",MATCH(ATALI[[#This Row],[concat]],[4]!db[NB NOTA_C],0)+1)</f>
        <v>1829</v>
      </c>
      <c r="X44" t="str">
        <f ca="1">IF(ATALI[[#This Row],[N.B.nota]]="","",ADDRESS(ROW(ATALI[QB]),COLUMN(ATALI[QB]))&amp;":"&amp;ADDRESS(ROW(),COLUMN(ATALI[QB])))</f>
        <v>$D$3:$D$44</v>
      </c>
      <c r="Y44" s="13" t="str">
        <f ca="1">IF(ATALI[[#This Row],[//]]="","",HYPERLINK("[../DB.xlsx]DB!e"&amp;MATCH(ATALI[[#This Row],[concat]],[4]!db[NB NOTA_C],0)+1,"&gt;"))</f>
        <v>&gt;</v>
      </c>
    </row>
    <row r="45" spans="1:25" x14ac:dyDescent="0.25">
      <c r="A45" s="4"/>
      <c r="B45" s="1" t="str">
        <f>IF(ATALI[[#This Row],[N_ID]]="","",INDEX(Table1[ID],MATCH(ATALI[[#This Row],[N_ID]],Table1[N_ID],0)))</f>
        <v/>
      </c>
      <c r="C45" s="1" t="str">
        <f>IF(ATALI[[#This Row],[ID NOTA]]="","",HYPERLINK("[NOTA_.xlsx]NOTA!e"&amp;INDEX([2]!PAJAK[//],MATCH(ATALI[[#This Row],[ID NOTA]],[2]!PAJAK[ID],0)),"&gt;") )</f>
        <v/>
      </c>
      <c r="D45" s="1" t="str">
        <f>IF(ATALI[[#This Row],[ID NOTA]]="","",INDEX(Table1[QB],MATCH(ATALI[[#This Row],[ID NOTA]],Table1[ID],0)))</f>
        <v/>
      </c>
      <c r="E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247</v>
      </c>
      <c r="F45" s="1"/>
      <c r="G45" s="3" t="str">
        <f>IF(ATALI[[#This Row],[ID NOTA]]="","",INDEX([2]!NOTA[TGL_H],MATCH(ATALI[[#This Row],[ID NOTA]],[2]!NOTA[ID],0)))</f>
        <v/>
      </c>
      <c r="H45" s="3" t="str">
        <f>IF(ATALI[[#This Row],[ID NOTA]]="","",INDEX([2]!NOTA[TGL.NOTA],MATCH(ATALI[[#This Row],[ID NOTA]],[2]!NOTA[ID],0)))</f>
        <v/>
      </c>
      <c r="I45" t="str">
        <f>IF(ATALI[[#This Row],[ID NOTA]]="","",INDEX([2]!NOTA[NO.NOTA],MATCH(ATALI[[#This Row],[ID NOTA]],[2]!NOTA[ID],0)))</f>
        <v/>
      </c>
      <c r="J45" t="str">
        <f ca="1">IF(ATALI[[#This Row],[//]]="","",INDEX([4]!db[NB PAJAK],ATALI[[#This Row],[stt]]-1))</f>
        <v>GUNTING JOYKO SC-13</v>
      </c>
      <c r="K45" s="1">
        <f ca="1">IF(ATALI[[#This Row],[//]]="","",IF(INDEX([2]!NOTA[C],ATALI[[#This Row],[//]]-2)="","",INDEX([2]!NOTA[C],ATALI[[#This Row],[//]]-2)))</f>
        <v>1</v>
      </c>
      <c r="L45" s="1">
        <f ca="1">IF(ATALI[[#This Row],[//]]="","",INDEX([2]!NOTA[QTY],ATALI[[#This Row],[//]]-2))</f>
        <v>144</v>
      </c>
      <c r="M45" s="1" t="str">
        <f ca="1">IF(ATALI[[#This Row],[//]]="","",INDEX([2]!NOTA[STN],ATALI[[#This Row],[//]]-2))</f>
        <v>PCS</v>
      </c>
      <c r="N45" s="5">
        <f ca="1">IF(ATALI[[#This Row],[//]]="","",INDEX([2]!NOTA[HARGA SATUAN],ATALI[[#This Row],[//]]-2))</f>
        <v>20500</v>
      </c>
      <c r="O45" s="7">
        <f ca="1">IF(ATALI[[#This Row],[//]]="","",INDEX([2]!NOTA[DISC 1],ATALI[[#This Row],[//]]-2))</f>
        <v>0.125</v>
      </c>
      <c r="P45" s="7">
        <f ca="1">IF(ATALI[[#This Row],[//]]="","",INDEX([2]!NOTA[DISC 2],ATALI[[#This Row],[//]]-2))</f>
        <v>0.05</v>
      </c>
      <c r="Q45" s="5">
        <f ca="1">IF(ATALI[[#This Row],[//]]="","",INDEX([2]!NOTA[TOTAL],ATALI[[#This Row],[//]]-2))</f>
        <v>2453850</v>
      </c>
      <c r="R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t="str">
        <f ca="1">IF(ATALI[[#This Row],[//]]="","",INDEX([2]!NOTA[NAMA BARANG],ATALI[[#This Row],[//]]-2))</f>
        <v>SCISSOR SC-13 JK</v>
      </c>
      <c r="V45" t="str">
        <f ca="1">LOWER(SUBSTITUTE(SUBSTITUTE(SUBSTITUTE(SUBSTITUTE(SUBSTITUTE(SUBSTITUTE(SUBSTITUTE(ATALI[[#This Row],[N.B.nota]]," ",""),"-",""),"(",""),")",""),".",""),",",""),"/",""))</f>
        <v>scissorsc13jk</v>
      </c>
      <c r="W45">
        <f ca="1">IF(ATALI[[#This Row],[concat]]="","",MATCH(ATALI[[#This Row],[concat]],[4]!db[NB NOTA_C],0)+1)</f>
        <v>1828</v>
      </c>
      <c r="X45" t="str">
        <f ca="1">IF(ATALI[[#This Row],[N.B.nota]]="","",ADDRESS(ROW(ATALI[QB]),COLUMN(ATALI[QB]))&amp;":"&amp;ADDRESS(ROW(),COLUMN(ATALI[QB])))</f>
        <v>$D$3:$D$45</v>
      </c>
      <c r="Y45" s="13" t="str">
        <f ca="1">IF(ATALI[[#This Row],[//]]="","",HYPERLINK("[../DB.xlsx]DB!e"&amp;MATCH(ATALI[[#This Row],[concat]],[4]!db[NB NOTA_C],0)+1,"&gt;"))</f>
        <v>&gt;</v>
      </c>
    </row>
    <row r="46" spans="1:25" x14ac:dyDescent="0.25">
      <c r="A46" s="4"/>
      <c r="B46" s="1" t="str">
        <f>IF(ATALI[[#This Row],[N_ID]]="","",INDEX(Table1[ID],MATCH(ATALI[[#This Row],[N_ID]],Table1[N_ID],0)))</f>
        <v/>
      </c>
      <c r="C46" s="1" t="str">
        <f>IF(ATALI[[#This Row],[ID NOTA]]="","",HYPERLINK("[NOTA_.xlsx]NOTA!e"&amp;INDEX([2]!PAJAK[//],MATCH(ATALI[[#This Row],[ID NOTA]],[2]!PAJAK[ID],0)),"&gt;") )</f>
        <v/>
      </c>
      <c r="D46" s="1" t="str">
        <f>IF(ATALI[[#This Row],[ID NOTA]]="","",INDEX(Table1[QB],MATCH(ATALI[[#This Row],[ID NOTA]],Table1[ID],0)))</f>
        <v/>
      </c>
      <c r="E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248</v>
      </c>
      <c r="F46" s="1"/>
      <c r="G46" s="3" t="str">
        <f>IF(ATALI[[#This Row],[ID NOTA]]="","",INDEX([2]!NOTA[TGL_H],MATCH(ATALI[[#This Row],[ID NOTA]],[2]!NOTA[ID],0)))</f>
        <v/>
      </c>
      <c r="H46" s="3" t="str">
        <f>IF(ATALI[[#This Row],[ID NOTA]]="","",INDEX([2]!NOTA[TGL.NOTA],MATCH(ATALI[[#This Row],[ID NOTA]],[2]!NOTA[ID],0)))</f>
        <v/>
      </c>
      <c r="I46" t="str">
        <f>IF(ATALI[[#This Row],[ID NOTA]]="","",INDEX([2]!NOTA[NO.NOTA],MATCH(ATALI[[#This Row],[ID NOTA]],[2]!NOTA[ID],0)))</f>
        <v/>
      </c>
      <c r="J46" t="str">
        <f ca="1">IF(ATALI[[#This Row],[//]]="","",INDEX([4]!db[NB PAJAK],ATALI[[#This Row],[stt]]-1))</f>
        <v>MAP TAS / BAG JOYKO B-2637-3 BIRU</v>
      </c>
      <c r="K46" s="1">
        <f ca="1">IF(ATALI[[#This Row],[//]]="","",IF(INDEX([2]!NOTA[C],ATALI[[#This Row],[//]]-2)="","",INDEX([2]!NOTA[C],ATALI[[#This Row],[//]]-2)))</f>
        <v>1</v>
      </c>
      <c r="L46" s="1">
        <f ca="1">IF(ATALI[[#This Row],[//]]="","",INDEX([2]!NOTA[QTY],ATALI[[#This Row],[//]]-2))</f>
        <v>48</v>
      </c>
      <c r="M46" s="1" t="str">
        <f ca="1">IF(ATALI[[#This Row],[//]]="","",INDEX([2]!NOTA[STN],ATALI[[#This Row],[//]]-2))</f>
        <v>PCS</v>
      </c>
      <c r="N46" s="5">
        <f ca="1">IF(ATALI[[#This Row],[//]]="","",INDEX([2]!NOTA[HARGA SATUAN],ATALI[[#This Row],[//]]-2))</f>
        <v>17600</v>
      </c>
      <c r="O46" s="7">
        <f ca="1">IF(ATALI[[#This Row],[//]]="","",INDEX([2]!NOTA[DISC 1],ATALI[[#This Row],[//]]-2))</f>
        <v>0.125</v>
      </c>
      <c r="P46" s="7">
        <f ca="1">IF(ATALI[[#This Row],[//]]="","",INDEX([2]!NOTA[DISC 2],ATALI[[#This Row],[//]]-2))</f>
        <v>0.05</v>
      </c>
      <c r="Q46" s="5">
        <f ca="1">IF(ATALI[[#This Row],[//]]="","",INDEX([2]!NOTA[TOTAL],ATALI[[#This Row],[//]]-2))</f>
        <v>702240</v>
      </c>
      <c r="R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t="str">
        <f ca="1">IF(ATALI[[#This Row],[//]]="","",INDEX([2]!NOTA[NAMA BARANG],ATALI[[#This Row],[//]]-2))</f>
        <v>BAG B-2637-3 (BLUE) JK</v>
      </c>
      <c r="V46" t="str">
        <f ca="1">LOWER(SUBSTITUTE(SUBSTITUTE(SUBSTITUTE(SUBSTITUTE(SUBSTITUTE(SUBSTITUTE(SUBSTITUTE(ATALI[[#This Row],[N.B.nota]]," ",""),"-",""),"(",""),")",""),".",""),",",""),"/",""))</f>
        <v>bagb26373bluejk</v>
      </c>
      <c r="W46">
        <f ca="1">IF(ATALI[[#This Row],[concat]]="","",MATCH(ATALI[[#This Row],[concat]],[4]!db[NB NOTA_C],0)+1)</f>
        <v>60</v>
      </c>
      <c r="X46" t="str">
        <f ca="1">IF(ATALI[[#This Row],[N.B.nota]]="","",ADDRESS(ROW(ATALI[QB]),COLUMN(ATALI[QB]))&amp;":"&amp;ADDRESS(ROW(),COLUMN(ATALI[QB])))</f>
        <v>$D$3:$D$46</v>
      </c>
      <c r="Y46" s="13" t="str">
        <f ca="1">IF(ATALI[[#This Row],[//]]="","",HYPERLINK("[../DB.xlsx]DB!e"&amp;MATCH(ATALI[[#This Row],[concat]],[4]!db[NB NOTA_C],0)+1,"&gt;"))</f>
        <v>&gt;</v>
      </c>
    </row>
    <row r="47" spans="1:25" x14ac:dyDescent="0.25">
      <c r="A47" s="4"/>
      <c r="B47" s="1" t="str">
        <f>IF(ATALI[[#This Row],[N_ID]]="","",INDEX(Table1[ID],MATCH(ATALI[[#This Row],[N_ID]],Table1[N_ID],0)))</f>
        <v/>
      </c>
      <c r="C47" s="1" t="str">
        <f>IF(ATALI[[#This Row],[ID NOTA]]="","",HYPERLINK("[NOTA_.xlsx]NOTA!e"&amp;INDEX([2]!PAJAK[//],MATCH(ATALI[[#This Row],[ID NOTA]],[2]!PAJAK[ID],0)),"&gt;") )</f>
        <v/>
      </c>
      <c r="D47" s="1" t="str">
        <f>IF(ATALI[[#This Row],[ID NOTA]]="","",INDEX(Table1[QB],MATCH(ATALI[[#This Row],[ID NOTA]],Table1[ID],0)))</f>
        <v/>
      </c>
      <c r="E4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249</v>
      </c>
      <c r="F47" s="1"/>
      <c r="G47" s="3" t="str">
        <f>IF(ATALI[[#This Row],[ID NOTA]]="","",INDEX([2]!NOTA[TGL_H],MATCH(ATALI[[#This Row],[ID NOTA]],[2]!NOTA[ID],0)))</f>
        <v/>
      </c>
      <c r="H47" s="3" t="str">
        <f>IF(ATALI[[#This Row],[ID NOTA]]="","",INDEX([2]!NOTA[TGL.NOTA],MATCH(ATALI[[#This Row],[ID NOTA]],[2]!NOTA[ID],0)))</f>
        <v/>
      </c>
      <c r="I47" t="str">
        <f>IF(ATALI[[#This Row],[ID NOTA]]="","",INDEX([2]!NOTA[NO.NOTA],MATCH(ATALI[[#This Row],[ID NOTA]],[2]!NOTA[ID],0)))</f>
        <v/>
      </c>
      <c r="J47" t="str">
        <f ca="1">IF(ATALI[[#This Row],[//]]="","",INDEX([4]!db[NB PAJAK],ATALI[[#This Row],[stt]]-1))</f>
        <v>MAP TAS / BAG JOYKO B-2637-3 MERAH</v>
      </c>
      <c r="K47" s="1">
        <f ca="1">IF(ATALI[[#This Row],[//]]="","",IF(INDEX([2]!NOTA[C],ATALI[[#This Row],[//]]-2)="","",INDEX([2]!NOTA[C],ATALI[[#This Row],[//]]-2)))</f>
        <v>1</v>
      </c>
      <c r="L47" s="1">
        <f ca="1">IF(ATALI[[#This Row],[//]]="","",INDEX([2]!NOTA[QTY],ATALI[[#This Row],[//]]-2))</f>
        <v>48</v>
      </c>
      <c r="M47" s="1" t="str">
        <f ca="1">IF(ATALI[[#This Row],[//]]="","",INDEX([2]!NOTA[STN],ATALI[[#This Row],[//]]-2))</f>
        <v>PCS</v>
      </c>
      <c r="N47" s="5">
        <f ca="1">IF(ATALI[[#This Row],[//]]="","",INDEX([2]!NOTA[HARGA SATUAN],ATALI[[#This Row],[//]]-2))</f>
        <v>17600</v>
      </c>
      <c r="O47" s="7">
        <f ca="1">IF(ATALI[[#This Row],[//]]="","",INDEX([2]!NOTA[DISC 1],ATALI[[#This Row],[//]]-2))</f>
        <v>0.125</v>
      </c>
      <c r="P47" s="7">
        <f ca="1">IF(ATALI[[#This Row],[//]]="","",INDEX([2]!NOTA[DISC 2],ATALI[[#This Row],[//]]-2))</f>
        <v>0.05</v>
      </c>
      <c r="Q47" s="5">
        <f ca="1">IF(ATALI[[#This Row],[//]]="","",INDEX([2]!NOTA[TOTAL],ATALI[[#This Row],[//]]-2))</f>
        <v>702240</v>
      </c>
      <c r="R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t="str">
        <f ca="1">IF(ATALI[[#This Row],[//]]="","",INDEX([2]!NOTA[NAMA BARANG],ATALI[[#This Row],[//]]-2))</f>
        <v>BAG B-2637-3 (RED) JK</v>
      </c>
      <c r="V47" t="str">
        <f ca="1">LOWER(SUBSTITUTE(SUBSTITUTE(SUBSTITUTE(SUBSTITUTE(SUBSTITUTE(SUBSTITUTE(SUBSTITUTE(ATALI[[#This Row],[N.B.nota]]," ",""),"-",""),"(",""),")",""),".",""),",",""),"/",""))</f>
        <v>bagb26373redjk</v>
      </c>
      <c r="W47">
        <f ca="1">IF(ATALI[[#This Row],[concat]]="","",MATCH(ATALI[[#This Row],[concat]],[4]!db[NB NOTA_C],0)+1)</f>
        <v>61</v>
      </c>
      <c r="X47" t="str">
        <f ca="1">IF(ATALI[[#This Row],[N.B.nota]]="","",ADDRESS(ROW(ATALI[QB]),COLUMN(ATALI[QB]))&amp;":"&amp;ADDRESS(ROW(),COLUMN(ATALI[QB])))</f>
        <v>$D$3:$D$47</v>
      </c>
      <c r="Y47" s="13" t="str">
        <f ca="1">IF(ATALI[[#This Row],[//]]="","",HYPERLINK("[../DB.xlsx]DB!e"&amp;MATCH(ATALI[[#This Row],[concat]],[4]!db[NB NOTA_C],0)+1,"&gt;"))</f>
        <v>&gt;</v>
      </c>
    </row>
    <row r="48" spans="1:25" x14ac:dyDescent="0.25">
      <c r="A48" s="4"/>
      <c r="B48" s="1" t="str">
        <f>IF(ATALI[[#This Row],[N_ID]]="","",INDEX(Table1[ID],MATCH(ATALI[[#This Row],[N_ID]],Table1[N_ID],0)))</f>
        <v/>
      </c>
      <c r="C48" s="1" t="str">
        <f>IF(ATALI[[#This Row],[ID NOTA]]="","",HYPERLINK("[NOTA_.xlsx]NOTA!e"&amp;INDEX([2]!PAJAK[//],MATCH(ATALI[[#This Row],[ID NOTA]],[2]!PAJAK[ID],0)),"&gt;") )</f>
        <v/>
      </c>
      <c r="D48" s="1" t="str">
        <f>IF(ATALI[[#This Row],[ID NOTA]]="","",INDEX(Table1[QB],MATCH(ATALI[[#This Row],[ID NOTA]],Table1[ID],0)))</f>
        <v/>
      </c>
      <c r="E4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250</v>
      </c>
      <c r="F48" s="1"/>
      <c r="G48" s="3" t="str">
        <f>IF(ATALI[[#This Row],[ID NOTA]]="","",INDEX([2]!NOTA[TGL_H],MATCH(ATALI[[#This Row],[ID NOTA]],[2]!NOTA[ID],0)))</f>
        <v/>
      </c>
      <c r="H48" s="3" t="str">
        <f>IF(ATALI[[#This Row],[ID NOTA]]="","",INDEX([2]!NOTA[TGL.NOTA],MATCH(ATALI[[#This Row],[ID NOTA]],[2]!NOTA[ID],0)))</f>
        <v/>
      </c>
      <c r="I48" t="str">
        <f>IF(ATALI[[#This Row],[ID NOTA]]="","",INDEX([2]!NOTA[NO.NOTA],MATCH(ATALI[[#This Row],[ID NOTA]],[2]!NOTA[ID],0)))</f>
        <v/>
      </c>
      <c r="J48" t="str">
        <f ca="1">IF(ATALI[[#This Row],[//]]="","",INDEX([4]!db[NB PAJAK],ATALI[[#This Row],[stt]]-1))</f>
        <v>MAP TAS / BAG JOYKO B-2637-3 PUTIH</v>
      </c>
      <c r="K48" s="1">
        <f ca="1">IF(ATALI[[#This Row],[//]]="","",IF(INDEX([2]!NOTA[C],ATALI[[#This Row],[//]]-2)="","",INDEX([2]!NOTA[C],ATALI[[#This Row],[//]]-2)))</f>
        <v>1</v>
      </c>
      <c r="L48" s="1">
        <f ca="1">IF(ATALI[[#This Row],[//]]="","",INDEX([2]!NOTA[QTY],ATALI[[#This Row],[//]]-2))</f>
        <v>48</v>
      </c>
      <c r="M48" s="1" t="str">
        <f ca="1">IF(ATALI[[#This Row],[//]]="","",INDEX([2]!NOTA[STN],ATALI[[#This Row],[//]]-2))</f>
        <v>PCS</v>
      </c>
      <c r="N48" s="5">
        <f ca="1">IF(ATALI[[#This Row],[//]]="","",INDEX([2]!NOTA[HARGA SATUAN],ATALI[[#This Row],[//]]-2))</f>
        <v>17600</v>
      </c>
      <c r="O48" s="7">
        <f ca="1">IF(ATALI[[#This Row],[//]]="","",INDEX([2]!NOTA[DISC 1],ATALI[[#This Row],[//]]-2))</f>
        <v>0.125</v>
      </c>
      <c r="P48" s="7">
        <f ca="1">IF(ATALI[[#This Row],[//]]="","",INDEX([2]!NOTA[DISC 2],ATALI[[#This Row],[//]]-2))</f>
        <v>0.05</v>
      </c>
      <c r="Q48" s="5">
        <f ca="1">IF(ATALI[[#This Row],[//]]="","",INDEX([2]!NOTA[TOTAL],ATALI[[#This Row],[//]]-2))</f>
        <v>702240</v>
      </c>
      <c r="R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t="str">
        <f ca="1">IF(ATALI[[#This Row],[//]]="","",INDEX([2]!NOTA[NAMA BARANG],ATALI[[#This Row],[//]]-2))</f>
        <v>BAG B-2637-3 (WHITE) JK</v>
      </c>
      <c r="V48" t="str">
        <f ca="1">LOWER(SUBSTITUTE(SUBSTITUTE(SUBSTITUTE(SUBSTITUTE(SUBSTITUTE(SUBSTITUTE(SUBSTITUTE(ATALI[[#This Row],[N.B.nota]]," ",""),"-",""),"(",""),")",""),".",""),",",""),"/",""))</f>
        <v>bagb26373whitejk</v>
      </c>
      <c r="W48">
        <f ca="1">IF(ATALI[[#This Row],[concat]]="","",MATCH(ATALI[[#This Row],[concat]],[4]!db[NB NOTA_C],0)+1)</f>
        <v>62</v>
      </c>
      <c r="X48" t="str">
        <f ca="1">IF(ATALI[[#This Row],[N.B.nota]]="","",ADDRESS(ROW(ATALI[QB]),COLUMN(ATALI[QB]))&amp;":"&amp;ADDRESS(ROW(),COLUMN(ATALI[QB])))</f>
        <v>$D$3:$D$48</v>
      </c>
      <c r="Y48" s="13" t="str">
        <f ca="1">IF(ATALI[[#This Row],[//]]="","",HYPERLINK("[../DB.xlsx]DB!e"&amp;MATCH(ATALI[[#This Row],[concat]],[4]!db[NB NOTA_C],0)+1,"&gt;"))</f>
        <v>&gt;</v>
      </c>
    </row>
    <row r="49" spans="1:25" x14ac:dyDescent="0.25">
      <c r="A49" s="4"/>
      <c r="B49" s="1" t="str">
        <f>IF(ATALI[[#This Row],[N_ID]]="","",INDEX(Table1[ID],MATCH(ATALI[[#This Row],[N_ID]],Table1[N_ID],0)))</f>
        <v/>
      </c>
      <c r="C49" s="1" t="str">
        <f>IF(ATALI[[#This Row],[ID NOTA]]="","",HYPERLINK("[NOTA_.xlsx]NOTA!e"&amp;INDEX([2]!PAJAK[//],MATCH(ATALI[[#This Row],[ID NOTA]],[2]!PAJAK[ID],0)),"&gt;") )</f>
        <v/>
      </c>
      <c r="D49" s="1" t="str">
        <f>IF(ATALI[[#This Row],[ID NOTA]]="","",INDEX(Table1[QB],MATCH(ATALI[[#This Row],[ID NOTA]],Table1[ID],0)))</f>
        <v/>
      </c>
      <c r="E4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251</v>
      </c>
      <c r="F49" s="1"/>
      <c r="G49" s="3" t="str">
        <f>IF(ATALI[[#This Row],[ID NOTA]]="","",INDEX([2]!NOTA[TGL_H],MATCH(ATALI[[#This Row],[ID NOTA]],[2]!NOTA[ID],0)))</f>
        <v/>
      </c>
      <c r="H49" s="3" t="str">
        <f>IF(ATALI[[#This Row],[ID NOTA]]="","",INDEX([2]!NOTA[TGL.NOTA],MATCH(ATALI[[#This Row],[ID NOTA]],[2]!NOTA[ID],0)))</f>
        <v/>
      </c>
      <c r="I49" t="str">
        <f>IF(ATALI[[#This Row],[ID NOTA]]="","",INDEX([2]!NOTA[NO.NOTA],MATCH(ATALI[[#This Row],[ID NOTA]],[2]!NOTA[ID],0)))</f>
        <v/>
      </c>
      <c r="J49" t="str">
        <f ca="1">IF(ATALI[[#This Row],[//]]="","",INDEX([4]!db[NB PAJAK],ATALI[[#This Row],[stt]]-1))</f>
        <v>MAP TAS / BAG JOYKO B-2637-3 KUNING</v>
      </c>
      <c r="K49" s="1">
        <f ca="1">IF(ATALI[[#This Row],[//]]="","",IF(INDEX([2]!NOTA[C],ATALI[[#This Row],[//]]-2)="","",INDEX([2]!NOTA[C],ATALI[[#This Row],[//]]-2)))</f>
        <v>1</v>
      </c>
      <c r="L49" s="1">
        <f ca="1">IF(ATALI[[#This Row],[//]]="","",INDEX([2]!NOTA[QTY],ATALI[[#This Row],[//]]-2))</f>
        <v>48</v>
      </c>
      <c r="M49" s="1" t="str">
        <f ca="1">IF(ATALI[[#This Row],[//]]="","",INDEX([2]!NOTA[STN],ATALI[[#This Row],[//]]-2))</f>
        <v>PCS</v>
      </c>
      <c r="N49" s="5">
        <f ca="1">IF(ATALI[[#This Row],[//]]="","",INDEX([2]!NOTA[HARGA SATUAN],ATALI[[#This Row],[//]]-2))</f>
        <v>17600</v>
      </c>
      <c r="O49" s="7">
        <f ca="1">IF(ATALI[[#This Row],[//]]="","",INDEX([2]!NOTA[DISC 1],ATALI[[#This Row],[//]]-2))</f>
        <v>0.125</v>
      </c>
      <c r="P49" s="7">
        <f ca="1">IF(ATALI[[#This Row],[//]]="","",INDEX([2]!NOTA[DISC 2],ATALI[[#This Row],[//]]-2))</f>
        <v>0.05</v>
      </c>
      <c r="Q49" s="5">
        <f ca="1">IF(ATALI[[#This Row],[//]]="","",INDEX([2]!NOTA[TOTAL],ATALI[[#This Row],[//]]-2))</f>
        <v>702240</v>
      </c>
      <c r="R4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4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14519443.75</v>
      </c>
      <c r="T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t="str">
        <f ca="1">IF(ATALI[[#This Row],[//]]="","",INDEX([2]!NOTA[NAMA BARANG],ATALI[[#This Row],[//]]-2))</f>
        <v>BAG B-2637-3 (YELLOW) JK</v>
      </c>
      <c r="V49" t="str">
        <f ca="1">LOWER(SUBSTITUTE(SUBSTITUTE(SUBSTITUTE(SUBSTITUTE(SUBSTITUTE(SUBSTITUTE(SUBSTITUTE(ATALI[[#This Row],[N.B.nota]]," ",""),"-",""),"(",""),")",""),".",""),",",""),"/",""))</f>
        <v>bagb26373yellowjk</v>
      </c>
      <c r="W49">
        <f ca="1">IF(ATALI[[#This Row],[concat]]="","",MATCH(ATALI[[#This Row],[concat]],[4]!db[NB NOTA_C],0)+1)</f>
        <v>63</v>
      </c>
      <c r="X49" t="str">
        <f ca="1">IF(ATALI[[#This Row],[N.B.nota]]="","",ADDRESS(ROW(ATALI[QB]),COLUMN(ATALI[QB]))&amp;":"&amp;ADDRESS(ROW(),COLUMN(ATALI[QB])))</f>
        <v>$D$3:$D$49</v>
      </c>
      <c r="Y49" s="13" t="str">
        <f ca="1">IF(ATALI[[#This Row],[//]]="","",HYPERLINK("[../DB.xlsx]DB!e"&amp;MATCH(ATALI[[#This Row],[concat]],[4]!db[NB NOTA_C],0)+1,"&gt;"))</f>
        <v>&gt;</v>
      </c>
    </row>
    <row r="50" spans="1:25" x14ac:dyDescent="0.25">
      <c r="A50" s="4"/>
      <c r="B50" s="1" t="str">
        <f>IF(ATALI[[#This Row],[N_ID]]="","",INDEX(Table1[ID],MATCH(ATALI[[#This Row],[N_ID]],Table1[N_ID],0)))</f>
        <v/>
      </c>
      <c r="C50" s="1" t="str">
        <f>IF(ATALI[[#This Row],[ID NOTA]]="","",HYPERLINK("[NOTA_.xlsx]NOTA!e"&amp;INDEX([2]!PAJAK[//],MATCH(ATALI[[#This Row],[ID NOTA]],[2]!PAJAK[ID],0)),"&gt;") )</f>
        <v/>
      </c>
      <c r="D50" s="1" t="str">
        <f>IF(ATALI[[#This Row],[ID NOTA]]="","",INDEX(Table1[QB],MATCH(ATALI[[#This Row],[ID NOTA]],Table1[ID],0)))</f>
        <v/>
      </c>
      <c r="E5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" s="1"/>
      <c r="G50" s="3" t="str">
        <f>IF(ATALI[[#This Row],[ID NOTA]]="","",INDEX([2]!NOTA[TGL_H],MATCH(ATALI[[#This Row],[ID NOTA]],[2]!NOTA[ID],0)))</f>
        <v/>
      </c>
      <c r="H50" s="3" t="str">
        <f>IF(ATALI[[#This Row],[ID NOTA]]="","",INDEX([2]!NOTA[TGL.NOTA],MATCH(ATALI[[#This Row],[ID NOTA]],[2]!NOTA[ID],0)))</f>
        <v/>
      </c>
      <c r="I50" t="str">
        <f>IF(ATALI[[#This Row],[ID NOTA]]="","",INDEX([2]!NOTA[NO.NOTA],MATCH(ATALI[[#This Row],[ID NOTA]],[2]!NOTA[ID],0)))</f>
        <v/>
      </c>
      <c r="J50" t="str">
        <f ca="1">IF(ATALI[[#This Row],[//]]="","",INDEX([4]!db[NB PAJAK],ATALI[[#This Row],[stt]]-1))</f>
        <v/>
      </c>
      <c r="K50" s="1" t="str">
        <f ca="1">IF(ATALI[[#This Row],[//]]="","",IF(INDEX([2]!NOTA[C],ATALI[[#This Row],[//]]-2)="","",INDEX([2]!NOTA[C],ATALI[[#This Row],[//]]-2)))</f>
        <v/>
      </c>
      <c r="L50" s="1" t="str">
        <f ca="1">IF(ATALI[[#This Row],[//]]="","",INDEX([2]!NOTA[QTY],ATALI[[#This Row],[//]]-2))</f>
        <v/>
      </c>
      <c r="M50" s="1" t="str">
        <f ca="1">IF(ATALI[[#This Row],[//]]="","",INDEX([2]!NOTA[STN],ATALI[[#This Row],[//]]-2))</f>
        <v/>
      </c>
      <c r="N50" s="5" t="str">
        <f ca="1">IF(ATALI[[#This Row],[//]]="","",INDEX([2]!NOTA[HARGA SATUAN],ATALI[[#This Row],[//]]-2))</f>
        <v/>
      </c>
      <c r="O50" s="7" t="str">
        <f ca="1">IF(ATALI[[#This Row],[//]]="","",INDEX([2]!NOTA[DISC 1],ATALI[[#This Row],[//]]-2))</f>
        <v/>
      </c>
      <c r="P50" s="7" t="str">
        <f ca="1">IF(ATALI[[#This Row],[//]]="","",INDEX([2]!NOTA[DISC 2],ATALI[[#This Row],[//]]-2))</f>
        <v/>
      </c>
      <c r="Q50" s="5" t="str">
        <f ca="1">IF(ATALI[[#This Row],[//]]="","",INDEX([2]!NOTA[TOTAL],ATALI[[#This Row],[//]]-2))</f>
        <v/>
      </c>
      <c r="R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" t="str">
        <f ca="1">IF(ATALI[[#This Row],[//]]="","",INDEX([2]!NOTA[NAMA BARANG],ATALI[[#This Row],[//]]-2))</f>
        <v/>
      </c>
      <c r="V50" t="str">
        <f ca="1">LOWER(SUBSTITUTE(SUBSTITUTE(SUBSTITUTE(SUBSTITUTE(SUBSTITUTE(SUBSTITUTE(SUBSTITUTE(ATALI[[#This Row],[N.B.nota]]," ",""),"-",""),"(",""),")",""),".",""),",",""),"/",""))</f>
        <v/>
      </c>
      <c r="W50" t="str">
        <f ca="1">IF(ATALI[[#This Row],[concat]]="","",MATCH(ATALI[[#This Row],[concat]],[4]!db[NB NOTA_C],0)+1)</f>
        <v/>
      </c>
      <c r="X50" t="str">
        <f ca="1">IF(ATALI[[#This Row],[N.B.nota]]="","",ADDRESS(ROW(ATALI[QB]),COLUMN(ATALI[QB]))&amp;":"&amp;ADDRESS(ROW(),COLUMN(ATALI[QB])))</f>
        <v/>
      </c>
      <c r="Y50" s="13" t="str">
        <f ca="1">IF(ATALI[[#This Row],[//]]="","",HYPERLINK("[../DB.xlsx]DB!e"&amp;MATCH(ATALI[[#This Row],[concat]],[4]!db[NB NOTA_C],0)+1,"&gt;"))</f>
        <v/>
      </c>
    </row>
    <row r="51" spans="1:25" x14ac:dyDescent="0.25">
      <c r="A51" s="4" t="s">
        <v>79</v>
      </c>
      <c r="B51" s="1">
        <f ca="1">IF(ATALI[[#This Row],[N_ID]]="","",INDEX(Table1[ID],MATCH(ATALI[[#This Row],[N_ID]],Table1[N_ID],0)))</f>
        <v>45</v>
      </c>
      <c r="C51" s="1" t="str">
        <f ca="1">IF(ATALI[[#This Row],[ID NOTA]]="","",HYPERLINK("[NOTA_.xlsx]NOTA!e"&amp;INDEX([2]!PAJAK[//],MATCH(ATALI[[#This Row],[ID NOTA]],[2]!PAJAK[ID],0)),"&gt;") )</f>
        <v>&gt;</v>
      </c>
      <c r="D51" s="1">
        <f ca="1">IF(ATALI[[#This Row],[ID NOTA]]="","",INDEX(Table1[QB],MATCH(ATALI[[#This Row],[ID NOTA]],Table1[ID],0)))</f>
        <v>4</v>
      </c>
      <c r="E5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239</v>
      </c>
      <c r="F51" s="1">
        <v>8</v>
      </c>
      <c r="G51" s="3">
        <f ca="1">IF(ATALI[[#This Row],[ID NOTA]]="","",INDEX([2]!NOTA[TGL_H],MATCH(ATALI[[#This Row],[ID NOTA]],[2]!NOTA[ID],0)))</f>
        <v>44817</v>
      </c>
      <c r="H51" s="3">
        <f ca="1">IF(ATALI[[#This Row],[ID NOTA]]="","",INDEX([2]!NOTA[TGL.NOTA],MATCH(ATALI[[#This Row],[ID NOTA]],[2]!NOTA[ID],0)))</f>
        <v>44812</v>
      </c>
      <c r="I51" t="str">
        <f ca="1">IF(ATALI[[#This Row],[ID NOTA]]="","",INDEX([2]!NOTA[NO.NOTA],MATCH(ATALI[[#This Row],[ID NOTA]],[2]!NOTA[ID],0)))</f>
        <v>SA220914107</v>
      </c>
      <c r="J51" t="str">
        <f ca="1">IF(ATALI[[#This Row],[//]]="","",INDEX([4]!db[NB PAJAK],ATALI[[#This Row],[stt]]-1))</f>
        <v>CRAYON / OIL PASTEL JOYKO OP-12CHC COMPACT</v>
      </c>
      <c r="K51" s="1">
        <f ca="1">IF(ATALI[[#This Row],[//]]="","",IF(INDEX([2]!NOTA[C],ATALI[[#This Row],[//]]-2)="","",INDEX([2]!NOTA[C],ATALI[[#This Row],[//]]-2)))</f>
        <v>2</v>
      </c>
      <c r="L51" s="1">
        <f ca="1">IF(ATALI[[#This Row],[//]]="","",INDEX([2]!NOTA[QTY],ATALI[[#This Row],[//]]-2))</f>
        <v>288</v>
      </c>
      <c r="M51" s="1" t="str">
        <f ca="1">IF(ATALI[[#This Row],[//]]="","",INDEX([2]!NOTA[STN],ATALI[[#This Row],[//]]-2))</f>
        <v>SET</v>
      </c>
      <c r="N51" s="5">
        <f ca="1">IF(ATALI[[#This Row],[//]]="","",INDEX([2]!NOTA[HARGA SATUAN],ATALI[[#This Row],[//]]-2))</f>
        <v>11600</v>
      </c>
      <c r="O51" s="7">
        <f ca="1">IF(ATALI[[#This Row],[//]]="","",INDEX([2]!NOTA[DISC 1],ATALI[[#This Row],[//]]-2))</f>
        <v>0.125</v>
      </c>
      <c r="P51" s="7">
        <f ca="1">IF(ATALI[[#This Row],[//]]="","",INDEX([2]!NOTA[DISC 2],ATALI[[#This Row],[//]]-2))</f>
        <v>0.05</v>
      </c>
      <c r="Q51" s="5">
        <f ca="1">IF(ATALI[[#This Row],[//]]="","",INDEX([2]!NOTA[TOTAL],ATALI[[#This Row],[//]]-2))</f>
        <v>2777040</v>
      </c>
      <c r="R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t="str">
        <f ca="1">IF(ATALI[[#This Row],[//]]="","",INDEX([2]!NOTA[NAMA BARANG],ATALI[[#This Row],[//]]-2))</f>
        <v>OIL PASTEL OP-12CHC COMPACT JK</v>
      </c>
      <c r="V51" t="str">
        <f ca="1">LOWER(SUBSTITUTE(SUBSTITUTE(SUBSTITUTE(SUBSTITUTE(SUBSTITUTE(SUBSTITUTE(SUBSTITUTE(ATALI[[#This Row],[N.B.nota]]," ",""),"-",""),"(",""),")",""),".",""),",",""),"/",""))</f>
        <v>oilpastelop12chccompactjk</v>
      </c>
      <c r="W51">
        <f ca="1">IF(ATALI[[#This Row],[concat]]="","",MATCH(ATALI[[#This Row],[concat]],[4]!db[NB NOTA_C],0)+1)</f>
        <v>1498</v>
      </c>
      <c r="X51" t="str">
        <f ca="1">IF(ATALI[[#This Row],[N.B.nota]]="","",ADDRESS(ROW(ATALI[QB]),COLUMN(ATALI[QB]))&amp;":"&amp;ADDRESS(ROW(),COLUMN(ATALI[QB])))</f>
        <v>$D$3:$D$51</v>
      </c>
      <c r="Y51" s="13" t="str">
        <f ca="1">IF(ATALI[[#This Row],[//]]="","",HYPERLINK("[../DB.xlsx]DB!e"&amp;MATCH(ATALI[[#This Row],[concat]],[4]!db[NB NOTA_C],0)+1,"&gt;"))</f>
        <v>&gt;</v>
      </c>
    </row>
    <row r="52" spans="1:25" x14ac:dyDescent="0.25">
      <c r="A52" s="4"/>
      <c r="B52" s="1" t="str">
        <f>IF(ATALI[[#This Row],[N_ID]]="","",INDEX(Table1[ID],MATCH(ATALI[[#This Row],[N_ID]],Table1[N_ID],0)))</f>
        <v/>
      </c>
      <c r="C52" s="1" t="str">
        <f>IF(ATALI[[#This Row],[ID NOTA]]="","",HYPERLINK("[NOTA_.xlsx]NOTA!e"&amp;INDEX([2]!PAJAK[//],MATCH(ATALI[[#This Row],[ID NOTA]],[2]!PAJAK[ID],0)),"&gt;") )</f>
        <v/>
      </c>
      <c r="D52" s="1" t="str">
        <f>IF(ATALI[[#This Row],[ID NOTA]]="","",INDEX(Table1[QB],MATCH(ATALI[[#This Row],[ID NOTA]],Table1[ID],0)))</f>
        <v/>
      </c>
      <c r="E5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240</v>
      </c>
      <c r="F52" s="1"/>
      <c r="G52" s="3" t="str">
        <f>IF(ATALI[[#This Row],[ID NOTA]]="","",INDEX([2]!NOTA[TGL_H],MATCH(ATALI[[#This Row],[ID NOTA]],[2]!NOTA[ID],0)))</f>
        <v/>
      </c>
      <c r="H52" s="3" t="str">
        <f>IF(ATALI[[#This Row],[ID NOTA]]="","",INDEX([2]!NOTA[TGL.NOTA],MATCH(ATALI[[#This Row],[ID NOTA]],[2]!NOTA[ID],0)))</f>
        <v/>
      </c>
      <c r="I52" t="str">
        <f>IF(ATALI[[#This Row],[ID NOTA]]="","",INDEX([2]!NOTA[NO.NOTA],MATCH(ATALI[[#This Row],[ID NOTA]],[2]!NOTA[ID],0)))</f>
        <v/>
      </c>
      <c r="J52" t="str">
        <f ca="1">IF(ATALI[[#This Row],[//]]="","",INDEX([4]!db[NB PAJAK],ATALI[[#This Row],[stt]]-1))</f>
        <v>GEL PEN JOYKO GP-265 Q-GEL HITAM</v>
      </c>
      <c r="K52" s="1" t="str">
        <f ca="1">IF(ATALI[[#This Row],[//]]="","",IF(INDEX([2]!NOTA[C],ATALI[[#This Row],[//]]-2)="","",INDEX([2]!NOTA[C],ATALI[[#This Row],[//]]-2)))</f>
        <v/>
      </c>
      <c r="L52" s="1">
        <f ca="1">IF(ATALI[[#This Row],[//]]="","",INDEX([2]!NOTA[QTY],ATALI[[#This Row],[//]]-2))</f>
        <v>4</v>
      </c>
      <c r="M52" s="1" t="str">
        <f ca="1">IF(ATALI[[#This Row],[//]]="","",INDEX([2]!NOTA[STN],ATALI[[#This Row],[//]]-2))</f>
        <v>DZ</v>
      </c>
      <c r="N52" s="5">
        <f ca="1">IF(ATALI[[#This Row],[//]]="","",INDEX([2]!NOTA[HARGA SATUAN],ATALI[[#This Row],[//]]-2))</f>
        <v>27600</v>
      </c>
      <c r="O52" s="7">
        <f ca="1">IF(ATALI[[#This Row],[//]]="","",INDEX([2]!NOTA[DISC 1],ATALI[[#This Row],[//]]-2))</f>
        <v>0.1</v>
      </c>
      <c r="P52" s="7">
        <f ca="1">IF(ATALI[[#This Row],[//]]="","",INDEX([2]!NOTA[DISC 2],ATALI[[#This Row],[//]]-2))</f>
        <v>0.05</v>
      </c>
      <c r="Q52" s="5">
        <f ca="1">IF(ATALI[[#This Row],[//]]="","",INDEX([2]!NOTA[TOTAL],ATALI[[#This Row],[//]]-2))</f>
        <v>94392</v>
      </c>
      <c r="R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PASTEL&amp; CRAYON PUTAR JK</v>
      </c>
      <c r="U52" t="str">
        <f ca="1">IF(ATALI[[#This Row],[//]]="","",INDEX([2]!NOTA[NAMA BARANG],ATALI[[#This Row],[//]]-2))</f>
        <v>GEL PEN GP-265 Q GEL (BLACK) JK</v>
      </c>
      <c r="V52" t="str">
        <f ca="1">LOWER(SUBSTITUTE(SUBSTITUTE(SUBSTITUTE(SUBSTITUTE(SUBSTITUTE(SUBSTITUTE(SUBSTITUTE(ATALI[[#This Row],[N.B.nota]]," ",""),"-",""),"(",""),")",""),".",""),",",""),"/",""))</f>
        <v>gelpengp265qgelblackjk</v>
      </c>
      <c r="W52">
        <f ca="1">IF(ATALI[[#This Row],[concat]]="","",MATCH(ATALI[[#This Row],[concat]],[4]!db[NB NOTA_C],0)+1)</f>
        <v>705</v>
      </c>
      <c r="X52" t="str">
        <f ca="1">IF(ATALI[[#This Row],[N.B.nota]]="","",ADDRESS(ROW(ATALI[QB]),COLUMN(ATALI[QB]))&amp;":"&amp;ADDRESS(ROW(),COLUMN(ATALI[QB])))</f>
        <v>$D$3:$D$52</v>
      </c>
      <c r="Y52" s="13" t="str">
        <f ca="1">IF(ATALI[[#This Row],[//]]="","",HYPERLINK("[../DB.xlsx]DB!e"&amp;MATCH(ATALI[[#This Row],[concat]],[4]!db[NB NOTA_C],0)+1,"&gt;"))</f>
        <v>&gt;</v>
      </c>
    </row>
    <row r="53" spans="1:25" x14ac:dyDescent="0.25">
      <c r="A53" s="4"/>
      <c r="B53" s="1" t="str">
        <f>IF(ATALI[[#This Row],[N_ID]]="","",INDEX(Table1[ID],MATCH(ATALI[[#This Row],[N_ID]],Table1[N_ID],0)))</f>
        <v/>
      </c>
      <c r="C53" s="1" t="str">
        <f>IF(ATALI[[#This Row],[ID NOTA]]="","",HYPERLINK("[NOTA_.xlsx]NOTA!e"&amp;INDEX([2]!PAJAK[//],MATCH(ATALI[[#This Row],[ID NOTA]],[2]!PAJAK[ID],0)),"&gt;") )</f>
        <v/>
      </c>
      <c r="D53" s="1" t="str">
        <f>IF(ATALI[[#This Row],[ID NOTA]]="","",INDEX(Table1[QB],MATCH(ATALI[[#This Row],[ID NOTA]],Table1[ID],0)))</f>
        <v/>
      </c>
      <c r="E5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241</v>
      </c>
      <c r="F53" s="1"/>
      <c r="G53" s="3" t="str">
        <f>IF(ATALI[[#This Row],[ID NOTA]]="","",INDEX([2]!NOTA[TGL_H],MATCH(ATALI[[#This Row],[ID NOTA]],[2]!NOTA[ID],0)))</f>
        <v/>
      </c>
      <c r="H53" s="3" t="str">
        <f>IF(ATALI[[#This Row],[ID NOTA]]="","",INDEX([2]!NOTA[TGL.NOTA],MATCH(ATALI[[#This Row],[ID NOTA]],[2]!NOTA[ID],0)))</f>
        <v/>
      </c>
      <c r="I53" t="str">
        <f>IF(ATALI[[#This Row],[ID NOTA]]="","",INDEX([2]!NOTA[NO.NOTA],MATCH(ATALI[[#This Row],[ID NOTA]],[2]!NOTA[ID],0)))</f>
        <v/>
      </c>
      <c r="J53" t="str">
        <f ca="1">IF(ATALI[[#This Row],[//]]="","",INDEX([4]!db[NB PAJAK],ATALI[[#This Row],[stt]]-1))</f>
        <v>CUTTER 18 MM JOYKO L-500 + ISI (BESAR)</v>
      </c>
      <c r="K53" s="1">
        <f ca="1">IF(ATALI[[#This Row],[//]]="","",IF(INDEX([2]!NOTA[C],ATALI[[#This Row],[//]]-2)="","",INDEX([2]!NOTA[C],ATALI[[#This Row],[//]]-2)))</f>
        <v>1</v>
      </c>
      <c r="L53" s="1">
        <f ca="1">IF(ATALI[[#This Row],[//]]="","",INDEX([2]!NOTA[QTY],ATALI[[#This Row],[//]]-2))</f>
        <v>24</v>
      </c>
      <c r="M53" s="1" t="str">
        <f ca="1">IF(ATALI[[#This Row],[//]]="","",INDEX([2]!NOTA[STN],ATALI[[#This Row],[//]]-2))</f>
        <v>DZ</v>
      </c>
      <c r="N53" s="5">
        <f ca="1">IF(ATALI[[#This Row],[//]]="","",INDEX([2]!NOTA[HARGA SATUAN],ATALI[[#This Row],[//]]-2))</f>
        <v>162000</v>
      </c>
      <c r="O53" s="7">
        <f ca="1">IF(ATALI[[#This Row],[//]]="","",INDEX([2]!NOTA[DISC 1],ATALI[[#This Row],[//]]-2))</f>
        <v>0.125</v>
      </c>
      <c r="P53" s="7">
        <f ca="1">IF(ATALI[[#This Row],[//]]="","",INDEX([2]!NOTA[DISC 2],ATALI[[#This Row],[//]]-2))</f>
        <v>0.05</v>
      </c>
      <c r="Q53" s="5">
        <f ca="1">IF(ATALI[[#This Row],[//]]="","",INDEX([2]!NOTA[TOTAL],ATALI[[#This Row],[//]]-2))</f>
        <v>3231900</v>
      </c>
      <c r="R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t="str">
        <f ca="1">IF(ATALI[[#This Row],[//]]="","",INDEX([2]!NOTA[NAMA BARANG],ATALI[[#This Row],[//]]-2))</f>
        <v>CUTTER L-500 JK</v>
      </c>
      <c r="V53" t="str">
        <f ca="1">LOWER(SUBSTITUTE(SUBSTITUTE(SUBSTITUTE(SUBSTITUTE(SUBSTITUTE(SUBSTITUTE(SUBSTITUTE(ATALI[[#This Row],[N.B.nota]]," ",""),"-",""),"(",""),")",""),".",""),",",""),"/",""))</f>
        <v>cutterl500jk</v>
      </c>
      <c r="W53">
        <f ca="1">IF(ATALI[[#This Row],[concat]]="","",MATCH(ATALI[[#This Row],[concat]],[4]!db[NB NOTA_C],0)+1)</f>
        <v>557</v>
      </c>
      <c r="X53" t="str">
        <f ca="1">IF(ATALI[[#This Row],[N.B.nota]]="","",ADDRESS(ROW(ATALI[QB]),COLUMN(ATALI[QB]))&amp;":"&amp;ADDRESS(ROW(),COLUMN(ATALI[QB])))</f>
        <v>$D$3:$D$53</v>
      </c>
      <c r="Y53" s="13" t="str">
        <f ca="1">IF(ATALI[[#This Row],[//]]="","",HYPERLINK("[../DB.xlsx]DB!e"&amp;MATCH(ATALI[[#This Row],[concat]],[4]!db[NB NOTA_C],0)+1,"&gt;"))</f>
        <v>&gt;</v>
      </c>
    </row>
    <row r="54" spans="1:25" x14ac:dyDescent="0.25">
      <c r="A54" s="4"/>
      <c r="B54" s="1" t="str">
        <f>IF(ATALI[[#This Row],[N_ID]]="","",INDEX(Table1[ID],MATCH(ATALI[[#This Row],[N_ID]],Table1[N_ID],0)))</f>
        <v/>
      </c>
      <c r="C54" s="1" t="str">
        <f>IF(ATALI[[#This Row],[ID NOTA]]="","",HYPERLINK("[NOTA_.xlsx]NOTA!e"&amp;INDEX([2]!PAJAK[//],MATCH(ATALI[[#This Row],[ID NOTA]],[2]!PAJAK[ID],0)),"&gt;") )</f>
        <v/>
      </c>
      <c r="D54" s="1" t="str">
        <f>IF(ATALI[[#This Row],[ID NOTA]]="","",INDEX(Table1[QB],MATCH(ATALI[[#This Row],[ID NOTA]],Table1[ID],0)))</f>
        <v/>
      </c>
      <c r="E5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242</v>
      </c>
      <c r="F54" s="1"/>
      <c r="G54" s="3" t="str">
        <f>IF(ATALI[[#This Row],[ID NOTA]]="","",INDEX([2]!NOTA[TGL_H],MATCH(ATALI[[#This Row],[ID NOTA]],[2]!NOTA[ID],0)))</f>
        <v/>
      </c>
      <c r="H54" s="3" t="str">
        <f>IF(ATALI[[#This Row],[ID NOTA]]="","",INDEX([2]!NOTA[TGL.NOTA],MATCH(ATALI[[#This Row],[ID NOTA]],[2]!NOTA[ID],0)))</f>
        <v/>
      </c>
      <c r="I54" t="str">
        <f>IF(ATALI[[#This Row],[ID NOTA]]="","",INDEX([2]!NOTA[NO.NOTA],MATCH(ATALI[[#This Row],[ID NOTA]],[2]!NOTA[ID],0)))</f>
        <v/>
      </c>
      <c r="J54" t="str">
        <f ca="1">IF(ATALI[[#This Row],[//]]="","",INDEX([4]!db[NB PAJAK],ATALI[[#This Row],[stt]]-1))</f>
        <v>ISI CUTTER 18 MM JOYKO L-150 AM (BESAR)</v>
      </c>
      <c r="K54" s="1" t="str">
        <f ca="1">IF(ATALI[[#This Row],[//]]="","",IF(INDEX([2]!NOTA[C],ATALI[[#This Row],[//]]-2)="","",INDEX([2]!NOTA[C],ATALI[[#This Row],[//]]-2)))</f>
        <v/>
      </c>
      <c r="L54" s="1">
        <f ca="1">IF(ATALI[[#This Row],[//]]="","",INDEX([2]!NOTA[QTY],ATALI[[#This Row],[//]]-2))</f>
        <v>24</v>
      </c>
      <c r="M54" s="1" t="str">
        <f ca="1">IF(ATALI[[#This Row],[//]]="","",INDEX([2]!NOTA[STN],ATALI[[#This Row],[//]]-2))</f>
        <v>DZ</v>
      </c>
      <c r="N54" s="5">
        <f ca="1">IF(ATALI[[#This Row],[//]]="","",INDEX([2]!NOTA[HARGA SATUAN],ATALI[[#This Row],[//]]-2))</f>
        <v>0</v>
      </c>
      <c r="O54" s="7">
        <f ca="1">IF(ATALI[[#This Row],[//]]="","",INDEX([2]!NOTA[DISC 1],ATALI[[#This Row],[//]]-2))</f>
        <v>0</v>
      </c>
      <c r="P54" s="7">
        <f ca="1">IF(ATALI[[#This Row],[//]]="","",INDEX([2]!NOTA[DISC 2],ATALI[[#This Row],[//]]-2))</f>
        <v>0</v>
      </c>
      <c r="Q54" s="5" t="str">
        <f ca="1">IF(ATALI[[#This Row],[//]]="","",INDEX([2]!NOTA[TOTAL],ATALI[[#This Row],[//]]-2))</f>
        <v/>
      </c>
      <c r="R5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94392</v>
      </c>
      <c r="S5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6008940</v>
      </c>
      <c r="T5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CUTTER L-500 JK</v>
      </c>
      <c r="U54" t="str">
        <f ca="1">IF(ATALI[[#This Row],[//]]="","",INDEX([2]!NOTA[NAMA BARANG],ATALI[[#This Row],[//]]-2))</f>
        <v>CUTTER BLADE L-150 AM (L) JK</v>
      </c>
      <c r="V54" t="str">
        <f ca="1">LOWER(SUBSTITUTE(SUBSTITUTE(SUBSTITUTE(SUBSTITUTE(SUBSTITUTE(SUBSTITUTE(SUBSTITUTE(ATALI[[#This Row],[N.B.nota]]," ",""),"-",""),"(",""),")",""),".",""),",",""),"/",""))</f>
        <v>cutterbladel150amljk</v>
      </c>
      <c r="W54">
        <f ca="1">IF(ATALI[[#This Row],[concat]]="","",MATCH(ATALI[[#This Row],[concat]],[4]!db[NB NOTA_C],0)+1)</f>
        <v>549</v>
      </c>
      <c r="X54" t="str">
        <f ca="1">IF(ATALI[[#This Row],[N.B.nota]]="","",ADDRESS(ROW(ATALI[QB]),COLUMN(ATALI[QB]))&amp;":"&amp;ADDRESS(ROW(),COLUMN(ATALI[QB])))</f>
        <v>$D$3:$D$54</v>
      </c>
      <c r="Y54" s="13" t="str">
        <f ca="1">IF(ATALI[[#This Row],[//]]="","",HYPERLINK("[../DB.xlsx]DB!e"&amp;MATCH(ATALI[[#This Row],[concat]],[4]!db[NB NOTA_C],0)+1,"&gt;"))</f>
        <v>&gt;</v>
      </c>
    </row>
    <row r="55" spans="1:25" x14ac:dyDescent="0.25">
      <c r="A55" s="4"/>
      <c r="B55" s="1" t="str">
        <f>IF(ATALI[[#This Row],[N_ID]]="","",INDEX(Table1[ID],MATCH(ATALI[[#This Row],[N_ID]],Table1[N_ID],0)))</f>
        <v/>
      </c>
      <c r="C55" s="1" t="str">
        <f>IF(ATALI[[#This Row],[ID NOTA]]="","",HYPERLINK("[NOTA_.xlsx]NOTA!e"&amp;INDEX([2]!PAJAK[//],MATCH(ATALI[[#This Row],[ID NOTA]],[2]!PAJAK[ID],0)),"&gt;") )</f>
        <v/>
      </c>
      <c r="D55" s="1" t="str">
        <f>IF(ATALI[[#This Row],[ID NOTA]]="","",INDEX(Table1[QB],MATCH(ATALI[[#This Row],[ID NOTA]],Table1[ID],0)))</f>
        <v/>
      </c>
      <c r="E5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" s="1"/>
      <c r="G55" s="3" t="str">
        <f>IF(ATALI[[#This Row],[ID NOTA]]="","",INDEX([2]!NOTA[TGL_H],MATCH(ATALI[[#This Row],[ID NOTA]],[2]!NOTA[ID],0)))</f>
        <v/>
      </c>
      <c r="H55" s="3" t="str">
        <f>IF(ATALI[[#This Row],[ID NOTA]]="","",INDEX([2]!NOTA[TGL.NOTA],MATCH(ATALI[[#This Row],[ID NOTA]],[2]!NOTA[ID],0)))</f>
        <v/>
      </c>
      <c r="I55" t="str">
        <f>IF(ATALI[[#This Row],[ID NOTA]]="","",INDEX([2]!NOTA[NO.NOTA],MATCH(ATALI[[#This Row],[ID NOTA]],[2]!NOTA[ID],0)))</f>
        <v/>
      </c>
      <c r="J55" t="str">
        <f ca="1">IF(ATALI[[#This Row],[//]]="","",INDEX([4]!db[NB PAJAK],ATALI[[#This Row],[stt]]-1))</f>
        <v/>
      </c>
      <c r="K55" s="1" t="str">
        <f ca="1">IF(ATALI[[#This Row],[//]]="","",IF(INDEX([2]!NOTA[C],ATALI[[#This Row],[//]]-2)="","",INDEX([2]!NOTA[C],ATALI[[#This Row],[//]]-2)))</f>
        <v/>
      </c>
      <c r="L55" s="1" t="str">
        <f ca="1">IF(ATALI[[#This Row],[//]]="","",INDEX([2]!NOTA[QTY],ATALI[[#This Row],[//]]-2))</f>
        <v/>
      </c>
      <c r="M55" s="1" t="str">
        <f ca="1">IF(ATALI[[#This Row],[//]]="","",INDEX([2]!NOTA[STN],ATALI[[#This Row],[//]]-2))</f>
        <v/>
      </c>
      <c r="N55" s="5" t="str">
        <f ca="1">IF(ATALI[[#This Row],[//]]="","",INDEX([2]!NOTA[HARGA SATUAN],ATALI[[#This Row],[//]]-2))</f>
        <v/>
      </c>
      <c r="O55" s="7" t="str">
        <f ca="1">IF(ATALI[[#This Row],[//]]="","",INDEX([2]!NOTA[DISC 1],ATALI[[#This Row],[//]]-2))</f>
        <v/>
      </c>
      <c r="P55" s="7" t="str">
        <f ca="1">IF(ATALI[[#This Row],[//]]="","",INDEX([2]!NOTA[DISC 2],ATALI[[#This Row],[//]]-2))</f>
        <v/>
      </c>
      <c r="Q55" s="5" t="str">
        <f ca="1">IF(ATALI[[#This Row],[//]]="","",INDEX([2]!NOTA[TOTAL],ATALI[[#This Row],[//]]-2))</f>
        <v/>
      </c>
      <c r="R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t="str">
        <f ca="1">IF(ATALI[[#This Row],[//]]="","",INDEX([2]!NOTA[NAMA BARANG],ATALI[[#This Row],[//]]-2))</f>
        <v/>
      </c>
      <c r="V55" t="str">
        <f ca="1">LOWER(SUBSTITUTE(SUBSTITUTE(SUBSTITUTE(SUBSTITUTE(SUBSTITUTE(SUBSTITUTE(SUBSTITUTE(ATALI[[#This Row],[N.B.nota]]," ",""),"-",""),"(",""),")",""),".",""),",",""),"/",""))</f>
        <v/>
      </c>
      <c r="W55" t="str">
        <f ca="1">IF(ATALI[[#This Row],[concat]]="","",MATCH(ATALI[[#This Row],[concat]],[4]!db[NB NOTA_C],0)+1)</f>
        <v/>
      </c>
      <c r="X55" t="str">
        <f ca="1">IF(ATALI[[#This Row],[N.B.nota]]="","",ADDRESS(ROW(ATALI[QB]),COLUMN(ATALI[QB]))&amp;":"&amp;ADDRESS(ROW(),COLUMN(ATALI[QB])))</f>
        <v/>
      </c>
      <c r="Y55" s="13" t="str">
        <f ca="1">IF(ATALI[[#This Row],[//]]="","",HYPERLINK("[../DB.xlsx]DB!e"&amp;MATCH(ATALI[[#This Row],[concat]],[4]!db[NB NOTA_C],0)+1,"&gt;"))</f>
        <v/>
      </c>
    </row>
    <row r="56" spans="1:25" x14ac:dyDescent="0.25">
      <c r="A56" s="4" t="s">
        <v>80</v>
      </c>
      <c r="B56" s="1">
        <f ca="1">IF(ATALI[[#This Row],[N_ID]]="","",INDEX(Table1[ID],MATCH(ATALI[[#This Row],[N_ID]],Table1[N_ID],0)))</f>
        <v>47</v>
      </c>
      <c r="C56" s="1" t="str">
        <f ca="1">IF(ATALI[[#This Row],[ID NOTA]]="","",HYPERLINK("[NOTA_.xlsx]NOTA!e"&amp;INDEX([2]!PAJAK[//],MATCH(ATALI[[#This Row],[ID NOTA]],[2]!PAJAK[ID],0)),"&gt;") )</f>
        <v>&gt;</v>
      </c>
      <c r="D56" s="1">
        <f ca="1">IF(ATALI[[#This Row],[ID NOTA]]="","",INDEX(Table1[QB],MATCH(ATALI[[#This Row],[ID NOTA]],Table1[ID],0)))</f>
        <v>9</v>
      </c>
      <c r="E5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253</v>
      </c>
      <c r="F56" s="1">
        <v>9</v>
      </c>
      <c r="G56" s="3">
        <f ca="1">IF(ATALI[[#This Row],[ID NOTA]]="","",INDEX([2]!NOTA[TGL_H],MATCH(ATALI[[#This Row],[ID NOTA]],[2]!NOTA[ID],0)))</f>
        <v>44817</v>
      </c>
      <c r="H56" s="3">
        <f ca="1">IF(ATALI[[#This Row],[ID NOTA]]="","",INDEX([2]!NOTA[TGL.NOTA],MATCH(ATALI[[#This Row],[ID NOTA]],[2]!NOTA[ID],0)))</f>
        <v>44813</v>
      </c>
      <c r="I56" t="str">
        <f ca="1">IF(ATALI[[#This Row],[ID NOTA]]="","",INDEX([2]!NOTA[NO.NOTA],MATCH(ATALI[[#This Row],[ID NOTA]],[2]!NOTA[ID],0)))</f>
        <v>SA220914190</v>
      </c>
      <c r="J56" t="str">
        <f ca="1">IF(ATALI[[#This Row],[//]]="","",INDEX([4]!db[NB PAJAK],ATALI[[#This Row],[stt]]-1))</f>
        <v>STAPLER HEAVY DUTY JOYKO HD-12A/13</v>
      </c>
      <c r="K56" s="1">
        <f ca="1">IF(ATALI[[#This Row],[//]]="","",IF(INDEX([2]!NOTA[C],ATALI[[#This Row],[//]]-2)="","",INDEX([2]!NOTA[C],ATALI[[#This Row],[//]]-2)))</f>
        <v>2</v>
      </c>
      <c r="L56" s="1">
        <f ca="1">IF(ATALI[[#This Row],[//]]="","",INDEX([2]!NOTA[QTY],ATALI[[#This Row],[//]]-2))</f>
        <v>24</v>
      </c>
      <c r="M56" s="1" t="str">
        <f ca="1">IF(ATALI[[#This Row],[//]]="","",INDEX([2]!NOTA[STN],ATALI[[#This Row],[//]]-2))</f>
        <v>PCS</v>
      </c>
      <c r="N56" s="5">
        <f ca="1">IF(ATALI[[#This Row],[//]]="","",INDEX([2]!NOTA[HARGA SATUAN],ATALI[[#This Row],[//]]-2))</f>
        <v>97000</v>
      </c>
      <c r="O56" s="7">
        <f ca="1">IF(ATALI[[#This Row],[//]]="","",INDEX([2]!NOTA[DISC 1],ATALI[[#This Row],[//]]-2))</f>
        <v>0.125</v>
      </c>
      <c r="P56" s="7">
        <f ca="1">IF(ATALI[[#This Row],[//]]="","",INDEX([2]!NOTA[DISC 2],ATALI[[#This Row],[//]]-2))</f>
        <v>0.05</v>
      </c>
      <c r="Q56" s="5">
        <f ca="1">IF(ATALI[[#This Row],[//]]="","",INDEX([2]!NOTA[TOTAL],ATALI[[#This Row],[//]]-2))</f>
        <v>1935150</v>
      </c>
      <c r="R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t="str">
        <f ca="1">IF(ATALI[[#This Row],[//]]="","",INDEX([2]!NOTA[NAMA BARANG],ATALI[[#This Row],[//]]-2))</f>
        <v>HD STAPLER HD-12A/13 JK</v>
      </c>
      <c r="V56" t="str">
        <f ca="1">LOWER(SUBSTITUTE(SUBSTITUTE(SUBSTITUTE(SUBSTITUTE(SUBSTITUTE(SUBSTITUTE(SUBSTITUTE(ATALI[[#This Row],[N.B.nota]]," ",""),"-",""),"(",""),")",""),".",""),",",""),"/",""))</f>
        <v>hdstaplerhd12a13jk</v>
      </c>
      <c r="W56">
        <f ca="1">IF(ATALI[[#This Row],[concat]]="","",MATCH(ATALI[[#This Row],[concat]],[4]!db[NB NOTA_C],0)+1)</f>
        <v>934</v>
      </c>
      <c r="X56" t="str">
        <f ca="1">IF(ATALI[[#This Row],[N.B.nota]]="","",ADDRESS(ROW(ATALI[QB]),COLUMN(ATALI[QB]))&amp;":"&amp;ADDRESS(ROW(),COLUMN(ATALI[QB])))</f>
        <v>$D$3:$D$56</v>
      </c>
      <c r="Y56" s="13" t="str">
        <f ca="1">IF(ATALI[[#This Row],[//]]="","",HYPERLINK("[../DB.xlsx]DB!e"&amp;MATCH(ATALI[[#This Row],[concat]],[4]!db[NB NOTA_C],0)+1,"&gt;"))</f>
        <v>&gt;</v>
      </c>
    </row>
    <row r="57" spans="1:25" x14ac:dyDescent="0.25">
      <c r="A57" s="4"/>
      <c r="B57" s="1" t="str">
        <f>IF(ATALI[[#This Row],[N_ID]]="","",INDEX(Table1[ID],MATCH(ATALI[[#This Row],[N_ID]],Table1[N_ID],0)))</f>
        <v/>
      </c>
      <c r="C57" s="1" t="str">
        <f>IF(ATALI[[#This Row],[ID NOTA]]="","",HYPERLINK("[NOTA_.xlsx]NOTA!e"&amp;INDEX([2]!PAJAK[//],MATCH(ATALI[[#This Row],[ID NOTA]],[2]!PAJAK[ID],0)),"&gt;") )</f>
        <v/>
      </c>
      <c r="D57" s="1" t="str">
        <f>IF(ATALI[[#This Row],[ID NOTA]]="","",INDEX(Table1[QB],MATCH(ATALI[[#This Row],[ID NOTA]],Table1[ID],0)))</f>
        <v/>
      </c>
      <c r="E5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254</v>
      </c>
      <c r="F57" s="1"/>
      <c r="G57" s="3" t="str">
        <f>IF(ATALI[[#This Row],[ID NOTA]]="","",INDEX([2]!NOTA[TGL_H],MATCH(ATALI[[#This Row],[ID NOTA]],[2]!NOTA[ID],0)))</f>
        <v/>
      </c>
      <c r="H57" s="3" t="str">
        <f>IF(ATALI[[#This Row],[ID NOTA]]="","",INDEX([2]!NOTA[TGL.NOTA],MATCH(ATALI[[#This Row],[ID NOTA]],[2]!NOTA[ID],0)))</f>
        <v/>
      </c>
      <c r="I57" t="str">
        <f>IF(ATALI[[#This Row],[ID NOTA]]="","",INDEX([2]!NOTA[NO.NOTA],MATCH(ATALI[[#This Row],[ID NOTA]],[2]!NOTA[ID],0)))</f>
        <v/>
      </c>
      <c r="J57" t="str">
        <f ca="1">IF(ATALI[[#This Row],[//]]="","",INDEX([4]!db[NB PAJAK],ATALI[[#This Row],[stt]]-1))</f>
        <v>STAPLER HEAVY DUTY JOYKO HD-12N/13</v>
      </c>
      <c r="K57" s="1">
        <f ca="1">IF(ATALI[[#This Row],[//]]="","",IF(INDEX([2]!NOTA[C],ATALI[[#This Row],[//]]-2)="","",INDEX([2]!NOTA[C],ATALI[[#This Row],[//]]-2)))</f>
        <v>2</v>
      </c>
      <c r="L57" s="1">
        <f ca="1">IF(ATALI[[#This Row],[//]]="","",INDEX([2]!NOTA[QTY],ATALI[[#This Row],[//]]-2))</f>
        <v>24</v>
      </c>
      <c r="M57" s="1" t="str">
        <f ca="1">IF(ATALI[[#This Row],[//]]="","",INDEX([2]!NOTA[STN],ATALI[[#This Row],[//]]-2))</f>
        <v>PCS</v>
      </c>
      <c r="N57" s="5">
        <f ca="1">IF(ATALI[[#This Row],[//]]="","",INDEX([2]!NOTA[HARGA SATUAN],ATALI[[#This Row],[//]]-2))</f>
        <v>95000</v>
      </c>
      <c r="O57" s="7">
        <f ca="1">IF(ATALI[[#This Row],[//]]="","",INDEX([2]!NOTA[DISC 1],ATALI[[#This Row],[//]]-2))</f>
        <v>0.125</v>
      </c>
      <c r="P57" s="7">
        <f ca="1">IF(ATALI[[#This Row],[//]]="","",INDEX([2]!NOTA[DISC 2],ATALI[[#This Row],[//]]-2))</f>
        <v>0.05</v>
      </c>
      <c r="Q57" s="5">
        <f ca="1">IF(ATALI[[#This Row],[//]]="","",INDEX([2]!NOTA[TOTAL],ATALI[[#This Row],[//]]-2))</f>
        <v>1895250</v>
      </c>
      <c r="R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" t="str">
        <f ca="1">IF(ATALI[[#This Row],[//]]="","",INDEX([2]!NOTA[NAMA BARANG],ATALI[[#This Row],[//]]-2))</f>
        <v>HD STAPLER HD-12N/13 JK</v>
      </c>
      <c r="V57" t="str">
        <f ca="1">LOWER(SUBSTITUTE(SUBSTITUTE(SUBSTITUTE(SUBSTITUTE(SUBSTITUTE(SUBSTITUTE(SUBSTITUTE(ATALI[[#This Row],[N.B.nota]]," ",""),"-",""),"(",""),")",""),".",""),",",""),"/",""))</f>
        <v>hdstaplerhd12n13jk</v>
      </c>
      <c r="W57">
        <f ca="1">IF(ATALI[[#This Row],[concat]]="","",MATCH(ATALI[[#This Row],[concat]],[4]!db[NB NOTA_C],0)+1)</f>
        <v>935</v>
      </c>
      <c r="X57" t="str">
        <f ca="1">IF(ATALI[[#This Row],[N.B.nota]]="","",ADDRESS(ROW(ATALI[QB]),COLUMN(ATALI[QB]))&amp;":"&amp;ADDRESS(ROW(),COLUMN(ATALI[QB])))</f>
        <v>$D$3:$D$57</v>
      </c>
      <c r="Y57" s="13" t="str">
        <f ca="1">IF(ATALI[[#This Row],[//]]="","",HYPERLINK("[../DB.xlsx]DB!e"&amp;MATCH(ATALI[[#This Row],[concat]],[4]!db[NB NOTA_C],0)+1,"&gt;"))</f>
        <v>&gt;</v>
      </c>
    </row>
    <row r="58" spans="1:25" x14ac:dyDescent="0.25">
      <c r="A58" s="4"/>
      <c r="B58" s="1" t="str">
        <f>IF(ATALI[[#This Row],[N_ID]]="","",INDEX(Table1[ID],MATCH(ATALI[[#This Row],[N_ID]],Table1[N_ID],0)))</f>
        <v/>
      </c>
      <c r="C58" s="1" t="str">
        <f>IF(ATALI[[#This Row],[ID NOTA]]="","",HYPERLINK("[NOTA_.xlsx]NOTA!e"&amp;INDEX([2]!PAJAK[//],MATCH(ATALI[[#This Row],[ID NOTA]],[2]!PAJAK[ID],0)),"&gt;") )</f>
        <v/>
      </c>
      <c r="D58" s="1" t="str">
        <f>IF(ATALI[[#This Row],[ID NOTA]]="","",INDEX(Table1[QB],MATCH(ATALI[[#This Row],[ID NOTA]],Table1[ID],0)))</f>
        <v/>
      </c>
      <c r="E5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255</v>
      </c>
      <c r="F58" s="1"/>
      <c r="G58" s="3" t="str">
        <f>IF(ATALI[[#This Row],[ID NOTA]]="","",INDEX([2]!NOTA[TGL_H],MATCH(ATALI[[#This Row],[ID NOTA]],[2]!NOTA[ID],0)))</f>
        <v/>
      </c>
      <c r="H58" s="3" t="str">
        <f>IF(ATALI[[#This Row],[ID NOTA]]="","",INDEX([2]!NOTA[TGL.NOTA],MATCH(ATALI[[#This Row],[ID NOTA]],[2]!NOTA[ID],0)))</f>
        <v/>
      </c>
      <c r="I58" t="str">
        <f>IF(ATALI[[#This Row],[ID NOTA]]="","",INDEX([2]!NOTA[NO.NOTA],MATCH(ATALI[[#This Row],[ID NOTA]],[2]!NOTA[ID],0)))</f>
        <v/>
      </c>
      <c r="J58" t="str">
        <f ca="1">IF(ATALI[[#This Row],[//]]="","",INDEX([4]!db[NB PAJAK],ATALI[[#This Row],[stt]]-1))</f>
        <v>LEM LIQUID (CAIR) JOYKO GL-50</v>
      </c>
      <c r="K58" s="1">
        <f ca="1">IF(ATALI[[#This Row],[//]]="","",IF(INDEX([2]!NOTA[C],ATALI[[#This Row],[//]]-2)="","",INDEX([2]!NOTA[C],ATALI[[#This Row],[//]]-2)))</f>
        <v>1</v>
      </c>
      <c r="L58" s="1">
        <f ca="1">IF(ATALI[[#This Row],[//]]="","",INDEX([2]!NOTA[QTY],ATALI[[#This Row],[//]]-2))</f>
        <v>288</v>
      </c>
      <c r="M58" s="1" t="str">
        <f ca="1">IF(ATALI[[#This Row],[//]]="","",INDEX([2]!NOTA[STN],ATALI[[#This Row],[//]]-2))</f>
        <v>PCS</v>
      </c>
      <c r="N58" s="5">
        <f ca="1">IF(ATALI[[#This Row],[//]]="","",INDEX([2]!NOTA[HARGA SATUAN],ATALI[[#This Row],[//]]-2))</f>
        <v>2500</v>
      </c>
      <c r="O58" s="7">
        <f ca="1">IF(ATALI[[#This Row],[//]]="","",INDEX([2]!NOTA[DISC 1],ATALI[[#This Row],[//]]-2))</f>
        <v>0.125</v>
      </c>
      <c r="P58" s="7">
        <f ca="1">IF(ATALI[[#This Row],[//]]="","",INDEX([2]!NOTA[DISC 2],ATALI[[#This Row],[//]]-2))</f>
        <v>0.05</v>
      </c>
      <c r="Q58" s="5">
        <f ca="1">IF(ATALI[[#This Row],[//]]="","",INDEX([2]!NOTA[TOTAL],ATALI[[#This Row],[//]]-2))</f>
        <v>598500</v>
      </c>
      <c r="R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t="str">
        <f ca="1">IF(ATALI[[#This Row],[//]]="","",INDEX([2]!NOTA[NAMA BARANG],ATALI[[#This Row],[//]]-2))</f>
        <v>GLUE GL-50 JK</v>
      </c>
      <c r="V58" t="str">
        <f ca="1">LOWER(SUBSTITUTE(SUBSTITUTE(SUBSTITUTE(SUBSTITUTE(SUBSTITUTE(SUBSTITUTE(SUBSTITUTE(ATALI[[#This Row],[N.B.nota]]," ",""),"-",""),"(",""),")",""),".",""),",",""),"/",""))</f>
        <v>gluegl50jk</v>
      </c>
      <c r="W58">
        <f ca="1">IF(ATALI[[#This Row],[concat]]="","",MATCH(ATALI[[#This Row],[concat]],[4]!db[NB NOTA_C],0)+1)</f>
        <v>891</v>
      </c>
      <c r="X58" t="str">
        <f ca="1">IF(ATALI[[#This Row],[N.B.nota]]="","",ADDRESS(ROW(ATALI[QB]),COLUMN(ATALI[QB]))&amp;":"&amp;ADDRESS(ROW(),COLUMN(ATALI[QB])))</f>
        <v>$D$3:$D$58</v>
      </c>
      <c r="Y58" s="13" t="str">
        <f ca="1">IF(ATALI[[#This Row],[//]]="","",HYPERLINK("[../DB.xlsx]DB!e"&amp;MATCH(ATALI[[#This Row],[concat]],[4]!db[NB NOTA_C],0)+1,"&gt;"))</f>
        <v>&gt;</v>
      </c>
    </row>
    <row r="59" spans="1:25" x14ac:dyDescent="0.25">
      <c r="A59" s="4"/>
      <c r="B59" s="1" t="str">
        <f>IF(ATALI[[#This Row],[N_ID]]="","",INDEX(Table1[ID],MATCH(ATALI[[#This Row],[N_ID]],Table1[N_ID],0)))</f>
        <v/>
      </c>
      <c r="C59" s="1" t="str">
        <f>IF(ATALI[[#This Row],[ID NOTA]]="","",HYPERLINK("[NOTA_.xlsx]NOTA!e"&amp;INDEX([2]!PAJAK[//],MATCH(ATALI[[#This Row],[ID NOTA]],[2]!PAJAK[ID],0)),"&gt;") )</f>
        <v/>
      </c>
      <c r="D59" s="1" t="str">
        <f>IF(ATALI[[#This Row],[ID NOTA]]="","",INDEX(Table1[QB],MATCH(ATALI[[#This Row],[ID NOTA]],Table1[ID],0)))</f>
        <v/>
      </c>
      <c r="E5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256</v>
      </c>
      <c r="F59" s="1"/>
      <c r="G59" s="3" t="str">
        <f>IF(ATALI[[#This Row],[ID NOTA]]="","",INDEX([2]!NOTA[TGL_H],MATCH(ATALI[[#This Row],[ID NOTA]],[2]!NOTA[ID],0)))</f>
        <v/>
      </c>
      <c r="H59" s="3" t="str">
        <f>IF(ATALI[[#This Row],[ID NOTA]]="","",INDEX([2]!NOTA[TGL.NOTA],MATCH(ATALI[[#This Row],[ID NOTA]],[2]!NOTA[ID],0)))</f>
        <v/>
      </c>
      <c r="I59" t="str">
        <f>IF(ATALI[[#This Row],[ID NOTA]]="","",INDEX([2]!NOTA[NO.NOTA],MATCH(ATALI[[#This Row],[ID NOTA]],[2]!NOTA[ID],0)))</f>
        <v/>
      </c>
      <c r="J59" t="str">
        <f ca="1">IF(ATALI[[#This Row],[//]]="","",INDEX([4]!db[NB PAJAK],ATALI[[#This Row],[stt]]-1))</f>
        <v>STIP / PENGHAPUS JOYKO 526-B40P PUTIH</v>
      </c>
      <c r="K59" s="1">
        <f ca="1">IF(ATALI[[#This Row],[//]]="","",IF(INDEX([2]!NOTA[C],ATALI[[#This Row],[//]]-2)="","",INDEX([2]!NOTA[C],ATALI[[#This Row],[//]]-2)))</f>
        <v>2</v>
      </c>
      <c r="L59" s="1">
        <f ca="1">IF(ATALI[[#This Row],[//]]="","",INDEX([2]!NOTA[QTY],ATALI[[#This Row],[//]]-2))</f>
        <v>100</v>
      </c>
      <c r="M59" s="1" t="str">
        <f ca="1">IF(ATALI[[#This Row],[//]]="","",INDEX([2]!NOTA[STN],ATALI[[#This Row],[//]]-2))</f>
        <v>BOX</v>
      </c>
      <c r="N59" s="5">
        <f ca="1">IF(ATALI[[#This Row],[//]]="","",INDEX([2]!NOTA[HARGA SATUAN],ATALI[[#This Row],[//]]-2))</f>
        <v>28300</v>
      </c>
      <c r="O59" s="7">
        <f ca="1">IF(ATALI[[#This Row],[//]]="","",INDEX([2]!NOTA[DISC 1],ATALI[[#This Row],[//]]-2))</f>
        <v>0.125</v>
      </c>
      <c r="P59" s="7">
        <f ca="1">IF(ATALI[[#This Row],[//]]="","",INDEX([2]!NOTA[DISC 2],ATALI[[#This Row],[//]]-2))</f>
        <v>0.05</v>
      </c>
      <c r="Q59" s="5">
        <f ca="1">IF(ATALI[[#This Row],[//]]="","",INDEX([2]!NOTA[TOTAL],ATALI[[#This Row],[//]]-2))</f>
        <v>2352437.5</v>
      </c>
      <c r="R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t="str">
        <f ca="1">IF(ATALI[[#This Row],[//]]="","",INDEX([2]!NOTA[NAMA BARANG],ATALI[[#This Row],[//]]-2))</f>
        <v>ERASER 526-B40P JK</v>
      </c>
      <c r="V59" t="str">
        <f ca="1">LOWER(SUBSTITUTE(SUBSTITUTE(SUBSTITUTE(SUBSTITUTE(SUBSTITUTE(SUBSTITUTE(SUBSTITUTE(ATALI[[#This Row],[N.B.nota]]," ",""),"-",""),"(",""),")",""),".",""),",",""),"/",""))</f>
        <v>eraser526b40pjk</v>
      </c>
      <c r="W59">
        <f ca="1">IF(ATALI[[#This Row],[concat]]="","",MATCH(ATALI[[#This Row],[concat]],[4]!db[NB NOTA_C],0)+1)</f>
        <v>654</v>
      </c>
      <c r="X59" t="str">
        <f ca="1">IF(ATALI[[#This Row],[N.B.nota]]="","",ADDRESS(ROW(ATALI[QB]),COLUMN(ATALI[QB]))&amp;":"&amp;ADDRESS(ROW(),COLUMN(ATALI[QB])))</f>
        <v>$D$3:$D$59</v>
      </c>
      <c r="Y59" s="13" t="str">
        <f ca="1">IF(ATALI[[#This Row],[//]]="","",HYPERLINK("[../DB.xlsx]DB!e"&amp;MATCH(ATALI[[#This Row],[concat]],[4]!db[NB NOTA_C],0)+1,"&gt;"))</f>
        <v>&gt;</v>
      </c>
    </row>
    <row r="60" spans="1:25" x14ac:dyDescent="0.25">
      <c r="A60" s="4"/>
      <c r="B60" s="1" t="str">
        <f>IF(ATALI[[#This Row],[N_ID]]="","",INDEX(Table1[ID],MATCH(ATALI[[#This Row],[N_ID]],Table1[N_ID],0)))</f>
        <v/>
      </c>
      <c r="C60" s="1" t="str">
        <f>IF(ATALI[[#This Row],[ID NOTA]]="","",HYPERLINK("[NOTA_.xlsx]NOTA!e"&amp;INDEX([2]!PAJAK[//],MATCH(ATALI[[#This Row],[ID NOTA]],[2]!PAJAK[ID],0)),"&gt;") )</f>
        <v/>
      </c>
      <c r="D60" s="1" t="str">
        <f>IF(ATALI[[#This Row],[ID NOTA]]="","",INDEX(Table1[QB],MATCH(ATALI[[#This Row],[ID NOTA]],Table1[ID],0)))</f>
        <v/>
      </c>
      <c r="E6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257</v>
      </c>
      <c r="F60" s="1"/>
      <c r="G60" s="3" t="str">
        <f>IF(ATALI[[#This Row],[ID NOTA]]="","",INDEX([2]!NOTA[TGL_H],MATCH(ATALI[[#This Row],[ID NOTA]],[2]!NOTA[ID],0)))</f>
        <v/>
      </c>
      <c r="H60" s="3" t="str">
        <f>IF(ATALI[[#This Row],[ID NOTA]]="","",INDEX([2]!NOTA[TGL.NOTA],MATCH(ATALI[[#This Row],[ID NOTA]],[2]!NOTA[ID],0)))</f>
        <v/>
      </c>
      <c r="I60" t="str">
        <f>IF(ATALI[[#This Row],[ID NOTA]]="","",INDEX([2]!NOTA[NO.NOTA],MATCH(ATALI[[#This Row],[ID NOTA]],[2]!NOTA[ID],0)))</f>
        <v/>
      </c>
      <c r="J60" t="str">
        <f ca="1">IF(ATALI[[#This Row],[//]]="","",INDEX([4]!db[NB PAJAK],ATALI[[#This Row],[stt]]-1))</f>
        <v>STIP / PENGHAPUS JOYKO 526-B20 PUTIH</v>
      </c>
      <c r="K60" s="1">
        <f ca="1">IF(ATALI[[#This Row],[//]]="","",IF(INDEX([2]!NOTA[C],ATALI[[#This Row],[//]]-2)="","",INDEX([2]!NOTA[C],ATALI[[#This Row],[//]]-2)))</f>
        <v>1</v>
      </c>
      <c r="L60" s="1">
        <f ca="1">IF(ATALI[[#This Row],[//]]="","",INDEX([2]!NOTA[QTY],ATALI[[#This Row],[//]]-2))</f>
        <v>50</v>
      </c>
      <c r="M60" s="1" t="str">
        <f ca="1">IF(ATALI[[#This Row],[//]]="","",INDEX([2]!NOTA[STN],ATALI[[#This Row],[//]]-2))</f>
        <v>BOX</v>
      </c>
      <c r="N60" s="5">
        <f ca="1">IF(ATALI[[#This Row],[//]]="","",INDEX([2]!NOTA[HARGA SATUAN],ATALI[[#This Row],[//]]-2))</f>
        <v>34100</v>
      </c>
      <c r="O60" s="7">
        <f ca="1">IF(ATALI[[#This Row],[//]]="","",INDEX([2]!NOTA[DISC 1],ATALI[[#This Row],[//]]-2))</f>
        <v>0.125</v>
      </c>
      <c r="P60" s="7">
        <f ca="1">IF(ATALI[[#This Row],[//]]="","",INDEX([2]!NOTA[DISC 2],ATALI[[#This Row],[//]]-2))</f>
        <v>0.05</v>
      </c>
      <c r="Q60" s="5">
        <f ca="1">IF(ATALI[[#This Row],[//]]="","",INDEX([2]!NOTA[TOTAL],ATALI[[#This Row],[//]]-2))</f>
        <v>1417281.25</v>
      </c>
      <c r="R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" t="str">
        <f ca="1">IF(ATALI[[#This Row],[//]]="","",INDEX([2]!NOTA[NAMA BARANG],ATALI[[#This Row],[//]]-2))</f>
        <v>ERASER 526-B20 JK</v>
      </c>
      <c r="V60" t="str">
        <f ca="1">LOWER(SUBSTITUTE(SUBSTITUTE(SUBSTITUTE(SUBSTITUTE(SUBSTITUTE(SUBSTITUTE(SUBSTITUTE(ATALI[[#This Row],[N.B.nota]]," ",""),"-",""),"(",""),")",""),".",""),",",""),"/",""))</f>
        <v>eraser526b20jk</v>
      </c>
      <c r="W60">
        <f ca="1">IF(ATALI[[#This Row],[concat]]="","",MATCH(ATALI[[#This Row],[concat]],[4]!db[NB NOTA_C],0)+1)</f>
        <v>652</v>
      </c>
      <c r="X60" t="str">
        <f ca="1">IF(ATALI[[#This Row],[N.B.nota]]="","",ADDRESS(ROW(ATALI[QB]),COLUMN(ATALI[QB]))&amp;":"&amp;ADDRESS(ROW(),COLUMN(ATALI[QB])))</f>
        <v>$D$3:$D$60</v>
      </c>
      <c r="Y60" s="13" t="str">
        <f ca="1">IF(ATALI[[#This Row],[//]]="","",HYPERLINK("[../DB.xlsx]DB!e"&amp;MATCH(ATALI[[#This Row],[concat]],[4]!db[NB NOTA_C],0)+1,"&gt;"))</f>
        <v>&gt;</v>
      </c>
    </row>
    <row r="61" spans="1:25" x14ac:dyDescent="0.25">
      <c r="A61" s="4"/>
      <c r="B61" s="1" t="str">
        <f>IF(ATALI[[#This Row],[N_ID]]="","",INDEX(Table1[ID],MATCH(ATALI[[#This Row],[N_ID]],Table1[N_ID],0)))</f>
        <v/>
      </c>
      <c r="C61" s="1" t="str">
        <f>IF(ATALI[[#This Row],[ID NOTA]]="","",HYPERLINK("[NOTA_.xlsx]NOTA!e"&amp;INDEX([2]!PAJAK[//],MATCH(ATALI[[#This Row],[ID NOTA]],[2]!PAJAK[ID],0)),"&gt;") )</f>
        <v/>
      </c>
      <c r="D61" s="1" t="str">
        <f>IF(ATALI[[#This Row],[ID NOTA]]="","",INDEX(Table1[QB],MATCH(ATALI[[#This Row],[ID NOTA]],Table1[ID],0)))</f>
        <v/>
      </c>
      <c r="E6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258</v>
      </c>
      <c r="F61" s="1"/>
      <c r="G61" s="3" t="str">
        <f>IF(ATALI[[#This Row],[ID NOTA]]="","",INDEX([2]!NOTA[TGL_H],MATCH(ATALI[[#This Row],[ID NOTA]],[2]!NOTA[ID],0)))</f>
        <v/>
      </c>
      <c r="H61" s="3" t="str">
        <f>IF(ATALI[[#This Row],[ID NOTA]]="","",INDEX([2]!NOTA[TGL.NOTA],MATCH(ATALI[[#This Row],[ID NOTA]],[2]!NOTA[ID],0)))</f>
        <v/>
      </c>
      <c r="I61" t="str">
        <f>IF(ATALI[[#This Row],[ID NOTA]]="","",INDEX([2]!NOTA[NO.NOTA],MATCH(ATALI[[#This Row],[ID NOTA]],[2]!NOTA[ID],0)))</f>
        <v/>
      </c>
      <c r="J61" t="str">
        <f ca="1">IF(ATALI[[#This Row],[//]]="","",INDEX([4]!db[NB PAJAK],ATALI[[#This Row],[stt]]-1))</f>
        <v>LEM STICK JOYKO 8 GR GS-100 isi 24 pc</v>
      </c>
      <c r="K61" s="1">
        <f ca="1">IF(ATALI[[#This Row],[//]]="","",IF(INDEX([2]!NOTA[C],ATALI[[#This Row],[//]]-2)="","",INDEX([2]!NOTA[C],ATALI[[#This Row],[//]]-2)))</f>
        <v>1</v>
      </c>
      <c r="L61" s="1">
        <f ca="1">IF(ATALI[[#This Row],[//]]="","",INDEX([2]!NOTA[QTY],ATALI[[#This Row],[//]]-2))</f>
        <v>864</v>
      </c>
      <c r="M61" s="1" t="str">
        <f ca="1">IF(ATALI[[#This Row],[//]]="","",INDEX([2]!NOTA[STN],ATALI[[#This Row],[//]]-2))</f>
        <v>PCS</v>
      </c>
      <c r="N61" s="5">
        <f ca="1">IF(ATALI[[#This Row],[//]]="","",INDEX([2]!NOTA[HARGA SATUAN],ATALI[[#This Row],[//]]-2))</f>
        <v>2100</v>
      </c>
      <c r="O61" s="7">
        <f ca="1">IF(ATALI[[#This Row],[//]]="","",INDEX([2]!NOTA[DISC 1],ATALI[[#This Row],[//]]-2))</f>
        <v>0.125</v>
      </c>
      <c r="P61" s="7">
        <f ca="1">IF(ATALI[[#This Row],[//]]="","",INDEX([2]!NOTA[DISC 2],ATALI[[#This Row],[//]]-2))</f>
        <v>0.05</v>
      </c>
      <c r="Q61" s="5">
        <f ca="1">IF(ATALI[[#This Row],[//]]="","",INDEX([2]!NOTA[TOTAL],ATALI[[#This Row],[//]]-2))</f>
        <v>1508220</v>
      </c>
      <c r="R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t="str">
        <f ca="1">IF(ATALI[[#This Row],[//]]="","",INDEX([2]!NOTA[NAMA BARANG],ATALI[[#This Row],[//]]-2))</f>
        <v>GLUE STICK GS-100 (8 GRAM) JK</v>
      </c>
      <c r="V61" t="str">
        <f ca="1">LOWER(SUBSTITUTE(SUBSTITUTE(SUBSTITUTE(SUBSTITUTE(SUBSTITUTE(SUBSTITUTE(SUBSTITUTE(ATALI[[#This Row],[N.B.nota]]," ",""),"-",""),"(",""),")",""),".",""),",",""),"/",""))</f>
        <v>gluestickgs1008gramjk</v>
      </c>
      <c r="W61">
        <f ca="1">IF(ATALI[[#This Row],[concat]]="","",MATCH(ATALI[[#This Row],[concat]],[4]!db[NB NOTA_C],0)+1)</f>
        <v>897</v>
      </c>
      <c r="X61" t="str">
        <f ca="1">IF(ATALI[[#This Row],[N.B.nota]]="","",ADDRESS(ROW(ATALI[QB]),COLUMN(ATALI[QB]))&amp;":"&amp;ADDRESS(ROW(),COLUMN(ATALI[QB])))</f>
        <v>$D$3:$D$61</v>
      </c>
      <c r="Y61" s="13" t="str">
        <f ca="1">IF(ATALI[[#This Row],[//]]="","",HYPERLINK("[../DB.xlsx]DB!e"&amp;MATCH(ATALI[[#This Row],[concat]],[4]!db[NB NOTA_C],0)+1,"&gt;"))</f>
        <v>&gt;</v>
      </c>
    </row>
    <row r="62" spans="1:25" x14ac:dyDescent="0.25">
      <c r="A62" s="4"/>
      <c r="B62" s="1" t="str">
        <f>IF(ATALI[[#This Row],[N_ID]]="","",INDEX(Table1[ID],MATCH(ATALI[[#This Row],[N_ID]],Table1[N_ID],0)))</f>
        <v/>
      </c>
      <c r="C62" s="1" t="str">
        <f>IF(ATALI[[#This Row],[ID NOTA]]="","",HYPERLINK("[NOTA_.xlsx]NOTA!e"&amp;INDEX([2]!PAJAK[//],MATCH(ATALI[[#This Row],[ID NOTA]],[2]!PAJAK[ID],0)),"&gt;") )</f>
        <v/>
      </c>
      <c r="D62" s="1" t="str">
        <f>IF(ATALI[[#This Row],[ID NOTA]]="","",INDEX(Table1[QB],MATCH(ATALI[[#This Row],[ID NOTA]],Table1[ID],0)))</f>
        <v/>
      </c>
      <c r="E6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259</v>
      </c>
      <c r="F62" s="1"/>
      <c r="G62" s="3" t="str">
        <f>IF(ATALI[[#This Row],[ID NOTA]]="","",INDEX([2]!NOTA[TGL_H],MATCH(ATALI[[#This Row],[ID NOTA]],[2]!NOTA[ID],0)))</f>
        <v/>
      </c>
      <c r="H62" s="3" t="str">
        <f>IF(ATALI[[#This Row],[ID NOTA]]="","",INDEX([2]!NOTA[TGL.NOTA],MATCH(ATALI[[#This Row],[ID NOTA]],[2]!NOTA[ID],0)))</f>
        <v/>
      </c>
      <c r="I62" t="str">
        <f>IF(ATALI[[#This Row],[ID NOTA]]="","",INDEX([2]!NOTA[NO.NOTA],MATCH(ATALI[[#This Row],[ID NOTA]],[2]!NOTA[ID],0)))</f>
        <v/>
      </c>
      <c r="J62" t="str">
        <f ca="1">IF(ATALI[[#This Row],[//]]="","",INDEX([4]!db[NB PAJAK],ATALI[[#This Row],[stt]]-1))</f>
        <v>JANGKA (MATH SET) JOYKO MS-25</v>
      </c>
      <c r="K62" s="1">
        <f ca="1">IF(ATALI[[#This Row],[//]]="","",IF(INDEX([2]!NOTA[C],ATALI[[#This Row],[//]]-2)="","",INDEX([2]!NOTA[C],ATALI[[#This Row],[//]]-2)))</f>
        <v>1</v>
      </c>
      <c r="L62" s="1">
        <f ca="1">IF(ATALI[[#This Row],[//]]="","",INDEX([2]!NOTA[QTY],ATALI[[#This Row],[//]]-2))</f>
        <v>24</v>
      </c>
      <c r="M62" s="1" t="str">
        <f ca="1">IF(ATALI[[#This Row],[//]]="","",INDEX([2]!NOTA[STN],ATALI[[#This Row],[//]]-2))</f>
        <v>DZ</v>
      </c>
      <c r="N62" s="5">
        <f ca="1">IF(ATALI[[#This Row],[//]]="","",INDEX([2]!NOTA[HARGA SATUAN],ATALI[[#This Row],[//]]-2))</f>
        <v>88200</v>
      </c>
      <c r="O62" s="7">
        <f ca="1">IF(ATALI[[#This Row],[//]]="","",INDEX([2]!NOTA[DISC 1],ATALI[[#This Row],[//]]-2))</f>
        <v>0.125</v>
      </c>
      <c r="P62" s="7">
        <f ca="1">IF(ATALI[[#This Row],[//]]="","",INDEX([2]!NOTA[DISC 2],ATALI[[#This Row],[//]]-2))</f>
        <v>0.05</v>
      </c>
      <c r="Q62" s="5">
        <f ca="1">IF(ATALI[[#This Row],[//]]="","",INDEX([2]!NOTA[TOTAL],ATALI[[#This Row],[//]]-2))</f>
        <v>1759590</v>
      </c>
      <c r="R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t="str">
        <f ca="1">IF(ATALI[[#This Row],[//]]="","",INDEX([2]!NOTA[NAMA BARANG],ATALI[[#This Row],[//]]-2))</f>
        <v>MATH SET MS-25 JK</v>
      </c>
      <c r="V62" t="str">
        <f ca="1">LOWER(SUBSTITUTE(SUBSTITUTE(SUBSTITUTE(SUBSTITUTE(SUBSTITUTE(SUBSTITUTE(SUBSTITUTE(ATALI[[#This Row],[N.B.nota]]," ",""),"-",""),"(",""),")",""),".",""),",",""),"/",""))</f>
        <v>mathsetms25jk</v>
      </c>
      <c r="W62">
        <f ca="1">IF(ATALI[[#This Row],[concat]]="","",MATCH(ATALI[[#This Row],[concat]],[4]!db[NB NOTA_C],0)+1)</f>
        <v>1425</v>
      </c>
      <c r="X62" t="str">
        <f ca="1">IF(ATALI[[#This Row],[N.B.nota]]="","",ADDRESS(ROW(ATALI[QB]),COLUMN(ATALI[QB]))&amp;":"&amp;ADDRESS(ROW(),COLUMN(ATALI[QB])))</f>
        <v>$D$3:$D$62</v>
      </c>
      <c r="Y62" s="13" t="str">
        <f ca="1">IF(ATALI[[#This Row],[//]]="","",HYPERLINK("[../DB.xlsx]DB!e"&amp;MATCH(ATALI[[#This Row],[concat]],[4]!db[NB NOTA_C],0)+1,"&gt;"))</f>
        <v>&gt;</v>
      </c>
    </row>
    <row r="63" spans="1:25" x14ac:dyDescent="0.25">
      <c r="A63" s="4"/>
      <c r="B63" s="1" t="str">
        <f>IF(ATALI[[#This Row],[N_ID]]="","",INDEX(Table1[ID],MATCH(ATALI[[#This Row],[N_ID]],Table1[N_ID],0)))</f>
        <v/>
      </c>
      <c r="C63" s="1" t="str">
        <f>IF(ATALI[[#This Row],[ID NOTA]]="","",HYPERLINK("[NOTA_.xlsx]NOTA!e"&amp;INDEX([2]!PAJAK[//],MATCH(ATALI[[#This Row],[ID NOTA]],[2]!PAJAK[ID],0)),"&gt;") )</f>
        <v/>
      </c>
      <c r="D63" s="1" t="str">
        <f>IF(ATALI[[#This Row],[ID NOTA]]="","",INDEX(Table1[QB],MATCH(ATALI[[#This Row],[ID NOTA]],Table1[ID],0)))</f>
        <v/>
      </c>
      <c r="E6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260</v>
      </c>
      <c r="F63" s="1"/>
      <c r="G63" s="3" t="str">
        <f>IF(ATALI[[#This Row],[ID NOTA]]="","",INDEX([2]!NOTA[TGL_H],MATCH(ATALI[[#This Row],[ID NOTA]],[2]!NOTA[ID],0)))</f>
        <v/>
      </c>
      <c r="H63" s="3" t="str">
        <f>IF(ATALI[[#This Row],[ID NOTA]]="","",INDEX([2]!NOTA[TGL.NOTA],MATCH(ATALI[[#This Row],[ID NOTA]],[2]!NOTA[ID],0)))</f>
        <v/>
      </c>
      <c r="I63" t="str">
        <f>IF(ATALI[[#This Row],[ID NOTA]]="","",INDEX([2]!NOTA[NO.NOTA],MATCH(ATALI[[#This Row],[ID NOTA]],[2]!NOTA[ID],0)))</f>
        <v/>
      </c>
      <c r="J63" t="str">
        <f ca="1">IF(ATALI[[#This Row],[//]]="","",INDEX([4]!db[NB PAJAK],ATALI[[#This Row],[stt]]-1))</f>
        <v>BINDER CLIP JOYKO 105</v>
      </c>
      <c r="K63" s="1">
        <f ca="1">IF(ATALI[[#This Row],[//]]="","",IF(INDEX([2]!NOTA[C],ATALI[[#This Row],[//]]-2)="","",INDEX([2]!NOTA[C],ATALI[[#This Row],[//]]-2)))</f>
        <v>1</v>
      </c>
      <c r="L63" s="1">
        <f ca="1">IF(ATALI[[#This Row],[//]]="","",INDEX([2]!NOTA[QTY],ATALI[[#This Row],[//]]-2))</f>
        <v>60</v>
      </c>
      <c r="M63" s="1" t="str">
        <f ca="1">IF(ATALI[[#This Row],[//]]="","",INDEX([2]!NOTA[STN],ATALI[[#This Row],[//]]-2))</f>
        <v>GRS</v>
      </c>
      <c r="N63" s="5">
        <f ca="1">IF(ATALI[[#This Row],[//]]="","",INDEX([2]!NOTA[HARGA SATUAN],ATALI[[#This Row],[//]]-2))</f>
        <v>27600</v>
      </c>
      <c r="O63" s="7">
        <f ca="1">IF(ATALI[[#This Row],[//]]="","",INDEX([2]!NOTA[DISC 1],ATALI[[#This Row],[//]]-2))</f>
        <v>0.125</v>
      </c>
      <c r="P63" s="7">
        <f ca="1">IF(ATALI[[#This Row],[//]]="","",INDEX([2]!NOTA[DISC 2],ATALI[[#This Row],[//]]-2))</f>
        <v>0.05</v>
      </c>
      <c r="Q63" s="5">
        <f ca="1">IF(ATALI[[#This Row],[//]]="","",INDEX([2]!NOTA[TOTAL],ATALI[[#This Row],[//]]-2))</f>
        <v>1376550</v>
      </c>
      <c r="R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t="str">
        <f ca="1">IF(ATALI[[#This Row],[//]]="","",INDEX([2]!NOTA[NAMA BARANG],ATALI[[#This Row],[//]]-2))</f>
        <v>BINDER CLIP 105 JK</v>
      </c>
      <c r="V63" t="str">
        <f ca="1">LOWER(SUBSTITUTE(SUBSTITUTE(SUBSTITUTE(SUBSTITUTE(SUBSTITUTE(SUBSTITUTE(SUBSTITUTE(ATALI[[#This Row],[N.B.nota]]," ",""),"-",""),"(",""),")",""),".",""),",",""),"/",""))</f>
        <v>binderclip105jk</v>
      </c>
      <c r="W63">
        <f ca="1">IF(ATALI[[#This Row],[concat]]="","",MATCH(ATALI[[#This Row],[concat]],[4]!db[NB NOTA_C],0)+1)</f>
        <v>194</v>
      </c>
      <c r="X63" t="str">
        <f ca="1">IF(ATALI[[#This Row],[N.B.nota]]="","",ADDRESS(ROW(ATALI[QB]),COLUMN(ATALI[QB]))&amp;":"&amp;ADDRESS(ROW(),COLUMN(ATALI[QB])))</f>
        <v>$D$3:$D$63</v>
      </c>
      <c r="Y63" s="13" t="str">
        <f ca="1">IF(ATALI[[#This Row],[//]]="","",HYPERLINK("[../DB.xlsx]DB!e"&amp;MATCH(ATALI[[#This Row],[concat]],[4]!db[NB NOTA_C],0)+1,"&gt;"))</f>
        <v>&gt;</v>
      </c>
    </row>
    <row r="64" spans="1:25" x14ac:dyDescent="0.25">
      <c r="A64" s="4"/>
      <c r="B64" s="1" t="str">
        <f>IF(ATALI[[#This Row],[N_ID]]="","",INDEX(Table1[ID],MATCH(ATALI[[#This Row],[N_ID]],Table1[N_ID],0)))</f>
        <v/>
      </c>
      <c r="C64" s="1" t="str">
        <f>IF(ATALI[[#This Row],[ID NOTA]]="","",HYPERLINK("[NOTA_.xlsx]NOTA!e"&amp;INDEX([2]!PAJAK[//],MATCH(ATALI[[#This Row],[ID NOTA]],[2]!PAJAK[ID],0)),"&gt;") )</f>
        <v/>
      </c>
      <c r="D64" s="1" t="str">
        <f>IF(ATALI[[#This Row],[ID NOTA]]="","",INDEX(Table1[QB],MATCH(ATALI[[#This Row],[ID NOTA]],Table1[ID],0)))</f>
        <v/>
      </c>
      <c r="E6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261</v>
      </c>
      <c r="F64" s="1"/>
      <c r="G64" s="3" t="str">
        <f>IF(ATALI[[#This Row],[ID NOTA]]="","",INDEX([2]!NOTA[TGL_H],MATCH(ATALI[[#This Row],[ID NOTA]],[2]!NOTA[ID],0)))</f>
        <v/>
      </c>
      <c r="H64" s="3" t="str">
        <f>IF(ATALI[[#This Row],[ID NOTA]]="","",INDEX([2]!NOTA[TGL.NOTA],MATCH(ATALI[[#This Row],[ID NOTA]],[2]!NOTA[ID],0)))</f>
        <v/>
      </c>
      <c r="I64" t="str">
        <f>IF(ATALI[[#This Row],[ID NOTA]]="","",INDEX([2]!NOTA[NO.NOTA],MATCH(ATALI[[#This Row],[ID NOTA]],[2]!NOTA[ID],0)))</f>
        <v/>
      </c>
      <c r="J64" t="str">
        <f ca="1">IF(ATALI[[#This Row],[//]]="","",INDEX([4]!db[NB PAJAK],ATALI[[#This Row],[stt]]-1))</f>
        <v>GEL PEN JOYKO GP-265 Q-GEL HITAM</v>
      </c>
      <c r="K64" s="1" t="str">
        <f ca="1">IF(ATALI[[#This Row],[//]]="","",IF(INDEX([2]!NOTA[C],ATALI[[#This Row],[//]]-2)="","",INDEX([2]!NOTA[C],ATALI[[#This Row],[//]]-2)))</f>
        <v/>
      </c>
      <c r="L64" s="1">
        <f ca="1">IF(ATALI[[#This Row],[//]]="","",INDEX([2]!NOTA[QTY],ATALI[[#This Row],[//]]-2))</f>
        <v>2</v>
      </c>
      <c r="M64" s="1" t="str">
        <f ca="1">IF(ATALI[[#This Row],[//]]="","",INDEX([2]!NOTA[STN],ATALI[[#This Row],[//]]-2))</f>
        <v>DZ</v>
      </c>
      <c r="N64" s="5">
        <f ca="1">IF(ATALI[[#This Row],[//]]="","",INDEX([2]!NOTA[HARGA SATUAN],ATALI[[#This Row],[//]]-2))</f>
        <v>27600</v>
      </c>
      <c r="O64" s="7">
        <f ca="1">IF(ATALI[[#This Row],[//]]="","",INDEX([2]!NOTA[DISC 1],ATALI[[#This Row],[//]]-2))</f>
        <v>0.1</v>
      </c>
      <c r="P64" s="7">
        <f ca="1">IF(ATALI[[#This Row],[//]]="","",INDEX([2]!NOTA[DISC 2],ATALI[[#This Row],[//]]-2))</f>
        <v>0.05</v>
      </c>
      <c r="Q64" s="5">
        <f ca="1">IF(ATALI[[#This Row],[//]]="","",INDEX([2]!NOTA[TOTAL],ATALI[[#This Row],[//]]-2))</f>
        <v>47196</v>
      </c>
      <c r="R6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47196</v>
      </c>
      <c r="S6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12842978.75</v>
      </c>
      <c r="T6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 BINDER CLIP NO.105 S/D 300 JK</v>
      </c>
      <c r="U64" t="str">
        <f ca="1">IF(ATALI[[#This Row],[//]]="","",INDEX([2]!NOTA[NAMA BARANG],ATALI[[#This Row],[//]]-2))</f>
        <v>GEL PEN GP-265 Q GEL (BLACK) JK</v>
      </c>
      <c r="V64" t="str">
        <f ca="1">LOWER(SUBSTITUTE(SUBSTITUTE(SUBSTITUTE(SUBSTITUTE(SUBSTITUTE(SUBSTITUTE(SUBSTITUTE(ATALI[[#This Row],[N.B.nota]]," ",""),"-",""),"(",""),")",""),".",""),",",""),"/",""))</f>
        <v>gelpengp265qgelblackjk</v>
      </c>
      <c r="W64">
        <f ca="1">IF(ATALI[[#This Row],[concat]]="","",MATCH(ATALI[[#This Row],[concat]],[4]!db[NB NOTA_C],0)+1)</f>
        <v>705</v>
      </c>
      <c r="X64" t="str">
        <f ca="1">IF(ATALI[[#This Row],[N.B.nota]]="","",ADDRESS(ROW(ATALI[QB]),COLUMN(ATALI[QB]))&amp;":"&amp;ADDRESS(ROW(),COLUMN(ATALI[QB])))</f>
        <v>$D$3:$D$64</v>
      </c>
      <c r="Y64" s="13" t="str">
        <f ca="1">IF(ATALI[[#This Row],[//]]="","",HYPERLINK("[../DB.xlsx]DB!e"&amp;MATCH(ATALI[[#This Row],[concat]],[4]!db[NB NOTA_C],0)+1,"&gt;"))</f>
        <v>&gt;</v>
      </c>
    </row>
    <row r="65" spans="1:25" x14ac:dyDescent="0.25">
      <c r="A65" s="4"/>
      <c r="B65" s="1" t="str">
        <f>IF(ATALI[[#This Row],[N_ID]]="","",INDEX(Table1[ID],MATCH(ATALI[[#This Row],[N_ID]],Table1[N_ID],0)))</f>
        <v/>
      </c>
      <c r="C65" s="1" t="str">
        <f>IF(ATALI[[#This Row],[ID NOTA]]="","",HYPERLINK("[NOTA_.xlsx]NOTA!e"&amp;INDEX([2]!PAJAK[//],MATCH(ATALI[[#This Row],[ID NOTA]],[2]!PAJAK[ID],0)),"&gt;") )</f>
        <v/>
      </c>
      <c r="D65" s="1" t="str">
        <f>IF(ATALI[[#This Row],[ID NOTA]]="","",INDEX(Table1[QB],MATCH(ATALI[[#This Row],[ID NOTA]],Table1[ID],0)))</f>
        <v/>
      </c>
      <c r="E6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" s="1"/>
      <c r="G65" s="3" t="str">
        <f>IF(ATALI[[#This Row],[ID NOTA]]="","",INDEX([2]!NOTA[TGL_H],MATCH(ATALI[[#This Row],[ID NOTA]],[2]!NOTA[ID],0)))</f>
        <v/>
      </c>
      <c r="H65" s="3" t="str">
        <f>IF(ATALI[[#This Row],[ID NOTA]]="","",INDEX([2]!NOTA[TGL.NOTA],MATCH(ATALI[[#This Row],[ID NOTA]],[2]!NOTA[ID],0)))</f>
        <v/>
      </c>
      <c r="I65" t="str">
        <f>IF(ATALI[[#This Row],[ID NOTA]]="","",INDEX([2]!NOTA[NO.NOTA],MATCH(ATALI[[#This Row],[ID NOTA]],[2]!NOTA[ID],0)))</f>
        <v/>
      </c>
      <c r="J65" t="str">
        <f ca="1">IF(ATALI[[#This Row],[//]]="","",INDEX([4]!db[NB PAJAK],ATALI[[#This Row],[stt]]-1))</f>
        <v/>
      </c>
      <c r="K65" s="1" t="str">
        <f ca="1">IF(ATALI[[#This Row],[//]]="","",IF(INDEX([2]!NOTA[C],ATALI[[#This Row],[//]]-2)="","",INDEX([2]!NOTA[C],ATALI[[#This Row],[//]]-2)))</f>
        <v/>
      </c>
      <c r="L65" s="1" t="str">
        <f ca="1">IF(ATALI[[#This Row],[//]]="","",INDEX([2]!NOTA[QTY],ATALI[[#This Row],[//]]-2))</f>
        <v/>
      </c>
      <c r="M65" s="1" t="str">
        <f ca="1">IF(ATALI[[#This Row],[//]]="","",INDEX([2]!NOTA[STN],ATALI[[#This Row],[//]]-2))</f>
        <v/>
      </c>
      <c r="N65" s="5" t="str">
        <f ca="1">IF(ATALI[[#This Row],[//]]="","",INDEX([2]!NOTA[HARGA SATUAN],ATALI[[#This Row],[//]]-2))</f>
        <v/>
      </c>
      <c r="O65" s="7" t="str">
        <f ca="1">IF(ATALI[[#This Row],[//]]="","",INDEX([2]!NOTA[DISC 1],ATALI[[#This Row],[//]]-2))</f>
        <v/>
      </c>
      <c r="P65" s="7" t="str">
        <f ca="1">IF(ATALI[[#This Row],[//]]="","",INDEX([2]!NOTA[DISC 2],ATALI[[#This Row],[//]]-2))</f>
        <v/>
      </c>
      <c r="Q65" s="5" t="str">
        <f ca="1">IF(ATALI[[#This Row],[//]]="","",INDEX([2]!NOTA[TOTAL],ATALI[[#This Row],[//]]-2))</f>
        <v/>
      </c>
      <c r="R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t="str">
        <f ca="1">IF(ATALI[[#This Row],[//]]="","",INDEX([2]!NOTA[NAMA BARANG],ATALI[[#This Row],[//]]-2))</f>
        <v/>
      </c>
      <c r="V65" t="str">
        <f ca="1">LOWER(SUBSTITUTE(SUBSTITUTE(SUBSTITUTE(SUBSTITUTE(SUBSTITUTE(SUBSTITUTE(SUBSTITUTE(ATALI[[#This Row],[N.B.nota]]," ",""),"-",""),"(",""),")",""),".",""),",",""),"/",""))</f>
        <v/>
      </c>
      <c r="W65" t="str">
        <f ca="1">IF(ATALI[[#This Row],[concat]]="","",MATCH(ATALI[[#This Row],[concat]],[4]!db[NB NOTA_C],0)+1)</f>
        <v/>
      </c>
      <c r="X65" t="str">
        <f ca="1">IF(ATALI[[#This Row],[N.B.nota]]="","",ADDRESS(ROW(ATALI[QB]),COLUMN(ATALI[QB]))&amp;":"&amp;ADDRESS(ROW(),COLUMN(ATALI[QB])))</f>
        <v/>
      </c>
      <c r="Y65" s="13" t="str">
        <f ca="1">IF(ATALI[[#This Row],[//]]="","",HYPERLINK("[../DB.xlsx]DB!e"&amp;MATCH(ATALI[[#This Row],[concat]],[4]!db[NB NOTA_C],0)+1,"&gt;"))</f>
        <v/>
      </c>
    </row>
    <row r="66" spans="1:25" x14ac:dyDescent="0.25">
      <c r="A66" s="4" t="s">
        <v>84</v>
      </c>
      <c r="B66" s="1">
        <f ca="1">IF(ATALI[[#This Row],[N_ID]]="","",INDEX(Table1[ID],MATCH(ATALI[[#This Row],[N_ID]],Table1[N_ID],0)))</f>
        <v>66</v>
      </c>
      <c r="C66" s="1" t="str">
        <f ca="1">IF(ATALI[[#This Row],[ID NOTA]]="","",HYPERLINK("[NOTA_.xlsx]NOTA!e"&amp;INDEX([2]!PAJAK[//],MATCH(ATALI[[#This Row],[ID NOTA]],[2]!PAJAK[ID],0)),"&gt;") )</f>
        <v>&gt;</v>
      </c>
      <c r="D66" s="1">
        <f ca="1">IF(ATALI[[#This Row],[ID NOTA]]="","",INDEX(Table1[QB],MATCH(ATALI[[#This Row],[ID NOTA]],Table1[ID],0)))</f>
        <v>6</v>
      </c>
      <c r="E6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350</v>
      </c>
      <c r="F66" s="1">
        <v>10</v>
      </c>
      <c r="G66" s="3">
        <f ca="1">IF(ATALI[[#This Row],[ID NOTA]]="","",INDEX([2]!NOTA[TGL_H],MATCH(ATALI[[#This Row],[ID NOTA]],[2]!NOTA[ID],0)))</f>
        <v>44820</v>
      </c>
      <c r="H66" s="3">
        <f ca="1">IF(ATALI[[#This Row],[ID NOTA]]="","",INDEX([2]!NOTA[TGL.NOTA],MATCH(ATALI[[#This Row],[ID NOTA]],[2]!NOTA[ID],0)))</f>
        <v>44817</v>
      </c>
      <c r="I66" t="str">
        <f ca="1">IF(ATALI[[#This Row],[ID NOTA]]="","",INDEX([2]!NOTA[NO.NOTA],MATCH(ATALI[[#This Row],[ID NOTA]],[2]!NOTA[ID],0)))</f>
        <v>SA220914389</v>
      </c>
      <c r="J66" t="str">
        <f ca="1">IF(ATALI[[#This Row],[//]]="","",INDEX([4]!db[NB PAJAK],ATALI[[#This Row],[stt]]-1))</f>
        <v>CORRECTION TAPE JOYKO CT-507</v>
      </c>
      <c r="K66" s="1">
        <f ca="1">IF(ATALI[[#This Row],[//]]="","",IF(INDEX([2]!NOTA[C],ATALI[[#This Row],[//]]-2)="","",INDEX([2]!NOTA[C],ATALI[[#This Row],[//]]-2)))</f>
        <v>1</v>
      </c>
      <c r="L66" s="1">
        <f ca="1">IF(ATALI[[#This Row],[//]]="","",INDEX([2]!NOTA[QTY],ATALI[[#This Row],[//]]-2))</f>
        <v>720</v>
      </c>
      <c r="M66" s="1" t="str">
        <f ca="1">IF(ATALI[[#This Row],[//]]="","",INDEX([2]!NOTA[STN],ATALI[[#This Row],[//]]-2))</f>
        <v>PCS</v>
      </c>
      <c r="N66" s="5">
        <f ca="1">IF(ATALI[[#This Row],[//]]="","",INDEX([2]!NOTA[HARGA SATUAN],ATALI[[#This Row],[//]]-2))</f>
        <v>4600</v>
      </c>
      <c r="O66" s="7">
        <f ca="1">IF(ATALI[[#This Row],[//]]="","",INDEX([2]!NOTA[DISC 1],ATALI[[#This Row],[//]]-2))</f>
        <v>0.125</v>
      </c>
      <c r="P66" s="7">
        <f ca="1">IF(ATALI[[#This Row],[//]]="","",INDEX([2]!NOTA[DISC 2],ATALI[[#This Row],[//]]-2))</f>
        <v>0.05</v>
      </c>
      <c r="Q66" s="5">
        <f ca="1">IF(ATALI[[#This Row],[//]]="","",INDEX([2]!NOTA[TOTAL],ATALI[[#This Row],[//]]-2))</f>
        <v>2753100</v>
      </c>
      <c r="R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t="str">
        <f ca="1">IF(ATALI[[#This Row],[//]]="","",INDEX([2]!NOTA[NAMA BARANG],ATALI[[#This Row],[//]]-2))</f>
        <v>CORRECTION TAPE CT-507 JK</v>
      </c>
      <c r="V66" t="str">
        <f ca="1">LOWER(SUBSTITUTE(SUBSTITUTE(SUBSTITUTE(SUBSTITUTE(SUBSTITUTE(SUBSTITUTE(SUBSTITUTE(ATALI[[#This Row],[N.B.nota]]," ",""),"-",""),"(",""),")",""),".",""),",",""),"/",""))</f>
        <v>correctiontapect507jk</v>
      </c>
      <c r="W66">
        <f ca="1">IF(ATALI[[#This Row],[concat]]="","",MATCH(ATALI[[#This Row],[concat]],[4]!db[NB NOTA_C],0)+1)</f>
        <v>506</v>
      </c>
      <c r="X66" t="str">
        <f ca="1">IF(ATALI[[#This Row],[N.B.nota]]="","",ADDRESS(ROW(ATALI[QB]),COLUMN(ATALI[QB]))&amp;":"&amp;ADDRESS(ROW(),COLUMN(ATALI[QB])))</f>
        <v>$D$3:$D$66</v>
      </c>
      <c r="Y66" s="13" t="str">
        <f ca="1">IF(ATALI[[#This Row],[//]]="","",HYPERLINK("[../DB.xlsx]DB!e"&amp;MATCH(ATALI[[#This Row],[concat]],[4]!db[NB NOTA_C],0)+1,"&gt;"))</f>
        <v>&gt;</v>
      </c>
    </row>
    <row r="67" spans="1:25" x14ac:dyDescent="0.25">
      <c r="A67" s="4"/>
      <c r="B67" s="1" t="str">
        <f>IF(ATALI[[#This Row],[N_ID]]="","",INDEX(Table1[ID],MATCH(ATALI[[#This Row],[N_ID]],Table1[N_ID],0)))</f>
        <v/>
      </c>
      <c r="C67" s="1" t="str">
        <f>IF(ATALI[[#This Row],[ID NOTA]]="","",HYPERLINK("[NOTA_.xlsx]NOTA!e"&amp;INDEX([2]!PAJAK[//],MATCH(ATALI[[#This Row],[ID NOTA]],[2]!PAJAK[ID],0)),"&gt;") )</f>
        <v/>
      </c>
      <c r="D67" s="1" t="str">
        <f>IF(ATALI[[#This Row],[ID NOTA]]="","",INDEX(Table1[QB],MATCH(ATALI[[#This Row],[ID NOTA]],Table1[ID],0)))</f>
        <v/>
      </c>
      <c r="E6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351</v>
      </c>
      <c r="F67" s="1"/>
      <c r="G67" s="3" t="str">
        <f>IF(ATALI[[#This Row],[ID NOTA]]="","",INDEX([2]!NOTA[TGL_H],MATCH(ATALI[[#This Row],[ID NOTA]],[2]!NOTA[ID],0)))</f>
        <v/>
      </c>
      <c r="H67" s="3" t="str">
        <f>IF(ATALI[[#This Row],[ID NOTA]]="","",INDEX([2]!NOTA[TGL.NOTA],MATCH(ATALI[[#This Row],[ID NOTA]],[2]!NOTA[ID],0)))</f>
        <v/>
      </c>
      <c r="I67" t="str">
        <f>IF(ATALI[[#This Row],[ID NOTA]]="","",INDEX([2]!NOTA[NO.NOTA],MATCH(ATALI[[#This Row],[ID NOTA]],[2]!NOTA[ID],0)))</f>
        <v/>
      </c>
      <c r="J67" t="str">
        <f ca="1">IF(ATALI[[#This Row],[//]]="","",INDEX([4]!db[NB PAJAK],ATALI[[#This Row],[stt]]-1))</f>
        <v>MECHANICAL PENCIL 0.5 MM JOYKO MP-07</v>
      </c>
      <c r="K67" s="1">
        <f ca="1">IF(ATALI[[#This Row],[//]]="","",IF(INDEX([2]!NOTA[C],ATALI[[#This Row],[//]]-2)="","",INDEX([2]!NOTA[C],ATALI[[#This Row],[//]]-2)))</f>
        <v>1</v>
      </c>
      <c r="L67" s="1">
        <f ca="1">IF(ATALI[[#This Row],[//]]="","",INDEX([2]!NOTA[QTY],ATALI[[#This Row],[//]]-2))</f>
        <v>120</v>
      </c>
      <c r="M67" s="1" t="str">
        <f ca="1">IF(ATALI[[#This Row],[//]]="","",INDEX([2]!NOTA[STN],ATALI[[#This Row],[//]]-2))</f>
        <v>DZ</v>
      </c>
      <c r="N67" s="5">
        <f ca="1">IF(ATALI[[#This Row],[//]]="","",INDEX([2]!NOTA[HARGA SATUAN],ATALI[[#This Row],[//]]-2))</f>
        <v>30600</v>
      </c>
      <c r="O67" s="7">
        <f ca="1">IF(ATALI[[#This Row],[//]]="","",INDEX([2]!NOTA[DISC 1],ATALI[[#This Row],[//]]-2))</f>
        <v>0.125</v>
      </c>
      <c r="P67" s="7">
        <f ca="1">IF(ATALI[[#This Row],[//]]="","",INDEX([2]!NOTA[DISC 2],ATALI[[#This Row],[//]]-2))</f>
        <v>0.05</v>
      </c>
      <c r="Q67" s="5">
        <f ca="1">IF(ATALI[[#This Row],[//]]="","",INDEX([2]!NOTA[TOTAL],ATALI[[#This Row],[//]]-2))</f>
        <v>3052350</v>
      </c>
      <c r="R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t="str">
        <f ca="1">IF(ATALI[[#This Row],[//]]="","",INDEX([2]!NOTA[NAMA BARANG],ATALI[[#This Row],[//]]-2))</f>
        <v>MECH PENCIL MP-07 JK</v>
      </c>
      <c r="V67" t="str">
        <f ca="1">LOWER(SUBSTITUTE(SUBSTITUTE(SUBSTITUTE(SUBSTITUTE(SUBSTITUTE(SUBSTITUTE(SUBSTITUTE(ATALI[[#This Row],[N.B.nota]]," ",""),"-",""),"(",""),")",""),".",""),",",""),"/",""))</f>
        <v>mechpencilmp07jk</v>
      </c>
      <c r="W67">
        <f ca="1">IF(ATALI[[#This Row],[concat]]="","",MATCH(ATALI[[#This Row],[concat]],[4]!db[NB NOTA_C],0)+1)</f>
        <v>1432</v>
      </c>
      <c r="X67" t="str">
        <f ca="1">IF(ATALI[[#This Row],[N.B.nota]]="","",ADDRESS(ROW(ATALI[QB]),COLUMN(ATALI[QB]))&amp;":"&amp;ADDRESS(ROW(),COLUMN(ATALI[QB])))</f>
        <v>$D$3:$D$67</v>
      </c>
      <c r="Y67" s="13" t="str">
        <f ca="1">IF(ATALI[[#This Row],[//]]="","",HYPERLINK("[../DB.xlsx]DB!e"&amp;MATCH(ATALI[[#This Row],[concat]],[4]!db[NB NOTA_C],0)+1,"&gt;"))</f>
        <v>&gt;</v>
      </c>
    </row>
    <row r="68" spans="1:25" x14ac:dyDescent="0.25">
      <c r="A68" s="4"/>
      <c r="B68" s="1" t="str">
        <f>IF(ATALI[[#This Row],[N_ID]]="","",INDEX(Table1[ID],MATCH(ATALI[[#This Row],[N_ID]],Table1[N_ID],0)))</f>
        <v/>
      </c>
      <c r="C68" s="1" t="str">
        <f>IF(ATALI[[#This Row],[ID NOTA]]="","",HYPERLINK("[NOTA_.xlsx]NOTA!e"&amp;INDEX([2]!PAJAK[//],MATCH(ATALI[[#This Row],[ID NOTA]],[2]!PAJAK[ID],0)),"&gt;") )</f>
        <v/>
      </c>
      <c r="D68" s="1" t="str">
        <f>IF(ATALI[[#This Row],[ID NOTA]]="","",INDEX(Table1[QB],MATCH(ATALI[[#This Row],[ID NOTA]],Table1[ID],0)))</f>
        <v/>
      </c>
      <c r="E6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352</v>
      </c>
      <c r="F68" s="1"/>
      <c r="G68" s="3" t="str">
        <f>IF(ATALI[[#This Row],[ID NOTA]]="","",INDEX([2]!NOTA[TGL_H],MATCH(ATALI[[#This Row],[ID NOTA]],[2]!NOTA[ID],0)))</f>
        <v/>
      </c>
      <c r="H68" s="3" t="str">
        <f>IF(ATALI[[#This Row],[ID NOTA]]="","",INDEX([2]!NOTA[TGL.NOTA],MATCH(ATALI[[#This Row],[ID NOTA]],[2]!NOTA[ID],0)))</f>
        <v/>
      </c>
      <c r="I68" t="str">
        <f>IF(ATALI[[#This Row],[ID NOTA]]="","",INDEX([2]!NOTA[NO.NOTA],MATCH(ATALI[[#This Row],[ID NOTA]],[2]!NOTA[ID],0)))</f>
        <v/>
      </c>
      <c r="J68" t="str">
        <f ca="1">IF(ATALI[[#This Row],[//]]="","",INDEX([4]!db[NB PAJAK],ATALI[[#This Row],[stt]]-1))</f>
        <v>ISI PENSIL 2B 2.0 MM JOYKO PL-16</v>
      </c>
      <c r="K68" s="1">
        <f ca="1">IF(ATALI[[#This Row],[//]]="","",IF(INDEX([2]!NOTA[C],ATALI[[#This Row],[//]]-2)="","",INDEX([2]!NOTA[C],ATALI[[#This Row],[//]]-2)))</f>
        <v>1</v>
      </c>
      <c r="L68" s="1">
        <f ca="1">IF(ATALI[[#This Row],[//]]="","",INDEX([2]!NOTA[QTY],ATALI[[#This Row],[//]]-2))</f>
        <v>12</v>
      </c>
      <c r="M68" s="1" t="str">
        <f ca="1">IF(ATALI[[#This Row],[//]]="","",INDEX([2]!NOTA[STN],ATALI[[#This Row],[//]]-2))</f>
        <v>GRS</v>
      </c>
      <c r="N68" s="5">
        <f ca="1">IF(ATALI[[#This Row],[//]]="","",INDEX([2]!NOTA[HARGA SATUAN],ATALI[[#This Row],[//]]-2))</f>
        <v>183600</v>
      </c>
      <c r="O68" s="7">
        <f ca="1">IF(ATALI[[#This Row],[//]]="","",INDEX([2]!NOTA[DISC 1],ATALI[[#This Row],[//]]-2))</f>
        <v>0.125</v>
      </c>
      <c r="P68" s="7">
        <f ca="1">IF(ATALI[[#This Row],[//]]="","",INDEX([2]!NOTA[DISC 2],ATALI[[#This Row],[//]]-2))</f>
        <v>0.05</v>
      </c>
      <c r="Q68" s="5">
        <f ca="1">IF(ATALI[[#This Row],[//]]="","",INDEX([2]!NOTA[TOTAL],ATALI[[#This Row],[//]]-2))</f>
        <v>1831410</v>
      </c>
      <c r="R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t="str">
        <f ca="1">IF(ATALI[[#This Row],[//]]="","",INDEX([2]!NOTA[NAMA BARANG],ATALI[[#This Row],[//]]-2))</f>
        <v>PENCIL LEAD PL-16 (2.0) JK</v>
      </c>
      <c r="V68" t="str">
        <f ca="1">LOWER(SUBSTITUTE(SUBSTITUTE(SUBSTITUTE(SUBSTITUTE(SUBSTITUTE(SUBSTITUTE(SUBSTITUTE(ATALI[[#This Row],[N.B.nota]]," ",""),"-",""),"(",""),")",""),".",""),",",""),"/",""))</f>
        <v>pencilleadpl1620jk</v>
      </c>
      <c r="W68">
        <f ca="1">IF(ATALI[[#This Row],[concat]]="","",MATCH(ATALI[[#This Row],[concat]],[4]!db[NB NOTA_C],0)+1)</f>
        <v>1682</v>
      </c>
      <c r="X68" t="str">
        <f ca="1">IF(ATALI[[#This Row],[N.B.nota]]="","",ADDRESS(ROW(ATALI[QB]),COLUMN(ATALI[QB]))&amp;":"&amp;ADDRESS(ROW(),COLUMN(ATALI[QB])))</f>
        <v>$D$3:$D$68</v>
      </c>
      <c r="Y68" s="13" t="str">
        <f ca="1">IF(ATALI[[#This Row],[//]]="","",HYPERLINK("[../DB.xlsx]DB!e"&amp;MATCH(ATALI[[#This Row],[concat]],[4]!db[NB NOTA_C],0)+1,"&gt;"))</f>
        <v>&gt;</v>
      </c>
    </row>
    <row r="69" spans="1:25" x14ac:dyDescent="0.25">
      <c r="A69" s="4"/>
      <c r="B69" s="1" t="str">
        <f>IF(ATALI[[#This Row],[N_ID]]="","",INDEX(Table1[ID],MATCH(ATALI[[#This Row],[N_ID]],Table1[N_ID],0)))</f>
        <v/>
      </c>
      <c r="C69" s="1" t="str">
        <f>IF(ATALI[[#This Row],[ID NOTA]]="","",HYPERLINK("[NOTA_.xlsx]NOTA!e"&amp;INDEX([2]!PAJAK[//],MATCH(ATALI[[#This Row],[ID NOTA]],[2]!PAJAK[ID],0)),"&gt;") )</f>
        <v/>
      </c>
      <c r="D69" s="1" t="str">
        <f>IF(ATALI[[#This Row],[ID NOTA]]="","",INDEX(Table1[QB],MATCH(ATALI[[#This Row],[ID NOTA]],Table1[ID],0)))</f>
        <v/>
      </c>
      <c r="E6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353</v>
      </c>
      <c r="F69" s="1"/>
      <c r="G69" s="3" t="str">
        <f>IF(ATALI[[#This Row],[ID NOTA]]="","",INDEX([2]!NOTA[TGL_H],MATCH(ATALI[[#This Row],[ID NOTA]],[2]!NOTA[ID],0)))</f>
        <v/>
      </c>
      <c r="H69" s="3" t="str">
        <f>IF(ATALI[[#This Row],[ID NOTA]]="","",INDEX([2]!NOTA[TGL.NOTA],MATCH(ATALI[[#This Row],[ID NOTA]],[2]!NOTA[ID],0)))</f>
        <v/>
      </c>
      <c r="I69" t="str">
        <f>IF(ATALI[[#This Row],[ID NOTA]]="","",INDEX([2]!NOTA[NO.NOTA],MATCH(ATALI[[#This Row],[ID NOTA]],[2]!NOTA[ID],0)))</f>
        <v/>
      </c>
      <c r="J69" t="str">
        <f ca="1">IF(ATALI[[#This Row],[//]]="","",INDEX([4]!db[NB PAJAK],ATALI[[#This Row],[stt]]-1))</f>
        <v>ISI PENSIL 2B 2.0 MM JOYKO PL-10</v>
      </c>
      <c r="K69" s="1">
        <f ca="1">IF(ATALI[[#This Row],[//]]="","",IF(INDEX([2]!NOTA[C],ATALI[[#This Row],[//]]-2)="","",INDEX([2]!NOTA[C],ATALI[[#This Row],[//]]-2)))</f>
        <v>5</v>
      </c>
      <c r="L69" s="1">
        <f ca="1">IF(ATALI[[#This Row],[//]]="","",INDEX([2]!NOTA[QTY],ATALI[[#This Row],[//]]-2))</f>
        <v>720</v>
      </c>
      <c r="M69" s="1" t="str">
        <f ca="1">IF(ATALI[[#This Row],[//]]="","",INDEX([2]!NOTA[STN],ATALI[[#This Row],[//]]-2))</f>
        <v>DZ</v>
      </c>
      <c r="N69" s="5">
        <f ca="1">IF(ATALI[[#This Row],[//]]="","",INDEX([2]!NOTA[HARGA SATUAN],ATALI[[#This Row],[//]]-2))</f>
        <v>17100</v>
      </c>
      <c r="O69" s="7">
        <f ca="1">IF(ATALI[[#This Row],[//]]="","",INDEX([2]!NOTA[DISC 1],ATALI[[#This Row],[//]]-2))</f>
        <v>0.125</v>
      </c>
      <c r="P69" s="7">
        <f ca="1">IF(ATALI[[#This Row],[//]]="","",INDEX([2]!NOTA[DISC 2],ATALI[[#This Row],[//]]-2))</f>
        <v>0.05</v>
      </c>
      <c r="Q69" s="5">
        <f ca="1">IF(ATALI[[#This Row],[//]]="","",INDEX([2]!NOTA[TOTAL],ATALI[[#This Row],[//]]-2))</f>
        <v>10234350</v>
      </c>
      <c r="R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t="str">
        <f ca="1">IF(ATALI[[#This Row],[//]]="","",INDEX([2]!NOTA[NAMA BARANG],ATALI[[#This Row],[//]]-2))</f>
        <v>PENCIL LEAD PL-10 (2.0) 2B JK</v>
      </c>
      <c r="V69" t="str">
        <f ca="1">LOWER(SUBSTITUTE(SUBSTITUTE(SUBSTITUTE(SUBSTITUTE(SUBSTITUTE(SUBSTITUTE(SUBSTITUTE(ATALI[[#This Row],[N.B.nota]]," ",""),"-",""),"(",""),")",""),".",""),",",""),"/",""))</f>
        <v>pencilleadpl10202bjk</v>
      </c>
      <c r="W69">
        <f ca="1">IF(ATALI[[#This Row],[concat]]="","",MATCH(ATALI[[#This Row],[concat]],[4]!db[NB NOTA_C],0)+1)</f>
        <v>1680</v>
      </c>
      <c r="X69" t="str">
        <f ca="1">IF(ATALI[[#This Row],[N.B.nota]]="","",ADDRESS(ROW(ATALI[QB]),COLUMN(ATALI[QB]))&amp;":"&amp;ADDRESS(ROW(),COLUMN(ATALI[QB])))</f>
        <v>$D$3:$D$69</v>
      </c>
      <c r="Y69" s="13" t="str">
        <f ca="1">IF(ATALI[[#This Row],[//]]="","",HYPERLINK("[../DB.xlsx]DB!e"&amp;MATCH(ATALI[[#This Row],[concat]],[4]!db[NB NOTA_C],0)+1,"&gt;"))</f>
        <v>&gt;</v>
      </c>
    </row>
    <row r="70" spans="1:25" x14ac:dyDescent="0.25">
      <c r="A70" s="4"/>
      <c r="B70" s="1" t="str">
        <f>IF(ATALI[[#This Row],[N_ID]]="","",INDEX(Table1[ID],MATCH(ATALI[[#This Row],[N_ID]],Table1[N_ID],0)))</f>
        <v/>
      </c>
      <c r="C70" s="1" t="str">
        <f>IF(ATALI[[#This Row],[ID NOTA]]="","",HYPERLINK("[NOTA_.xlsx]NOTA!e"&amp;INDEX([2]!PAJAK[//],MATCH(ATALI[[#This Row],[ID NOTA]],[2]!PAJAK[ID],0)),"&gt;") )</f>
        <v/>
      </c>
      <c r="D70" s="1" t="str">
        <f>IF(ATALI[[#This Row],[ID NOTA]]="","",INDEX(Table1[QB],MATCH(ATALI[[#This Row],[ID NOTA]],Table1[ID],0)))</f>
        <v/>
      </c>
      <c r="E7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354</v>
      </c>
      <c r="F70" s="1"/>
      <c r="G70" s="3" t="str">
        <f>IF(ATALI[[#This Row],[ID NOTA]]="","",INDEX([2]!NOTA[TGL_H],MATCH(ATALI[[#This Row],[ID NOTA]],[2]!NOTA[ID],0)))</f>
        <v/>
      </c>
      <c r="H70" s="3" t="str">
        <f>IF(ATALI[[#This Row],[ID NOTA]]="","",INDEX([2]!NOTA[TGL.NOTA],MATCH(ATALI[[#This Row],[ID NOTA]],[2]!NOTA[ID],0)))</f>
        <v/>
      </c>
      <c r="I70" t="str">
        <f>IF(ATALI[[#This Row],[ID NOTA]]="","",INDEX([2]!NOTA[NO.NOTA],MATCH(ATALI[[#This Row],[ID NOTA]],[2]!NOTA[ID],0)))</f>
        <v/>
      </c>
      <c r="J70" t="str">
        <f ca="1">IF(ATALI[[#This Row],[//]]="","",INDEX([4]!db[NB PAJAK],ATALI[[#This Row],[stt]]-1))</f>
        <v>ISI PENSIL 2B 2.0 MM JOYKO PL-11</v>
      </c>
      <c r="K70" s="1">
        <f ca="1">IF(ATALI[[#This Row],[//]]="","",IF(INDEX([2]!NOTA[C],ATALI[[#This Row],[//]]-2)="","",INDEX([2]!NOTA[C],ATALI[[#This Row],[//]]-2)))</f>
        <v>9</v>
      </c>
      <c r="L70" s="1">
        <f ca="1">IF(ATALI[[#This Row],[//]]="","",INDEX([2]!NOTA[QTY],ATALI[[#This Row],[//]]-2))</f>
        <v>648</v>
      </c>
      <c r="M70" s="1" t="str">
        <f ca="1">IF(ATALI[[#This Row],[//]]="","",INDEX([2]!NOTA[STN],ATALI[[#This Row],[//]]-2))</f>
        <v>DZ</v>
      </c>
      <c r="N70" s="5">
        <f ca="1">IF(ATALI[[#This Row],[//]]="","",INDEX([2]!NOTA[HARGA SATUAN],ATALI[[#This Row],[//]]-2))</f>
        <v>34500</v>
      </c>
      <c r="O70" s="7">
        <f ca="1">IF(ATALI[[#This Row],[//]]="","",INDEX([2]!NOTA[DISC 1],ATALI[[#This Row],[//]]-2))</f>
        <v>0.125</v>
      </c>
      <c r="P70" s="7">
        <f ca="1">IF(ATALI[[#This Row],[//]]="","",INDEX([2]!NOTA[DISC 2],ATALI[[#This Row],[//]]-2))</f>
        <v>0.05</v>
      </c>
      <c r="Q70" s="5">
        <f ca="1">IF(ATALI[[#This Row],[//]]="","",INDEX([2]!NOTA[TOTAL],ATALI[[#This Row],[//]]-2))</f>
        <v>18583425</v>
      </c>
      <c r="R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t="str">
        <f ca="1">IF(ATALI[[#This Row],[//]]="","",INDEX([2]!NOTA[NAMA BARANG],ATALI[[#This Row],[//]]-2))</f>
        <v>PENCIL LEAD PL-11 (2.0) JK</v>
      </c>
      <c r="V70" t="str">
        <f ca="1">LOWER(SUBSTITUTE(SUBSTITUTE(SUBSTITUTE(SUBSTITUTE(SUBSTITUTE(SUBSTITUTE(SUBSTITUTE(ATALI[[#This Row],[N.B.nota]]," ",""),"-",""),"(",""),")",""),".",""),",",""),"/",""))</f>
        <v>pencilleadpl1120jk</v>
      </c>
      <c r="W70">
        <f ca="1">IF(ATALI[[#This Row],[concat]]="","",MATCH(ATALI[[#This Row],[concat]],[4]!db[NB NOTA_C],0)+1)</f>
        <v>1681</v>
      </c>
      <c r="X70" t="str">
        <f ca="1">IF(ATALI[[#This Row],[N.B.nota]]="","",ADDRESS(ROW(ATALI[QB]),COLUMN(ATALI[QB]))&amp;":"&amp;ADDRESS(ROW(),COLUMN(ATALI[QB])))</f>
        <v>$D$3:$D$70</v>
      </c>
      <c r="Y70" s="13" t="str">
        <f ca="1">IF(ATALI[[#This Row],[//]]="","",HYPERLINK("[../DB.xlsx]DB!e"&amp;MATCH(ATALI[[#This Row],[concat]],[4]!db[NB NOTA_C],0)+1,"&gt;"))</f>
        <v>&gt;</v>
      </c>
    </row>
    <row r="71" spans="1:25" x14ac:dyDescent="0.25">
      <c r="A71" s="4"/>
      <c r="B71" s="1" t="str">
        <f>IF(ATALI[[#This Row],[N_ID]]="","",INDEX(Table1[ID],MATCH(ATALI[[#This Row],[N_ID]],Table1[N_ID],0)))</f>
        <v/>
      </c>
      <c r="C71" s="1" t="str">
        <f>IF(ATALI[[#This Row],[ID NOTA]]="","",HYPERLINK("[NOTA_.xlsx]NOTA!e"&amp;INDEX([2]!PAJAK[//],MATCH(ATALI[[#This Row],[ID NOTA]],[2]!PAJAK[ID],0)),"&gt;") )</f>
        <v/>
      </c>
      <c r="D71" s="1" t="str">
        <f>IF(ATALI[[#This Row],[ID NOTA]]="","",INDEX(Table1[QB],MATCH(ATALI[[#This Row],[ID NOTA]],Table1[ID],0)))</f>
        <v/>
      </c>
      <c r="E7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355</v>
      </c>
      <c r="F71" s="1"/>
      <c r="G71" s="3" t="str">
        <f>IF(ATALI[[#This Row],[ID NOTA]]="","",INDEX([2]!NOTA[TGL_H],MATCH(ATALI[[#This Row],[ID NOTA]],[2]!NOTA[ID],0)))</f>
        <v/>
      </c>
      <c r="H71" s="3" t="str">
        <f>IF(ATALI[[#This Row],[ID NOTA]]="","",INDEX([2]!NOTA[TGL.NOTA],MATCH(ATALI[[#This Row],[ID NOTA]],[2]!NOTA[ID],0)))</f>
        <v/>
      </c>
      <c r="I71" t="str">
        <f>IF(ATALI[[#This Row],[ID NOTA]]="","",INDEX([2]!NOTA[NO.NOTA],MATCH(ATALI[[#This Row],[ID NOTA]],[2]!NOTA[ID],0)))</f>
        <v/>
      </c>
      <c r="J71" t="str">
        <f ca="1">IF(ATALI[[#This Row],[//]]="","",INDEX([4]!db[NB PAJAK],ATALI[[#This Row],[stt]]-1))</f>
        <v>GUNTING JOYKO SC-828</v>
      </c>
      <c r="K71" s="1">
        <f ca="1">IF(ATALI[[#This Row],[//]]="","",IF(INDEX([2]!NOTA[C],ATALI[[#This Row],[//]]-2)="","",INDEX([2]!NOTA[C],ATALI[[#This Row],[//]]-2)))</f>
        <v>10</v>
      </c>
      <c r="L71" s="1">
        <f ca="1">IF(ATALI[[#This Row],[//]]="","",INDEX([2]!NOTA[QTY],ATALI[[#This Row],[//]]-2))</f>
        <v>1440</v>
      </c>
      <c r="M71" s="1" t="str">
        <f ca="1">IF(ATALI[[#This Row],[//]]="","",INDEX([2]!NOTA[STN],ATALI[[#This Row],[//]]-2))</f>
        <v>PCS</v>
      </c>
      <c r="N71" s="5">
        <f ca="1">IF(ATALI[[#This Row],[//]]="","",INDEX([2]!NOTA[HARGA SATUAN],ATALI[[#This Row],[//]]-2))</f>
        <v>4100</v>
      </c>
      <c r="O71" s="7">
        <f ca="1">IF(ATALI[[#This Row],[//]]="","",INDEX([2]!NOTA[DISC 1],ATALI[[#This Row],[//]]-2))</f>
        <v>0.125</v>
      </c>
      <c r="P71" s="7">
        <f ca="1">IF(ATALI[[#This Row],[//]]="","",INDEX([2]!NOTA[DISC 2],ATALI[[#This Row],[//]]-2))</f>
        <v>0.05</v>
      </c>
      <c r="Q71" s="5">
        <f ca="1">IF(ATALI[[#This Row],[//]]="","",INDEX([2]!NOTA[TOTAL],ATALI[[#This Row],[//]]-2))</f>
        <v>4907700</v>
      </c>
      <c r="R7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7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41362335</v>
      </c>
      <c r="T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t="str">
        <f ca="1">IF(ATALI[[#This Row],[//]]="","",INDEX([2]!NOTA[NAMA BARANG],ATALI[[#This Row],[//]]-2))</f>
        <v>SCISSOR SC-828 JK</v>
      </c>
      <c r="V71" t="str">
        <f ca="1">LOWER(SUBSTITUTE(SUBSTITUTE(SUBSTITUTE(SUBSTITUTE(SUBSTITUTE(SUBSTITUTE(SUBSTITUTE(ATALI[[#This Row],[N.B.nota]]," ",""),"-",""),"(",""),")",""),".",""),",",""),"/",""))</f>
        <v>scissorsc828jk</v>
      </c>
      <c r="W71">
        <f ca="1">IF(ATALI[[#This Row],[concat]]="","",MATCH(ATALI[[#This Row],[concat]],[4]!db[NB NOTA_C],0)+1)</f>
        <v>1830</v>
      </c>
      <c r="X71" t="str">
        <f ca="1">IF(ATALI[[#This Row],[N.B.nota]]="","",ADDRESS(ROW(ATALI[QB]),COLUMN(ATALI[QB]))&amp;":"&amp;ADDRESS(ROW(),COLUMN(ATALI[QB])))</f>
        <v>$D$3:$D$71</v>
      </c>
      <c r="Y71" s="13" t="str">
        <f ca="1">IF(ATALI[[#This Row],[//]]="","",HYPERLINK("[../DB.xlsx]DB!e"&amp;MATCH(ATALI[[#This Row],[concat]],[4]!db[NB NOTA_C],0)+1,"&gt;"))</f>
        <v>&gt;</v>
      </c>
    </row>
    <row r="72" spans="1:25" x14ac:dyDescent="0.25">
      <c r="A72" s="4"/>
      <c r="B72" s="1" t="str">
        <f>IF(ATALI[[#This Row],[N_ID]]="","",INDEX(Table1[ID],MATCH(ATALI[[#This Row],[N_ID]],Table1[N_ID],0)))</f>
        <v/>
      </c>
      <c r="C72" s="1" t="str">
        <f>IF(ATALI[[#This Row],[ID NOTA]]="","",HYPERLINK("[NOTA_.xlsx]NOTA!e"&amp;INDEX([2]!PAJAK[//],MATCH(ATALI[[#This Row],[ID NOTA]],[2]!PAJAK[ID],0)),"&gt;") )</f>
        <v/>
      </c>
      <c r="D72" s="1" t="str">
        <f>IF(ATALI[[#This Row],[ID NOTA]]="","",INDEX(Table1[QB],MATCH(ATALI[[#This Row],[ID NOTA]],Table1[ID],0)))</f>
        <v/>
      </c>
      <c r="E7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" s="1"/>
      <c r="G72" s="3" t="str">
        <f>IF(ATALI[[#This Row],[ID NOTA]]="","",INDEX([2]!NOTA[TGL_H],MATCH(ATALI[[#This Row],[ID NOTA]],[2]!NOTA[ID],0)))</f>
        <v/>
      </c>
      <c r="H72" s="3" t="str">
        <f>IF(ATALI[[#This Row],[ID NOTA]]="","",INDEX([2]!NOTA[TGL.NOTA],MATCH(ATALI[[#This Row],[ID NOTA]],[2]!NOTA[ID],0)))</f>
        <v/>
      </c>
      <c r="I72" t="str">
        <f>IF(ATALI[[#This Row],[ID NOTA]]="","",INDEX([2]!NOTA[NO.NOTA],MATCH(ATALI[[#This Row],[ID NOTA]],[2]!NOTA[ID],0)))</f>
        <v/>
      </c>
      <c r="J72" t="str">
        <f ca="1">IF(ATALI[[#This Row],[//]]="","",INDEX([4]!db[NB PAJAK],ATALI[[#This Row],[stt]]-1))</f>
        <v/>
      </c>
      <c r="K72" s="1" t="str">
        <f ca="1">IF(ATALI[[#This Row],[//]]="","",IF(INDEX([2]!NOTA[C],ATALI[[#This Row],[//]]-2)="","",INDEX([2]!NOTA[C],ATALI[[#This Row],[//]]-2)))</f>
        <v/>
      </c>
      <c r="L72" s="1" t="str">
        <f ca="1">IF(ATALI[[#This Row],[//]]="","",INDEX([2]!NOTA[QTY],ATALI[[#This Row],[//]]-2))</f>
        <v/>
      </c>
      <c r="M72" s="1" t="str">
        <f ca="1">IF(ATALI[[#This Row],[//]]="","",INDEX([2]!NOTA[STN],ATALI[[#This Row],[//]]-2))</f>
        <v/>
      </c>
      <c r="N72" s="5" t="str">
        <f ca="1">IF(ATALI[[#This Row],[//]]="","",INDEX([2]!NOTA[HARGA SATUAN],ATALI[[#This Row],[//]]-2))</f>
        <v/>
      </c>
      <c r="O72" s="7" t="str">
        <f ca="1">IF(ATALI[[#This Row],[//]]="","",INDEX([2]!NOTA[DISC 1],ATALI[[#This Row],[//]]-2))</f>
        <v/>
      </c>
      <c r="P72" s="7" t="str">
        <f ca="1">IF(ATALI[[#This Row],[//]]="","",INDEX([2]!NOTA[DISC 2],ATALI[[#This Row],[//]]-2))</f>
        <v/>
      </c>
      <c r="Q72" s="5" t="str">
        <f ca="1">IF(ATALI[[#This Row],[//]]="","",INDEX([2]!NOTA[TOTAL],ATALI[[#This Row],[//]]-2))</f>
        <v/>
      </c>
      <c r="R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t="str">
        <f ca="1">IF(ATALI[[#This Row],[//]]="","",INDEX([2]!NOTA[NAMA BARANG],ATALI[[#This Row],[//]]-2))</f>
        <v/>
      </c>
      <c r="V72" t="str">
        <f ca="1">LOWER(SUBSTITUTE(SUBSTITUTE(SUBSTITUTE(SUBSTITUTE(SUBSTITUTE(SUBSTITUTE(SUBSTITUTE(ATALI[[#This Row],[N.B.nota]]," ",""),"-",""),"(",""),")",""),".",""),",",""),"/",""))</f>
        <v/>
      </c>
      <c r="W72" t="str">
        <f ca="1">IF(ATALI[[#This Row],[concat]]="","",MATCH(ATALI[[#This Row],[concat]],[4]!db[NB NOTA_C],0)+1)</f>
        <v/>
      </c>
      <c r="X72" t="str">
        <f ca="1">IF(ATALI[[#This Row],[N.B.nota]]="","",ADDRESS(ROW(ATALI[QB]),COLUMN(ATALI[QB]))&amp;":"&amp;ADDRESS(ROW(),COLUMN(ATALI[QB])))</f>
        <v/>
      </c>
      <c r="Y72" s="13" t="str">
        <f ca="1">IF(ATALI[[#This Row],[//]]="","",HYPERLINK("[../DB.xlsx]DB!e"&amp;MATCH(ATALI[[#This Row],[concat]],[4]!db[NB NOTA_C],0)+1,"&gt;"))</f>
        <v/>
      </c>
    </row>
    <row r="73" spans="1:25" x14ac:dyDescent="0.25">
      <c r="A73" s="4" t="s">
        <v>96</v>
      </c>
      <c r="B73" s="1">
        <f ca="1">IF(ATALI[[#This Row],[N_ID]]="","",INDEX(Table1[ID],MATCH(ATALI[[#This Row],[N_ID]],Table1[N_ID],0)))</f>
        <v>85</v>
      </c>
      <c r="C73" s="1" t="str">
        <f ca="1">IF(ATALI[[#This Row],[ID NOTA]]="","",HYPERLINK("[NOTA_.xlsx]NOTA!e"&amp;INDEX([2]!PAJAK[//],MATCH(ATALI[[#This Row],[ID NOTA]],[2]!PAJAK[ID],0)),"&gt;") )</f>
        <v>&gt;</v>
      </c>
      <c r="D73" s="1">
        <f ca="1">IF(ATALI[[#This Row],[ID NOTA]]="","",INDEX(Table1[QB],MATCH(ATALI[[#This Row],[ID NOTA]],Table1[ID],0)))</f>
        <v>11</v>
      </c>
      <c r="E7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471</v>
      </c>
      <c r="F73" s="1">
        <v>11</v>
      </c>
      <c r="G73" s="3">
        <f ca="1">IF(ATALI[[#This Row],[ID NOTA]]="","",INDEX([2]!NOTA[TGL_H],MATCH(ATALI[[#This Row],[ID NOTA]],[2]!NOTA[ID],0)))</f>
        <v>44825</v>
      </c>
      <c r="H73" s="3">
        <f ca="1">IF(ATALI[[#This Row],[ID NOTA]]="","",INDEX([2]!NOTA[TGL.NOTA],MATCH(ATALI[[#This Row],[ID NOTA]],[2]!NOTA[ID],0)))</f>
        <v>44821</v>
      </c>
      <c r="I73" t="str">
        <f ca="1">IF(ATALI[[#This Row],[ID NOTA]]="","",INDEX([2]!NOTA[NO.NOTA],MATCH(ATALI[[#This Row],[ID NOTA]],[2]!NOTA[ID],0)))</f>
        <v>SA220914680</v>
      </c>
      <c r="J73" t="str">
        <f ca="1">IF(ATALI[[#This Row],[//]]="","",INDEX([4]!db[NB PAJAK],ATALI[[#This Row],[stt]]-1))</f>
        <v>CUTTER 9 MM JOYKO A-300A AUTOLOCK (KECIL)</v>
      </c>
      <c r="K73" s="1">
        <f ca="1">IF(ATALI[[#This Row],[//]]="","",IF(INDEX([2]!NOTA[C],ATALI[[#This Row],[//]]-2)="","",INDEX([2]!NOTA[C],ATALI[[#This Row],[//]]-2)))</f>
        <v>1</v>
      </c>
      <c r="L73" s="1">
        <f ca="1">IF(ATALI[[#This Row],[//]]="","",INDEX([2]!NOTA[QTY],ATALI[[#This Row],[//]]-2))</f>
        <v>48</v>
      </c>
      <c r="M73" s="1" t="str">
        <f ca="1">IF(ATALI[[#This Row],[//]]="","",INDEX([2]!NOTA[STN],ATALI[[#This Row],[//]]-2))</f>
        <v>DZ</v>
      </c>
      <c r="N73" s="5">
        <f ca="1">IF(ATALI[[#This Row],[//]]="","",INDEX([2]!NOTA[HARGA SATUAN],ATALI[[#This Row],[//]]-2))</f>
        <v>55800</v>
      </c>
      <c r="O73" s="7">
        <f ca="1">IF(ATALI[[#This Row],[//]]="","",INDEX([2]!NOTA[DISC 1],ATALI[[#This Row],[//]]-2))</f>
        <v>0.125</v>
      </c>
      <c r="P73" s="7">
        <f ca="1">IF(ATALI[[#This Row],[//]]="","",INDEX([2]!NOTA[DISC 2],ATALI[[#This Row],[//]]-2))</f>
        <v>0.05</v>
      </c>
      <c r="Q73" s="5">
        <f ca="1">IF(ATALI[[#This Row],[//]]="","",INDEX([2]!NOTA[TOTAL],ATALI[[#This Row],[//]]-2))</f>
        <v>2226420</v>
      </c>
      <c r="R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t="str">
        <f ca="1">IF(ATALI[[#This Row],[//]]="","",INDEX([2]!NOTA[NAMA BARANG],ATALI[[#This Row],[//]]-2))</f>
        <v>CUTTER A-300A (AUTOLOCK) JK</v>
      </c>
      <c r="V73" t="str">
        <f ca="1">LOWER(SUBSTITUTE(SUBSTITUTE(SUBSTITUTE(SUBSTITUTE(SUBSTITUTE(SUBSTITUTE(SUBSTITUTE(ATALI[[#This Row],[N.B.nota]]," ",""),"-",""),"(",""),")",""),".",""),",",""),"/",""))</f>
        <v>cuttera300aautolockjk</v>
      </c>
      <c r="W73">
        <f ca="1">IF(ATALI[[#This Row],[concat]]="","",MATCH(ATALI[[#This Row],[concat]],[4]!db[NB NOTA_C],0)+1)</f>
        <v>546</v>
      </c>
      <c r="X73" t="str">
        <f ca="1">IF(ATALI[[#This Row],[N.B.nota]]="","",ADDRESS(ROW(ATALI[QB]),COLUMN(ATALI[QB]))&amp;":"&amp;ADDRESS(ROW(),COLUMN(ATALI[QB])))</f>
        <v>$D$3:$D$73</v>
      </c>
      <c r="Y73" s="13" t="str">
        <f ca="1">IF(ATALI[[#This Row],[//]]="","",HYPERLINK("[../DB.xlsx]DB!e"&amp;MATCH(ATALI[[#This Row],[concat]],[4]!db[NB NOTA_C],0)+1,"&gt;"))</f>
        <v>&gt;</v>
      </c>
    </row>
    <row r="74" spans="1:25" x14ac:dyDescent="0.25">
      <c r="A74" s="4"/>
      <c r="B74" s="1" t="str">
        <f>IF(ATALI[[#This Row],[N_ID]]="","",INDEX(Table1[ID],MATCH(ATALI[[#This Row],[N_ID]],Table1[N_ID],0)))</f>
        <v/>
      </c>
      <c r="C74" s="1" t="str">
        <f>IF(ATALI[[#This Row],[ID NOTA]]="","",HYPERLINK("[NOTA_.xlsx]NOTA!e"&amp;INDEX([2]!PAJAK[//],MATCH(ATALI[[#This Row],[ID NOTA]],[2]!PAJAK[ID],0)),"&gt;") )</f>
        <v/>
      </c>
      <c r="D74" s="1" t="str">
        <f>IF(ATALI[[#This Row],[ID NOTA]]="","",INDEX(Table1[QB],MATCH(ATALI[[#This Row],[ID NOTA]],Table1[ID],0)))</f>
        <v/>
      </c>
      <c r="E7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472</v>
      </c>
      <c r="F74" s="1"/>
      <c r="G74" s="3" t="str">
        <f>IF(ATALI[[#This Row],[ID NOTA]]="","",INDEX([2]!NOTA[TGL_H],MATCH(ATALI[[#This Row],[ID NOTA]],[2]!NOTA[ID],0)))</f>
        <v/>
      </c>
      <c r="H74" s="3" t="str">
        <f>IF(ATALI[[#This Row],[ID NOTA]]="","",INDEX([2]!NOTA[TGL.NOTA],MATCH(ATALI[[#This Row],[ID NOTA]],[2]!NOTA[ID],0)))</f>
        <v/>
      </c>
      <c r="I74" t="str">
        <f>IF(ATALI[[#This Row],[ID NOTA]]="","",INDEX([2]!NOTA[NO.NOTA],MATCH(ATALI[[#This Row],[ID NOTA]],[2]!NOTA[ID],0)))</f>
        <v/>
      </c>
      <c r="J74" t="str">
        <f ca="1">IF(ATALI[[#This Row],[//]]="","",INDEX([4]!db[NB PAJAK],ATALI[[#This Row],[stt]]-1))</f>
        <v>CUTTER 9 MM JOYKO K-200 (KECIL)</v>
      </c>
      <c r="K74" s="1">
        <f ca="1">IF(ATALI[[#This Row],[//]]="","",IF(INDEX([2]!NOTA[C],ATALI[[#This Row],[//]]-2)="","",INDEX([2]!NOTA[C],ATALI[[#This Row],[//]]-2)))</f>
        <v>1</v>
      </c>
      <c r="L74" s="1">
        <f ca="1">IF(ATALI[[#This Row],[//]]="","",INDEX([2]!NOTA[QTY],ATALI[[#This Row],[//]]-2))</f>
        <v>48</v>
      </c>
      <c r="M74" s="1" t="str">
        <f ca="1">IF(ATALI[[#This Row],[//]]="","",INDEX([2]!NOTA[STN],ATALI[[#This Row],[//]]-2))</f>
        <v>DZ</v>
      </c>
      <c r="N74" s="5">
        <f ca="1">IF(ATALI[[#This Row],[//]]="","",INDEX([2]!NOTA[HARGA SATUAN],ATALI[[#This Row],[//]]-2))</f>
        <v>51600</v>
      </c>
      <c r="O74" s="7">
        <f ca="1">IF(ATALI[[#This Row],[//]]="","",INDEX([2]!NOTA[DISC 1],ATALI[[#This Row],[//]]-2))</f>
        <v>0.125</v>
      </c>
      <c r="P74" s="7">
        <f ca="1">IF(ATALI[[#This Row],[//]]="","",INDEX([2]!NOTA[DISC 2],ATALI[[#This Row],[//]]-2))</f>
        <v>0.05</v>
      </c>
      <c r="Q74" s="5">
        <f ca="1">IF(ATALI[[#This Row],[//]]="","",INDEX([2]!NOTA[TOTAL],ATALI[[#This Row],[//]]-2))</f>
        <v>2058840</v>
      </c>
      <c r="R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t="str">
        <f ca="1">IF(ATALI[[#This Row],[//]]="","",INDEX([2]!NOTA[NAMA BARANG],ATALI[[#This Row],[//]]-2))</f>
        <v>CUTTER K-200 JK</v>
      </c>
      <c r="V74" t="str">
        <f ca="1">LOWER(SUBSTITUTE(SUBSTITUTE(SUBSTITUTE(SUBSTITUTE(SUBSTITUTE(SUBSTITUTE(SUBSTITUTE(ATALI[[#This Row],[N.B.nota]]," ",""),"-",""),"(",""),")",""),".",""),",",""),"/",""))</f>
        <v>cutterk200jk</v>
      </c>
      <c r="W74">
        <f ca="1">IF(ATALI[[#This Row],[concat]]="","",MATCH(ATALI[[#This Row],[concat]],[4]!db[NB NOTA_C],0)+1)</f>
        <v>554</v>
      </c>
      <c r="X74" t="str">
        <f ca="1">IF(ATALI[[#This Row],[N.B.nota]]="","",ADDRESS(ROW(ATALI[QB]),COLUMN(ATALI[QB]))&amp;":"&amp;ADDRESS(ROW(),COLUMN(ATALI[QB])))</f>
        <v>$D$3:$D$74</v>
      </c>
      <c r="Y74" s="13" t="str">
        <f ca="1">IF(ATALI[[#This Row],[//]]="","",HYPERLINK("[../DB.xlsx]DB!e"&amp;MATCH(ATALI[[#This Row],[concat]],[4]!db[NB NOTA_C],0)+1,"&gt;"))</f>
        <v>&gt;</v>
      </c>
    </row>
    <row r="75" spans="1:25" x14ac:dyDescent="0.25">
      <c r="A75" s="4"/>
      <c r="B75" s="1" t="str">
        <f>IF(ATALI[[#This Row],[N_ID]]="","",INDEX(Table1[ID],MATCH(ATALI[[#This Row],[N_ID]],Table1[N_ID],0)))</f>
        <v/>
      </c>
      <c r="C75" s="1" t="str">
        <f>IF(ATALI[[#This Row],[ID NOTA]]="","",HYPERLINK("[NOTA_.xlsx]NOTA!e"&amp;INDEX([2]!PAJAK[//],MATCH(ATALI[[#This Row],[ID NOTA]],[2]!PAJAK[ID],0)),"&gt;") )</f>
        <v/>
      </c>
      <c r="D75" s="1" t="str">
        <f>IF(ATALI[[#This Row],[ID NOTA]]="","",INDEX(Table1[QB],MATCH(ATALI[[#This Row],[ID NOTA]],Table1[ID],0)))</f>
        <v/>
      </c>
      <c r="E7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473</v>
      </c>
      <c r="F75" s="1"/>
      <c r="G75" s="3" t="str">
        <f>IF(ATALI[[#This Row],[ID NOTA]]="","",INDEX([2]!NOTA[TGL_H],MATCH(ATALI[[#This Row],[ID NOTA]],[2]!NOTA[ID],0)))</f>
        <v/>
      </c>
      <c r="H75" s="3" t="str">
        <f>IF(ATALI[[#This Row],[ID NOTA]]="","",INDEX([2]!NOTA[TGL.NOTA],MATCH(ATALI[[#This Row],[ID NOTA]],[2]!NOTA[ID],0)))</f>
        <v/>
      </c>
      <c r="I75" t="str">
        <f>IF(ATALI[[#This Row],[ID NOTA]]="","",INDEX([2]!NOTA[NO.NOTA],MATCH(ATALI[[#This Row],[ID NOTA]],[2]!NOTA[ID],0)))</f>
        <v/>
      </c>
      <c r="J75" t="str">
        <f ca="1">IF(ATALI[[#This Row],[//]]="","",INDEX([4]!db[NB PAJAK],ATALI[[#This Row],[stt]]-1))</f>
        <v>STAPLER HEAVY DUTY JOYKO HD-12N/24</v>
      </c>
      <c r="K75" s="1">
        <f ca="1">IF(ATALI[[#This Row],[//]]="","",IF(INDEX([2]!NOTA[C],ATALI[[#This Row],[//]]-2)="","",INDEX([2]!NOTA[C],ATALI[[#This Row],[//]]-2)))</f>
        <v>1</v>
      </c>
      <c r="L75" s="1">
        <f ca="1">IF(ATALI[[#This Row],[//]]="","",INDEX([2]!NOTA[QTY],ATALI[[#This Row],[//]]-2))</f>
        <v>6</v>
      </c>
      <c r="M75" s="1" t="str">
        <f ca="1">IF(ATALI[[#This Row],[//]]="","",INDEX([2]!NOTA[STN],ATALI[[#This Row],[//]]-2))</f>
        <v>PCS</v>
      </c>
      <c r="N75" s="5">
        <f ca="1">IF(ATALI[[#This Row],[//]]="","",INDEX([2]!NOTA[HARGA SATUAN],ATALI[[#This Row],[//]]-2))</f>
        <v>187000</v>
      </c>
      <c r="O75" s="7">
        <f ca="1">IF(ATALI[[#This Row],[//]]="","",INDEX([2]!NOTA[DISC 1],ATALI[[#This Row],[//]]-2))</f>
        <v>0.125</v>
      </c>
      <c r="P75" s="7">
        <f ca="1">IF(ATALI[[#This Row],[//]]="","",INDEX([2]!NOTA[DISC 2],ATALI[[#This Row],[//]]-2))</f>
        <v>0.05</v>
      </c>
      <c r="Q75" s="5">
        <f ca="1">IF(ATALI[[#This Row],[//]]="","",INDEX([2]!NOTA[TOTAL],ATALI[[#This Row],[//]]-2))</f>
        <v>932662.5</v>
      </c>
      <c r="R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t="str">
        <f ca="1">IF(ATALI[[#This Row],[//]]="","",INDEX([2]!NOTA[NAMA BARANG],ATALI[[#This Row],[//]]-2))</f>
        <v>STAPLER HD-12N/24 JK</v>
      </c>
      <c r="V75" t="str">
        <f ca="1">LOWER(SUBSTITUTE(SUBSTITUTE(SUBSTITUTE(SUBSTITUTE(SUBSTITUTE(SUBSTITUTE(SUBSTITUTE(ATALI[[#This Row],[N.B.nota]]," ",""),"-",""),"(",""),")",""),".",""),",",""),"/",""))</f>
        <v>staplerhd12n24jk</v>
      </c>
      <c r="W75">
        <f ca="1">IF(ATALI[[#This Row],[concat]]="","",MATCH(ATALI[[#This Row],[concat]],[4]!db[NB NOTA_C],0)+1)</f>
        <v>1891</v>
      </c>
      <c r="X75" t="str">
        <f ca="1">IF(ATALI[[#This Row],[N.B.nota]]="","",ADDRESS(ROW(ATALI[QB]),COLUMN(ATALI[QB]))&amp;":"&amp;ADDRESS(ROW(),COLUMN(ATALI[QB])))</f>
        <v>$D$3:$D$75</v>
      </c>
      <c r="Y75" s="13" t="str">
        <f ca="1">IF(ATALI[[#This Row],[//]]="","",HYPERLINK("[../DB.xlsx]DB!e"&amp;MATCH(ATALI[[#This Row],[concat]],[4]!db[NB NOTA_C],0)+1,"&gt;"))</f>
        <v>&gt;</v>
      </c>
    </row>
    <row r="76" spans="1:25" x14ac:dyDescent="0.25">
      <c r="A76" s="4"/>
      <c r="B76" s="1" t="str">
        <f>IF(ATALI[[#This Row],[N_ID]]="","",INDEX(Table1[ID],MATCH(ATALI[[#This Row],[N_ID]],Table1[N_ID],0)))</f>
        <v/>
      </c>
      <c r="C76" s="1" t="str">
        <f>IF(ATALI[[#This Row],[ID NOTA]]="","",HYPERLINK("[NOTA_.xlsx]NOTA!e"&amp;INDEX([2]!PAJAK[//],MATCH(ATALI[[#This Row],[ID NOTA]],[2]!PAJAK[ID],0)),"&gt;") )</f>
        <v/>
      </c>
      <c r="D76" s="1" t="str">
        <f>IF(ATALI[[#This Row],[ID NOTA]]="","",INDEX(Table1[QB],MATCH(ATALI[[#This Row],[ID NOTA]],Table1[ID],0)))</f>
        <v/>
      </c>
      <c r="E7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474</v>
      </c>
      <c r="F76" s="1"/>
      <c r="G76" s="3" t="str">
        <f>IF(ATALI[[#This Row],[ID NOTA]]="","",INDEX([2]!NOTA[TGL_H],MATCH(ATALI[[#This Row],[ID NOTA]],[2]!NOTA[ID],0)))</f>
        <v/>
      </c>
      <c r="H76" s="3" t="str">
        <f>IF(ATALI[[#This Row],[ID NOTA]]="","",INDEX([2]!NOTA[TGL.NOTA],MATCH(ATALI[[#This Row],[ID NOTA]],[2]!NOTA[ID],0)))</f>
        <v/>
      </c>
      <c r="I76" t="str">
        <f>IF(ATALI[[#This Row],[ID NOTA]]="","",INDEX([2]!NOTA[NO.NOTA],MATCH(ATALI[[#This Row],[ID NOTA]],[2]!NOTA[ID],0)))</f>
        <v/>
      </c>
      <c r="J76" t="str">
        <f ca="1">IF(ATALI[[#This Row],[//]]="","",INDEX([4]!db[NB PAJAK],ATALI[[#This Row],[stt]]-1))</f>
        <v>PENSIL WARNA JOYKO CP-12PB (PANJANG)</v>
      </c>
      <c r="K76" s="1">
        <f ca="1">IF(ATALI[[#This Row],[//]]="","",IF(INDEX([2]!NOTA[C],ATALI[[#This Row],[//]]-2)="","",INDEX([2]!NOTA[C],ATALI[[#This Row],[//]]-2)))</f>
        <v>4</v>
      </c>
      <c r="L76" s="1">
        <f ca="1">IF(ATALI[[#This Row],[//]]="","",INDEX([2]!NOTA[QTY],ATALI[[#This Row],[//]]-2))</f>
        <v>576</v>
      </c>
      <c r="M76" s="1" t="str">
        <f ca="1">IF(ATALI[[#This Row],[//]]="","",INDEX([2]!NOTA[STN],ATALI[[#This Row],[//]]-2))</f>
        <v>SET</v>
      </c>
      <c r="N76" s="5">
        <f ca="1">IF(ATALI[[#This Row],[//]]="","",INDEX([2]!NOTA[HARGA SATUAN],ATALI[[#This Row],[//]]-2))</f>
        <v>10600</v>
      </c>
      <c r="O76" s="7">
        <f ca="1">IF(ATALI[[#This Row],[//]]="","",INDEX([2]!NOTA[DISC 1],ATALI[[#This Row],[//]]-2))</f>
        <v>0.125</v>
      </c>
      <c r="P76" s="7">
        <f ca="1">IF(ATALI[[#This Row],[//]]="","",INDEX([2]!NOTA[DISC 2],ATALI[[#This Row],[//]]-2))</f>
        <v>0.05</v>
      </c>
      <c r="Q76" s="5">
        <f ca="1">IF(ATALI[[#This Row],[//]]="","",INDEX([2]!NOTA[TOTAL],ATALI[[#This Row],[//]]-2))</f>
        <v>5075280</v>
      </c>
      <c r="R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t="str">
        <f ca="1">IF(ATALI[[#This Row],[//]]="","",INDEX([2]!NOTA[NAMA BARANG],ATALI[[#This Row],[//]]-2))</f>
        <v>COLOR PENCIL CP-12 PB JK</v>
      </c>
      <c r="V76" t="str">
        <f ca="1">LOWER(SUBSTITUTE(SUBSTITUTE(SUBSTITUTE(SUBSTITUTE(SUBSTITUTE(SUBSTITUTE(SUBSTITUTE(ATALI[[#This Row],[N.B.nota]]," ",""),"-",""),"(",""),")",""),".",""),",",""),"/",""))</f>
        <v>colorpencilcp12pbjk</v>
      </c>
      <c r="W76">
        <f ca="1">IF(ATALI[[#This Row],[concat]]="","",MATCH(ATALI[[#This Row],[concat]],[4]!db[NB NOTA_C],0)+1)</f>
        <v>477</v>
      </c>
      <c r="X76" t="str">
        <f ca="1">IF(ATALI[[#This Row],[N.B.nota]]="","",ADDRESS(ROW(ATALI[QB]),COLUMN(ATALI[QB]))&amp;":"&amp;ADDRESS(ROW(),COLUMN(ATALI[QB])))</f>
        <v>$D$3:$D$76</v>
      </c>
      <c r="Y76" s="13" t="str">
        <f ca="1">IF(ATALI[[#This Row],[//]]="","",HYPERLINK("[../DB.xlsx]DB!e"&amp;MATCH(ATALI[[#This Row],[concat]],[4]!db[NB NOTA_C],0)+1,"&gt;"))</f>
        <v>&gt;</v>
      </c>
    </row>
    <row r="77" spans="1:25" x14ac:dyDescent="0.25">
      <c r="A77" s="4"/>
      <c r="B77" s="1" t="str">
        <f>IF(ATALI[[#This Row],[N_ID]]="","",INDEX(Table1[ID],MATCH(ATALI[[#This Row],[N_ID]],Table1[N_ID],0)))</f>
        <v/>
      </c>
      <c r="C77" s="1" t="str">
        <f>IF(ATALI[[#This Row],[ID NOTA]]="","",HYPERLINK("[NOTA_.xlsx]NOTA!e"&amp;INDEX([2]!PAJAK[//],MATCH(ATALI[[#This Row],[ID NOTA]],[2]!PAJAK[ID],0)),"&gt;") )</f>
        <v/>
      </c>
      <c r="D77" s="1" t="str">
        <f>IF(ATALI[[#This Row],[ID NOTA]]="","",INDEX(Table1[QB],MATCH(ATALI[[#This Row],[ID NOTA]],Table1[ID],0)))</f>
        <v/>
      </c>
      <c r="E7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475</v>
      </c>
      <c r="F77" s="1"/>
      <c r="G77" s="3" t="str">
        <f>IF(ATALI[[#This Row],[ID NOTA]]="","",INDEX([2]!NOTA[TGL_H],MATCH(ATALI[[#This Row],[ID NOTA]],[2]!NOTA[ID],0)))</f>
        <v/>
      </c>
      <c r="H77" s="3" t="str">
        <f>IF(ATALI[[#This Row],[ID NOTA]]="","",INDEX([2]!NOTA[TGL.NOTA],MATCH(ATALI[[#This Row],[ID NOTA]],[2]!NOTA[ID],0)))</f>
        <v/>
      </c>
      <c r="I77" t="str">
        <f>IF(ATALI[[#This Row],[ID NOTA]]="","",INDEX([2]!NOTA[NO.NOTA],MATCH(ATALI[[#This Row],[ID NOTA]],[2]!NOTA[ID],0)))</f>
        <v/>
      </c>
      <c r="J77" t="str">
        <f ca="1">IF(ATALI[[#This Row],[//]]="","",INDEX([4]!db[NB PAJAK],ATALI[[#This Row],[stt]]-1))</f>
        <v>ISI MECH PEN 2B 0.5 MM JOYKO PL-05</v>
      </c>
      <c r="K77" s="1">
        <f ca="1">IF(ATALI[[#This Row],[//]]="","",IF(INDEX([2]!NOTA[C],ATALI[[#This Row],[//]]-2)="","",INDEX([2]!NOTA[C],ATALI[[#This Row],[//]]-2)))</f>
        <v>3</v>
      </c>
      <c r="L77" s="1">
        <f ca="1">IF(ATALI[[#This Row],[//]]="","",INDEX([2]!NOTA[QTY],ATALI[[#This Row],[//]]-2))</f>
        <v>36</v>
      </c>
      <c r="M77" s="1" t="str">
        <f ca="1">IF(ATALI[[#This Row],[//]]="","",INDEX([2]!NOTA[STN],ATALI[[#This Row],[//]]-2))</f>
        <v>GRS</v>
      </c>
      <c r="N77" s="5">
        <f ca="1">IF(ATALI[[#This Row],[//]]="","",INDEX([2]!NOTA[HARGA SATUAN],ATALI[[#This Row],[//]]-2))</f>
        <v>176400</v>
      </c>
      <c r="O77" s="7">
        <f ca="1">IF(ATALI[[#This Row],[//]]="","",INDEX([2]!NOTA[DISC 1],ATALI[[#This Row],[//]]-2))</f>
        <v>0.125</v>
      </c>
      <c r="P77" s="7">
        <f ca="1">IF(ATALI[[#This Row],[//]]="","",INDEX([2]!NOTA[DISC 2],ATALI[[#This Row],[//]]-2))</f>
        <v>0.05</v>
      </c>
      <c r="Q77" s="5">
        <f ca="1">IF(ATALI[[#This Row],[//]]="","",INDEX([2]!NOTA[TOTAL],ATALI[[#This Row],[//]]-2))</f>
        <v>5278770</v>
      </c>
      <c r="R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t="str">
        <f ca="1">IF(ATALI[[#This Row],[//]]="","",INDEX([2]!NOTA[NAMA BARANG],ATALI[[#This Row],[//]]-2))</f>
        <v>PENCIL LEAD PL-05 (2B) JK</v>
      </c>
      <c r="V77" t="str">
        <f ca="1">LOWER(SUBSTITUTE(SUBSTITUTE(SUBSTITUTE(SUBSTITUTE(SUBSTITUTE(SUBSTITUTE(SUBSTITUTE(ATALI[[#This Row],[N.B.nota]]," ",""),"-",""),"(",""),")",""),".",""),",",""),"/",""))</f>
        <v>pencilleadpl052bjk</v>
      </c>
      <c r="W77">
        <f ca="1">IF(ATALI[[#This Row],[concat]]="","",MATCH(ATALI[[#This Row],[concat]],[4]!db[NB NOTA_C],0)+1)</f>
        <v>1679</v>
      </c>
      <c r="X77" t="str">
        <f ca="1">IF(ATALI[[#This Row],[N.B.nota]]="","",ADDRESS(ROW(ATALI[QB]),COLUMN(ATALI[QB]))&amp;":"&amp;ADDRESS(ROW(),COLUMN(ATALI[QB])))</f>
        <v>$D$3:$D$77</v>
      </c>
      <c r="Y77" s="13" t="str">
        <f ca="1">IF(ATALI[[#This Row],[//]]="","",HYPERLINK("[../DB.xlsx]DB!e"&amp;MATCH(ATALI[[#This Row],[concat]],[4]!db[NB NOTA_C],0)+1,"&gt;"))</f>
        <v>&gt;</v>
      </c>
    </row>
    <row r="78" spans="1:25" x14ac:dyDescent="0.25">
      <c r="A78" s="4"/>
      <c r="B78" s="1" t="str">
        <f>IF(ATALI[[#This Row],[N_ID]]="","",INDEX(Table1[ID],MATCH(ATALI[[#This Row],[N_ID]],Table1[N_ID],0)))</f>
        <v/>
      </c>
      <c r="C78" s="1" t="str">
        <f>IF(ATALI[[#This Row],[ID NOTA]]="","",HYPERLINK("[NOTA_.xlsx]NOTA!e"&amp;INDEX([2]!PAJAK[//],MATCH(ATALI[[#This Row],[ID NOTA]],[2]!PAJAK[ID],0)),"&gt;") )</f>
        <v/>
      </c>
      <c r="D78" s="1" t="str">
        <f>IF(ATALI[[#This Row],[ID NOTA]]="","",INDEX(Table1[QB],MATCH(ATALI[[#This Row],[ID NOTA]],Table1[ID],0)))</f>
        <v/>
      </c>
      <c r="E7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476</v>
      </c>
      <c r="F78" s="1"/>
      <c r="G78" s="3" t="str">
        <f>IF(ATALI[[#This Row],[ID NOTA]]="","",INDEX([2]!NOTA[TGL_H],MATCH(ATALI[[#This Row],[ID NOTA]],[2]!NOTA[ID],0)))</f>
        <v/>
      </c>
      <c r="H78" s="3" t="str">
        <f>IF(ATALI[[#This Row],[ID NOTA]]="","",INDEX([2]!NOTA[TGL.NOTA],MATCH(ATALI[[#This Row],[ID NOTA]],[2]!NOTA[ID],0)))</f>
        <v/>
      </c>
      <c r="I78" t="str">
        <f>IF(ATALI[[#This Row],[ID NOTA]]="","",INDEX([2]!NOTA[NO.NOTA],MATCH(ATALI[[#This Row],[ID NOTA]],[2]!NOTA[ID],0)))</f>
        <v/>
      </c>
      <c r="J78" t="str">
        <f ca="1">IF(ATALI[[#This Row],[//]]="","",INDEX([4]!db[NB PAJAK],ATALI[[#This Row],[stt]]-1))</f>
        <v>ISI PENSIL 2B 2.0 MM JOYKO PL-11</v>
      </c>
      <c r="K78" s="1">
        <f ca="1">IF(ATALI[[#This Row],[//]]="","",IF(INDEX([2]!NOTA[C],ATALI[[#This Row],[//]]-2)="","",INDEX([2]!NOTA[C],ATALI[[#This Row],[//]]-2)))</f>
        <v>4</v>
      </c>
      <c r="L78" s="1">
        <f ca="1">IF(ATALI[[#This Row],[//]]="","",INDEX([2]!NOTA[QTY],ATALI[[#This Row],[//]]-2))</f>
        <v>288</v>
      </c>
      <c r="M78" s="1" t="str">
        <f ca="1">IF(ATALI[[#This Row],[//]]="","",INDEX([2]!NOTA[STN],ATALI[[#This Row],[//]]-2))</f>
        <v>DZ</v>
      </c>
      <c r="N78" s="5">
        <f ca="1">IF(ATALI[[#This Row],[//]]="","",INDEX([2]!NOTA[HARGA SATUAN],ATALI[[#This Row],[//]]-2))</f>
        <v>34500</v>
      </c>
      <c r="O78" s="7">
        <f ca="1">IF(ATALI[[#This Row],[//]]="","",INDEX([2]!NOTA[DISC 1],ATALI[[#This Row],[//]]-2))</f>
        <v>0.125</v>
      </c>
      <c r="P78" s="7">
        <f ca="1">IF(ATALI[[#This Row],[//]]="","",INDEX([2]!NOTA[DISC 2],ATALI[[#This Row],[//]]-2))</f>
        <v>0.05</v>
      </c>
      <c r="Q78" s="5">
        <f ca="1">IF(ATALI[[#This Row],[//]]="","",INDEX([2]!NOTA[TOTAL],ATALI[[#This Row],[//]]-2))</f>
        <v>8259300</v>
      </c>
      <c r="R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t="str">
        <f ca="1">IF(ATALI[[#This Row],[//]]="","",INDEX([2]!NOTA[NAMA BARANG],ATALI[[#This Row],[//]]-2))</f>
        <v>PENCIL LEAD PL-11 (2.0) JK</v>
      </c>
      <c r="V78" t="str">
        <f ca="1">LOWER(SUBSTITUTE(SUBSTITUTE(SUBSTITUTE(SUBSTITUTE(SUBSTITUTE(SUBSTITUTE(SUBSTITUTE(ATALI[[#This Row],[N.B.nota]]," ",""),"-",""),"(",""),")",""),".",""),",",""),"/",""))</f>
        <v>pencilleadpl1120jk</v>
      </c>
      <c r="W78">
        <f ca="1">IF(ATALI[[#This Row],[concat]]="","",MATCH(ATALI[[#This Row],[concat]],[4]!db[NB NOTA_C],0)+1)</f>
        <v>1681</v>
      </c>
      <c r="X78" t="str">
        <f ca="1">IF(ATALI[[#This Row],[N.B.nota]]="","",ADDRESS(ROW(ATALI[QB]),COLUMN(ATALI[QB]))&amp;":"&amp;ADDRESS(ROW(),COLUMN(ATALI[QB])))</f>
        <v>$D$3:$D$78</v>
      </c>
      <c r="Y78" s="13" t="str">
        <f ca="1">IF(ATALI[[#This Row],[//]]="","",HYPERLINK("[../DB.xlsx]DB!e"&amp;MATCH(ATALI[[#This Row],[concat]],[4]!db[NB NOTA_C],0)+1,"&gt;"))</f>
        <v>&gt;</v>
      </c>
    </row>
    <row r="79" spans="1:25" x14ac:dyDescent="0.25">
      <c r="A79" s="4"/>
      <c r="B79" s="1" t="str">
        <f>IF(ATALI[[#This Row],[N_ID]]="","",INDEX(Table1[ID],MATCH(ATALI[[#This Row],[N_ID]],Table1[N_ID],0)))</f>
        <v/>
      </c>
      <c r="C79" s="1" t="str">
        <f>IF(ATALI[[#This Row],[ID NOTA]]="","",HYPERLINK("[NOTA_.xlsx]NOTA!e"&amp;INDEX([2]!PAJAK[//],MATCH(ATALI[[#This Row],[ID NOTA]],[2]!PAJAK[ID],0)),"&gt;") )</f>
        <v/>
      </c>
      <c r="D79" s="1" t="str">
        <f>IF(ATALI[[#This Row],[ID NOTA]]="","",INDEX(Table1[QB],MATCH(ATALI[[#This Row],[ID NOTA]],Table1[ID],0)))</f>
        <v/>
      </c>
      <c r="E7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477</v>
      </c>
      <c r="F79" s="1"/>
      <c r="G79" s="3" t="str">
        <f>IF(ATALI[[#This Row],[ID NOTA]]="","",INDEX([2]!NOTA[TGL_H],MATCH(ATALI[[#This Row],[ID NOTA]],[2]!NOTA[ID],0)))</f>
        <v/>
      </c>
      <c r="H79" s="3" t="str">
        <f>IF(ATALI[[#This Row],[ID NOTA]]="","",INDEX([2]!NOTA[TGL.NOTA],MATCH(ATALI[[#This Row],[ID NOTA]],[2]!NOTA[ID],0)))</f>
        <v/>
      </c>
      <c r="I79" t="str">
        <f>IF(ATALI[[#This Row],[ID NOTA]]="","",INDEX([2]!NOTA[NO.NOTA],MATCH(ATALI[[#This Row],[ID NOTA]],[2]!NOTA[ID],0)))</f>
        <v/>
      </c>
      <c r="J79" t="str">
        <f ca="1">IF(ATALI[[#This Row],[//]]="","",INDEX([4]!db[NB PAJAK],ATALI[[#This Row],[stt]]-1))</f>
        <v>KUAS SET JOYKO BR-1</v>
      </c>
      <c r="K79" s="1">
        <f ca="1">IF(ATALI[[#This Row],[//]]="","",IF(INDEX([2]!NOTA[C],ATALI[[#This Row],[//]]-2)="","",INDEX([2]!NOTA[C],ATALI[[#This Row],[//]]-2)))</f>
        <v>2</v>
      </c>
      <c r="L79" s="1">
        <f ca="1">IF(ATALI[[#This Row],[//]]="","",INDEX([2]!NOTA[QTY],ATALI[[#This Row],[//]]-2))</f>
        <v>480</v>
      </c>
      <c r="M79" s="1" t="str">
        <f ca="1">IF(ATALI[[#This Row],[//]]="","",INDEX([2]!NOTA[STN],ATALI[[#This Row],[//]]-2))</f>
        <v>SET</v>
      </c>
      <c r="N79" s="5">
        <f ca="1">IF(ATALI[[#This Row],[//]]="","",INDEX([2]!NOTA[HARGA SATUAN],ATALI[[#This Row],[//]]-2))</f>
        <v>8800</v>
      </c>
      <c r="O79" s="7">
        <f ca="1">IF(ATALI[[#This Row],[//]]="","",INDEX([2]!NOTA[DISC 1],ATALI[[#This Row],[//]]-2))</f>
        <v>0.125</v>
      </c>
      <c r="P79" s="7">
        <f ca="1">IF(ATALI[[#This Row],[//]]="","",INDEX([2]!NOTA[DISC 2],ATALI[[#This Row],[//]]-2))</f>
        <v>0.05</v>
      </c>
      <c r="Q79" s="5">
        <f ca="1">IF(ATALI[[#This Row],[//]]="","",INDEX([2]!NOTA[TOTAL],ATALI[[#This Row],[//]]-2))</f>
        <v>3511200</v>
      </c>
      <c r="R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" t="str">
        <f ca="1">IF(ATALI[[#This Row],[//]]="","",INDEX([2]!NOTA[NAMA BARANG],ATALI[[#This Row],[//]]-2))</f>
        <v>BRUSH BR-1 JK</v>
      </c>
      <c r="V79" t="str">
        <f ca="1">LOWER(SUBSTITUTE(SUBSTITUTE(SUBSTITUTE(SUBSTITUTE(SUBSTITUTE(SUBSTITUTE(SUBSTITUTE(ATALI[[#This Row],[N.B.nota]]," ",""),"-",""),"(",""),")",""),".",""),",",""),"/",""))</f>
        <v>brushbr1jk</v>
      </c>
      <c r="W79">
        <f ca="1">IF(ATALI[[#This Row],[concat]]="","",MATCH(ATALI[[#This Row],[concat]],[4]!db[NB NOTA_C],0)+1)</f>
        <v>305</v>
      </c>
      <c r="X79" t="str">
        <f ca="1">IF(ATALI[[#This Row],[N.B.nota]]="","",ADDRESS(ROW(ATALI[QB]),COLUMN(ATALI[QB]))&amp;":"&amp;ADDRESS(ROW(),COLUMN(ATALI[QB])))</f>
        <v>$D$3:$D$79</v>
      </c>
      <c r="Y79" s="13" t="str">
        <f ca="1">IF(ATALI[[#This Row],[//]]="","",HYPERLINK("[../DB.xlsx]DB!e"&amp;MATCH(ATALI[[#This Row],[concat]],[4]!db[NB NOTA_C],0)+1,"&gt;"))</f>
        <v>&gt;</v>
      </c>
    </row>
    <row r="80" spans="1:25" x14ac:dyDescent="0.25">
      <c r="A80" s="4"/>
      <c r="B80" s="1" t="str">
        <f>IF(ATALI[[#This Row],[N_ID]]="","",INDEX(Table1[ID],MATCH(ATALI[[#This Row],[N_ID]],Table1[N_ID],0)))</f>
        <v/>
      </c>
      <c r="C80" s="1" t="str">
        <f>IF(ATALI[[#This Row],[ID NOTA]]="","",HYPERLINK("[NOTA_.xlsx]NOTA!e"&amp;INDEX([2]!PAJAK[//],MATCH(ATALI[[#This Row],[ID NOTA]],[2]!PAJAK[ID],0)),"&gt;") )</f>
        <v/>
      </c>
      <c r="D80" s="1" t="str">
        <f>IF(ATALI[[#This Row],[ID NOTA]]="","",INDEX(Table1[QB],MATCH(ATALI[[#This Row],[ID NOTA]],Table1[ID],0)))</f>
        <v/>
      </c>
      <c r="E8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478</v>
      </c>
      <c r="F80" s="1"/>
      <c r="G80" s="3" t="str">
        <f>IF(ATALI[[#This Row],[ID NOTA]]="","",INDEX([2]!NOTA[TGL_H],MATCH(ATALI[[#This Row],[ID NOTA]],[2]!NOTA[ID],0)))</f>
        <v/>
      </c>
      <c r="H80" s="3" t="str">
        <f>IF(ATALI[[#This Row],[ID NOTA]]="","",INDEX([2]!NOTA[TGL.NOTA],MATCH(ATALI[[#This Row],[ID NOTA]],[2]!NOTA[ID],0)))</f>
        <v/>
      </c>
      <c r="I80" t="str">
        <f>IF(ATALI[[#This Row],[ID NOTA]]="","",INDEX([2]!NOTA[NO.NOTA],MATCH(ATALI[[#This Row],[ID NOTA]],[2]!NOTA[ID],0)))</f>
        <v/>
      </c>
      <c r="J80" t="str">
        <f ca="1">IF(ATALI[[#This Row],[//]]="","",INDEX([4]!db[NB PAJAK],ATALI[[#This Row],[stt]]-1))</f>
        <v>STAMP PAD JOYKO NO. 0</v>
      </c>
      <c r="K80" s="1">
        <f ca="1">IF(ATALI[[#This Row],[//]]="","",IF(INDEX([2]!NOTA[C],ATALI[[#This Row],[//]]-2)="","",INDEX([2]!NOTA[C],ATALI[[#This Row],[//]]-2)))</f>
        <v>1</v>
      </c>
      <c r="L80" s="1">
        <f ca="1">IF(ATALI[[#This Row],[//]]="","",INDEX([2]!NOTA[QTY],ATALI[[#This Row],[//]]-2))</f>
        <v>216</v>
      </c>
      <c r="M80" s="1" t="str">
        <f ca="1">IF(ATALI[[#This Row],[//]]="","",INDEX([2]!NOTA[STN],ATALI[[#This Row],[//]]-2))</f>
        <v>PCS</v>
      </c>
      <c r="N80" s="5">
        <f ca="1">IF(ATALI[[#This Row],[//]]="","",INDEX([2]!NOTA[HARGA SATUAN],ATALI[[#This Row],[//]]-2))</f>
        <v>4900</v>
      </c>
      <c r="O80" s="7">
        <f ca="1">IF(ATALI[[#This Row],[//]]="","",INDEX([2]!NOTA[DISC 1],ATALI[[#This Row],[//]]-2))</f>
        <v>0.125</v>
      </c>
      <c r="P80" s="7">
        <f ca="1">IF(ATALI[[#This Row],[//]]="","",INDEX([2]!NOTA[DISC 2],ATALI[[#This Row],[//]]-2))</f>
        <v>0.05</v>
      </c>
      <c r="Q80" s="5">
        <f ca="1">IF(ATALI[[#This Row],[//]]="","",INDEX([2]!NOTA[TOTAL],ATALI[[#This Row],[//]]-2))</f>
        <v>879795</v>
      </c>
      <c r="R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t="str">
        <f ca="1">IF(ATALI[[#This Row],[//]]="","",INDEX([2]!NOTA[NAMA BARANG],ATALI[[#This Row],[//]]-2))</f>
        <v>STAMP PAD NO.0 JK</v>
      </c>
      <c r="V80" t="str">
        <f ca="1">LOWER(SUBSTITUTE(SUBSTITUTE(SUBSTITUTE(SUBSTITUTE(SUBSTITUTE(SUBSTITUTE(SUBSTITUTE(ATALI[[#This Row],[N.B.nota]]," ",""),"-",""),"(",""),")",""),".",""),",",""),"/",""))</f>
        <v>stamppadno0jk</v>
      </c>
      <c r="W80">
        <f ca="1">IF(ATALI[[#This Row],[concat]]="","",MATCH(ATALI[[#This Row],[concat]],[4]!db[NB NOTA_C],0)+1)</f>
        <v>1883</v>
      </c>
      <c r="X80" t="str">
        <f ca="1">IF(ATALI[[#This Row],[N.B.nota]]="","",ADDRESS(ROW(ATALI[QB]),COLUMN(ATALI[QB]))&amp;":"&amp;ADDRESS(ROW(),COLUMN(ATALI[QB])))</f>
        <v>$D$3:$D$80</v>
      </c>
      <c r="Y80" s="13" t="str">
        <f ca="1">IF(ATALI[[#This Row],[//]]="","",HYPERLINK("[../DB.xlsx]DB!e"&amp;MATCH(ATALI[[#This Row],[concat]],[4]!db[NB NOTA_C],0)+1,"&gt;"))</f>
        <v>&gt;</v>
      </c>
    </row>
    <row r="81" spans="1:25" x14ac:dyDescent="0.25">
      <c r="A81" s="4"/>
      <c r="B81" s="1" t="str">
        <f>IF(ATALI[[#This Row],[N_ID]]="","",INDEX(Table1[ID],MATCH(ATALI[[#This Row],[N_ID]],Table1[N_ID],0)))</f>
        <v/>
      </c>
      <c r="C81" s="1" t="str">
        <f>IF(ATALI[[#This Row],[ID NOTA]]="","",HYPERLINK("[NOTA_.xlsx]NOTA!e"&amp;INDEX([2]!PAJAK[//],MATCH(ATALI[[#This Row],[ID NOTA]],[2]!PAJAK[ID],0)),"&gt;") )</f>
        <v/>
      </c>
      <c r="D81" s="1" t="str">
        <f>IF(ATALI[[#This Row],[ID NOTA]]="","",INDEX(Table1[QB],MATCH(ATALI[[#This Row],[ID NOTA]],Table1[ID],0)))</f>
        <v/>
      </c>
      <c r="E8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479</v>
      </c>
      <c r="F81" s="1"/>
      <c r="G81" s="3" t="str">
        <f>IF(ATALI[[#This Row],[ID NOTA]]="","",INDEX([2]!NOTA[TGL_H],MATCH(ATALI[[#This Row],[ID NOTA]],[2]!NOTA[ID],0)))</f>
        <v/>
      </c>
      <c r="H81" s="3" t="str">
        <f>IF(ATALI[[#This Row],[ID NOTA]]="","",INDEX([2]!NOTA[TGL.NOTA],MATCH(ATALI[[#This Row],[ID NOTA]],[2]!NOTA[ID],0)))</f>
        <v/>
      </c>
      <c r="I81" t="str">
        <f>IF(ATALI[[#This Row],[ID NOTA]]="","",INDEX([2]!NOTA[NO.NOTA],MATCH(ATALI[[#This Row],[ID NOTA]],[2]!NOTA[ID],0)))</f>
        <v/>
      </c>
      <c r="J81" t="str">
        <f ca="1">IF(ATALI[[#This Row],[//]]="","",INDEX([4]!db[NB PAJAK],ATALI[[#This Row],[stt]]-1))</f>
        <v>STAPLER JOYKO HD-10</v>
      </c>
      <c r="K81" s="1">
        <f ca="1">IF(ATALI[[#This Row],[//]]="","",IF(INDEX([2]!NOTA[C],ATALI[[#This Row],[//]]-2)="","",INDEX([2]!NOTA[C],ATALI[[#This Row],[//]]-2)))</f>
        <v>6</v>
      </c>
      <c r="L81" s="1">
        <f ca="1">IF(ATALI[[#This Row],[//]]="","",INDEX([2]!NOTA[QTY],ATALI[[#This Row],[//]]-2))</f>
        <v>120</v>
      </c>
      <c r="M81" s="1" t="str">
        <f ca="1">IF(ATALI[[#This Row],[//]]="","",INDEX([2]!NOTA[STN],ATALI[[#This Row],[//]]-2))</f>
        <v>DZ</v>
      </c>
      <c r="N81" s="5">
        <f ca="1">IF(ATALI[[#This Row],[//]]="","",INDEX([2]!NOTA[HARGA SATUAN],ATALI[[#This Row],[//]]-2))</f>
        <v>85200</v>
      </c>
      <c r="O81" s="7">
        <f ca="1">IF(ATALI[[#This Row],[//]]="","",INDEX([2]!NOTA[DISC 1],ATALI[[#This Row],[//]]-2))</f>
        <v>0.125</v>
      </c>
      <c r="P81" s="7">
        <f ca="1">IF(ATALI[[#This Row],[//]]="","",INDEX([2]!NOTA[DISC 2],ATALI[[#This Row],[//]]-2))</f>
        <v>0.05</v>
      </c>
      <c r="Q81" s="5">
        <f ca="1">IF(ATALI[[#This Row],[//]]="","",INDEX([2]!NOTA[TOTAL],ATALI[[#This Row],[//]]-2))</f>
        <v>8498700</v>
      </c>
      <c r="R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" t="str">
        <f ca="1">IF(ATALI[[#This Row],[//]]="","",INDEX([2]!NOTA[NAMA BARANG],ATALI[[#This Row],[//]]-2))</f>
        <v>STAPLER HD-10 JK</v>
      </c>
      <c r="V81" t="str">
        <f ca="1">LOWER(SUBSTITUTE(SUBSTITUTE(SUBSTITUTE(SUBSTITUTE(SUBSTITUTE(SUBSTITUTE(SUBSTITUTE(ATALI[[#This Row],[N.B.nota]]," ",""),"-",""),"(",""),")",""),".",""),",",""),"/",""))</f>
        <v>staplerhd10jk</v>
      </c>
      <c r="W81">
        <f ca="1">IF(ATALI[[#This Row],[concat]]="","",MATCH(ATALI[[#This Row],[concat]],[4]!db[NB NOTA_C],0)+1)</f>
        <v>1888</v>
      </c>
      <c r="X81" t="str">
        <f ca="1">IF(ATALI[[#This Row],[N.B.nota]]="","",ADDRESS(ROW(ATALI[QB]),COLUMN(ATALI[QB]))&amp;":"&amp;ADDRESS(ROW(),COLUMN(ATALI[QB])))</f>
        <v>$D$3:$D$81</v>
      </c>
      <c r="Y81" s="13" t="str">
        <f ca="1">IF(ATALI[[#This Row],[//]]="","",HYPERLINK("[../DB.xlsx]DB!e"&amp;MATCH(ATALI[[#This Row],[concat]],[4]!db[NB NOTA_C],0)+1,"&gt;"))</f>
        <v>&gt;</v>
      </c>
    </row>
    <row r="82" spans="1:25" x14ac:dyDescent="0.25">
      <c r="A82" s="4"/>
      <c r="B82" s="1" t="str">
        <f>IF(ATALI[[#This Row],[N_ID]]="","",INDEX(Table1[ID],MATCH(ATALI[[#This Row],[N_ID]],Table1[N_ID],0)))</f>
        <v/>
      </c>
      <c r="C82" s="1" t="str">
        <f>IF(ATALI[[#This Row],[ID NOTA]]="","",HYPERLINK("[NOTA_.xlsx]NOTA!e"&amp;INDEX([2]!PAJAK[//],MATCH(ATALI[[#This Row],[ID NOTA]],[2]!PAJAK[ID],0)),"&gt;") )</f>
        <v/>
      </c>
      <c r="D82" s="1" t="str">
        <f>IF(ATALI[[#This Row],[ID NOTA]]="","",INDEX(Table1[QB],MATCH(ATALI[[#This Row],[ID NOTA]],Table1[ID],0)))</f>
        <v/>
      </c>
      <c r="E8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480</v>
      </c>
      <c r="F82" s="1"/>
      <c r="G82" s="3" t="str">
        <f>IF(ATALI[[#This Row],[ID NOTA]]="","",INDEX([2]!NOTA[TGL_H],MATCH(ATALI[[#This Row],[ID NOTA]],[2]!NOTA[ID],0)))</f>
        <v/>
      </c>
      <c r="H82" s="3" t="str">
        <f>IF(ATALI[[#This Row],[ID NOTA]]="","",INDEX([2]!NOTA[TGL.NOTA],MATCH(ATALI[[#This Row],[ID NOTA]],[2]!NOTA[ID],0)))</f>
        <v/>
      </c>
      <c r="I82" t="str">
        <f>IF(ATALI[[#This Row],[ID NOTA]]="","",INDEX([2]!NOTA[NO.NOTA],MATCH(ATALI[[#This Row],[ID NOTA]],[2]!NOTA[ID],0)))</f>
        <v/>
      </c>
      <c r="J82" t="str">
        <f ca="1">IF(ATALI[[#This Row],[//]]="","",INDEX([4]!db[NB PAJAK],ATALI[[#This Row],[stt]]-1))</f>
        <v>CORRECTION TAPE JOYKO CT-522</v>
      </c>
      <c r="K82" s="1">
        <f ca="1">IF(ATALI[[#This Row],[//]]="","",IF(INDEX([2]!NOTA[C],ATALI[[#This Row],[//]]-2)="","",INDEX([2]!NOTA[C],ATALI[[#This Row],[//]]-2)))</f>
        <v>5</v>
      </c>
      <c r="L82" s="1">
        <f ca="1">IF(ATALI[[#This Row],[//]]="","",INDEX([2]!NOTA[QTY],ATALI[[#This Row],[//]]-2))</f>
        <v>3600</v>
      </c>
      <c r="M82" s="1" t="str">
        <f ca="1">IF(ATALI[[#This Row],[//]]="","",INDEX([2]!NOTA[STN],ATALI[[#This Row],[//]]-2))</f>
        <v>PCS</v>
      </c>
      <c r="N82" s="5">
        <f ca="1">IF(ATALI[[#This Row],[//]]="","",INDEX([2]!NOTA[HARGA SATUAN],ATALI[[#This Row],[//]]-2))</f>
        <v>4800</v>
      </c>
      <c r="O82" s="7">
        <f ca="1">IF(ATALI[[#This Row],[//]]="","",INDEX([2]!NOTA[DISC 1],ATALI[[#This Row],[//]]-2))</f>
        <v>0.125</v>
      </c>
      <c r="P82" s="7">
        <f ca="1">IF(ATALI[[#This Row],[//]]="","",INDEX([2]!NOTA[DISC 2],ATALI[[#This Row],[//]]-2))</f>
        <v>0.05</v>
      </c>
      <c r="Q82" s="5">
        <f ca="1">IF(ATALI[[#This Row],[//]]="","",INDEX([2]!NOTA[TOTAL],ATALI[[#This Row],[//]]-2))</f>
        <v>14364000</v>
      </c>
      <c r="R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t="str">
        <f ca="1">IF(ATALI[[#This Row],[//]]="","",INDEX([2]!NOTA[NAMA BARANG],ATALI[[#This Row],[//]]-2))</f>
        <v>CORRECTION TAPE CT-522 JK</v>
      </c>
      <c r="V82" t="str">
        <f ca="1">LOWER(SUBSTITUTE(SUBSTITUTE(SUBSTITUTE(SUBSTITUTE(SUBSTITUTE(SUBSTITUTE(SUBSTITUTE(ATALI[[#This Row],[N.B.nota]]," ",""),"-",""),"(",""),")",""),".",""),",",""),"/",""))</f>
        <v>correctiontapect522jk</v>
      </c>
      <c r="W82">
        <f ca="1">IF(ATALI[[#This Row],[concat]]="","",MATCH(ATALI[[#This Row],[concat]],[4]!db[NB NOTA_C],0)+1)</f>
        <v>511</v>
      </c>
      <c r="X82" t="str">
        <f ca="1">IF(ATALI[[#This Row],[N.B.nota]]="","",ADDRESS(ROW(ATALI[QB]),COLUMN(ATALI[QB]))&amp;":"&amp;ADDRESS(ROW(),COLUMN(ATALI[QB])))</f>
        <v>$D$3:$D$82</v>
      </c>
      <c r="Y82" s="13" t="str">
        <f ca="1">IF(ATALI[[#This Row],[//]]="","",HYPERLINK("[../DB.xlsx]DB!e"&amp;MATCH(ATALI[[#This Row],[concat]],[4]!db[NB NOTA_C],0)+1,"&gt;"))</f>
        <v>&gt;</v>
      </c>
    </row>
    <row r="83" spans="1:25" x14ac:dyDescent="0.25">
      <c r="A83" s="4"/>
      <c r="B83" s="1" t="str">
        <f>IF(ATALI[[#This Row],[N_ID]]="","",INDEX(Table1[ID],MATCH(ATALI[[#This Row],[N_ID]],Table1[N_ID],0)))</f>
        <v/>
      </c>
      <c r="C83" s="1" t="str">
        <f>IF(ATALI[[#This Row],[ID NOTA]]="","",HYPERLINK("[NOTA_.xlsx]NOTA!e"&amp;INDEX([2]!PAJAK[//],MATCH(ATALI[[#This Row],[ID NOTA]],[2]!PAJAK[ID],0)),"&gt;") )</f>
        <v/>
      </c>
      <c r="D83" s="1" t="str">
        <f>IF(ATALI[[#This Row],[ID NOTA]]="","",INDEX(Table1[QB],MATCH(ATALI[[#This Row],[ID NOTA]],Table1[ID],0)))</f>
        <v/>
      </c>
      <c r="E8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481</v>
      </c>
      <c r="F83" s="1"/>
      <c r="G83" s="3" t="str">
        <f>IF(ATALI[[#This Row],[ID NOTA]]="","",INDEX([2]!NOTA[TGL_H],MATCH(ATALI[[#This Row],[ID NOTA]],[2]!NOTA[ID],0)))</f>
        <v/>
      </c>
      <c r="H83" s="3" t="str">
        <f>IF(ATALI[[#This Row],[ID NOTA]]="","",INDEX([2]!NOTA[TGL.NOTA],MATCH(ATALI[[#This Row],[ID NOTA]],[2]!NOTA[ID],0)))</f>
        <v/>
      </c>
      <c r="I83" t="str">
        <f>IF(ATALI[[#This Row],[ID NOTA]]="","",INDEX([2]!NOTA[NO.NOTA],MATCH(ATALI[[#This Row],[ID NOTA]],[2]!NOTA[ID],0)))</f>
        <v/>
      </c>
      <c r="J83" t="str">
        <f ca="1">IF(ATALI[[#This Row],[//]]="","",INDEX([4]!db[NB PAJAK],ATALI[[#This Row],[stt]]-1))</f>
        <v>PAPER TRIGONAL CLIP JOYKO NO. 3</v>
      </c>
      <c r="K83" s="1">
        <f ca="1">IF(ATALI[[#This Row],[//]]="","",IF(INDEX([2]!NOTA[C],ATALI[[#This Row],[//]]-2)="","",INDEX([2]!NOTA[C],ATALI[[#This Row],[//]]-2)))</f>
        <v>2</v>
      </c>
      <c r="L83" s="1">
        <f ca="1">IF(ATALI[[#This Row],[//]]="","",INDEX([2]!NOTA[QTY],ATALI[[#This Row],[//]]-2))</f>
        <v>1000</v>
      </c>
      <c r="M83" s="1" t="str">
        <f ca="1">IF(ATALI[[#This Row],[//]]="","",INDEX([2]!NOTA[STN],ATALI[[#This Row],[//]]-2))</f>
        <v>BOX</v>
      </c>
      <c r="N83" s="5">
        <f ca="1">IF(ATALI[[#This Row],[//]]="","",INDEX([2]!NOTA[HARGA SATUAN],ATALI[[#This Row],[//]]-2))</f>
        <v>1625</v>
      </c>
      <c r="O83" s="7">
        <f ca="1">IF(ATALI[[#This Row],[//]]="","",INDEX([2]!NOTA[DISC 1],ATALI[[#This Row],[//]]-2))</f>
        <v>0.125</v>
      </c>
      <c r="P83" s="7">
        <f ca="1">IF(ATALI[[#This Row],[//]]="","",INDEX([2]!NOTA[DISC 2],ATALI[[#This Row],[//]]-2))</f>
        <v>0.05</v>
      </c>
      <c r="Q83" s="5">
        <f ca="1">IF(ATALI[[#This Row],[//]]="","",INDEX([2]!NOTA[TOTAL],ATALI[[#This Row],[//]]-2))</f>
        <v>1350781.25</v>
      </c>
      <c r="R8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8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52435748.75</v>
      </c>
      <c r="T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t="str">
        <f ca="1">IF(ATALI[[#This Row],[//]]="","",INDEX([2]!NOTA[NAMA BARANG],ATALI[[#This Row],[//]]-2))</f>
        <v>TRIGONAL CLIP NO.3 JK</v>
      </c>
      <c r="V83" t="str">
        <f ca="1">LOWER(SUBSTITUTE(SUBSTITUTE(SUBSTITUTE(SUBSTITUTE(SUBSTITUTE(SUBSTITUTE(SUBSTITUTE(ATALI[[#This Row],[N.B.nota]]," ",""),"-",""),"(",""),")",""),".",""),",",""),"/",""))</f>
        <v>trigonalclipno3jk</v>
      </c>
      <c r="W83">
        <f ca="1">IF(ATALI[[#This Row],[concat]]="","",MATCH(ATALI[[#This Row],[concat]],[4]!db[NB NOTA_C],0)+1)</f>
        <v>1987</v>
      </c>
      <c r="X83" t="str">
        <f ca="1">IF(ATALI[[#This Row],[N.B.nota]]="","",ADDRESS(ROW(ATALI[QB]),COLUMN(ATALI[QB]))&amp;":"&amp;ADDRESS(ROW(),COLUMN(ATALI[QB])))</f>
        <v>$D$3:$D$83</v>
      </c>
      <c r="Y83" s="13" t="str">
        <f ca="1">IF(ATALI[[#This Row],[//]]="","",HYPERLINK("[../DB.xlsx]DB!e"&amp;MATCH(ATALI[[#This Row],[concat]],[4]!db[NB NOTA_C],0)+1,"&gt;"))</f>
        <v>&gt;</v>
      </c>
    </row>
    <row r="84" spans="1:25" x14ac:dyDescent="0.25">
      <c r="A84" s="4"/>
      <c r="B84" s="1" t="str">
        <f>IF(ATALI[[#This Row],[N_ID]]="","",INDEX(Table1[ID],MATCH(ATALI[[#This Row],[N_ID]],Table1[N_ID],0)))</f>
        <v/>
      </c>
      <c r="C84" s="1" t="str">
        <f>IF(ATALI[[#This Row],[ID NOTA]]="","",HYPERLINK("[NOTA_.xlsx]NOTA!e"&amp;INDEX([2]!PAJAK[//],MATCH(ATALI[[#This Row],[ID NOTA]],[2]!PAJAK[ID],0)),"&gt;") )</f>
        <v/>
      </c>
      <c r="D84" s="1" t="str">
        <f>IF(ATALI[[#This Row],[ID NOTA]]="","",INDEX(Table1[QB],MATCH(ATALI[[#This Row],[ID NOTA]],Table1[ID],0)))</f>
        <v/>
      </c>
      <c r="E8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" s="1"/>
      <c r="G84" s="3" t="str">
        <f>IF(ATALI[[#This Row],[ID NOTA]]="","",INDEX([2]!NOTA[TGL_H],MATCH(ATALI[[#This Row],[ID NOTA]],[2]!NOTA[ID],0)))</f>
        <v/>
      </c>
      <c r="H84" s="3" t="str">
        <f>IF(ATALI[[#This Row],[ID NOTA]]="","",INDEX([2]!NOTA[TGL.NOTA],MATCH(ATALI[[#This Row],[ID NOTA]],[2]!NOTA[ID],0)))</f>
        <v/>
      </c>
      <c r="I84" t="str">
        <f>IF(ATALI[[#This Row],[ID NOTA]]="","",INDEX([2]!NOTA[NO.NOTA],MATCH(ATALI[[#This Row],[ID NOTA]],[2]!NOTA[ID],0)))</f>
        <v/>
      </c>
      <c r="J84" t="str">
        <f ca="1">IF(ATALI[[#This Row],[//]]="","",INDEX([4]!db[NB PAJAK],ATALI[[#This Row],[stt]]-1))</f>
        <v/>
      </c>
      <c r="K84" s="1" t="str">
        <f ca="1">IF(ATALI[[#This Row],[//]]="","",IF(INDEX([2]!NOTA[C],ATALI[[#This Row],[//]]-2)="","",INDEX([2]!NOTA[C],ATALI[[#This Row],[//]]-2)))</f>
        <v/>
      </c>
      <c r="L84" s="1" t="str">
        <f ca="1">IF(ATALI[[#This Row],[//]]="","",INDEX([2]!NOTA[QTY],ATALI[[#This Row],[//]]-2))</f>
        <v/>
      </c>
      <c r="M84" s="1" t="str">
        <f ca="1">IF(ATALI[[#This Row],[//]]="","",INDEX([2]!NOTA[STN],ATALI[[#This Row],[//]]-2))</f>
        <v/>
      </c>
      <c r="N84" s="5" t="str">
        <f ca="1">IF(ATALI[[#This Row],[//]]="","",INDEX([2]!NOTA[HARGA SATUAN],ATALI[[#This Row],[//]]-2))</f>
        <v/>
      </c>
      <c r="O84" s="7" t="str">
        <f ca="1">IF(ATALI[[#This Row],[//]]="","",INDEX([2]!NOTA[DISC 1],ATALI[[#This Row],[//]]-2))</f>
        <v/>
      </c>
      <c r="P84" s="7" t="str">
        <f ca="1">IF(ATALI[[#This Row],[//]]="","",INDEX([2]!NOTA[DISC 2],ATALI[[#This Row],[//]]-2))</f>
        <v/>
      </c>
      <c r="Q84" s="5" t="str">
        <f ca="1">IF(ATALI[[#This Row],[//]]="","",INDEX([2]!NOTA[TOTAL],ATALI[[#This Row],[//]]-2))</f>
        <v/>
      </c>
      <c r="R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t="str">
        <f ca="1">IF(ATALI[[#This Row],[//]]="","",INDEX([2]!NOTA[NAMA BARANG],ATALI[[#This Row],[//]]-2))</f>
        <v/>
      </c>
      <c r="V84" t="str">
        <f ca="1">LOWER(SUBSTITUTE(SUBSTITUTE(SUBSTITUTE(SUBSTITUTE(SUBSTITUTE(SUBSTITUTE(SUBSTITUTE(ATALI[[#This Row],[N.B.nota]]," ",""),"-",""),"(",""),")",""),".",""),",",""),"/",""))</f>
        <v/>
      </c>
      <c r="W84" t="str">
        <f ca="1">IF(ATALI[[#This Row],[concat]]="","",MATCH(ATALI[[#This Row],[concat]],[4]!db[NB NOTA_C],0)+1)</f>
        <v/>
      </c>
      <c r="X84" t="str">
        <f ca="1">IF(ATALI[[#This Row],[N.B.nota]]="","",ADDRESS(ROW(ATALI[QB]),COLUMN(ATALI[QB]))&amp;":"&amp;ADDRESS(ROW(),COLUMN(ATALI[QB])))</f>
        <v/>
      </c>
      <c r="Y84" s="13" t="str">
        <f ca="1">IF(ATALI[[#This Row],[//]]="","",HYPERLINK("[../DB.xlsx]DB!e"&amp;MATCH(ATALI[[#This Row],[concat]],[4]!db[NB NOTA_C],0)+1,"&gt;"))</f>
        <v/>
      </c>
    </row>
    <row r="85" spans="1:25" x14ac:dyDescent="0.25">
      <c r="A85" s="4" t="s">
        <v>97</v>
      </c>
      <c r="B85" s="1">
        <f ca="1">IF(ATALI[[#This Row],[N_ID]]="","",INDEX(Table1[ID],MATCH(ATALI[[#This Row],[N_ID]],Table1[N_ID],0)))</f>
        <v>105</v>
      </c>
      <c r="C85" s="1" t="str">
        <f ca="1">IF(ATALI[[#This Row],[ID NOTA]]="","",HYPERLINK("[NOTA_.xlsx]NOTA!e"&amp;INDEX([2]!PAJAK[//],MATCH(ATALI[[#This Row],[ID NOTA]],[2]!PAJAK[ID],0)),"&gt;") )</f>
        <v>&gt;</v>
      </c>
      <c r="D85" s="1">
        <f ca="1">IF(ATALI[[#This Row],[ID NOTA]]="","",INDEX(Table1[QB],MATCH(ATALI[[#This Row],[ID NOTA]],Table1[ID],0)))</f>
        <v>11</v>
      </c>
      <c r="E8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605</v>
      </c>
      <c r="F85" s="1">
        <v>12</v>
      </c>
      <c r="G85" s="3">
        <f ca="1">IF(ATALI[[#This Row],[ID NOTA]]="","",INDEX([2]!NOTA[TGL_H],MATCH(ATALI[[#This Row],[ID NOTA]],[2]!NOTA[ID],0)))</f>
        <v>44827</v>
      </c>
      <c r="H85" s="3">
        <f ca="1">IF(ATALI[[#This Row],[ID NOTA]]="","",INDEX([2]!NOTA[TGL.NOTA],MATCH(ATALI[[#This Row],[ID NOTA]],[2]!NOTA[ID],0)))</f>
        <v>44821</v>
      </c>
      <c r="I85" t="str">
        <f ca="1">IF(ATALI[[#This Row],[ID NOTA]]="","",INDEX([2]!NOTA[NO.NOTA],MATCH(ATALI[[#This Row],[ID NOTA]],[2]!NOTA[ID],0)))</f>
        <v>SA220914681</v>
      </c>
      <c r="J85" t="str">
        <f ca="1">IF(ATALI[[#This Row],[//]]="","",INDEX([4]!db[NB PAJAK],ATALI[[#This Row],[stt]]-1))</f>
        <v>PUNCH JOYKO 30XL</v>
      </c>
      <c r="K85" s="1">
        <f ca="1">IF(ATALI[[#This Row],[//]]="","",IF(INDEX([2]!NOTA[C],ATALI[[#This Row],[//]]-2)="","",INDEX([2]!NOTA[C],ATALI[[#This Row],[//]]-2)))</f>
        <v>1</v>
      </c>
      <c r="L85" s="1">
        <f ca="1">IF(ATALI[[#This Row],[//]]="","",INDEX([2]!NOTA[QTY],ATALI[[#This Row],[//]]-2))</f>
        <v>120</v>
      </c>
      <c r="M85" s="1" t="str">
        <f ca="1">IF(ATALI[[#This Row],[//]]="","",INDEX([2]!NOTA[STN],ATALI[[#This Row],[//]]-2))</f>
        <v>PCS</v>
      </c>
      <c r="N85" s="5">
        <f ca="1">IF(ATALI[[#This Row],[//]]="","",INDEX([2]!NOTA[HARGA SATUAN],ATALI[[#This Row],[//]]-2))</f>
        <v>12950</v>
      </c>
      <c r="O85" s="7">
        <f ca="1">IF(ATALI[[#This Row],[//]]="","",INDEX([2]!NOTA[DISC 1],ATALI[[#This Row],[//]]-2))</f>
        <v>0.125</v>
      </c>
      <c r="P85" s="7">
        <f ca="1">IF(ATALI[[#This Row],[//]]="","",INDEX([2]!NOTA[DISC 2],ATALI[[#This Row],[//]]-2))</f>
        <v>0.05</v>
      </c>
      <c r="Q85" s="5">
        <f ca="1">IF(ATALI[[#This Row],[//]]="","",INDEX([2]!NOTA[TOTAL],ATALI[[#This Row],[//]]-2))</f>
        <v>1291762.5</v>
      </c>
      <c r="R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t="str">
        <f ca="1">IF(ATALI[[#This Row],[//]]="","",INDEX([2]!NOTA[NAMA BARANG],ATALI[[#This Row],[//]]-2))</f>
        <v>PUNCH 30 XL JK</v>
      </c>
      <c r="V85" t="str">
        <f ca="1">LOWER(SUBSTITUTE(SUBSTITUTE(SUBSTITUTE(SUBSTITUTE(SUBSTITUTE(SUBSTITUTE(SUBSTITUTE(ATALI[[#This Row],[N.B.nota]]," ",""),"-",""),"(",""),")",""),".",""),",",""),"/",""))</f>
        <v>punch30xljk</v>
      </c>
      <c r="W85">
        <f ca="1">IF(ATALI[[#This Row],[concat]]="","",MATCH(ATALI[[#This Row],[concat]],[4]!db[NB NOTA_C],0)+1)</f>
        <v>1796</v>
      </c>
      <c r="X85" t="str">
        <f ca="1">IF(ATALI[[#This Row],[N.B.nota]]="","",ADDRESS(ROW(ATALI[QB]),COLUMN(ATALI[QB]))&amp;":"&amp;ADDRESS(ROW(),COLUMN(ATALI[QB])))</f>
        <v>$D$3:$D$85</v>
      </c>
      <c r="Y85" s="13" t="str">
        <f ca="1">IF(ATALI[[#This Row],[//]]="","",HYPERLINK("[../DB.xlsx]DB!e"&amp;MATCH(ATALI[[#This Row],[concat]],[4]!db[NB NOTA_C],0)+1,"&gt;"))</f>
        <v>&gt;</v>
      </c>
    </row>
    <row r="86" spans="1:25" x14ac:dyDescent="0.25">
      <c r="A86" s="4"/>
      <c r="B86" s="1" t="str">
        <f>IF(ATALI[[#This Row],[N_ID]]="","",INDEX(Table1[ID],MATCH(ATALI[[#This Row],[N_ID]],Table1[N_ID],0)))</f>
        <v/>
      </c>
      <c r="C86" s="1" t="str">
        <f>IF(ATALI[[#This Row],[ID NOTA]]="","",HYPERLINK("[NOTA_.xlsx]NOTA!e"&amp;INDEX([2]!PAJAK[//],MATCH(ATALI[[#This Row],[ID NOTA]],[2]!PAJAK[ID],0)),"&gt;") )</f>
        <v/>
      </c>
      <c r="D86" s="1" t="str">
        <f>IF(ATALI[[#This Row],[ID NOTA]]="","",INDEX(Table1[QB],MATCH(ATALI[[#This Row],[ID NOTA]],Table1[ID],0)))</f>
        <v/>
      </c>
      <c r="E8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606</v>
      </c>
      <c r="F86" s="1"/>
      <c r="G86" s="3" t="str">
        <f>IF(ATALI[[#This Row],[ID NOTA]]="","",INDEX([2]!NOTA[TGL_H],MATCH(ATALI[[#This Row],[ID NOTA]],[2]!NOTA[ID],0)))</f>
        <v/>
      </c>
      <c r="H86" s="3" t="str">
        <f>IF(ATALI[[#This Row],[ID NOTA]]="","",INDEX([2]!NOTA[TGL.NOTA],MATCH(ATALI[[#This Row],[ID NOTA]],[2]!NOTA[ID],0)))</f>
        <v/>
      </c>
      <c r="I86" t="str">
        <f>IF(ATALI[[#This Row],[ID NOTA]]="","",INDEX([2]!NOTA[NO.NOTA],MATCH(ATALI[[#This Row],[ID NOTA]],[2]!NOTA[ID],0)))</f>
        <v/>
      </c>
      <c r="J86" t="str">
        <f ca="1">IF(ATALI[[#This Row],[//]]="","",INDEX([4]!db[NB PAJAK],ATALI[[#This Row],[stt]]-1))</f>
        <v>TAPE CUTTER JOYKO TC-117</v>
      </c>
      <c r="K86" s="1">
        <f ca="1">IF(ATALI[[#This Row],[//]]="","",IF(INDEX([2]!NOTA[C],ATALI[[#This Row],[//]]-2)="","",INDEX([2]!NOTA[C],ATALI[[#This Row],[//]]-2)))</f>
        <v>1</v>
      </c>
      <c r="L86" s="1">
        <f ca="1">IF(ATALI[[#This Row],[//]]="","",INDEX([2]!NOTA[QTY],ATALI[[#This Row],[//]]-2))</f>
        <v>240</v>
      </c>
      <c r="M86" s="1" t="str">
        <f ca="1">IF(ATALI[[#This Row],[//]]="","",INDEX([2]!NOTA[STN],ATALI[[#This Row],[//]]-2))</f>
        <v>PCS</v>
      </c>
      <c r="N86" s="5">
        <f ca="1">IF(ATALI[[#This Row],[//]]="","",INDEX([2]!NOTA[HARGA SATUAN],ATALI[[#This Row],[//]]-2))</f>
        <v>5150</v>
      </c>
      <c r="O86" s="7">
        <f ca="1">IF(ATALI[[#This Row],[//]]="","",INDEX([2]!NOTA[DISC 1],ATALI[[#This Row],[//]]-2))</f>
        <v>0.125</v>
      </c>
      <c r="P86" s="7">
        <f ca="1">IF(ATALI[[#This Row],[//]]="","",INDEX([2]!NOTA[DISC 2],ATALI[[#This Row],[//]]-2))</f>
        <v>0.05</v>
      </c>
      <c r="Q86" s="5">
        <f ca="1">IF(ATALI[[#This Row],[//]]="","",INDEX([2]!NOTA[TOTAL],ATALI[[#This Row],[//]]-2))</f>
        <v>1027425</v>
      </c>
      <c r="R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t="str">
        <f ca="1">IF(ATALI[[#This Row],[//]]="","",INDEX([2]!NOTA[NAMA BARANG],ATALI[[#This Row],[//]]-2))</f>
        <v>TAPE CUTTER TC-117 JK</v>
      </c>
      <c r="V86" t="str">
        <f ca="1">LOWER(SUBSTITUTE(SUBSTITUTE(SUBSTITUTE(SUBSTITUTE(SUBSTITUTE(SUBSTITUTE(SUBSTITUTE(ATALI[[#This Row],[N.B.nota]]," ",""),"-",""),"(",""),")",""),".",""),",",""),"/",""))</f>
        <v>tapecuttertc117jk</v>
      </c>
      <c r="W86">
        <f ca="1">IF(ATALI[[#This Row],[concat]]="","",MATCH(ATALI[[#This Row],[concat]],[4]!db[NB NOTA_C],0)+1)</f>
        <v>1924</v>
      </c>
      <c r="X86" t="str">
        <f ca="1">IF(ATALI[[#This Row],[N.B.nota]]="","",ADDRESS(ROW(ATALI[QB]),COLUMN(ATALI[QB]))&amp;":"&amp;ADDRESS(ROW(),COLUMN(ATALI[QB])))</f>
        <v>$D$3:$D$86</v>
      </c>
      <c r="Y86" s="13" t="str">
        <f ca="1">IF(ATALI[[#This Row],[//]]="","",HYPERLINK("[../DB.xlsx]DB!e"&amp;MATCH(ATALI[[#This Row],[concat]],[4]!db[NB NOTA_C],0)+1,"&gt;"))</f>
        <v>&gt;</v>
      </c>
    </row>
    <row r="87" spans="1:25" x14ac:dyDescent="0.25">
      <c r="A87" s="4"/>
      <c r="B87" s="1" t="str">
        <f>IF(ATALI[[#This Row],[N_ID]]="","",INDEX(Table1[ID],MATCH(ATALI[[#This Row],[N_ID]],Table1[N_ID],0)))</f>
        <v/>
      </c>
      <c r="C87" s="1" t="str">
        <f>IF(ATALI[[#This Row],[ID NOTA]]="","",HYPERLINK("[NOTA_.xlsx]NOTA!e"&amp;INDEX([2]!PAJAK[//],MATCH(ATALI[[#This Row],[ID NOTA]],[2]!PAJAK[ID],0)),"&gt;") )</f>
        <v/>
      </c>
      <c r="D87" s="1" t="str">
        <f>IF(ATALI[[#This Row],[ID NOTA]]="","",INDEX(Table1[QB],MATCH(ATALI[[#This Row],[ID NOTA]],Table1[ID],0)))</f>
        <v/>
      </c>
      <c r="E8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607</v>
      </c>
      <c r="F87" s="1"/>
      <c r="G87" s="3" t="str">
        <f>IF(ATALI[[#This Row],[ID NOTA]]="","",INDEX([2]!NOTA[TGL_H],MATCH(ATALI[[#This Row],[ID NOTA]],[2]!NOTA[ID],0)))</f>
        <v/>
      </c>
      <c r="H87" s="3" t="str">
        <f>IF(ATALI[[#This Row],[ID NOTA]]="","",INDEX([2]!NOTA[TGL.NOTA],MATCH(ATALI[[#This Row],[ID NOTA]],[2]!NOTA[ID],0)))</f>
        <v/>
      </c>
      <c r="I87" t="str">
        <f>IF(ATALI[[#This Row],[ID NOTA]]="","",INDEX([2]!NOTA[NO.NOTA],MATCH(ATALI[[#This Row],[ID NOTA]],[2]!NOTA[ID],0)))</f>
        <v/>
      </c>
      <c r="J87" t="str">
        <f ca="1">IF(ATALI[[#This Row],[//]]="","",INDEX([4]!db[NB PAJAK],ATALI[[#This Row],[stt]]-1))</f>
        <v>BALLPEN JOYKO GP-250 BRIZ HITAM</v>
      </c>
      <c r="K87" s="1">
        <f ca="1">IF(ATALI[[#This Row],[//]]="","",IF(INDEX([2]!NOTA[C],ATALI[[#This Row],[//]]-2)="","",INDEX([2]!NOTA[C],ATALI[[#This Row],[//]]-2)))</f>
        <v>1</v>
      </c>
      <c r="L87" s="1">
        <f ca="1">IF(ATALI[[#This Row],[//]]="","",INDEX([2]!NOTA[QTY],ATALI[[#This Row],[//]]-2))</f>
        <v>144</v>
      </c>
      <c r="M87" s="1" t="str">
        <f ca="1">IF(ATALI[[#This Row],[//]]="","",INDEX([2]!NOTA[STN],ATALI[[#This Row],[//]]-2))</f>
        <v>DZ</v>
      </c>
      <c r="N87" s="5">
        <f ca="1">IF(ATALI[[#This Row],[//]]="","",INDEX([2]!NOTA[HARGA SATUAN],ATALI[[#This Row],[//]]-2))</f>
        <v>7020</v>
      </c>
      <c r="O87" s="7">
        <f ca="1">IF(ATALI[[#This Row],[//]]="","",INDEX([2]!NOTA[DISC 1],ATALI[[#This Row],[//]]-2))</f>
        <v>0.125</v>
      </c>
      <c r="P87" s="7">
        <f ca="1">IF(ATALI[[#This Row],[//]]="","",INDEX([2]!NOTA[DISC 2],ATALI[[#This Row],[//]]-2))</f>
        <v>0.05</v>
      </c>
      <c r="Q87" s="5">
        <f ca="1">IF(ATALI[[#This Row],[//]]="","",INDEX([2]!NOTA[TOTAL],ATALI[[#This Row],[//]]-2))</f>
        <v>840294</v>
      </c>
      <c r="R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t="str">
        <f ca="1">IF(ATALI[[#This Row],[//]]="","",INDEX([2]!NOTA[NAMA BARANG],ATALI[[#This Row],[//]]-2))</f>
        <v>BALLPEN BP-250 BRIZ (BLACK) JK</v>
      </c>
      <c r="V87" t="str">
        <f ca="1">LOWER(SUBSTITUTE(SUBSTITUTE(SUBSTITUTE(SUBSTITUTE(SUBSTITUTE(SUBSTITUTE(SUBSTITUTE(ATALI[[#This Row],[N.B.nota]]," ",""),"-",""),"(",""),")",""),".",""),",",""),"/",""))</f>
        <v>ballpenbp250brizblackjk</v>
      </c>
      <c r="W87">
        <f ca="1">IF(ATALI[[#This Row],[concat]]="","",MATCH(ATALI[[#This Row],[concat]],[4]!db[NB NOTA_C],0)+1)</f>
        <v>71</v>
      </c>
      <c r="X87" t="str">
        <f ca="1">IF(ATALI[[#This Row],[N.B.nota]]="","",ADDRESS(ROW(ATALI[QB]),COLUMN(ATALI[QB]))&amp;":"&amp;ADDRESS(ROW(),COLUMN(ATALI[QB])))</f>
        <v>$D$3:$D$87</v>
      </c>
      <c r="Y87" s="13" t="str">
        <f ca="1">IF(ATALI[[#This Row],[//]]="","",HYPERLINK("[../DB.xlsx]DB!e"&amp;MATCH(ATALI[[#This Row],[concat]],[4]!db[NB NOTA_C],0)+1,"&gt;"))</f>
        <v>&gt;</v>
      </c>
    </row>
    <row r="88" spans="1:25" x14ac:dyDescent="0.25">
      <c r="A88" s="4"/>
      <c r="B88" s="1" t="str">
        <f>IF(ATALI[[#This Row],[N_ID]]="","",INDEX(Table1[ID],MATCH(ATALI[[#This Row],[N_ID]],Table1[N_ID],0)))</f>
        <v/>
      </c>
      <c r="C88" s="1" t="str">
        <f>IF(ATALI[[#This Row],[ID NOTA]]="","",HYPERLINK("[NOTA_.xlsx]NOTA!e"&amp;INDEX([2]!PAJAK[//],MATCH(ATALI[[#This Row],[ID NOTA]],[2]!PAJAK[ID],0)),"&gt;") )</f>
        <v/>
      </c>
      <c r="D88" s="1" t="str">
        <f>IF(ATALI[[#This Row],[ID NOTA]]="","",INDEX(Table1[QB],MATCH(ATALI[[#This Row],[ID NOTA]],Table1[ID],0)))</f>
        <v/>
      </c>
      <c r="E8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608</v>
      </c>
      <c r="F88" s="1"/>
      <c r="G88" s="3" t="str">
        <f>IF(ATALI[[#This Row],[ID NOTA]]="","",INDEX([2]!NOTA[TGL_H],MATCH(ATALI[[#This Row],[ID NOTA]],[2]!NOTA[ID],0)))</f>
        <v/>
      </c>
      <c r="H88" s="3" t="str">
        <f>IF(ATALI[[#This Row],[ID NOTA]]="","",INDEX([2]!NOTA[TGL.NOTA],MATCH(ATALI[[#This Row],[ID NOTA]],[2]!NOTA[ID],0)))</f>
        <v/>
      </c>
      <c r="I88" t="str">
        <f>IF(ATALI[[#This Row],[ID NOTA]]="","",INDEX([2]!NOTA[NO.NOTA],MATCH(ATALI[[#This Row],[ID NOTA]],[2]!NOTA[ID],0)))</f>
        <v/>
      </c>
      <c r="J88" t="str">
        <f ca="1">IF(ATALI[[#This Row],[//]]="","",INDEX([4]!db[NB PAJAK],ATALI[[#This Row],[stt]]-1))</f>
        <v>BALLPEN JOYKO BP-273 ZETO HITAM</v>
      </c>
      <c r="K88" s="1">
        <f ca="1">IF(ATALI[[#This Row],[//]]="","",IF(INDEX([2]!NOTA[C],ATALI[[#This Row],[//]]-2)="","",INDEX([2]!NOTA[C],ATALI[[#This Row],[//]]-2)))</f>
        <v>1</v>
      </c>
      <c r="L88" s="1">
        <f ca="1">IF(ATALI[[#This Row],[//]]="","",INDEX([2]!NOTA[QTY],ATALI[[#This Row],[//]]-2))</f>
        <v>144</v>
      </c>
      <c r="M88" s="1" t="str">
        <f ca="1">IF(ATALI[[#This Row],[//]]="","",INDEX([2]!NOTA[STN],ATALI[[#This Row],[//]]-2))</f>
        <v>DZ</v>
      </c>
      <c r="N88" s="5">
        <f ca="1">IF(ATALI[[#This Row],[//]]="","",INDEX([2]!NOTA[HARGA SATUAN],ATALI[[#This Row],[//]]-2))</f>
        <v>6000</v>
      </c>
      <c r="O88" s="7">
        <f ca="1">IF(ATALI[[#This Row],[//]]="","",INDEX([2]!NOTA[DISC 1],ATALI[[#This Row],[//]]-2))</f>
        <v>0.125</v>
      </c>
      <c r="P88" s="7">
        <f ca="1">IF(ATALI[[#This Row],[//]]="","",INDEX([2]!NOTA[DISC 2],ATALI[[#This Row],[//]]-2))</f>
        <v>0.05</v>
      </c>
      <c r="Q88" s="5">
        <f ca="1">IF(ATALI[[#This Row],[//]]="","",INDEX([2]!NOTA[TOTAL],ATALI[[#This Row],[//]]-2))</f>
        <v>718200</v>
      </c>
      <c r="R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t="str">
        <f ca="1">IF(ATALI[[#This Row],[//]]="","",INDEX([2]!NOTA[NAMA BARANG],ATALI[[#This Row],[//]]-2))</f>
        <v>BALLPEN BP-273 ZETO (BLACK) JK</v>
      </c>
      <c r="V88" t="str">
        <f ca="1">LOWER(SUBSTITUTE(SUBSTITUTE(SUBSTITUTE(SUBSTITUTE(SUBSTITUTE(SUBSTITUTE(SUBSTITUTE(ATALI[[#This Row],[N.B.nota]]," ",""),"-",""),"(",""),")",""),".",""),",",""),"/",""))</f>
        <v>ballpenbp273zetoblackjk</v>
      </c>
      <c r="W88">
        <f ca="1">IF(ATALI[[#This Row],[concat]]="","",MATCH(ATALI[[#This Row],[concat]],[4]!db[NB NOTA_C],0)+1)</f>
        <v>74</v>
      </c>
      <c r="X88" t="str">
        <f ca="1">IF(ATALI[[#This Row],[N.B.nota]]="","",ADDRESS(ROW(ATALI[QB]),COLUMN(ATALI[QB]))&amp;":"&amp;ADDRESS(ROW(),COLUMN(ATALI[QB])))</f>
        <v>$D$3:$D$88</v>
      </c>
      <c r="Y88" s="13" t="str">
        <f ca="1">IF(ATALI[[#This Row],[//]]="","",HYPERLINK("[../DB.xlsx]DB!e"&amp;MATCH(ATALI[[#This Row],[concat]],[4]!db[NB NOTA_C],0)+1,"&gt;"))</f>
        <v>&gt;</v>
      </c>
    </row>
    <row r="89" spans="1:25" x14ac:dyDescent="0.25">
      <c r="A89" s="4"/>
      <c r="B89" s="1" t="str">
        <f>IF(ATALI[[#This Row],[N_ID]]="","",INDEX(Table1[ID],MATCH(ATALI[[#This Row],[N_ID]],Table1[N_ID],0)))</f>
        <v/>
      </c>
      <c r="C89" s="1" t="str">
        <f>IF(ATALI[[#This Row],[ID NOTA]]="","",HYPERLINK("[NOTA_.xlsx]NOTA!e"&amp;INDEX([2]!PAJAK[//],MATCH(ATALI[[#This Row],[ID NOTA]],[2]!PAJAK[ID],0)),"&gt;") )</f>
        <v/>
      </c>
      <c r="D89" s="1" t="str">
        <f>IF(ATALI[[#This Row],[ID NOTA]]="","",INDEX(Table1[QB],MATCH(ATALI[[#This Row],[ID NOTA]],Table1[ID],0)))</f>
        <v/>
      </c>
      <c r="E8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609</v>
      </c>
      <c r="F89" s="1"/>
      <c r="G89" s="3" t="str">
        <f>IF(ATALI[[#This Row],[ID NOTA]]="","",INDEX([2]!NOTA[TGL_H],MATCH(ATALI[[#This Row],[ID NOTA]],[2]!NOTA[ID],0)))</f>
        <v/>
      </c>
      <c r="H89" s="3" t="str">
        <f>IF(ATALI[[#This Row],[ID NOTA]]="","",INDEX([2]!NOTA[TGL.NOTA],MATCH(ATALI[[#This Row],[ID NOTA]],[2]!NOTA[ID],0)))</f>
        <v/>
      </c>
      <c r="I89" t="str">
        <f>IF(ATALI[[#This Row],[ID NOTA]]="","",INDEX([2]!NOTA[NO.NOTA],MATCH(ATALI[[#This Row],[ID NOTA]],[2]!NOTA[ID],0)))</f>
        <v/>
      </c>
      <c r="J89" t="str">
        <f ca="1">IF(ATALI[[#This Row],[//]]="","",INDEX([4]!db[NB PAJAK],ATALI[[#This Row],[stt]]-1))</f>
        <v>GEL PEN SET JOYKO GPC-309S DIAMOND ART</v>
      </c>
      <c r="K89" s="1">
        <f ca="1">IF(ATALI[[#This Row],[//]]="","",IF(INDEX([2]!NOTA[C],ATALI[[#This Row],[//]]-2)="","",INDEX([2]!NOTA[C],ATALI[[#This Row],[//]]-2)))</f>
        <v>2</v>
      </c>
      <c r="L89" s="1">
        <f ca="1">IF(ATALI[[#This Row],[//]]="","",INDEX([2]!NOTA[QTY],ATALI[[#This Row],[//]]-2))</f>
        <v>384</v>
      </c>
      <c r="M89" s="1" t="str">
        <f ca="1">IF(ATALI[[#This Row],[//]]="","",INDEX([2]!NOTA[STN],ATALI[[#This Row],[//]]-2))</f>
        <v>SET</v>
      </c>
      <c r="N89" s="5">
        <f ca="1">IF(ATALI[[#This Row],[//]]="","",INDEX([2]!NOTA[HARGA SATUAN],ATALI[[#This Row],[//]]-2))</f>
        <v>16200</v>
      </c>
      <c r="O89" s="7">
        <f ca="1">IF(ATALI[[#This Row],[//]]="","",INDEX([2]!NOTA[DISC 1],ATALI[[#This Row],[//]]-2))</f>
        <v>0.125</v>
      </c>
      <c r="P89" s="7">
        <f ca="1">IF(ATALI[[#This Row],[//]]="","",INDEX([2]!NOTA[DISC 2],ATALI[[#This Row],[//]]-2))</f>
        <v>0.05</v>
      </c>
      <c r="Q89" s="5">
        <f ca="1">IF(ATALI[[#This Row],[//]]="","",INDEX([2]!NOTA[TOTAL],ATALI[[#This Row],[//]]-2))</f>
        <v>5171040</v>
      </c>
      <c r="R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t="str">
        <f ca="1">IF(ATALI[[#This Row],[//]]="","",INDEX([2]!NOTA[NAMA BARANG],ATALI[[#This Row],[//]]-2))</f>
        <v>GEL PEN GPC-309S DIAMOND ART JK</v>
      </c>
      <c r="V89" t="str">
        <f ca="1">LOWER(SUBSTITUTE(SUBSTITUTE(SUBSTITUTE(SUBSTITUTE(SUBSTITUTE(SUBSTITUTE(SUBSTITUTE(ATALI[[#This Row],[N.B.nota]]," ",""),"-",""),"(",""),")",""),".",""),",",""),"/",""))</f>
        <v>gelpengpc309sdiamondartjk</v>
      </c>
      <c r="W89">
        <f ca="1">IF(ATALI[[#This Row],[concat]]="","",MATCH(ATALI[[#This Row],[concat]],[4]!db[NB NOTA_C],0)+1)</f>
        <v>713</v>
      </c>
      <c r="X89" t="str">
        <f ca="1">IF(ATALI[[#This Row],[N.B.nota]]="","",ADDRESS(ROW(ATALI[QB]),COLUMN(ATALI[QB]))&amp;":"&amp;ADDRESS(ROW(),COLUMN(ATALI[QB])))</f>
        <v>$D$3:$D$89</v>
      </c>
      <c r="Y89" s="13" t="str">
        <f ca="1">IF(ATALI[[#This Row],[//]]="","",HYPERLINK("[../DB.xlsx]DB!e"&amp;MATCH(ATALI[[#This Row],[concat]],[4]!db[NB NOTA_C],0)+1,"&gt;"))</f>
        <v>&gt;</v>
      </c>
    </row>
    <row r="90" spans="1:25" x14ac:dyDescent="0.25">
      <c r="A90" s="4"/>
      <c r="B90" s="1" t="str">
        <f>IF(ATALI[[#This Row],[N_ID]]="","",INDEX(Table1[ID],MATCH(ATALI[[#This Row],[N_ID]],Table1[N_ID],0)))</f>
        <v/>
      </c>
      <c r="C90" s="1" t="str">
        <f>IF(ATALI[[#This Row],[ID NOTA]]="","",HYPERLINK("[NOTA_.xlsx]NOTA!e"&amp;INDEX([2]!PAJAK[//],MATCH(ATALI[[#This Row],[ID NOTA]],[2]!PAJAK[ID],0)),"&gt;") )</f>
        <v/>
      </c>
      <c r="D90" s="1" t="str">
        <f>IF(ATALI[[#This Row],[ID NOTA]]="","",INDEX(Table1[QB],MATCH(ATALI[[#This Row],[ID NOTA]],Table1[ID],0)))</f>
        <v/>
      </c>
      <c r="E9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610</v>
      </c>
      <c r="F90" s="1"/>
      <c r="G90" s="3" t="str">
        <f>IF(ATALI[[#This Row],[ID NOTA]]="","",INDEX([2]!NOTA[TGL_H],MATCH(ATALI[[#This Row],[ID NOTA]],[2]!NOTA[ID],0)))</f>
        <v/>
      </c>
      <c r="H90" s="3" t="str">
        <f>IF(ATALI[[#This Row],[ID NOTA]]="","",INDEX([2]!NOTA[TGL.NOTA],MATCH(ATALI[[#This Row],[ID NOTA]],[2]!NOTA[ID],0)))</f>
        <v/>
      </c>
      <c r="I90" t="str">
        <f>IF(ATALI[[#This Row],[ID NOTA]]="","",INDEX([2]!NOTA[NO.NOTA],MATCH(ATALI[[#This Row],[ID NOTA]],[2]!NOTA[ID],0)))</f>
        <v/>
      </c>
      <c r="J90" t="str">
        <f ca="1">IF(ATALI[[#This Row],[//]]="","",INDEX([4]!db[NB PAJAK],ATALI[[#This Row],[stt]]-1))</f>
        <v>TAPE CUTTER JOYKO TD-102</v>
      </c>
      <c r="K90" s="1">
        <f ca="1">IF(ATALI[[#This Row],[//]]="","",IF(INDEX([2]!NOTA[C],ATALI[[#This Row],[//]]-2)="","",INDEX([2]!NOTA[C],ATALI[[#This Row],[//]]-2)))</f>
        <v>6</v>
      </c>
      <c r="L90" s="1">
        <f ca="1">IF(ATALI[[#This Row],[//]]="","",INDEX([2]!NOTA[QTY],ATALI[[#This Row],[//]]-2))</f>
        <v>144</v>
      </c>
      <c r="M90" s="1" t="str">
        <f ca="1">IF(ATALI[[#This Row],[//]]="","",INDEX([2]!NOTA[STN],ATALI[[#This Row],[//]]-2))</f>
        <v>PCS</v>
      </c>
      <c r="N90" s="5">
        <f ca="1">IF(ATALI[[#This Row],[//]]="","",INDEX([2]!NOTA[HARGA SATUAN],ATALI[[#This Row],[//]]-2))</f>
        <v>10600</v>
      </c>
      <c r="O90" s="7">
        <f ca="1">IF(ATALI[[#This Row],[//]]="","",INDEX([2]!NOTA[DISC 1],ATALI[[#This Row],[//]]-2))</f>
        <v>0.125</v>
      </c>
      <c r="P90" s="7">
        <f ca="1">IF(ATALI[[#This Row],[//]]="","",INDEX([2]!NOTA[DISC 2],ATALI[[#This Row],[//]]-2))</f>
        <v>0.05</v>
      </c>
      <c r="Q90" s="5">
        <f ca="1">IF(ATALI[[#This Row],[//]]="","",INDEX([2]!NOTA[TOTAL],ATALI[[#This Row],[//]]-2))</f>
        <v>1268820</v>
      </c>
      <c r="R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t="str">
        <f ca="1">IF(ATALI[[#This Row],[//]]="","",INDEX([2]!NOTA[NAMA BARANG],ATALI[[#This Row],[//]]-2))</f>
        <v>TAPE CUTTER TD-102 JK</v>
      </c>
      <c r="V90" t="str">
        <f ca="1">LOWER(SUBSTITUTE(SUBSTITUTE(SUBSTITUTE(SUBSTITUTE(SUBSTITUTE(SUBSTITUTE(SUBSTITUTE(ATALI[[#This Row],[N.B.nota]]," ",""),"-",""),"(",""),")",""),".",""),",",""),"/",""))</f>
        <v>tapecuttertd102jk</v>
      </c>
      <c r="W90">
        <f ca="1">IF(ATALI[[#This Row],[concat]]="","",MATCH(ATALI[[#This Row],[concat]],[4]!db[NB NOTA_C],0)+1)</f>
        <v>1927</v>
      </c>
      <c r="X90" t="str">
        <f ca="1">IF(ATALI[[#This Row],[N.B.nota]]="","",ADDRESS(ROW(ATALI[QB]),COLUMN(ATALI[QB]))&amp;":"&amp;ADDRESS(ROW(),COLUMN(ATALI[QB])))</f>
        <v>$D$3:$D$90</v>
      </c>
      <c r="Y90" s="13" t="str">
        <f ca="1">IF(ATALI[[#This Row],[//]]="","",HYPERLINK("[../DB.xlsx]DB!e"&amp;MATCH(ATALI[[#This Row],[concat]],[4]!db[NB NOTA_C],0)+1,"&gt;"))</f>
        <v>&gt;</v>
      </c>
    </row>
    <row r="91" spans="1:25" x14ac:dyDescent="0.25">
      <c r="A91" s="4"/>
      <c r="B91" s="1" t="str">
        <f>IF(ATALI[[#This Row],[N_ID]]="","",INDEX(Table1[ID],MATCH(ATALI[[#This Row],[N_ID]],Table1[N_ID],0)))</f>
        <v/>
      </c>
      <c r="C91" s="1" t="str">
        <f>IF(ATALI[[#This Row],[ID NOTA]]="","",HYPERLINK("[NOTA_.xlsx]NOTA!e"&amp;INDEX([2]!PAJAK[//],MATCH(ATALI[[#This Row],[ID NOTA]],[2]!PAJAK[ID],0)),"&gt;") )</f>
        <v/>
      </c>
      <c r="D91" s="1" t="str">
        <f>IF(ATALI[[#This Row],[ID NOTA]]="","",INDEX(Table1[QB],MATCH(ATALI[[#This Row],[ID NOTA]],Table1[ID],0)))</f>
        <v/>
      </c>
      <c r="E9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611</v>
      </c>
      <c r="F91" s="1"/>
      <c r="G91" s="3" t="str">
        <f>IF(ATALI[[#This Row],[ID NOTA]]="","",INDEX([2]!NOTA[TGL_H],MATCH(ATALI[[#This Row],[ID NOTA]],[2]!NOTA[ID],0)))</f>
        <v/>
      </c>
      <c r="H91" s="3" t="str">
        <f>IF(ATALI[[#This Row],[ID NOTA]]="","",INDEX([2]!NOTA[TGL.NOTA],MATCH(ATALI[[#This Row],[ID NOTA]],[2]!NOTA[ID],0)))</f>
        <v/>
      </c>
      <c r="I91" t="str">
        <f>IF(ATALI[[#This Row],[ID NOTA]]="","",INDEX([2]!NOTA[NO.NOTA],MATCH(ATALI[[#This Row],[ID NOTA]],[2]!NOTA[ID],0)))</f>
        <v/>
      </c>
      <c r="J91" t="str">
        <f ca="1">IF(ATALI[[#This Row],[//]]="","",INDEX([4]!db[NB PAJAK],ATALI[[#This Row],[stt]]-1))</f>
        <v>STIP / PENGHAPUS JOYKO 526-B40P PUTIH</v>
      </c>
      <c r="K91" s="1">
        <f ca="1">IF(ATALI[[#This Row],[//]]="","",IF(INDEX([2]!NOTA[C],ATALI[[#This Row],[//]]-2)="","",INDEX([2]!NOTA[C],ATALI[[#This Row],[//]]-2)))</f>
        <v>2</v>
      </c>
      <c r="L91" s="1">
        <f ca="1">IF(ATALI[[#This Row],[//]]="","",INDEX([2]!NOTA[QTY],ATALI[[#This Row],[//]]-2))</f>
        <v>100</v>
      </c>
      <c r="M91" s="1" t="str">
        <f ca="1">IF(ATALI[[#This Row],[//]]="","",INDEX([2]!NOTA[STN],ATALI[[#This Row],[//]]-2))</f>
        <v>BOX</v>
      </c>
      <c r="N91" s="5">
        <f ca="1">IF(ATALI[[#This Row],[//]]="","",INDEX([2]!NOTA[HARGA SATUAN],ATALI[[#This Row],[//]]-2))</f>
        <v>28300</v>
      </c>
      <c r="O91" s="7">
        <f ca="1">IF(ATALI[[#This Row],[//]]="","",INDEX([2]!NOTA[DISC 1],ATALI[[#This Row],[//]]-2))</f>
        <v>0.125</v>
      </c>
      <c r="P91" s="7">
        <f ca="1">IF(ATALI[[#This Row],[//]]="","",INDEX([2]!NOTA[DISC 2],ATALI[[#This Row],[//]]-2))</f>
        <v>0.05</v>
      </c>
      <c r="Q91" s="5">
        <f ca="1">IF(ATALI[[#This Row],[//]]="","",INDEX([2]!NOTA[TOTAL],ATALI[[#This Row],[//]]-2))</f>
        <v>2352437.5</v>
      </c>
      <c r="R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1" t="str">
        <f ca="1">IF(ATALI[[#This Row],[//]]="","",INDEX([2]!NOTA[NAMA BARANG],ATALI[[#This Row],[//]]-2))</f>
        <v>ERASER 526-B40P JK</v>
      </c>
      <c r="V91" t="str">
        <f ca="1">LOWER(SUBSTITUTE(SUBSTITUTE(SUBSTITUTE(SUBSTITUTE(SUBSTITUTE(SUBSTITUTE(SUBSTITUTE(ATALI[[#This Row],[N.B.nota]]," ",""),"-",""),"(",""),")",""),".",""),",",""),"/",""))</f>
        <v>eraser526b40pjk</v>
      </c>
      <c r="W91">
        <f ca="1">IF(ATALI[[#This Row],[concat]]="","",MATCH(ATALI[[#This Row],[concat]],[4]!db[NB NOTA_C],0)+1)</f>
        <v>654</v>
      </c>
      <c r="X91" t="str">
        <f ca="1">IF(ATALI[[#This Row],[N.B.nota]]="","",ADDRESS(ROW(ATALI[QB]),COLUMN(ATALI[QB]))&amp;":"&amp;ADDRESS(ROW(),COLUMN(ATALI[QB])))</f>
        <v>$D$3:$D$91</v>
      </c>
      <c r="Y91" s="13" t="str">
        <f ca="1">IF(ATALI[[#This Row],[//]]="","",HYPERLINK("[../DB.xlsx]DB!e"&amp;MATCH(ATALI[[#This Row],[concat]],[4]!db[NB NOTA_C],0)+1,"&gt;"))</f>
        <v>&gt;</v>
      </c>
    </row>
    <row r="92" spans="1:25" x14ac:dyDescent="0.25">
      <c r="A92" s="4"/>
      <c r="B92" s="1" t="str">
        <f>IF(ATALI[[#This Row],[N_ID]]="","",INDEX(Table1[ID],MATCH(ATALI[[#This Row],[N_ID]],Table1[N_ID],0)))</f>
        <v/>
      </c>
      <c r="C92" s="1" t="str">
        <f>IF(ATALI[[#This Row],[ID NOTA]]="","",HYPERLINK("[NOTA_.xlsx]NOTA!e"&amp;INDEX([2]!PAJAK[//],MATCH(ATALI[[#This Row],[ID NOTA]],[2]!PAJAK[ID],0)),"&gt;") )</f>
        <v/>
      </c>
      <c r="D92" s="1" t="str">
        <f>IF(ATALI[[#This Row],[ID NOTA]]="","",INDEX(Table1[QB],MATCH(ATALI[[#This Row],[ID NOTA]],Table1[ID],0)))</f>
        <v/>
      </c>
      <c r="E9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612</v>
      </c>
      <c r="F92" s="1"/>
      <c r="G92" s="3" t="str">
        <f>IF(ATALI[[#This Row],[ID NOTA]]="","",INDEX([2]!NOTA[TGL_H],MATCH(ATALI[[#This Row],[ID NOTA]],[2]!NOTA[ID],0)))</f>
        <v/>
      </c>
      <c r="H92" s="3" t="str">
        <f>IF(ATALI[[#This Row],[ID NOTA]]="","",INDEX([2]!NOTA[TGL.NOTA],MATCH(ATALI[[#This Row],[ID NOTA]],[2]!NOTA[ID],0)))</f>
        <v/>
      </c>
      <c r="I92" t="str">
        <f>IF(ATALI[[#This Row],[ID NOTA]]="","",INDEX([2]!NOTA[NO.NOTA],MATCH(ATALI[[#This Row],[ID NOTA]],[2]!NOTA[ID],0)))</f>
        <v/>
      </c>
      <c r="J92" t="str">
        <f ca="1">IF(ATALI[[#This Row],[//]]="","",INDEX([4]!db[NB PAJAK],ATALI[[#This Row],[stt]]-1))</f>
        <v>GUNTING JOYKO SC-828</v>
      </c>
      <c r="K92" s="1">
        <f ca="1">IF(ATALI[[#This Row],[//]]="","",IF(INDEX([2]!NOTA[C],ATALI[[#This Row],[//]]-2)="","",INDEX([2]!NOTA[C],ATALI[[#This Row],[//]]-2)))</f>
        <v>2</v>
      </c>
      <c r="L92" s="1">
        <f ca="1">IF(ATALI[[#This Row],[//]]="","",INDEX([2]!NOTA[QTY],ATALI[[#This Row],[//]]-2))</f>
        <v>288</v>
      </c>
      <c r="M92" s="1" t="str">
        <f ca="1">IF(ATALI[[#This Row],[//]]="","",INDEX([2]!NOTA[STN],ATALI[[#This Row],[//]]-2))</f>
        <v>PCS</v>
      </c>
      <c r="N92" s="5">
        <f ca="1">IF(ATALI[[#This Row],[//]]="","",INDEX([2]!NOTA[HARGA SATUAN],ATALI[[#This Row],[//]]-2))</f>
        <v>4100</v>
      </c>
      <c r="O92" s="7">
        <f ca="1">IF(ATALI[[#This Row],[//]]="","",INDEX([2]!NOTA[DISC 1],ATALI[[#This Row],[//]]-2))</f>
        <v>0.125</v>
      </c>
      <c r="P92" s="7">
        <f ca="1">IF(ATALI[[#This Row],[//]]="","",INDEX([2]!NOTA[DISC 2],ATALI[[#This Row],[//]]-2))</f>
        <v>0.05</v>
      </c>
      <c r="Q92" s="5">
        <f ca="1">IF(ATALI[[#This Row],[//]]="","",INDEX([2]!NOTA[TOTAL],ATALI[[#This Row],[//]]-2))</f>
        <v>981540</v>
      </c>
      <c r="R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2" t="str">
        <f ca="1">IF(ATALI[[#This Row],[//]]="","",INDEX([2]!NOTA[NAMA BARANG],ATALI[[#This Row],[//]]-2))</f>
        <v>SCISSOR SC-828 JK</v>
      </c>
      <c r="V92" t="str">
        <f ca="1">LOWER(SUBSTITUTE(SUBSTITUTE(SUBSTITUTE(SUBSTITUTE(SUBSTITUTE(SUBSTITUTE(SUBSTITUTE(ATALI[[#This Row],[N.B.nota]]," ",""),"-",""),"(",""),")",""),".",""),",",""),"/",""))</f>
        <v>scissorsc828jk</v>
      </c>
      <c r="W92">
        <f ca="1">IF(ATALI[[#This Row],[concat]]="","",MATCH(ATALI[[#This Row],[concat]],[4]!db[NB NOTA_C],0)+1)</f>
        <v>1830</v>
      </c>
      <c r="X92" t="str">
        <f ca="1">IF(ATALI[[#This Row],[N.B.nota]]="","",ADDRESS(ROW(ATALI[QB]),COLUMN(ATALI[QB]))&amp;":"&amp;ADDRESS(ROW(),COLUMN(ATALI[QB])))</f>
        <v>$D$3:$D$92</v>
      </c>
      <c r="Y92" s="13" t="str">
        <f ca="1">IF(ATALI[[#This Row],[//]]="","",HYPERLINK("[../DB.xlsx]DB!e"&amp;MATCH(ATALI[[#This Row],[concat]],[4]!db[NB NOTA_C],0)+1,"&gt;"))</f>
        <v>&gt;</v>
      </c>
    </row>
    <row r="93" spans="1:25" x14ac:dyDescent="0.25">
      <c r="A93" s="4"/>
      <c r="B93" s="1" t="str">
        <f>IF(ATALI[[#This Row],[N_ID]]="","",INDEX(Table1[ID],MATCH(ATALI[[#This Row],[N_ID]],Table1[N_ID],0)))</f>
        <v/>
      </c>
      <c r="C93" s="1" t="str">
        <f>IF(ATALI[[#This Row],[ID NOTA]]="","",HYPERLINK("[NOTA_.xlsx]NOTA!e"&amp;INDEX([2]!PAJAK[//],MATCH(ATALI[[#This Row],[ID NOTA]],[2]!PAJAK[ID],0)),"&gt;") )</f>
        <v/>
      </c>
      <c r="D93" s="1" t="str">
        <f>IF(ATALI[[#This Row],[ID NOTA]]="","",INDEX(Table1[QB],MATCH(ATALI[[#This Row],[ID NOTA]],Table1[ID],0)))</f>
        <v/>
      </c>
      <c r="E9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613</v>
      </c>
      <c r="F93" s="1"/>
      <c r="G93" s="3" t="str">
        <f>IF(ATALI[[#This Row],[ID NOTA]]="","",INDEX([2]!NOTA[TGL_H],MATCH(ATALI[[#This Row],[ID NOTA]],[2]!NOTA[ID],0)))</f>
        <v/>
      </c>
      <c r="H93" s="3" t="str">
        <f>IF(ATALI[[#This Row],[ID NOTA]]="","",INDEX([2]!NOTA[TGL.NOTA],MATCH(ATALI[[#This Row],[ID NOTA]],[2]!NOTA[ID],0)))</f>
        <v/>
      </c>
      <c r="I93" t="str">
        <f>IF(ATALI[[#This Row],[ID NOTA]]="","",INDEX([2]!NOTA[NO.NOTA],MATCH(ATALI[[#This Row],[ID NOTA]],[2]!NOTA[ID],0)))</f>
        <v/>
      </c>
      <c r="J93" t="str">
        <f ca="1">IF(ATALI[[#This Row],[//]]="","",INDEX([4]!db[NB PAJAK],ATALI[[#This Row],[stt]]-1))</f>
        <v>CUTTER 18 MM JOYKO L-500-CU</v>
      </c>
      <c r="K93" s="1">
        <f ca="1">IF(ATALI[[#This Row],[//]]="","",IF(INDEX([2]!NOTA[C],ATALI[[#This Row],[//]]-2)="","",INDEX([2]!NOTA[C],ATALI[[#This Row],[//]]-2)))</f>
        <v>1</v>
      </c>
      <c r="L93" s="1">
        <f ca="1">IF(ATALI[[#This Row],[//]]="","",INDEX([2]!NOTA[QTY],ATALI[[#This Row],[//]]-2))</f>
        <v>288</v>
      </c>
      <c r="M93" s="1" t="str">
        <f ca="1">IF(ATALI[[#This Row],[//]]="","",INDEX([2]!NOTA[STN],ATALI[[#This Row],[//]]-2))</f>
        <v>PCS</v>
      </c>
      <c r="N93" s="5">
        <f ca="1">IF(ATALI[[#This Row],[//]]="","",INDEX([2]!NOTA[HARGA SATUAN],ATALI[[#This Row],[//]]-2))</f>
        <v>10600</v>
      </c>
      <c r="O93" s="7">
        <f ca="1">IF(ATALI[[#This Row],[//]]="","",INDEX([2]!NOTA[DISC 1],ATALI[[#This Row],[//]]-2))</f>
        <v>0.125</v>
      </c>
      <c r="P93" s="7">
        <f ca="1">IF(ATALI[[#This Row],[//]]="","",INDEX([2]!NOTA[DISC 2],ATALI[[#This Row],[//]]-2))</f>
        <v>0.05</v>
      </c>
      <c r="Q93" s="5">
        <f ca="1">IF(ATALI[[#This Row],[//]]="","",INDEX([2]!NOTA[TOTAL],ATALI[[#This Row],[//]]-2))</f>
        <v>2537640</v>
      </c>
      <c r="R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t="str">
        <f ca="1">IF(ATALI[[#This Row],[//]]="","",INDEX([2]!NOTA[NAMA BARANG],ATALI[[#This Row],[//]]-2))</f>
        <v>CUTTER L-500-CU JK</v>
      </c>
      <c r="V93" t="str">
        <f ca="1">LOWER(SUBSTITUTE(SUBSTITUTE(SUBSTITUTE(SUBSTITUTE(SUBSTITUTE(SUBSTITUTE(SUBSTITUTE(ATALI[[#This Row],[N.B.nota]]," ",""),"-",""),"(",""),")",""),".",""),",",""),"/",""))</f>
        <v>cutterl500cujk</v>
      </c>
      <c r="W93">
        <f ca="1">IF(ATALI[[#This Row],[concat]]="","",MATCH(ATALI[[#This Row],[concat]],[4]!db[NB NOTA_C],0)+1)</f>
        <v>558</v>
      </c>
      <c r="X93" t="str">
        <f ca="1">IF(ATALI[[#This Row],[N.B.nota]]="","",ADDRESS(ROW(ATALI[QB]),COLUMN(ATALI[QB]))&amp;":"&amp;ADDRESS(ROW(),COLUMN(ATALI[QB])))</f>
        <v>$D$3:$D$93</v>
      </c>
      <c r="Y93" s="13" t="str">
        <f ca="1">IF(ATALI[[#This Row],[//]]="","",HYPERLINK("[../DB.xlsx]DB!e"&amp;MATCH(ATALI[[#This Row],[concat]],[4]!db[NB NOTA_C],0)+1,"&gt;"))</f>
        <v>&gt;</v>
      </c>
    </row>
    <row r="94" spans="1:25" x14ac:dyDescent="0.25">
      <c r="A94" s="4"/>
      <c r="B94" s="1" t="str">
        <f>IF(ATALI[[#This Row],[N_ID]]="","",INDEX(Table1[ID],MATCH(ATALI[[#This Row],[N_ID]],Table1[N_ID],0)))</f>
        <v/>
      </c>
      <c r="C94" s="1" t="str">
        <f>IF(ATALI[[#This Row],[ID NOTA]]="","",HYPERLINK("[NOTA_.xlsx]NOTA!e"&amp;INDEX([2]!PAJAK[//],MATCH(ATALI[[#This Row],[ID NOTA]],[2]!PAJAK[ID],0)),"&gt;") )</f>
        <v/>
      </c>
      <c r="D94" s="1" t="str">
        <f>IF(ATALI[[#This Row],[ID NOTA]]="","",INDEX(Table1[QB],MATCH(ATALI[[#This Row],[ID NOTA]],Table1[ID],0)))</f>
        <v/>
      </c>
      <c r="E9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614</v>
      </c>
      <c r="F94" s="1"/>
      <c r="G94" s="3" t="str">
        <f>IF(ATALI[[#This Row],[ID NOTA]]="","",INDEX([2]!NOTA[TGL_H],MATCH(ATALI[[#This Row],[ID NOTA]],[2]!NOTA[ID],0)))</f>
        <v/>
      </c>
      <c r="H94" s="3" t="str">
        <f>IF(ATALI[[#This Row],[ID NOTA]]="","",INDEX([2]!NOTA[TGL.NOTA],MATCH(ATALI[[#This Row],[ID NOTA]],[2]!NOTA[ID],0)))</f>
        <v/>
      </c>
      <c r="I94" t="str">
        <f>IF(ATALI[[#This Row],[ID NOTA]]="","",INDEX([2]!NOTA[NO.NOTA],MATCH(ATALI[[#This Row],[ID NOTA]],[2]!NOTA[ID],0)))</f>
        <v/>
      </c>
      <c r="J94" t="str">
        <f ca="1">IF(ATALI[[#This Row],[//]]="","",INDEX([4]!db[NB PAJAK],ATALI[[#This Row],[stt]]-1))</f>
        <v>CORRECTION FLUID JOYKO CF-S221</v>
      </c>
      <c r="K94" s="1">
        <f ca="1">IF(ATALI[[#This Row],[//]]="","",IF(INDEX([2]!NOTA[C],ATALI[[#This Row],[//]]-2)="","",INDEX([2]!NOTA[C],ATALI[[#This Row],[//]]-2)))</f>
        <v>3</v>
      </c>
      <c r="L94" s="1">
        <f ca="1">IF(ATALI[[#This Row],[//]]="","",INDEX([2]!NOTA[QTY],ATALI[[#This Row],[//]]-2))</f>
        <v>72</v>
      </c>
      <c r="M94" s="1" t="str">
        <f ca="1">IF(ATALI[[#This Row],[//]]="","",INDEX([2]!NOTA[STN],ATALI[[#This Row],[//]]-2))</f>
        <v>BOX</v>
      </c>
      <c r="N94" s="5">
        <f ca="1">IF(ATALI[[#This Row],[//]]="","",INDEX([2]!NOTA[HARGA SATUAN],ATALI[[#This Row],[//]]-2))</f>
        <v>70800</v>
      </c>
      <c r="O94" s="7">
        <f ca="1">IF(ATALI[[#This Row],[//]]="","",INDEX([2]!NOTA[DISC 1],ATALI[[#This Row],[//]]-2))</f>
        <v>0.125</v>
      </c>
      <c r="P94" s="7">
        <f ca="1">IF(ATALI[[#This Row],[//]]="","",INDEX([2]!NOTA[DISC 2],ATALI[[#This Row],[//]]-2))</f>
        <v>0.05</v>
      </c>
      <c r="Q94" s="5">
        <f ca="1">IF(ATALI[[#This Row],[//]]="","",INDEX([2]!NOTA[TOTAL],ATALI[[#This Row],[//]]-2))</f>
        <v>4237380</v>
      </c>
      <c r="R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t="str">
        <f ca="1">IF(ATALI[[#This Row],[//]]="","",INDEX([2]!NOTA[NAMA BARANG],ATALI[[#This Row],[//]]-2))</f>
        <v>CORRECTION FLUID CF-S221 JK</v>
      </c>
      <c r="V94" t="str">
        <f ca="1">LOWER(SUBSTITUTE(SUBSTITUTE(SUBSTITUTE(SUBSTITUTE(SUBSTITUTE(SUBSTITUTE(SUBSTITUTE(ATALI[[#This Row],[N.B.nota]]," ",""),"-",""),"(",""),")",""),".",""),",",""),"/",""))</f>
        <v>correctionfluidcfs221jk</v>
      </c>
      <c r="W94">
        <f ca="1">IF(ATALI[[#This Row],[concat]]="","",MATCH(ATALI[[#This Row],[concat]],[4]!db[NB NOTA_C],0)+1)</f>
        <v>499</v>
      </c>
      <c r="X94" t="str">
        <f ca="1">IF(ATALI[[#This Row],[N.B.nota]]="","",ADDRESS(ROW(ATALI[QB]),COLUMN(ATALI[QB]))&amp;":"&amp;ADDRESS(ROW(),COLUMN(ATALI[QB])))</f>
        <v>$D$3:$D$94</v>
      </c>
      <c r="Y94" s="13" t="str">
        <f ca="1">IF(ATALI[[#This Row],[//]]="","",HYPERLINK("[../DB.xlsx]DB!e"&amp;MATCH(ATALI[[#This Row],[concat]],[4]!db[NB NOTA_C],0)+1,"&gt;"))</f>
        <v>&gt;</v>
      </c>
    </row>
    <row r="95" spans="1:25" x14ac:dyDescent="0.25">
      <c r="A95" s="4"/>
      <c r="B95" s="1" t="str">
        <f>IF(ATALI[[#This Row],[N_ID]]="","",INDEX(Table1[ID],MATCH(ATALI[[#This Row],[N_ID]],Table1[N_ID],0)))</f>
        <v/>
      </c>
      <c r="C95" s="1" t="str">
        <f>IF(ATALI[[#This Row],[ID NOTA]]="","",HYPERLINK("[NOTA_.xlsx]NOTA!e"&amp;INDEX([2]!PAJAK[//],MATCH(ATALI[[#This Row],[ID NOTA]],[2]!PAJAK[ID],0)),"&gt;") )</f>
        <v/>
      </c>
      <c r="D95" s="1" t="str">
        <f>IF(ATALI[[#This Row],[ID NOTA]]="","",INDEX(Table1[QB],MATCH(ATALI[[#This Row],[ID NOTA]],Table1[ID],0)))</f>
        <v/>
      </c>
      <c r="E9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615</v>
      </c>
      <c r="F95" s="1"/>
      <c r="G95" s="3" t="str">
        <f>IF(ATALI[[#This Row],[ID NOTA]]="","",INDEX([2]!NOTA[TGL_H],MATCH(ATALI[[#This Row],[ID NOTA]],[2]!NOTA[ID],0)))</f>
        <v/>
      </c>
      <c r="H95" s="3" t="str">
        <f>IF(ATALI[[#This Row],[ID NOTA]]="","",INDEX([2]!NOTA[TGL.NOTA],MATCH(ATALI[[#This Row],[ID NOTA]],[2]!NOTA[ID],0)))</f>
        <v/>
      </c>
      <c r="I95" t="str">
        <f>IF(ATALI[[#This Row],[ID NOTA]]="","",INDEX([2]!NOTA[NO.NOTA],MATCH(ATALI[[#This Row],[ID NOTA]],[2]!NOTA[ID],0)))</f>
        <v/>
      </c>
      <c r="J95" t="str">
        <f ca="1">IF(ATALI[[#This Row],[//]]="","",INDEX([4]!db[NB PAJAK],ATALI[[#This Row],[stt]]-1))</f>
        <v>CORRECTION FLUID JOYKO CF-S224</v>
      </c>
      <c r="K95" s="1">
        <f ca="1">IF(ATALI[[#This Row],[//]]="","",IF(INDEX([2]!NOTA[C],ATALI[[#This Row],[//]]-2)="","",INDEX([2]!NOTA[C],ATALI[[#This Row],[//]]-2)))</f>
        <v>3</v>
      </c>
      <c r="L95" s="1">
        <f ca="1">IF(ATALI[[#This Row],[//]]="","",INDEX([2]!NOTA[QTY],ATALI[[#This Row],[//]]-2))</f>
        <v>72</v>
      </c>
      <c r="M95" s="1" t="str">
        <f ca="1">IF(ATALI[[#This Row],[//]]="","",INDEX([2]!NOTA[STN],ATALI[[#This Row],[//]]-2))</f>
        <v>BOX</v>
      </c>
      <c r="N95" s="5">
        <f ca="1">IF(ATALI[[#This Row],[//]]="","",INDEX([2]!NOTA[HARGA SATUAN],ATALI[[#This Row],[//]]-2))</f>
        <v>70800</v>
      </c>
      <c r="O95" s="7">
        <f ca="1">IF(ATALI[[#This Row],[//]]="","",INDEX([2]!NOTA[DISC 1],ATALI[[#This Row],[//]]-2))</f>
        <v>0.125</v>
      </c>
      <c r="P95" s="7">
        <f ca="1">IF(ATALI[[#This Row],[//]]="","",INDEX([2]!NOTA[DISC 2],ATALI[[#This Row],[//]]-2))</f>
        <v>0.05</v>
      </c>
      <c r="Q95" s="5">
        <f ca="1">IF(ATALI[[#This Row],[//]]="","",INDEX([2]!NOTA[TOTAL],ATALI[[#This Row],[//]]-2))</f>
        <v>4237380</v>
      </c>
      <c r="R9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9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24663919</v>
      </c>
      <c r="T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5" t="str">
        <f ca="1">IF(ATALI[[#This Row],[//]]="","",INDEX([2]!NOTA[NAMA BARANG],ATALI[[#This Row],[//]]-2))</f>
        <v>CORRECTION FLUID CF-S224 JK</v>
      </c>
      <c r="V95" t="str">
        <f ca="1">LOWER(SUBSTITUTE(SUBSTITUTE(SUBSTITUTE(SUBSTITUTE(SUBSTITUTE(SUBSTITUTE(SUBSTITUTE(ATALI[[#This Row],[N.B.nota]]," ",""),"-",""),"(",""),")",""),".",""),",",""),"/",""))</f>
        <v>correctionfluidcfs224jk</v>
      </c>
      <c r="W95">
        <f ca="1">IF(ATALI[[#This Row],[concat]]="","",MATCH(ATALI[[#This Row],[concat]],[4]!db[NB NOTA_C],0)+1)</f>
        <v>500</v>
      </c>
      <c r="X95" t="str">
        <f ca="1">IF(ATALI[[#This Row],[N.B.nota]]="","",ADDRESS(ROW(ATALI[QB]),COLUMN(ATALI[QB]))&amp;":"&amp;ADDRESS(ROW(),COLUMN(ATALI[QB])))</f>
        <v>$D$3:$D$95</v>
      </c>
      <c r="Y95" s="13" t="str">
        <f ca="1">IF(ATALI[[#This Row],[//]]="","",HYPERLINK("[../DB.xlsx]DB!e"&amp;MATCH(ATALI[[#This Row],[concat]],[4]!db[NB NOTA_C],0)+1,"&gt;"))</f>
        <v>&gt;</v>
      </c>
    </row>
    <row r="96" spans="1:25" x14ac:dyDescent="0.25">
      <c r="A96" s="4"/>
      <c r="B96" s="1" t="str">
        <f>IF(ATALI[[#This Row],[N_ID]]="","",INDEX(Table1[ID],MATCH(ATALI[[#This Row],[N_ID]],Table1[N_ID],0)))</f>
        <v/>
      </c>
      <c r="C96" s="1" t="str">
        <f>IF(ATALI[[#This Row],[ID NOTA]]="","",HYPERLINK("[NOTA_.xlsx]NOTA!e"&amp;INDEX([2]!PAJAK[//],MATCH(ATALI[[#This Row],[ID NOTA]],[2]!PAJAK[ID],0)),"&gt;") )</f>
        <v/>
      </c>
      <c r="D96" s="1" t="str">
        <f>IF(ATALI[[#This Row],[ID NOTA]]="","",INDEX(Table1[QB],MATCH(ATALI[[#This Row],[ID NOTA]],Table1[ID],0)))</f>
        <v/>
      </c>
      <c r="E9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6" s="1"/>
      <c r="G96" s="3" t="str">
        <f>IF(ATALI[[#This Row],[ID NOTA]]="","",INDEX([2]!NOTA[TGL_H],MATCH(ATALI[[#This Row],[ID NOTA]],[2]!NOTA[ID],0)))</f>
        <v/>
      </c>
      <c r="H96" s="3" t="str">
        <f>IF(ATALI[[#This Row],[ID NOTA]]="","",INDEX([2]!NOTA[TGL.NOTA],MATCH(ATALI[[#This Row],[ID NOTA]],[2]!NOTA[ID],0)))</f>
        <v/>
      </c>
      <c r="I96" t="str">
        <f>IF(ATALI[[#This Row],[ID NOTA]]="","",INDEX([2]!NOTA[NO.NOTA],MATCH(ATALI[[#This Row],[ID NOTA]],[2]!NOTA[ID],0)))</f>
        <v/>
      </c>
      <c r="J96" t="str">
        <f ca="1">IF(ATALI[[#This Row],[//]]="","",INDEX([4]!db[NB PAJAK],ATALI[[#This Row],[stt]]-1))</f>
        <v/>
      </c>
      <c r="K96" s="1" t="str">
        <f ca="1">IF(ATALI[[#This Row],[//]]="","",IF(INDEX([2]!NOTA[C],ATALI[[#This Row],[//]]-2)="","",INDEX([2]!NOTA[C],ATALI[[#This Row],[//]]-2)))</f>
        <v/>
      </c>
      <c r="L96" s="1" t="str">
        <f ca="1">IF(ATALI[[#This Row],[//]]="","",INDEX([2]!NOTA[QTY],ATALI[[#This Row],[//]]-2))</f>
        <v/>
      </c>
      <c r="M96" s="1" t="str">
        <f ca="1">IF(ATALI[[#This Row],[//]]="","",INDEX([2]!NOTA[STN],ATALI[[#This Row],[//]]-2))</f>
        <v/>
      </c>
      <c r="N96" s="5" t="str">
        <f ca="1">IF(ATALI[[#This Row],[//]]="","",INDEX([2]!NOTA[HARGA SATUAN],ATALI[[#This Row],[//]]-2))</f>
        <v/>
      </c>
      <c r="O96" s="7" t="str">
        <f ca="1">IF(ATALI[[#This Row],[//]]="","",INDEX([2]!NOTA[DISC 1],ATALI[[#This Row],[//]]-2))</f>
        <v/>
      </c>
      <c r="P96" s="7" t="str">
        <f ca="1">IF(ATALI[[#This Row],[//]]="","",INDEX([2]!NOTA[DISC 2],ATALI[[#This Row],[//]]-2))</f>
        <v/>
      </c>
      <c r="Q96" s="5" t="str">
        <f ca="1">IF(ATALI[[#This Row],[//]]="","",INDEX([2]!NOTA[TOTAL],ATALI[[#This Row],[//]]-2))</f>
        <v/>
      </c>
      <c r="R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t="str">
        <f ca="1">IF(ATALI[[#This Row],[//]]="","",INDEX([2]!NOTA[NAMA BARANG],ATALI[[#This Row],[//]]-2))</f>
        <v/>
      </c>
      <c r="V96" t="str">
        <f ca="1">LOWER(SUBSTITUTE(SUBSTITUTE(SUBSTITUTE(SUBSTITUTE(SUBSTITUTE(SUBSTITUTE(SUBSTITUTE(ATALI[[#This Row],[N.B.nota]]," ",""),"-",""),"(",""),")",""),".",""),",",""),"/",""))</f>
        <v/>
      </c>
      <c r="W96" t="str">
        <f ca="1">IF(ATALI[[#This Row],[concat]]="","",MATCH(ATALI[[#This Row],[concat]],[4]!db[NB NOTA_C],0)+1)</f>
        <v/>
      </c>
      <c r="X96" t="str">
        <f ca="1">IF(ATALI[[#This Row],[N.B.nota]]="","",ADDRESS(ROW(ATALI[QB]),COLUMN(ATALI[QB]))&amp;":"&amp;ADDRESS(ROW(),COLUMN(ATALI[QB])))</f>
        <v/>
      </c>
      <c r="Y96" s="13" t="str">
        <f ca="1">IF(ATALI[[#This Row],[//]]="","",HYPERLINK("[../DB.xlsx]DB!e"&amp;MATCH(ATALI[[#This Row],[concat]],[4]!db[NB NOTA_C],0)+1,"&gt;"))</f>
        <v/>
      </c>
    </row>
    <row r="97" spans="1:25" x14ac:dyDescent="0.25">
      <c r="A97" s="4" t="s">
        <v>98</v>
      </c>
      <c r="B97" s="1">
        <f ca="1">IF(ATALI[[#This Row],[N_ID]]="","",INDEX(Table1[ID],MATCH(ATALI[[#This Row],[N_ID]],Table1[N_ID],0)))</f>
        <v>106</v>
      </c>
      <c r="C97" s="1" t="str">
        <f ca="1">IF(ATALI[[#This Row],[ID NOTA]]="","",HYPERLINK("[NOTA_.xlsx]NOTA!e"&amp;INDEX([2]!PAJAK[//],MATCH(ATALI[[#This Row],[ID NOTA]],[2]!PAJAK[ID],0)),"&gt;") )</f>
        <v>&gt;</v>
      </c>
      <c r="D97" s="1">
        <f ca="1">IF(ATALI[[#This Row],[ID NOTA]]="","",INDEX(Table1[QB],MATCH(ATALI[[#This Row],[ID NOTA]],Table1[ID],0)))</f>
        <v>8</v>
      </c>
      <c r="E9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617</v>
      </c>
      <c r="F97" s="1">
        <v>13</v>
      </c>
      <c r="G97" s="3">
        <f ca="1">IF(ATALI[[#This Row],[ID NOTA]]="","",INDEX([2]!NOTA[TGL_H],MATCH(ATALI[[#This Row],[ID NOTA]],[2]!NOTA[ID],0)))</f>
        <v>44827</v>
      </c>
      <c r="H97" s="3">
        <f ca="1">IF(ATALI[[#This Row],[ID NOTA]]="","",INDEX([2]!NOTA[TGL.NOTA],MATCH(ATALI[[#This Row],[ID NOTA]],[2]!NOTA[ID],0)))</f>
        <v>44821</v>
      </c>
      <c r="I97" t="str">
        <f ca="1">IF(ATALI[[#This Row],[ID NOTA]]="","",INDEX([2]!NOTA[NO.NOTA],MATCH(ATALI[[#This Row],[ID NOTA]],[2]!NOTA[ID],0)))</f>
        <v>SA220914682</v>
      </c>
      <c r="J97" t="str">
        <f ca="1">IF(ATALI[[#This Row],[//]]="","",INDEX([4]!db[NB PAJAK],ATALI[[#This Row],[stt]]-1))</f>
        <v>CRAYON / OIL PASTEL JOYKO OP-12S PP CASE SEA WORLD</v>
      </c>
      <c r="K97" s="1">
        <f ca="1">IF(ATALI[[#This Row],[//]]="","",IF(INDEX([2]!NOTA[C],ATALI[[#This Row],[//]]-2)="","",INDEX([2]!NOTA[C],ATALI[[#This Row],[//]]-2)))</f>
        <v>5</v>
      </c>
      <c r="L97" s="1">
        <f ca="1">IF(ATALI[[#This Row],[//]]="","",INDEX([2]!NOTA[QTY],ATALI[[#This Row],[//]]-2))</f>
        <v>720</v>
      </c>
      <c r="M97" s="1" t="str">
        <f ca="1">IF(ATALI[[#This Row],[//]]="","",INDEX([2]!NOTA[STN],ATALI[[#This Row],[//]]-2))</f>
        <v>SET</v>
      </c>
      <c r="N97" s="5">
        <f ca="1">IF(ATALI[[#This Row],[//]]="","",INDEX([2]!NOTA[HARGA SATUAN],ATALI[[#This Row],[//]]-2))</f>
        <v>11900</v>
      </c>
      <c r="O97" s="7">
        <f ca="1">IF(ATALI[[#This Row],[//]]="","",INDEX([2]!NOTA[DISC 1],ATALI[[#This Row],[//]]-2))</f>
        <v>0.125</v>
      </c>
      <c r="P97" s="7">
        <f ca="1">IF(ATALI[[#This Row],[//]]="","",INDEX([2]!NOTA[DISC 2],ATALI[[#This Row],[//]]-2))</f>
        <v>0.05</v>
      </c>
      <c r="Q97" s="5">
        <f ca="1">IF(ATALI[[#This Row],[//]]="","",INDEX([2]!NOTA[TOTAL],ATALI[[#This Row],[//]]-2))</f>
        <v>7122150</v>
      </c>
      <c r="R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t="str">
        <f ca="1">IF(ATALI[[#This Row],[//]]="","",INDEX([2]!NOTA[NAMA BARANG],ATALI[[#This Row],[//]]-2))</f>
        <v>OIL PASTEL OP-12S PP CASE SEA WORLD JK</v>
      </c>
      <c r="V97" t="str">
        <f ca="1">LOWER(SUBSTITUTE(SUBSTITUTE(SUBSTITUTE(SUBSTITUTE(SUBSTITUTE(SUBSTITUTE(SUBSTITUTE(ATALI[[#This Row],[N.B.nota]]," ",""),"-",""),"(",""),")",""),".",""),",",""),"/",""))</f>
        <v>oilpastelop12sppcaseseaworldjk</v>
      </c>
      <c r="W97">
        <f ca="1">IF(ATALI[[#This Row],[concat]]="","",MATCH(ATALI[[#This Row],[concat]],[4]!db[NB NOTA_C],0)+1)</f>
        <v>1500</v>
      </c>
      <c r="X97" t="str">
        <f ca="1">IF(ATALI[[#This Row],[N.B.nota]]="","",ADDRESS(ROW(ATALI[QB]),COLUMN(ATALI[QB]))&amp;":"&amp;ADDRESS(ROW(),COLUMN(ATALI[QB])))</f>
        <v>$D$3:$D$97</v>
      </c>
      <c r="Y97" s="13" t="str">
        <f ca="1">IF(ATALI[[#This Row],[//]]="","",HYPERLINK("[../DB.xlsx]DB!e"&amp;MATCH(ATALI[[#This Row],[concat]],[4]!db[NB NOTA_C],0)+1,"&gt;"))</f>
        <v>&gt;</v>
      </c>
    </row>
    <row r="98" spans="1:25" x14ac:dyDescent="0.25">
      <c r="A98" s="4"/>
      <c r="B98" s="1" t="str">
        <f>IF(ATALI[[#This Row],[N_ID]]="","",INDEX(Table1[ID],MATCH(ATALI[[#This Row],[N_ID]],Table1[N_ID],0)))</f>
        <v/>
      </c>
      <c r="C98" s="1" t="str">
        <f>IF(ATALI[[#This Row],[ID NOTA]]="","",HYPERLINK("[NOTA_.xlsx]NOTA!e"&amp;INDEX([2]!PAJAK[//],MATCH(ATALI[[#This Row],[ID NOTA]],[2]!PAJAK[ID],0)),"&gt;") )</f>
        <v/>
      </c>
      <c r="D98" s="1" t="str">
        <f>IF(ATALI[[#This Row],[ID NOTA]]="","",INDEX(Table1[QB],MATCH(ATALI[[#This Row],[ID NOTA]],Table1[ID],0)))</f>
        <v/>
      </c>
      <c r="E9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618</v>
      </c>
      <c r="F98" s="1"/>
      <c r="G98" s="3" t="str">
        <f>IF(ATALI[[#This Row],[ID NOTA]]="","",INDEX([2]!NOTA[TGL_H],MATCH(ATALI[[#This Row],[ID NOTA]],[2]!NOTA[ID],0)))</f>
        <v/>
      </c>
      <c r="H98" s="3" t="str">
        <f>IF(ATALI[[#This Row],[ID NOTA]]="","",INDEX([2]!NOTA[TGL.NOTA],MATCH(ATALI[[#This Row],[ID NOTA]],[2]!NOTA[ID],0)))</f>
        <v/>
      </c>
      <c r="I98" t="str">
        <f>IF(ATALI[[#This Row],[ID NOTA]]="","",INDEX([2]!NOTA[NO.NOTA],MATCH(ATALI[[#This Row],[ID NOTA]],[2]!NOTA[ID],0)))</f>
        <v/>
      </c>
      <c r="J98" t="str">
        <f ca="1">IF(ATALI[[#This Row],[//]]="","",INDEX([4]!db[NB PAJAK],ATALI[[#This Row],[stt]]-1))</f>
        <v>CRAYON / OIL PASTEL JOYKO OP-18S PP CASE SEA WORLD</v>
      </c>
      <c r="K98" s="1">
        <f ca="1">IF(ATALI[[#This Row],[//]]="","",IF(INDEX([2]!NOTA[C],ATALI[[#This Row],[//]]-2)="","",INDEX([2]!NOTA[C],ATALI[[#This Row],[//]]-2)))</f>
        <v>5</v>
      </c>
      <c r="L98" s="1">
        <f ca="1">IF(ATALI[[#This Row],[//]]="","",INDEX([2]!NOTA[QTY],ATALI[[#This Row],[//]]-2))</f>
        <v>360</v>
      </c>
      <c r="M98" s="1" t="str">
        <f ca="1">IF(ATALI[[#This Row],[//]]="","",INDEX([2]!NOTA[STN],ATALI[[#This Row],[//]]-2))</f>
        <v>SET</v>
      </c>
      <c r="N98" s="5">
        <f ca="1">IF(ATALI[[#This Row],[//]]="","",INDEX([2]!NOTA[HARGA SATUAN],ATALI[[#This Row],[//]]-2))</f>
        <v>23000</v>
      </c>
      <c r="O98" s="7">
        <f ca="1">IF(ATALI[[#This Row],[//]]="","",INDEX([2]!NOTA[DISC 1],ATALI[[#This Row],[//]]-2))</f>
        <v>0.125</v>
      </c>
      <c r="P98" s="7">
        <f ca="1">IF(ATALI[[#This Row],[//]]="","",INDEX([2]!NOTA[DISC 2],ATALI[[#This Row],[//]]-2))</f>
        <v>0.05</v>
      </c>
      <c r="Q98" s="5">
        <f ca="1">IF(ATALI[[#This Row],[//]]="","",INDEX([2]!NOTA[TOTAL],ATALI[[#This Row],[//]]-2))</f>
        <v>6882750</v>
      </c>
      <c r="R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8" t="str">
        <f ca="1">IF(ATALI[[#This Row],[//]]="","",INDEX([2]!NOTA[NAMA BARANG],ATALI[[#This Row],[//]]-2))</f>
        <v>OIL PASTEL OP-18S PP CASE SEA WORLD JK</v>
      </c>
      <c r="V98" t="str">
        <f ca="1">LOWER(SUBSTITUTE(SUBSTITUTE(SUBSTITUTE(SUBSTITUTE(SUBSTITUTE(SUBSTITUTE(SUBSTITUTE(ATALI[[#This Row],[N.B.nota]]," ",""),"-",""),"(",""),")",""),".",""),",",""),"/",""))</f>
        <v>oilpastelop18sppcaseseaworldjk</v>
      </c>
      <c r="W98">
        <f ca="1">IF(ATALI[[#This Row],[concat]]="","",MATCH(ATALI[[#This Row],[concat]],[4]!db[NB NOTA_C],0)+1)</f>
        <v>1501</v>
      </c>
      <c r="X98" t="str">
        <f ca="1">IF(ATALI[[#This Row],[N.B.nota]]="","",ADDRESS(ROW(ATALI[QB]),COLUMN(ATALI[QB]))&amp;":"&amp;ADDRESS(ROW(),COLUMN(ATALI[QB])))</f>
        <v>$D$3:$D$98</v>
      </c>
      <c r="Y98" s="13" t="str">
        <f ca="1">IF(ATALI[[#This Row],[//]]="","",HYPERLINK("[../DB.xlsx]DB!e"&amp;MATCH(ATALI[[#This Row],[concat]],[4]!db[NB NOTA_C],0)+1,"&gt;"))</f>
        <v>&gt;</v>
      </c>
    </row>
    <row r="99" spans="1:25" x14ac:dyDescent="0.25">
      <c r="A99" s="4"/>
      <c r="B99" s="1" t="str">
        <f>IF(ATALI[[#This Row],[N_ID]]="","",INDEX(Table1[ID],MATCH(ATALI[[#This Row],[N_ID]],Table1[N_ID],0)))</f>
        <v/>
      </c>
      <c r="C99" s="1" t="str">
        <f>IF(ATALI[[#This Row],[ID NOTA]]="","",HYPERLINK("[NOTA_.xlsx]NOTA!e"&amp;INDEX([2]!PAJAK[//],MATCH(ATALI[[#This Row],[ID NOTA]],[2]!PAJAK[ID],0)),"&gt;") )</f>
        <v/>
      </c>
      <c r="D99" s="1" t="str">
        <f>IF(ATALI[[#This Row],[ID NOTA]]="","",INDEX(Table1[QB],MATCH(ATALI[[#This Row],[ID NOTA]],Table1[ID],0)))</f>
        <v/>
      </c>
      <c r="E9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619</v>
      </c>
      <c r="F99" s="1"/>
      <c r="G99" s="3" t="str">
        <f>IF(ATALI[[#This Row],[ID NOTA]]="","",INDEX([2]!NOTA[TGL_H],MATCH(ATALI[[#This Row],[ID NOTA]],[2]!NOTA[ID],0)))</f>
        <v/>
      </c>
      <c r="H99" s="3" t="str">
        <f>IF(ATALI[[#This Row],[ID NOTA]]="","",INDEX([2]!NOTA[TGL.NOTA],MATCH(ATALI[[#This Row],[ID NOTA]],[2]!NOTA[ID],0)))</f>
        <v/>
      </c>
      <c r="I99" t="str">
        <f>IF(ATALI[[#This Row],[ID NOTA]]="","",INDEX([2]!NOTA[NO.NOTA],MATCH(ATALI[[#This Row],[ID NOTA]],[2]!NOTA[ID],0)))</f>
        <v/>
      </c>
      <c r="J99" t="str">
        <f ca="1">IF(ATALI[[#This Row],[//]]="","",INDEX([4]!db[NB PAJAK],ATALI[[#This Row],[stt]]-1))</f>
        <v>CRAYON / OIL PASTEL JOYKO OP-24S PP CASE SEA WORLD</v>
      </c>
      <c r="K99" s="1">
        <f ca="1">IF(ATALI[[#This Row],[//]]="","",IF(INDEX([2]!NOTA[C],ATALI[[#This Row],[//]]-2)="","",INDEX([2]!NOTA[C],ATALI[[#This Row],[//]]-2)))</f>
        <v>3</v>
      </c>
      <c r="L99" s="1">
        <f ca="1">IF(ATALI[[#This Row],[//]]="","",INDEX([2]!NOTA[QTY],ATALI[[#This Row],[//]]-2))</f>
        <v>144</v>
      </c>
      <c r="M99" s="1" t="str">
        <f ca="1">IF(ATALI[[#This Row],[//]]="","",INDEX([2]!NOTA[STN],ATALI[[#This Row],[//]]-2))</f>
        <v>SET</v>
      </c>
      <c r="N99" s="5">
        <f ca="1">IF(ATALI[[#This Row],[//]]="","",INDEX([2]!NOTA[HARGA SATUAN],ATALI[[#This Row],[//]]-2))</f>
        <v>28700</v>
      </c>
      <c r="O99" s="7">
        <f ca="1">IF(ATALI[[#This Row],[//]]="","",INDEX([2]!NOTA[DISC 1],ATALI[[#This Row],[//]]-2))</f>
        <v>0.125</v>
      </c>
      <c r="P99" s="7">
        <f ca="1">IF(ATALI[[#This Row],[//]]="","",INDEX([2]!NOTA[DISC 2],ATALI[[#This Row],[//]]-2))</f>
        <v>0.05</v>
      </c>
      <c r="Q99" s="5">
        <f ca="1">IF(ATALI[[#This Row],[//]]="","",INDEX([2]!NOTA[TOTAL],ATALI[[#This Row],[//]]-2))</f>
        <v>3435390</v>
      </c>
      <c r="R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t="str">
        <f ca="1">IF(ATALI[[#This Row],[//]]="","",INDEX([2]!NOTA[NAMA BARANG],ATALI[[#This Row],[//]]-2))</f>
        <v>OIL PASTEL OP-24S PP CASE SEA WORLD JK</v>
      </c>
      <c r="V99" t="str">
        <f ca="1">LOWER(SUBSTITUTE(SUBSTITUTE(SUBSTITUTE(SUBSTITUTE(SUBSTITUTE(SUBSTITUTE(SUBSTITUTE(ATALI[[#This Row],[N.B.nota]]," ",""),"-",""),"(",""),")",""),".",""),",",""),"/",""))</f>
        <v>oilpastelop24sppcaseseaworldjk</v>
      </c>
      <c r="W99">
        <f ca="1">IF(ATALI[[#This Row],[concat]]="","",MATCH(ATALI[[#This Row],[concat]],[4]!db[NB NOTA_C],0)+1)</f>
        <v>1502</v>
      </c>
      <c r="X99" t="str">
        <f ca="1">IF(ATALI[[#This Row],[N.B.nota]]="","",ADDRESS(ROW(ATALI[QB]),COLUMN(ATALI[QB]))&amp;":"&amp;ADDRESS(ROW(),COLUMN(ATALI[QB])))</f>
        <v>$D$3:$D$99</v>
      </c>
      <c r="Y99" s="13" t="str">
        <f ca="1">IF(ATALI[[#This Row],[//]]="","",HYPERLINK("[../DB.xlsx]DB!e"&amp;MATCH(ATALI[[#This Row],[concat]],[4]!db[NB NOTA_C],0)+1,"&gt;"))</f>
        <v>&gt;</v>
      </c>
    </row>
    <row r="100" spans="1:25" x14ac:dyDescent="0.25">
      <c r="A100" s="4"/>
      <c r="B100" s="1" t="str">
        <f>IF(ATALI[[#This Row],[N_ID]]="","",INDEX(Table1[ID],MATCH(ATALI[[#This Row],[N_ID]],Table1[N_ID],0)))</f>
        <v/>
      </c>
      <c r="C100" s="1" t="str">
        <f>IF(ATALI[[#This Row],[ID NOTA]]="","",HYPERLINK("[NOTA_.xlsx]NOTA!e"&amp;INDEX([2]!PAJAK[//],MATCH(ATALI[[#This Row],[ID NOTA]],[2]!PAJAK[ID],0)),"&gt;") )</f>
        <v/>
      </c>
      <c r="D100" s="1" t="str">
        <f>IF(ATALI[[#This Row],[ID NOTA]]="","",INDEX(Table1[QB],MATCH(ATALI[[#This Row],[ID NOTA]],Table1[ID],0)))</f>
        <v/>
      </c>
      <c r="E10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620</v>
      </c>
      <c r="F100" s="1"/>
      <c r="G100" s="3" t="str">
        <f>IF(ATALI[[#This Row],[ID NOTA]]="","",INDEX([2]!NOTA[TGL_H],MATCH(ATALI[[#This Row],[ID NOTA]],[2]!NOTA[ID],0)))</f>
        <v/>
      </c>
      <c r="H100" s="3" t="str">
        <f>IF(ATALI[[#This Row],[ID NOTA]]="","",INDEX([2]!NOTA[TGL.NOTA],MATCH(ATALI[[#This Row],[ID NOTA]],[2]!NOTA[ID],0)))</f>
        <v/>
      </c>
      <c r="I100" t="str">
        <f>IF(ATALI[[#This Row],[ID NOTA]]="","",INDEX([2]!NOTA[NO.NOTA],MATCH(ATALI[[#This Row],[ID NOTA]],[2]!NOTA[ID],0)))</f>
        <v/>
      </c>
      <c r="J100" t="str">
        <f ca="1">IF(ATALI[[#This Row],[//]]="","",INDEX([4]!db[NB PAJAK],ATALI[[#This Row],[stt]]-1))</f>
        <v>GEL PEN JOYKO GP-265 Q-GEL HITAM</v>
      </c>
      <c r="K100" s="1" t="str">
        <f ca="1">IF(ATALI[[#This Row],[//]]="","",IF(INDEX([2]!NOTA[C],ATALI[[#This Row],[//]]-2)="","",INDEX([2]!NOTA[C],ATALI[[#This Row],[//]]-2)))</f>
        <v/>
      </c>
      <c r="L100" s="1">
        <f ca="1">IF(ATALI[[#This Row],[//]]="","",INDEX([2]!NOTA[QTY],ATALI[[#This Row],[//]]-2))</f>
        <v>26</v>
      </c>
      <c r="M100" s="1" t="str">
        <f ca="1">IF(ATALI[[#This Row],[//]]="","",INDEX([2]!NOTA[STN],ATALI[[#This Row],[//]]-2))</f>
        <v>DZ</v>
      </c>
      <c r="N100" s="5">
        <f ca="1">IF(ATALI[[#This Row],[//]]="","",INDEX([2]!NOTA[HARGA SATUAN],ATALI[[#This Row],[//]]-2))</f>
        <v>27600</v>
      </c>
      <c r="O100" s="7">
        <f ca="1">IF(ATALI[[#This Row],[//]]="","",INDEX([2]!NOTA[DISC 1],ATALI[[#This Row],[//]]-2))</f>
        <v>0.1</v>
      </c>
      <c r="P100" s="7">
        <f ca="1">IF(ATALI[[#This Row],[//]]="","",INDEX([2]!NOTA[DISC 2],ATALI[[#This Row],[//]]-2))</f>
        <v>0.05</v>
      </c>
      <c r="Q100" s="5">
        <f ca="1">IF(ATALI[[#This Row],[//]]="","",INDEX([2]!NOTA[TOTAL],ATALI[[#This Row],[//]]-2))</f>
        <v>613548</v>
      </c>
      <c r="R1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0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CRAYON PUTAR JK</v>
      </c>
      <c r="U100" t="str">
        <f ca="1">IF(ATALI[[#This Row],[//]]="","",INDEX([2]!NOTA[NAMA BARANG],ATALI[[#This Row],[//]]-2))</f>
        <v>GEL PEN GP-265Q GEL (BLACK) JK</v>
      </c>
      <c r="V100" t="str">
        <f ca="1">LOWER(SUBSTITUTE(SUBSTITUTE(SUBSTITUTE(SUBSTITUTE(SUBSTITUTE(SUBSTITUTE(SUBSTITUTE(ATALI[[#This Row],[N.B.nota]]," ",""),"-",""),"(",""),")",""),".",""),",",""),"/",""))</f>
        <v>gelpengp265qgelblackjk</v>
      </c>
      <c r="W100">
        <f ca="1">IF(ATALI[[#This Row],[concat]]="","",MATCH(ATALI[[#This Row],[concat]],[4]!db[NB NOTA_C],0)+1)</f>
        <v>705</v>
      </c>
      <c r="X100" t="str">
        <f ca="1">IF(ATALI[[#This Row],[N.B.nota]]="","",ADDRESS(ROW(ATALI[QB]),COLUMN(ATALI[QB]))&amp;":"&amp;ADDRESS(ROW(),COLUMN(ATALI[QB])))</f>
        <v>$D$3:$D$100</v>
      </c>
      <c r="Y100" s="13" t="str">
        <f ca="1">IF(ATALI[[#This Row],[//]]="","",HYPERLINK("[../DB.xlsx]DB!e"&amp;MATCH(ATALI[[#This Row],[concat]],[4]!db[NB NOTA_C],0)+1,"&gt;"))</f>
        <v>&gt;</v>
      </c>
    </row>
    <row r="101" spans="1:25" x14ac:dyDescent="0.25">
      <c r="A101" s="4"/>
      <c r="B101" s="1" t="str">
        <f>IF(ATALI[[#This Row],[N_ID]]="","",INDEX(Table1[ID],MATCH(ATALI[[#This Row],[N_ID]],Table1[N_ID],0)))</f>
        <v/>
      </c>
      <c r="C101" s="1" t="str">
        <f>IF(ATALI[[#This Row],[ID NOTA]]="","",HYPERLINK("[NOTA_.xlsx]NOTA!e"&amp;INDEX([2]!PAJAK[//],MATCH(ATALI[[#This Row],[ID NOTA]],[2]!PAJAK[ID],0)),"&gt;") )</f>
        <v/>
      </c>
      <c r="D101" s="1" t="str">
        <f>IF(ATALI[[#This Row],[ID NOTA]]="","",INDEX(Table1[QB],MATCH(ATALI[[#This Row],[ID NOTA]],Table1[ID],0)))</f>
        <v/>
      </c>
      <c r="E10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621</v>
      </c>
      <c r="F101" s="1"/>
      <c r="G101" s="3" t="str">
        <f>IF(ATALI[[#This Row],[ID NOTA]]="","",INDEX([2]!NOTA[TGL_H],MATCH(ATALI[[#This Row],[ID NOTA]],[2]!NOTA[ID],0)))</f>
        <v/>
      </c>
      <c r="H101" s="3" t="str">
        <f>IF(ATALI[[#This Row],[ID NOTA]]="","",INDEX([2]!NOTA[TGL.NOTA],MATCH(ATALI[[#This Row],[ID NOTA]],[2]!NOTA[ID],0)))</f>
        <v/>
      </c>
      <c r="I101" t="str">
        <f>IF(ATALI[[#This Row],[ID NOTA]]="","",INDEX([2]!NOTA[NO.NOTA],MATCH(ATALI[[#This Row],[ID NOTA]],[2]!NOTA[ID],0)))</f>
        <v/>
      </c>
      <c r="J101" t="str">
        <f ca="1">IF(ATALI[[#This Row],[//]]="","",INDEX([4]!db[NB PAJAK],ATALI[[#This Row],[stt]]-1))</f>
        <v>BINDER CLIP JOYKO 280</v>
      </c>
      <c r="K101" s="1">
        <f ca="1">IF(ATALI[[#This Row],[//]]="","",IF(INDEX([2]!NOTA[C],ATALI[[#This Row],[//]]-2)="","",INDEX([2]!NOTA[C],ATALI[[#This Row],[//]]-2)))</f>
        <v>1</v>
      </c>
      <c r="L101" s="1">
        <f ca="1">IF(ATALI[[#This Row],[//]]="","",INDEX([2]!NOTA[QTY],ATALI[[#This Row],[//]]-2))</f>
        <v>3</v>
      </c>
      <c r="M101" s="1" t="str">
        <f ca="1">IF(ATALI[[#This Row],[//]]="","",INDEX([2]!NOTA[STN],ATALI[[#This Row],[//]]-2))</f>
        <v>GRS</v>
      </c>
      <c r="N101" s="5">
        <f ca="1">IF(ATALI[[#This Row],[//]]="","",INDEX([2]!NOTA[HARGA SATUAN],ATALI[[#This Row],[//]]-2))</f>
        <v>507600</v>
      </c>
      <c r="O101" s="7">
        <f ca="1">IF(ATALI[[#This Row],[//]]="","",INDEX([2]!NOTA[DISC 1],ATALI[[#This Row],[//]]-2))</f>
        <v>0.125</v>
      </c>
      <c r="P101" s="7">
        <f ca="1">IF(ATALI[[#This Row],[//]]="","",INDEX([2]!NOTA[DISC 2],ATALI[[#This Row],[//]]-2))</f>
        <v>0.05</v>
      </c>
      <c r="Q101" s="5">
        <f ca="1">IF(ATALI[[#This Row],[//]]="","",INDEX([2]!NOTA[TOTAL],ATALI[[#This Row],[//]]-2))</f>
        <v>1265827.5</v>
      </c>
      <c r="R1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t="str">
        <f ca="1">IF(ATALI[[#This Row],[//]]="","",INDEX([2]!NOTA[NAMA BARANG],ATALI[[#This Row],[//]]-2))</f>
        <v>BINDER CLIP 280 JK</v>
      </c>
      <c r="V101" t="str">
        <f ca="1">LOWER(SUBSTITUTE(SUBSTITUTE(SUBSTITUTE(SUBSTITUTE(SUBSTITUTE(SUBSTITUTE(SUBSTITUTE(ATALI[[#This Row],[N.B.nota]]," ",""),"-",""),"(",""),")",""),".",""),",",""),"/",""))</f>
        <v>binderclip280jk</v>
      </c>
      <c r="W101">
        <f ca="1">IF(ATALI[[#This Row],[concat]]="","",MATCH(ATALI[[#This Row],[concat]],[4]!db[NB NOTA_C],0)+1)</f>
        <v>204</v>
      </c>
      <c r="X101" t="str">
        <f ca="1">IF(ATALI[[#This Row],[N.B.nota]]="","",ADDRESS(ROW(ATALI[QB]),COLUMN(ATALI[QB]))&amp;":"&amp;ADDRESS(ROW(),COLUMN(ATALI[QB])))</f>
        <v>$D$3:$D$101</v>
      </c>
      <c r="Y101" s="13" t="str">
        <f ca="1">IF(ATALI[[#This Row],[//]]="","",HYPERLINK("[../DB.xlsx]DB!e"&amp;MATCH(ATALI[[#This Row],[concat]],[4]!db[NB NOTA_C],0)+1,"&gt;"))</f>
        <v>&gt;</v>
      </c>
    </row>
    <row r="102" spans="1:25" x14ac:dyDescent="0.25">
      <c r="A102" s="4"/>
      <c r="B102" s="1" t="str">
        <f>IF(ATALI[[#This Row],[N_ID]]="","",INDEX(Table1[ID],MATCH(ATALI[[#This Row],[N_ID]],Table1[N_ID],0)))</f>
        <v/>
      </c>
      <c r="C102" s="1" t="str">
        <f>IF(ATALI[[#This Row],[ID NOTA]]="","",HYPERLINK("[NOTA_.xlsx]NOTA!e"&amp;INDEX([2]!PAJAK[//],MATCH(ATALI[[#This Row],[ID NOTA]],[2]!PAJAK[ID],0)),"&gt;") )</f>
        <v/>
      </c>
      <c r="D102" s="1" t="str">
        <f>IF(ATALI[[#This Row],[ID NOTA]]="","",INDEX(Table1[QB],MATCH(ATALI[[#This Row],[ID NOTA]],Table1[ID],0)))</f>
        <v/>
      </c>
      <c r="E10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622</v>
      </c>
      <c r="F102" s="1"/>
      <c r="G102" s="3" t="str">
        <f>IF(ATALI[[#This Row],[ID NOTA]]="","",INDEX([2]!NOTA[TGL_H],MATCH(ATALI[[#This Row],[ID NOTA]],[2]!NOTA[ID],0)))</f>
        <v/>
      </c>
      <c r="H102" s="3" t="str">
        <f>IF(ATALI[[#This Row],[ID NOTA]]="","",INDEX([2]!NOTA[TGL.NOTA],MATCH(ATALI[[#This Row],[ID NOTA]],[2]!NOTA[ID],0)))</f>
        <v/>
      </c>
      <c r="I102" t="str">
        <f>IF(ATALI[[#This Row],[ID NOTA]]="","",INDEX([2]!NOTA[NO.NOTA],MATCH(ATALI[[#This Row],[ID NOTA]],[2]!NOTA[ID],0)))</f>
        <v/>
      </c>
      <c r="J102" t="str">
        <f ca="1">IF(ATALI[[#This Row],[//]]="","",INDEX([4]!db[NB PAJAK],ATALI[[#This Row],[stt]]-1))</f>
        <v>GEL PEN JOYKO GP-265 Q-GEL HITAM</v>
      </c>
      <c r="K102" s="1" t="str">
        <f ca="1">IF(ATALI[[#This Row],[//]]="","",IF(INDEX([2]!NOTA[C],ATALI[[#This Row],[//]]-2)="","",INDEX([2]!NOTA[C],ATALI[[#This Row],[//]]-2)))</f>
        <v/>
      </c>
      <c r="L102" s="1">
        <f ca="1">IF(ATALI[[#This Row],[//]]="","",INDEX([2]!NOTA[QTY],ATALI[[#This Row],[//]]-2))</f>
        <v>2</v>
      </c>
      <c r="M102" s="1" t="str">
        <f ca="1">IF(ATALI[[#This Row],[//]]="","",INDEX([2]!NOTA[STN],ATALI[[#This Row],[//]]-2))</f>
        <v>DZ</v>
      </c>
      <c r="N102" s="5">
        <f ca="1">IF(ATALI[[#This Row],[//]]="","",INDEX([2]!NOTA[HARGA SATUAN],ATALI[[#This Row],[//]]-2))</f>
        <v>27600</v>
      </c>
      <c r="O102" s="7">
        <f ca="1">IF(ATALI[[#This Row],[//]]="","",INDEX([2]!NOTA[DISC 1],ATALI[[#This Row],[//]]-2))</f>
        <v>0.1</v>
      </c>
      <c r="P102" s="7">
        <f ca="1">IF(ATALI[[#This Row],[//]]="","",INDEX([2]!NOTA[DISC 2],ATALI[[#This Row],[//]]-2))</f>
        <v>0.05</v>
      </c>
      <c r="Q102" s="5">
        <f ca="1">IF(ATALI[[#This Row],[//]]="","",INDEX([2]!NOTA[TOTAL],ATALI[[#This Row],[//]]-2))</f>
        <v>47196</v>
      </c>
      <c r="R1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2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105-300 JK</v>
      </c>
      <c r="U102" t="str">
        <f ca="1">IF(ATALI[[#This Row],[//]]="","",INDEX([2]!NOTA[NAMA BARANG],ATALI[[#This Row],[//]]-2))</f>
        <v>GEL PEN  GP-265 Q GEL (BLACK) JK</v>
      </c>
      <c r="V102" t="str">
        <f ca="1">LOWER(SUBSTITUTE(SUBSTITUTE(SUBSTITUTE(SUBSTITUTE(SUBSTITUTE(SUBSTITUTE(SUBSTITUTE(ATALI[[#This Row],[N.B.nota]]," ",""),"-",""),"(",""),")",""),".",""),",",""),"/",""))</f>
        <v>gelpengp265qgelblackjk</v>
      </c>
      <c r="W102">
        <f ca="1">IF(ATALI[[#This Row],[concat]]="","",MATCH(ATALI[[#This Row],[concat]],[4]!db[NB NOTA_C],0)+1)</f>
        <v>705</v>
      </c>
      <c r="X102" t="str">
        <f ca="1">IF(ATALI[[#This Row],[N.B.nota]]="","",ADDRESS(ROW(ATALI[QB]),COLUMN(ATALI[QB]))&amp;":"&amp;ADDRESS(ROW(),COLUMN(ATALI[QB])))</f>
        <v>$D$3:$D$102</v>
      </c>
      <c r="Y102" s="13" t="str">
        <f ca="1">IF(ATALI[[#This Row],[//]]="","",HYPERLINK("[../DB.xlsx]DB!e"&amp;MATCH(ATALI[[#This Row],[concat]],[4]!db[NB NOTA_C],0)+1,"&gt;"))</f>
        <v>&gt;</v>
      </c>
    </row>
    <row r="103" spans="1:25" x14ac:dyDescent="0.25">
      <c r="A103" s="4"/>
      <c r="B103" s="1" t="str">
        <f>IF(ATALI[[#This Row],[N_ID]]="","",INDEX(Table1[ID],MATCH(ATALI[[#This Row],[N_ID]],Table1[N_ID],0)))</f>
        <v/>
      </c>
      <c r="C103" s="1" t="str">
        <f>IF(ATALI[[#This Row],[ID NOTA]]="","",HYPERLINK("[NOTA_.xlsx]NOTA!e"&amp;INDEX([2]!PAJAK[//],MATCH(ATALI[[#This Row],[ID NOTA]],[2]!PAJAK[ID],0)),"&gt;") )</f>
        <v/>
      </c>
      <c r="D103" s="1" t="str">
        <f>IF(ATALI[[#This Row],[ID NOTA]]="","",INDEX(Table1[QB],MATCH(ATALI[[#This Row],[ID NOTA]],Table1[ID],0)))</f>
        <v/>
      </c>
      <c r="E10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623</v>
      </c>
      <c r="F103" s="1"/>
      <c r="G103" s="3" t="str">
        <f>IF(ATALI[[#This Row],[ID NOTA]]="","",INDEX([2]!NOTA[TGL_H],MATCH(ATALI[[#This Row],[ID NOTA]],[2]!NOTA[ID],0)))</f>
        <v/>
      </c>
      <c r="H103" s="3" t="str">
        <f>IF(ATALI[[#This Row],[ID NOTA]]="","",INDEX([2]!NOTA[TGL.NOTA],MATCH(ATALI[[#This Row],[ID NOTA]],[2]!NOTA[ID],0)))</f>
        <v/>
      </c>
      <c r="I103" t="str">
        <f>IF(ATALI[[#This Row],[ID NOTA]]="","",INDEX([2]!NOTA[NO.NOTA],MATCH(ATALI[[#This Row],[ID NOTA]],[2]!NOTA[ID],0)))</f>
        <v/>
      </c>
      <c r="J103" t="str">
        <f ca="1">IF(ATALI[[#This Row],[//]]="","",INDEX([4]!db[NB PAJAK],ATALI[[#This Row],[stt]]-1))</f>
        <v>CUTTER 18 MM JOYKO L-500 + ISI (BESAR)</v>
      </c>
      <c r="K103" s="1">
        <f ca="1">IF(ATALI[[#This Row],[//]]="","",IF(INDEX([2]!NOTA[C],ATALI[[#This Row],[//]]-2)="","",INDEX([2]!NOTA[C],ATALI[[#This Row],[//]]-2)))</f>
        <v>3</v>
      </c>
      <c r="L103" s="1">
        <f ca="1">IF(ATALI[[#This Row],[//]]="","",INDEX([2]!NOTA[QTY],ATALI[[#This Row],[//]]-2))</f>
        <v>72</v>
      </c>
      <c r="M103" s="1" t="str">
        <f ca="1">IF(ATALI[[#This Row],[//]]="","",INDEX([2]!NOTA[STN],ATALI[[#This Row],[//]]-2))</f>
        <v>DZ</v>
      </c>
      <c r="N103" s="5">
        <f ca="1">IF(ATALI[[#This Row],[//]]="","",INDEX([2]!NOTA[HARGA SATUAN],ATALI[[#This Row],[//]]-2))</f>
        <v>162000</v>
      </c>
      <c r="O103" s="7">
        <f ca="1">IF(ATALI[[#This Row],[//]]="","",INDEX([2]!NOTA[DISC 1],ATALI[[#This Row],[//]]-2))</f>
        <v>0.125</v>
      </c>
      <c r="P103" s="7">
        <f ca="1">IF(ATALI[[#This Row],[//]]="","",INDEX([2]!NOTA[DISC 2],ATALI[[#This Row],[//]]-2))</f>
        <v>0.05</v>
      </c>
      <c r="Q103" s="5">
        <f ca="1">IF(ATALI[[#This Row],[//]]="","",INDEX([2]!NOTA[TOTAL],ATALI[[#This Row],[//]]-2))</f>
        <v>9695700</v>
      </c>
      <c r="R1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t="str">
        <f ca="1">IF(ATALI[[#This Row],[//]]="","",INDEX([2]!NOTA[NAMA BARANG],ATALI[[#This Row],[//]]-2))</f>
        <v>CUTTER L-500 JK</v>
      </c>
      <c r="V103" t="str">
        <f ca="1">LOWER(SUBSTITUTE(SUBSTITUTE(SUBSTITUTE(SUBSTITUTE(SUBSTITUTE(SUBSTITUTE(SUBSTITUTE(ATALI[[#This Row],[N.B.nota]]," ",""),"-",""),"(",""),")",""),".",""),",",""),"/",""))</f>
        <v>cutterl500jk</v>
      </c>
      <c r="W103">
        <f ca="1">IF(ATALI[[#This Row],[concat]]="","",MATCH(ATALI[[#This Row],[concat]],[4]!db[NB NOTA_C],0)+1)</f>
        <v>557</v>
      </c>
      <c r="X103" t="str">
        <f ca="1">IF(ATALI[[#This Row],[N.B.nota]]="","",ADDRESS(ROW(ATALI[QB]),COLUMN(ATALI[QB]))&amp;":"&amp;ADDRESS(ROW(),COLUMN(ATALI[QB])))</f>
        <v>$D$3:$D$103</v>
      </c>
      <c r="Y103" s="13" t="str">
        <f ca="1">IF(ATALI[[#This Row],[//]]="","",HYPERLINK("[../DB.xlsx]DB!e"&amp;MATCH(ATALI[[#This Row],[concat]],[4]!db[NB NOTA_C],0)+1,"&gt;"))</f>
        <v>&gt;</v>
      </c>
    </row>
    <row r="104" spans="1:25" x14ac:dyDescent="0.25">
      <c r="A104" s="4"/>
      <c r="B104" s="1" t="str">
        <f>IF(ATALI[[#This Row],[N_ID]]="","",INDEX(Table1[ID],MATCH(ATALI[[#This Row],[N_ID]],Table1[N_ID],0)))</f>
        <v/>
      </c>
      <c r="C104" s="1" t="str">
        <f>IF(ATALI[[#This Row],[ID NOTA]]="","",HYPERLINK("[NOTA_.xlsx]NOTA!e"&amp;INDEX([2]!PAJAK[//],MATCH(ATALI[[#This Row],[ID NOTA]],[2]!PAJAK[ID],0)),"&gt;") )</f>
        <v/>
      </c>
      <c r="D104" s="1" t="str">
        <f>IF(ATALI[[#This Row],[ID NOTA]]="","",INDEX(Table1[QB],MATCH(ATALI[[#This Row],[ID NOTA]],Table1[ID],0)))</f>
        <v/>
      </c>
      <c r="E10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624</v>
      </c>
      <c r="F104" s="1"/>
      <c r="G104" s="3" t="str">
        <f>IF(ATALI[[#This Row],[ID NOTA]]="","",INDEX([2]!NOTA[TGL_H],MATCH(ATALI[[#This Row],[ID NOTA]],[2]!NOTA[ID],0)))</f>
        <v/>
      </c>
      <c r="H104" s="3" t="str">
        <f>IF(ATALI[[#This Row],[ID NOTA]]="","",INDEX([2]!NOTA[TGL.NOTA],MATCH(ATALI[[#This Row],[ID NOTA]],[2]!NOTA[ID],0)))</f>
        <v/>
      </c>
      <c r="I104" t="str">
        <f>IF(ATALI[[#This Row],[ID NOTA]]="","",INDEX([2]!NOTA[NO.NOTA],MATCH(ATALI[[#This Row],[ID NOTA]],[2]!NOTA[ID],0)))</f>
        <v/>
      </c>
      <c r="J104" t="str">
        <f ca="1">IF(ATALI[[#This Row],[//]]="","",INDEX([4]!db[NB PAJAK],ATALI[[#This Row],[stt]]-1))</f>
        <v>ISI CUTTER 18 MM JOYKO L-150 MH (BESAR)</v>
      </c>
      <c r="K104" s="1" t="str">
        <f ca="1">IF(ATALI[[#This Row],[//]]="","",IF(INDEX([2]!NOTA[C],ATALI[[#This Row],[//]]-2)="","",INDEX([2]!NOTA[C],ATALI[[#This Row],[//]]-2)))</f>
        <v/>
      </c>
      <c r="L104" s="1">
        <f ca="1">IF(ATALI[[#This Row],[//]]="","",INDEX([2]!NOTA[QTY],ATALI[[#This Row],[//]]-2))</f>
        <v>72</v>
      </c>
      <c r="M104" s="1" t="str">
        <f ca="1">IF(ATALI[[#This Row],[//]]="","",INDEX([2]!NOTA[STN],ATALI[[#This Row],[//]]-2))</f>
        <v>DZ</v>
      </c>
      <c r="N104" s="5">
        <f ca="1">IF(ATALI[[#This Row],[//]]="","",INDEX([2]!NOTA[HARGA SATUAN],ATALI[[#This Row],[//]]-2))</f>
        <v>0</v>
      </c>
      <c r="O104" s="7">
        <f ca="1">IF(ATALI[[#This Row],[//]]="","",INDEX([2]!NOTA[DISC 1],ATALI[[#This Row],[//]]-2))</f>
        <v>0</v>
      </c>
      <c r="P104" s="7">
        <f ca="1">IF(ATALI[[#This Row],[//]]="","",INDEX([2]!NOTA[DISC 2],ATALI[[#This Row],[//]]-2))</f>
        <v>0</v>
      </c>
      <c r="Q104" s="5" t="str">
        <f ca="1">IF(ATALI[[#This Row],[//]]="","",INDEX([2]!NOTA[TOTAL],ATALI[[#This Row],[//]]-2))</f>
        <v/>
      </c>
      <c r="R10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660744</v>
      </c>
      <c r="S10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28401817.5</v>
      </c>
      <c r="T10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</v>
      </c>
      <c r="U104" t="str">
        <f ca="1">IF(ATALI[[#This Row],[//]]="","",INDEX([2]!NOTA[NAMA BARANG],ATALI[[#This Row],[//]]-2))</f>
        <v>CUTTER BLADE L-150 M (MH) jk</v>
      </c>
      <c r="V104" t="str">
        <f ca="1">LOWER(SUBSTITUTE(SUBSTITUTE(SUBSTITUTE(SUBSTITUTE(SUBSTITUTE(SUBSTITUTE(SUBSTITUTE(ATALI[[#This Row],[N.B.nota]]," ",""),"-",""),"(",""),")",""),".",""),",",""),"/",""))</f>
        <v>cutterbladel150mmhjk</v>
      </c>
      <c r="W104">
        <f ca="1">IF(ATALI[[#This Row],[concat]]="","",MATCH(ATALI[[#This Row],[concat]],[4]!db[NB NOTA_C],0)+1)</f>
        <v>551</v>
      </c>
      <c r="X104" t="str">
        <f ca="1">IF(ATALI[[#This Row],[N.B.nota]]="","",ADDRESS(ROW(ATALI[QB]),COLUMN(ATALI[QB]))&amp;":"&amp;ADDRESS(ROW(),COLUMN(ATALI[QB])))</f>
        <v>$D$3:$D$104</v>
      </c>
      <c r="Y104" s="13" t="str">
        <f ca="1">IF(ATALI[[#This Row],[//]]="","",HYPERLINK("[../DB.xlsx]DB!e"&amp;MATCH(ATALI[[#This Row],[concat]],[4]!db[NB NOTA_C],0)+1,"&gt;"))</f>
        <v>&gt;</v>
      </c>
    </row>
    <row r="105" spans="1:25" x14ac:dyDescent="0.25">
      <c r="A105" s="4"/>
      <c r="B105" s="1" t="str">
        <f>IF(ATALI[[#This Row],[N_ID]]="","",INDEX(Table1[ID],MATCH(ATALI[[#This Row],[N_ID]],Table1[N_ID],0)))</f>
        <v/>
      </c>
      <c r="C105" s="1" t="str">
        <f>IF(ATALI[[#This Row],[ID NOTA]]="","",HYPERLINK("[NOTA_.xlsx]NOTA!e"&amp;INDEX([2]!PAJAK[//],MATCH(ATALI[[#This Row],[ID NOTA]],[2]!PAJAK[ID],0)),"&gt;") )</f>
        <v/>
      </c>
      <c r="D105" s="1" t="str">
        <f>IF(ATALI[[#This Row],[ID NOTA]]="","",INDEX(Table1[QB],MATCH(ATALI[[#This Row],[ID NOTA]],Table1[ID],0)))</f>
        <v/>
      </c>
      <c r="E10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05" s="1"/>
      <c r="G105" s="3" t="str">
        <f>IF(ATALI[[#This Row],[ID NOTA]]="","",INDEX([2]!NOTA[TGL_H],MATCH(ATALI[[#This Row],[ID NOTA]],[2]!NOTA[ID],0)))</f>
        <v/>
      </c>
      <c r="H105" s="3" t="str">
        <f>IF(ATALI[[#This Row],[ID NOTA]]="","",INDEX([2]!NOTA[TGL.NOTA],MATCH(ATALI[[#This Row],[ID NOTA]],[2]!NOTA[ID],0)))</f>
        <v/>
      </c>
      <c r="I105" t="str">
        <f>IF(ATALI[[#This Row],[ID NOTA]]="","",INDEX([2]!NOTA[NO.NOTA],MATCH(ATALI[[#This Row],[ID NOTA]],[2]!NOTA[ID],0)))</f>
        <v/>
      </c>
      <c r="J105" t="str">
        <f ca="1">IF(ATALI[[#This Row],[//]]="","",INDEX([4]!db[NB PAJAK],ATALI[[#This Row],[stt]]-1))</f>
        <v/>
      </c>
      <c r="K105" s="1" t="str">
        <f ca="1">IF(ATALI[[#This Row],[//]]="","",IF(INDEX([2]!NOTA[C],ATALI[[#This Row],[//]]-2)="","",INDEX([2]!NOTA[C],ATALI[[#This Row],[//]]-2)))</f>
        <v/>
      </c>
      <c r="L105" s="1" t="str">
        <f ca="1">IF(ATALI[[#This Row],[//]]="","",INDEX([2]!NOTA[QTY],ATALI[[#This Row],[//]]-2))</f>
        <v/>
      </c>
      <c r="M105" s="1" t="str">
        <f ca="1">IF(ATALI[[#This Row],[//]]="","",INDEX([2]!NOTA[STN],ATALI[[#This Row],[//]]-2))</f>
        <v/>
      </c>
      <c r="N105" s="5" t="str">
        <f ca="1">IF(ATALI[[#This Row],[//]]="","",INDEX([2]!NOTA[HARGA SATUAN],ATALI[[#This Row],[//]]-2))</f>
        <v/>
      </c>
      <c r="O105" s="7" t="str">
        <f ca="1">IF(ATALI[[#This Row],[//]]="","",INDEX([2]!NOTA[DISC 1],ATALI[[#This Row],[//]]-2))</f>
        <v/>
      </c>
      <c r="P105" s="7" t="str">
        <f ca="1">IF(ATALI[[#This Row],[//]]="","",INDEX([2]!NOTA[DISC 2],ATALI[[#This Row],[//]]-2))</f>
        <v/>
      </c>
      <c r="Q105" s="5" t="str">
        <f ca="1">IF(ATALI[[#This Row],[//]]="","",INDEX([2]!NOTA[TOTAL],ATALI[[#This Row],[//]]-2))</f>
        <v/>
      </c>
      <c r="R1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t="str">
        <f ca="1">IF(ATALI[[#This Row],[//]]="","",INDEX([2]!NOTA[NAMA BARANG],ATALI[[#This Row],[//]]-2))</f>
        <v/>
      </c>
      <c r="V105" t="str">
        <f ca="1">LOWER(SUBSTITUTE(SUBSTITUTE(SUBSTITUTE(SUBSTITUTE(SUBSTITUTE(SUBSTITUTE(SUBSTITUTE(ATALI[[#This Row],[N.B.nota]]," ",""),"-",""),"(",""),")",""),".",""),",",""),"/",""))</f>
        <v/>
      </c>
      <c r="W105" t="str">
        <f ca="1">IF(ATALI[[#This Row],[concat]]="","",MATCH(ATALI[[#This Row],[concat]],[4]!db[NB NOTA_C],0)+1)</f>
        <v/>
      </c>
      <c r="X105" t="str">
        <f ca="1">IF(ATALI[[#This Row],[N.B.nota]]="","",ADDRESS(ROW(ATALI[QB]),COLUMN(ATALI[QB]))&amp;":"&amp;ADDRESS(ROW(),COLUMN(ATALI[QB])))</f>
        <v/>
      </c>
      <c r="Y105" s="13" t="str">
        <f ca="1">IF(ATALI[[#This Row],[//]]="","",HYPERLINK("[../DB.xlsx]DB!e"&amp;MATCH(ATALI[[#This Row],[concat]],[4]!db[NB NOTA_C],0)+1,"&gt;"))</f>
        <v/>
      </c>
    </row>
    <row r="106" spans="1:25" x14ac:dyDescent="0.25">
      <c r="A106" s="4" t="s">
        <v>99</v>
      </c>
      <c r="B106" s="1">
        <f ca="1">IF(ATALI[[#This Row],[N_ID]]="","",INDEX(Table1[ID],MATCH(ATALI[[#This Row],[N_ID]],Table1[N_ID],0)))</f>
        <v>108</v>
      </c>
      <c r="C106" s="1" t="str">
        <f ca="1">IF(ATALI[[#This Row],[ID NOTA]]="","",HYPERLINK("[NOTA_.xlsx]NOTA!e"&amp;INDEX([2]!PAJAK[//],MATCH(ATALI[[#This Row],[ID NOTA]],[2]!PAJAK[ID],0)),"&gt;") )</f>
        <v>&gt;</v>
      </c>
      <c r="D106" s="1">
        <f ca="1">IF(ATALI[[#This Row],[ID NOTA]]="","",INDEX(Table1[QB],MATCH(ATALI[[#This Row],[ID NOTA]],Table1[ID],0)))</f>
        <v>5</v>
      </c>
      <c r="E10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634</v>
      </c>
      <c r="F106" s="1">
        <v>14</v>
      </c>
      <c r="G106" s="3">
        <f ca="1">IF(ATALI[[#This Row],[ID NOTA]]="","",INDEX([2]!NOTA[TGL_H],MATCH(ATALI[[#This Row],[ID NOTA]],[2]!NOTA[ID],0)))</f>
        <v>44827</v>
      </c>
      <c r="H106" s="3">
        <f ca="1">IF(ATALI[[#This Row],[ID NOTA]]="","",INDEX([2]!NOTA[TGL.NOTA],MATCH(ATALI[[#This Row],[ID NOTA]],[2]!NOTA[ID],0)))</f>
        <v>44821</v>
      </c>
      <c r="I106" t="str">
        <f ca="1">IF(ATALI[[#This Row],[ID NOTA]]="","",INDEX([2]!NOTA[NO.NOTA],MATCH(ATALI[[#This Row],[ID NOTA]],[2]!NOTA[ID],0)))</f>
        <v>SA220914683</v>
      </c>
      <c r="J106" t="str">
        <f ca="1">IF(ATALI[[#This Row],[//]]="","",INDEX([4]!db[NB PAJAK],ATALI[[#This Row],[stt]]-1))</f>
        <v>BINDER NOTE JOYKO A5-MHTC-518 - U</v>
      </c>
      <c r="K106" s="1">
        <f ca="1">IF(ATALI[[#This Row],[//]]="","",IF(INDEX([2]!NOTA[C],ATALI[[#This Row],[//]]-2)="","",INDEX([2]!NOTA[C],ATALI[[#This Row],[//]]-2)))</f>
        <v>2</v>
      </c>
      <c r="L106" s="1">
        <f ca="1">IF(ATALI[[#This Row],[//]]="","",INDEX([2]!NOTA[QTY],ATALI[[#This Row],[//]]-2))</f>
        <v>144</v>
      </c>
      <c r="M106" s="1" t="str">
        <f ca="1">IF(ATALI[[#This Row],[//]]="","",INDEX([2]!NOTA[STN],ATALI[[#This Row],[//]]-2))</f>
        <v>PCS</v>
      </c>
      <c r="N106" s="5">
        <f ca="1">IF(ATALI[[#This Row],[//]]="","",INDEX([2]!NOTA[HARGA SATUAN],ATALI[[#This Row],[//]]-2))</f>
        <v>15800</v>
      </c>
      <c r="O106" s="7">
        <f ca="1">IF(ATALI[[#This Row],[//]]="","",INDEX([2]!NOTA[DISC 1],ATALI[[#This Row],[//]]-2))</f>
        <v>0.125</v>
      </c>
      <c r="P106" s="7">
        <f ca="1">IF(ATALI[[#This Row],[//]]="","",INDEX([2]!NOTA[DISC 2],ATALI[[#This Row],[//]]-2))</f>
        <v>0.05</v>
      </c>
      <c r="Q106" s="5">
        <f ca="1">IF(ATALI[[#This Row],[//]]="","",INDEX([2]!NOTA[TOTAL],ATALI[[#This Row],[//]]-2))</f>
        <v>1891260</v>
      </c>
      <c r="R1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6" t="str">
        <f ca="1">IF(ATALI[[#This Row],[//]]="","",INDEX([2]!NOTA[NAMA BARANG],ATALI[[#This Row],[//]]-2))</f>
        <v>BINDER A5-MHTC-518 JK-U</v>
      </c>
      <c r="V106" t="str">
        <f ca="1">LOWER(SUBSTITUTE(SUBSTITUTE(SUBSTITUTE(SUBSTITUTE(SUBSTITUTE(SUBSTITUTE(SUBSTITUTE(ATALI[[#This Row],[N.B.nota]]," ",""),"-",""),"(",""),")",""),".",""),",",""),"/",""))</f>
        <v>bindera5mhtc518jku</v>
      </c>
      <c r="W106">
        <f ca="1">IF(ATALI[[#This Row],[concat]]="","",MATCH(ATALI[[#This Row],[concat]],[4]!db[NB NOTA_C],0)+1)</f>
        <v>136</v>
      </c>
      <c r="X106" t="str">
        <f ca="1">IF(ATALI[[#This Row],[N.B.nota]]="","",ADDRESS(ROW(ATALI[QB]),COLUMN(ATALI[QB]))&amp;":"&amp;ADDRESS(ROW(),COLUMN(ATALI[QB])))</f>
        <v>$D$3:$D$106</v>
      </c>
      <c r="Y106" s="13" t="str">
        <f ca="1">IF(ATALI[[#This Row],[//]]="","",HYPERLINK("[../DB.xlsx]DB!e"&amp;MATCH(ATALI[[#This Row],[concat]],[4]!db[NB NOTA_C],0)+1,"&gt;"))</f>
        <v>&gt;</v>
      </c>
    </row>
    <row r="107" spans="1:25" x14ac:dyDescent="0.25">
      <c r="A107" s="4"/>
      <c r="B107" s="1" t="str">
        <f>IF(ATALI[[#This Row],[N_ID]]="","",INDEX(Table1[ID],MATCH(ATALI[[#This Row],[N_ID]],Table1[N_ID],0)))</f>
        <v/>
      </c>
      <c r="C107" s="1" t="str">
        <f>IF(ATALI[[#This Row],[ID NOTA]]="","",HYPERLINK("[NOTA_.xlsx]NOTA!e"&amp;INDEX([2]!PAJAK[//],MATCH(ATALI[[#This Row],[ID NOTA]],[2]!PAJAK[ID],0)),"&gt;") )</f>
        <v/>
      </c>
      <c r="D107" s="1" t="str">
        <f>IF(ATALI[[#This Row],[ID NOTA]]="","",INDEX(Table1[QB],MATCH(ATALI[[#This Row],[ID NOTA]],Table1[ID],0)))</f>
        <v/>
      </c>
      <c r="E10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635</v>
      </c>
      <c r="F107" s="1"/>
      <c r="G107" s="3" t="str">
        <f>IF(ATALI[[#This Row],[ID NOTA]]="","",INDEX([2]!NOTA[TGL_H],MATCH(ATALI[[#This Row],[ID NOTA]],[2]!NOTA[ID],0)))</f>
        <v/>
      </c>
      <c r="H107" s="3" t="str">
        <f>IF(ATALI[[#This Row],[ID NOTA]]="","",INDEX([2]!NOTA[TGL.NOTA],MATCH(ATALI[[#This Row],[ID NOTA]],[2]!NOTA[ID],0)))</f>
        <v/>
      </c>
      <c r="I107" t="str">
        <f>IF(ATALI[[#This Row],[ID NOTA]]="","",INDEX([2]!NOTA[NO.NOTA],MATCH(ATALI[[#This Row],[ID NOTA]],[2]!NOTA[ID],0)))</f>
        <v/>
      </c>
      <c r="J107" t="str">
        <f ca="1">IF(ATALI[[#This Row],[//]]="","",INDEX([4]!db[NB PAJAK],ATALI[[#This Row],[stt]]-1))</f>
        <v>LOOSE LEAF JOYKO A5-7020 (100S)</v>
      </c>
      <c r="K107" s="1">
        <f ca="1">IF(ATALI[[#This Row],[//]]="","",IF(INDEX([2]!NOTA[C],ATALI[[#This Row],[//]]-2)="","",INDEX([2]!NOTA[C],ATALI[[#This Row],[//]]-2)))</f>
        <v>2</v>
      </c>
      <c r="L107" s="1">
        <f ca="1">IF(ATALI[[#This Row],[//]]="","",INDEX([2]!NOTA[QTY],ATALI[[#This Row],[//]]-2))</f>
        <v>192</v>
      </c>
      <c r="M107" s="1" t="str">
        <f ca="1">IF(ATALI[[#This Row],[//]]="","",INDEX([2]!NOTA[STN],ATALI[[#This Row],[//]]-2))</f>
        <v>PAK</v>
      </c>
      <c r="N107" s="5">
        <f ca="1">IF(ATALI[[#This Row],[//]]="","",INDEX([2]!NOTA[HARGA SATUAN],ATALI[[#This Row],[//]]-2))</f>
        <v>7000</v>
      </c>
      <c r="O107" s="7">
        <f ca="1">IF(ATALI[[#This Row],[//]]="","",INDEX([2]!NOTA[DISC 1],ATALI[[#This Row],[//]]-2))</f>
        <v>0.125</v>
      </c>
      <c r="P107" s="7">
        <f ca="1">IF(ATALI[[#This Row],[//]]="","",INDEX([2]!NOTA[DISC 2],ATALI[[#This Row],[//]]-2))</f>
        <v>0.05</v>
      </c>
      <c r="Q107" s="5">
        <f ca="1">IF(ATALI[[#This Row],[//]]="","",INDEX([2]!NOTA[TOTAL],ATALI[[#This Row],[//]]-2))</f>
        <v>1117200</v>
      </c>
      <c r="R1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t="str">
        <f ca="1">IF(ATALI[[#This Row],[//]]="","",INDEX([2]!NOTA[NAMA BARANG],ATALI[[#This Row],[//]]-2))</f>
        <v>L LEAF A5-7020 (100S) JK</v>
      </c>
      <c r="V107" t="str">
        <f ca="1">LOWER(SUBSTITUTE(SUBSTITUTE(SUBSTITUTE(SUBSTITUTE(SUBSTITUTE(SUBSTITUTE(SUBSTITUTE(ATALI[[#This Row],[N.B.nota]]," ",""),"-",""),"(",""),")",""),".",""),",",""),"/",""))</f>
        <v>lleafa57020100sjk</v>
      </c>
      <c r="W107">
        <f ca="1">IF(ATALI[[#This Row],[concat]]="","",MATCH(ATALI[[#This Row],[concat]],[4]!db[NB NOTA_C],0)+1)</f>
        <v>1292</v>
      </c>
      <c r="X107" t="str">
        <f ca="1">IF(ATALI[[#This Row],[N.B.nota]]="","",ADDRESS(ROW(ATALI[QB]),COLUMN(ATALI[QB]))&amp;":"&amp;ADDRESS(ROW(),COLUMN(ATALI[QB])))</f>
        <v>$D$3:$D$107</v>
      </c>
      <c r="Y107" s="13" t="str">
        <f ca="1">IF(ATALI[[#This Row],[//]]="","",HYPERLINK("[../DB.xlsx]DB!e"&amp;MATCH(ATALI[[#This Row],[concat]],[4]!db[NB NOTA_C],0)+1,"&gt;"))</f>
        <v>&gt;</v>
      </c>
    </row>
    <row r="108" spans="1:25" x14ac:dyDescent="0.25">
      <c r="A108" s="4"/>
      <c r="B108" s="1" t="str">
        <f>IF(ATALI[[#This Row],[N_ID]]="","",INDEX(Table1[ID],MATCH(ATALI[[#This Row],[N_ID]],Table1[N_ID],0)))</f>
        <v/>
      </c>
      <c r="C108" s="1" t="str">
        <f>IF(ATALI[[#This Row],[ID NOTA]]="","",HYPERLINK("[NOTA_.xlsx]NOTA!e"&amp;INDEX([2]!PAJAK[//],MATCH(ATALI[[#This Row],[ID NOTA]],[2]!PAJAK[ID],0)),"&gt;") )</f>
        <v/>
      </c>
      <c r="D108" s="1" t="str">
        <f>IF(ATALI[[#This Row],[ID NOTA]]="","",INDEX(Table1[QB],MATCH(ATALI[[#This Row],[ID NOTA]],Table1[ID],0)))</f>
        <v/>
      </c>
      <c r="E10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636</v>
      </c>
      <c r="F108" s="1"/>
      <c r="G108" s="3" t="str">
        <f>IF(ATALI[[#This Row],[ID NOTA]]="","",INDEX([2]!NOTA[TGL_H],MATCH(ATALI[[#This Row],[ID NOTA]],[2]!NOTA[ID],0)))</f>
        <v/>
      </c>
      <c r="H108" s="3" t="str">
        <f>IF(ATALI[[#This Row],[ID NOTA]]="","",INDEX([2]!NOTA[TGL.NOTA],MATCH(ATALI[[#This Row],[ID NOTA]],[2]!NOTA[ID],0)))</f>
        <v/>
      </c>
      <c r="I108" t="str">
        <f>IF(ATALI[[#This Row],[ID NOTA]]="","",INDEX([2]!NOTA[NO.NOTA],MATCH(ATALI[[#This Row],[ID NOTA]],[2]!NOTA[ID],0)))</f>
        <v/>
      </c>
      <c r="J108" t="str">
        <f ca="1">IF(ATALI[[#This Row],[//]]="","",INDEX([4]!db[NB PAJAK],ATALI[[#This Row],[stt]]-1))</f>
        <v>LOOSE LEAF JOYKO A5-7020 (50S)</v>
      </c>
      <c r="K108" s="1">
        <f ca="1">IF(ATALI[[#This Row],[//]]="","",IF(INDEX([2]!NOTA[C],ATALI[[#This Row],[//]]-2)="","",INDEX([2]!NOTA[C],ATALI[[#This Row],[//]]-2)))</f>
        <v>2</v>
      </c>
      <c r="L108" s="1">
        <f ca="1">IF(ATALI[[#This Row],[//]]="","",INDEX([2]!NOTA[QTY],ATALI[[#This Row],[//]]-2))</f>
        <v>384</v>
      </c>
      <c r="M108" s="1" t="str">
        <f ca="1">IF(ATALI[[#This Row],[//]]="","",INDEX([2]!NOTA[STN],ATALI[[#This Row],[//]]-2))</f>
        <v>PAK</v>
      </c>
      <c r="N108" s="5">
        <f ca="1">IF(ATALI[[#This Row],[//]]="","",INDEX([2]!NOTA[HARGA SATUAN],ATALI[[#This Row],[//]]-2))</f>
        <v>3600</v>
      </c>
      <c r="O108" s="7">
        <f ca="1">IF(ATALI[[#This Row],[//]]="","",INDEX([2]!NOTA[DISC 1],ATALI[[#This Row],[//]]-2))</f>
        <v>0.125</v>
      </c>
      <c r="P108" s="7">
        <f ca="1">IF(ATALI[[#This Row],[//]]="","",INDEX([2]!NOTA[DISC 2],ATALI[[#This Row],[//]]-2))</f>
        <v>0.05</v>
      </c>
      <c r="Q108" s="5">
        <f ca="1">IF(ATALI[[#This Row],[//]]="","",INDEX([2]!NOTA[TOTAL],ATALI[[#This Row],[//]]-2))</f>
        <v>1149120</v>
      </c>
      <c r="R1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t="str">
        <f ca="1">IF(ATALI[[#This Row],[//]]="","",INDEX([2]!NOTA[NAMA BARANG],ATALI[[#This Row],[//]]-2))</f>
        <v>L LEAF A5-7020 (50S) JK</v>
      </c>
      <c r="V108" t="str">
        <f ca="1">LOWER(SUBSTITUTE(SUBSTITUTE(SUBSTITUTE(SUBSTITUTE(SUBSTITUTE(SUBSTITUTE(SUBSTITUTE(ATALI[[#This Row],[N.B.nota]]," ",""),"-",""),"(",""),")",""),".",""),",",""),"/",""))</f>
        <v>lleafa5702050sjk</v>
      </c>
      <c r="W108">
        <f ca="1">IF(ATALI[[#This Row],[concat]]="","",MATCH(ATALI[[#This Row],[concat]],[4]!db[NB NOTA_C],0)+1)</f>
        <v>1293</v>
      </c>
      <c r="X108" t="str">
        <f ca="1">IF(ATALI[[#This Row],[N.B.nota]]="","",ADDRESS(ROW(ATALI[QB]),COLUMN(ATALI[QB]))&amp;":"&amp;ADDRESS(ROW(),COLUMN(ATALI[QB])))</f>
        <v>$D$3:$D$108</v>
      </c>
      <c r="Y108" s="13" t="str">
        <f ca="1">IF(ATALI[[#This Row],[//]]="","",HYPERLINK("[../DB.xlsx]DB!e"&amp;MATCH(ATALI[[#This Row],[concat]],[4]!db[NB NOTA_C],0)+1,"&gt;"))</f>
        <v>&gt;</v>
      </c>
    </row>
    <row r="109" spans="1:25" x14ac:dyDescent="0.25">
      <c r="A109" s="4"/>
      <c r="B109" s="1" t="str">
        <f>IF(ATALI[[#This Row],[N_ID]]="","",INDEX(Table1[ID],MATCH(ATALI[[#This Row],[N_ID]],Table1[N_ID],0)))</f>
        <v/>
      </c>
      <c r="C109" s="1" t="str">
        <f>IF(ATALI[[#This Row],[ID NOTA]]="","",HYPERLINK("[NOTA_.xlsx]NOTA!e"&amp;INDEX([2]!PAJAK[//],MATCH(ATALI[[#This Row],[ID NOTA]],[2]!PAJAK[ID],0)),"&gt;") )</f>
        <v/>
      </c>
      <c r="D109" s="1" t="str">
        <f>IF(ATALI[[#This Row],[ID NOTA]]="","",INDEX(Table1[QB],MATCH(ATALI[[#This Row],[ID NOTA]],Table1[ID],0)))</f>
        <v/>
      </c>
      <c r="E10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637</v>
      </c>
      <c r="F109" s="1"/>
      <c r="G109" s="3" t="str">
        <f>IF(ATALI[[#This Row],[ID NOTA]]="","",INDEX([2]!NOTA[TGL_H],MATCH(ATALI[[#This Row],[ID NOTA]],[2]!NOTA[ID],0)))</f>
        <v/>
      </c>
      <c r="H109" s="3" t="str">
        <f>IF(ATALI[[#This Row],[ID NOTA]]="","",INDEX([2]!NOTA[TGL.NOTA],MATCH(ATALI[[#This Row],[ID NOTA]],[2]!NOTA[ID],0)))</f>
        <v/>
      </c>
      <c r="I109" t="str">
        <f>IF(ATALI[[#This Row],[ID NOTA]]="","",INDEX([2]!NOTA[NO.NOTA],MATCH(ATALI[[#This Row],[ID NOTA]],[2]!NOTA[ID],0)))</f>
        <v/>
      </c>
      <c r="J109" t="str">
        <f ca="1">IF(ATALI[[#This Row],[//]]="","",INDEX([4]!db[NB PAJAK],ATALI[[#This Row],[stt]]-1))</f>
        <v>LOOSE LEAF JOYKO B5-7026 (50S)</v>
      </c>
      <c r="K109" s="1">
        <f ca="1">IF(ATALI[[#This Row],[//]]="","",IF(INDEX([2]!NOTA[C],ATALI[[#This Row],[//]]-2)="","",INDEX([2]!NOTA[C],ATALI[[#This Row],[//]]-2)))</f>
        <v>2</v>
      </c>
      <c r="L109" s="1">
        <f ca="1">IF(ATALI[[#This Row],[//]]="","",INDEX([2]!NOTA[QTY],ATALI[[#This Row],[//]]-2))</f>
        <v>320</v>
      </c>
      <c r="M109" s="1" t="str">
        <f ca="1">IF(ATALI[[#This Row],[//]]="","",INDEX([2]!NOTA[STN],ATALI[[#This Row],[//]]-2))</f>
        <v>PAK</v>
      </c>
      <c r="N109" s="5">
        <f ca="1">IF(ATALI[[#This Row],[//]]="","",INDEX([2]!NOTA[HARGA SATUAN],ATALI[[#This Row],[//]]-2))</f>
        <v>5700</v>
      </c>
      <c r="O109" s="7">
        <f ca="1">IF(ATALI[[#This Row],[//]]="","",INDEX([2]!NOTA[DISC 1],ATALI[[#This Row],[//]]-2))</f>
        <v>0.125</v>
      </c>
      <c r="P109" s="7">
        <f ca="1">IF(ATALI[[#This Row],[//]]="","",INDEX([2]!NOTA[DISC 2],ATALI[[#This Row],[//]]-2))</f>
        <v>0.05</v>
      </c>
      <c r="Q109" s="5">
        <f ca="1">IF(ATALI[[#This Row],[//]]="","",INDEX([2]!NOTA[TOTAL],ATALI[[#This Row],[//]]-2))</f>
        <v>1516200</v>
      </c>
      <c r="R1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9" t="str">
        <f ca="1">IF(ATALI[[#This Row],[//]]="","",INDEX([2]!NOTA[NAMA BARANG],ATALI[[#This Row],[//]]-2))</f>
        <v>L LEAF B5-7026 (50S) JK</v>
      </c>
      <c r="V109" t="str">
        <f ca="1">LOWER(SUBSTITUTE(SUBSTITUTE(SUBSTITUTE(SUBSTITUTE(SUBSTITUTE(SUBSTITUTE(SUBSTITUTE(ATALI[[#This Row],[N.B.nota]]," ",""),"-",""),"(",""),")",""),".",""),",",""),"/",""))</f>
        <v>lleafb5702650sjk</v>
      </c>
      <c r="W109">
        <f ca="1">IF(ATALI[[#This Row],[concat]]="","",MATCH(ATALI[[#This Row],[concat]],[4]!db[NB NOTA_C],0)+1)</f>
        <v>1295</v>
      </c>
      <c r="X109" t="str">
        <f ca="1">IF(ATALI[[#This Row],[N.B.nota]]="","",ADDRESS(ROW(ATALI[QB]),COLUMN(ATALI[QB]))&amp;":"&amp;ADDRESS(ROW(),COLUMN(ATALI[QB])))</f>
        <v>$D$3:$D$109</v>
      </c>
      <c r="Y109" s="13" t="str">
        <f ca="1">IF(ATALI[[#This Row],[//]]="","",HYPERLINK("[../DB.xlsx]DB!e"&amp;MATCH(ATALI[[#This Row],[concat]],[4]!db[NB NOTA_C],0)+1,"&gt;"))</f>
        <v>&gt;</v>
      </c>
    </row>
    <row r="110" spans="1:25" x14ac:dyDescent="0.25">
      <c r="A110" s="4"/>
      <c r="B110" s="1" t="str">
        <f>IF(ATALI[[#This Row],[N_ID]]="","",INDEX(Table1[ID],MATCH(ATALI[[#This Row],[N_ID]],Table1[N_ID],0)))</f>
        <v/>
      </c>
      <c r="C110" s="1" t="str">
        <f>IF(ATALI[[#This Row],[ID NOTA]]="","",HYPERLINK("[NOTA_.xlsx]NOTA!e"&amp;INDEX([2]!PAJAK[//],MATCH(ATALI[[#This Row],[ID NOTA]],[2]!PAJAK[ID],0)),"&gt;") )</f>
        <v/>
      </c>
      <c r="D110" s="1" t="str">
        <f>IF(ATALI[[#This Row],[ID NOTA]]="","",INDEX(Table1[QB],MATCH(ATALI[[#This Row],[ID NOTA]],Table1[ID],0)))</f>
        <v/>
      </c>
      <c r="E1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638</v>
      </c>
      <c r="F110" s="1"/>
      <c r="G110" s="3" t="str">
        <f>IF(ATALI[[#This Row],[ID NOTA]]="","",INDEX([2]!NOTA[TGL_H],MATCH(ATALI[[#This Row],[ID NOTA]],[2]!NOTA[ID],0)))</f>
        <v/>
      </c>
      <c r="H110" s="3" t="str">
        <f>IF(ATALI[[#This Row],[ID NOTA]]="","",INDEX([2]!NOTA[TGL.NOTA],MATCH(ATALI[[#This Row],[ID NOTA]],[2]!NOTA[ID],0)))</f>
        <v/>
      </c>
      <c r="I110" t="str">
        <f>IF(ATALI[[#This Row],[ID NOTA]]="","",INDEX([2]!NOTA[NO.NOTA],MATCH(ATALI[[#This Row],[ID NOTA]],[2]!NOTA[ID],0)))</f>
        <v/>
      </c>
      <c r="J110" t="str">
        <f ca="1">IF(ATALI[[#This Row],[//]]="","",INDEX([4]!db[NB PAJAK],ATALI[[#This Row],[stt]]-1))</f>
        <v>LOOSE LEAF JOYKO B5-7026 (100S)</v>
      </c>
      <c r="K110" s="1">
        <f ca="1">IF(ATALI[[#This Row],[//]]="","",IF(INDEX([2]!NOTA[C],ATALI[[#This Row],[//]]-2)="","",INDEX([2]!NOTA[C],ATALI[[#This Row],[//]]-2)))</f>
        <v>2</v>
      </c>
      <c r="L110" s="1">
        <f ca="1">IF(ATALI[[#This Row],[//]]="","",INDEX([2]!NOTA[QTY],ATALI[[#This Row],[//]]-2))</f>
        <v>160</v>
      </c>
      <c r="M110" s="1" t="str">
        <f ca="1">IF(ATALI[[#This Row],[//]]="","",INDEX([2]!NOTA[STN],ATALI[[#This Row],[//]]-2))</f>
        <v>PAK</v>
      </c>
      <c r="N110" s="5">
        <f ca="1">IF(ATALI[[#This Row],[//]]="","",INDEX([2]!NOTA[HARGA SATUAN],ATALI[[#This Row],[//]]-2))</f>
        <v>10800</v>
      </c>
      <c r="O110" s="7">
        <f ca="1">IF(ATALI[[#This Row],[//]]="","",INDEX([2]!NOTA[DISC 1],ATALI[[#This Row],[//]]-2))</f>
        <v>0.125</v>
      </c>
      <c r="P110" s="7">
        <f ca="1">IF(ATALI[[#This Row],[//]]="","",INDEX([2]!NOTA[DISC 2],ATALI[[#This Row],[//]]-2))</f>
        <v>0.05</v>
      </c>
      <c r="Q110" s="5">
        <f ca="1">IF(ATALI[[#This Row],[//]]="","",INDEX([2]!NOTA[TOTAL],ATALI[[#This Row],[//]]-2))</f>
        <v>1436400</v>
      </c>
      <c r="R11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1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7110180</v>
      </c>
      <c r="T1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t="str">
        <f ca="1">IF(ATALI[[#This Row],[//]]="","",INDEX([2]!NOTA[NAMA BARANG],ATALI[[#This Row],[//]]-2))</f>
        <v>L LEAF B5-7026 (100S) JK</v>
      </c>
      <c r="V110" t="str">
        <f ca="1">LOWER(SUBSTITUTE(SUBSTITUTE(SUBSTITUTE(SUBSTITUTE(SUBSTITUTE(SUBSTITUTE(SUBSTITUTE(ATALI[[#This Row],[N.B.nota]]," ",""),"-",""),"(",""),")",""),".",""),",",""),"/",""))</f>
        <v>lleafb57026100sjk</v>
      </c>
      <c r="W110">
        <f ca="1">IF(ATALI[[#This Row],[concat]]="","",MATCH(ATALI[[#This Row],[concat]],[4]!db[NB NOTA_C],0)+1)</f>
        <v>1294</v>
      </c>
      <c r="X110" t="str">
        <f ca="1">IF(ATALI[[#This Row],[N.B.nota]]="","",ADDRESS(ROW(ATALI[QB]),COLUMN(ATALI[QB]))&amp;":"&amp;ADDRESS(ROW(),COLUMN(ATALI[QB])))</f>
        <v>$D$3:$D$110</v>
      </c>
      <c r="Y110" s="13" t="str">
        <f ca="1">IF(ATALI[[#This Row],[//]]="","",HYPERLINK("[../DB.xlsx]DB!e"&amp;MATCH(ATALI[[#This Row],[concat]],[4]!db[NB NOTA_C],0)+1,"&gt;"))</f>
        <v>&gt;</v>
      </c>
    </row>
    <row r="111" spans="1:25" x14ac:dyDescent="0.25">
      <c r="A111" s="4"/>
      <c r="B111" s="1" t="str">
        <f>IF(ATALI[[#This Row],[N_ID]]="","",INDEX(Table1[ID],MATCH(ATALI[[#This Row],[N_ID]],Table1[N_ID],0)))</f>
        <v/>
      </c>
      <c r="C111" s="1" t="str">
        <f>IF(ATALI[[#This Row],[ID NOTA]]="","",HYPERLINK("[NOTA_.xlsx]NOTA!e"&amp;INDEX([2]!PAJAK[//],MATCH(ATALI[[#This Row],[ID NOTA]],[2]!PAJAK[ID],0)),"&gt;") )</f>
        <v/>
      </c>
      <c r="D111" s="1" t="str">
        <f>IF(ATALI[[#This Row],[ID NOTA]]="","",INDEX(Table1[QB],MATCH(ATALI[[#This Row],[ID NOTA]],Table1[ID],0)))</f>
        <v/>
      </c>
      <c r="E11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11" s="1"/>
      <c r="G111" s="3" t="str">
        <f>IF(ATALI[[#This Row],[ID NOTA]]="","",INDEX([2]!NOTA[TGL_H],MATCH(ATALI[[#This Row],[ID NOTA]],[2]!NOTA[ID],0)))</f>
        <v/>
      </c>
      <c r="H111" s="3" t="str">
        <f>IF(ATALI[[#This Row],[ID NOTA]]="","",INDEX([2]!NOTA[TGL.NOTA],MATCH(ATALI[[#This Row],[ID NOTA]],[2]!NOTA[ID],0)))</f>
        <v/>
      </c>
      <c r="I111" t="str">
        <f>IF(ATALI[[#This Row],[ID NOTA]]="","",INDEX([2]!NOTA[NO.NOTA],MATCH(ATALI[[#This Row],[ID NOTA]],[2]!NOTA[ID],0)))</f>
        <v/>
      </c>
      <c r="J111" t="str">
        <f ca="1">IF(ATALI[[#This Row],[//]]="","",INDEX([4]!db[NB PAJAK],ATALI[[#This Row],[stt]]-1))</f>
        <v/>
      </c>
      <c r="K111" s="1" t="str">
        <f ca="1">IF(ATALI[[#This Row],[//]]="","",IF(INDEX([2]!NOTA[C],ATALI[[#This Row],[//]]-2)="","",INDEX([2]!NOTA[C],ATALI[[#This Row],[//]]-2)))</f>
        <v/>
      </c>
      <c r="L111" s="1" t="str">
        <f ca="1">IF(ATALI[[#This Row],[//]]="","",INDEX([2]!NOTA[QTY],ATALI[[#This Row],[//]]-2))</f>
        <v/>
      </c>
      <c r="M111" s="1" t="str">
        <f ca="1">IF(ATALI[[#This Row],[//]]="","",INDEX([2]!NOTA[STN],ATALI[[#This Row],[//]]-2))</f>
        <v/>
      </c>
      <c r="N111" s="5" t="str">
        <f ca="1">IF(ATALI[[#This Row],[//]]="","",INDEX([2]!NOTA[HARGA SATUAN],ATALI[[#This Row],[//]]-2))</f>
        <v/>
      </c>
      <c r="O111" s="7" t="str">
        <f ca="1">IF(ATALI[[#This Row],[//]]="","",INDEX([2]!NOTA[DISC 1],ATALI[[#This Row],[//]]-2))</f>
        <v/>
      </c>
      <c r="P111" s="7" t="str">
        <f ca="1">IF(ATALI[[#This Row],[//]]="","",INDEX([2]!NOTA[DISC 2],ATALI[[#This Row],[//]]-2))</f>
        <v/>
      </c>
      <c r="Q111" s="5" t="str">
        <f ca="1">IF(ATALI[[#This Row],[//]]="","",INDEX([2]!NOTA[TOTAL],ATALI[[#This Row],[//]]-2))</f>
        <v/>
      </c>
      <c r="R1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t="str">
        <f ca="1">IF(ATALI[[#This Row],[//]]="","",INDEX([2]!NOTA[NAMA BARANG],ATALI[[#This Row],[//]]-2))</f>
        <v/>
      </c>
      <c r="V111" t="str">
        <f ca="1">LOWER(SUBSTITUTE(SUBSTITUTE(SUBSTITUTE(SUBSTITUTE(SUBSTITUTE(SUBSTITUTE(SUBSTITUTE(ATALI[[#This Row],[N.B.nota]]," ",""),"-",""),"(",""),")",""),".",""),",",""),"/",""))</f>
        <v/>
      </c>
      <c r="W111" t="str">
        <f ca="1">IF(ATALI[[#This Row],[concat]]="","",MATCH(ATALI[[#This Row],[concat]],[4]!db[NB NOTA_C],0)+1)</f>
        <v/>
      </c>
      <c r="X111" t="str">
        <f ca="1">IF(ATALI[[#This Row],[N.B.nota]]="","",ADDRESS(ROW(ATALI[QB]),COLUMN(ATALI[QB]))&amp;":"&amp;ADDRESS(ROW(),COLUMN(ATALI[QB])))</f>
        <v/>
      </c>
      <c r="Y111" s="13" t="str">
        <f ca="1">IF(ATALI[[#This Row],[//]]="","",HYPERLINK("[../DB.xlsx]DB!e"&amp;MATCH(ATALI[[#This Row],[concat]],[4]!db[NB NOTA_C],0)+1,"&gt;"))</f>
        <v/>
      </c>
    </row>
    <row r="112" spans="1:25" x14ac:dyDescent="0.25">
      <c r="A112" s="4" t="s">
        <v>100</v>
      </c>
      <c r="B112" s="1">
        <f ca="1">IF(ATALI[[#This Row],[N_ID]]="","",INDEX(Table1[ID],MATCH(ATALI[[#This Row],[N_ID]],Table1[N_ID],0)))</f>
        <v>107</v>
      </c>
      <c r="C112" s="1" t="str">
        <f ca="1">IF(ATALI[[#This Row],[ID NOTA]]="","",HYPERLINK("[NOTA_.xlsx]NOTA!e"&amp;INDEX([2]!PAJAK[//],MATCH(ATALI[[#This Row],[ID NOTA]],[2]!PAJAK[ID],0)),"&gt;") )</f>
        <v>&gt;</v>
      </c>
      <c r="D112" s="1">
        <f ca="1">IF(ATALI[[#This Row],[ID NOTA]]="","",INDEX(Table1[QB],MATCH(ATALI[[#This Row],[ID NOTA]],Table1[ID],0)))</f>
        <v>7</v>
      </c>
      <c r="E11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626</v>
      </c>
      <c r="F112" s="1">
        <v>15</v>
      </c>
      <c r="G112" s="3">
        <f ca="1">IF(ATALI[[#This Row],[ID NOTA]]="","",INDEX([2]!NOTA[TGL_H],MATCH(ATALI[[#This Row],[ID NOTA]],[2]!NOTA[ID],0)))</f>
        <v>44827</v>
      </c>
      <c r="H112" s="3">
        <f ca="1">IF(ATALI[[#This Row],[ID NOTA]]="","",INDEX([2]!NOTA[TGL.NOTA],MATCH(ATALI[[#This Row],[ID NOTA]],[2]!NOTA[ID],0)))</f>
        <v>44821</v>
      </c>
      <c r="I112" t="str">
        <f ca="1">IF(ATALI[[#This Row],[ID NOTA]]="","",INDEX([2]!NOTA[NO.NOTA],MATCH(ATALI[[#This Row],[ID NOTA]],[2]!NOTA[ID],0)))</f>
        <v>SA220914742</v>
      </c>
      <c r="J112" t="str">
        <f ca="1">IF(ATALI[[#This Row],[//]]="","",INDEX([4]!db[NB PAJAK],ATALI[[#This Row],[stt]]-1))</f>
        <v>CRAYON / OIL PASTEL JOYKO OP-12S PP CASE SEA WORLD</v>
      </c>
      <c r="K112" s="1">
        <f ca="1">IF(ATALI[[#This Row],[//]]="","",IF(INDEX([2]!NOTA[C],ATALI[[#This Row],[//]]-2)="","",INDEX([2]!NOTA[C],ATALI[[#This Row],[//]]-2)))</f>
        <v>15</v>
      </c>
      <c r="L112" s="1">
        <f ca="1">IF(ATALI[[#This Row],[//]]="","",INDEX([2]!NOTA[QTY],ATALI[[#This Row],[//]]-2))</f>
        <v>2160</v>
      </c>
      <c r="M112" s="1" t="str">
        <f ca="1">IF(ATALI[[#This Row],[//]]="","",INDEX([2]!NOTA[STN],ATALI[[#This Row],[//]]-2))</f>
        <v>SET</v>
      </c>
      <c r="N112" s="5">
        <f ca="1">IF(ATALI[[#This Row],[//]]="","",INDEX([2]!NOTA[HARGA SATUAN],ATALI[[#This Row],[//]]-2))</f>
        <v>11900</v>
      </c>
      <c r="O112" s="7">
        <f ca="1">IF(ATALI[[#This Row],[//]]="","",INDEX([2]!NOTA[DISC 1],ATALI[[#This Row],[//]]-2))</f>
        <v>0.125</v>
      </c>
      <c r="P112" s="7">
        <f ca="1">IF(ATALI[[#This Row],[//]]="","",INDEX([2]!NOTA[DISC 2],ATALI[[#This Row],[//]]-2))</f>
        <v>0.05</v>
      </c>
      <c r="Q112" s="5">
        <f ca="1">IF(ATALI[[#This Row],[//]]="","",INDEX([2]!NOTA[TOTAL],ATALI[[#This Row],[//]]-2))</f>
        <v>21366450</v>
      </c>
      <c r="R1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t="str">
        <f ca="1">IF(ATALI[[#This Row],[//]]="","",INDEX([2]!NOTA[NAMA BARANG],ATALI[[#This Row],[//]]-2))</f>
        <v>OIL PASTEL OP-12S PP CASE SEA WORLD JK</v>
      </c>
      <c r="V112" t="str">
        <f ca="1">LOWER(SUBSTITUTE(SUBSTITUTE(SUBSTITUTE(SUBSTITUTE(SUBSTITUTE(SUBSTITUTE(SUBSTITUTE(ATALI[[#This Row],[N.B.nota]]," ",""),"-",""),"(",""),")",""),".",""),",",""),"/",""))</f>
        <v>oilpastelop12sppcaseseaworldjk</v>
      </c>
      <c r="W112">
        <f ca="1">IF(ATALI[[#This Row],[concat]]="","",MATCH(ATALI[[#This Row],[concat]],[4]!db[NB NOTA_C],0)+1)</f>
        <v>1500</v>
      </c>
      <c r="X112" t="str">
        <f ca="1">IF(ATALI[[#This Row],[N.B.nota]]="","",ADDRESS(ROW(ATALI[QB]),COLUMN(ATALI[QB]))&amp;":"&amp;ADDRESS(ROW(),COLUMN(ATALI[QB])))</f>
        <v>$D$3:$D$112</v>
      </c>
      <c r="Y112" s="13" t="str">
        <f ca="1">IF(ATALI[[#This Row],[//]]="","",HYPERLINK("[../DB.xlsx]DB!e"&amp;MATCH(ATALI[[#This Row],[concat]],[4]!db[NB NOTA_C],0)+1,"&gt;"))</f>
        <v>&gt;</v>
      </c>
    </row>
    <row r="113" spans="1:25" x14ac:dyDescent="0.25">
      <c r="A113" s="4"/>
      <c r="B113" s="1" t="str">
        <f>IF(ATALI[[#This Row],[N_ID]]="","",INDEX(Table1[ID],MATCH(ATALI[[#This Row],[N_ID]],Table1[N_ID],0)))</f>
        <v/>
      </c>
      <c r="C113" s="1" t="str">
        <f>IF(ATALI[[#This Row],[ID NOTA]]="","",HYPERLINK("[NOTA_.xlsx]NOTA!e"&amp;INDEX([2]!PAJAK[//],MATCH(ATALI[[#This Row],[ID NOTA]],[2]!PAJAK[ID],0)),"&gt;") )</f>
        <v/>
      </c>
      <c r="D113" s="1" t="str">
        <f>IF(ATALI[[#This Row],[ID NOTA]]="","",INDEX(Table1[QB],MATCH(ATALI[[#This Row],[ID NOTA]],Table1[ID],0)))</f>
        <v/>
      </c>
      <c r="E1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627</v>
      </c>
      <c r="F113" s="1"/>
      <c r="G113" s="3" t="str">
        <f>IF(ATALI[[#This Row],[ID NOTA]]="","",INDEX([2]!NOTA[TGL_H],MATCH(ATALI[[#This Row],[ID NOTA]],[2]!NOTA[ID],0)))</f>
        <v/>
      </c>
      <c r="H113" s="3" t="str">
        <f>IF(ATALI[[#This Row],[ID NOTA]]="","",INDEX([2]!NOTA[TGL.NOTA],MATCH(ATALI[[#This Row],[ID NOTA]],[2]!NOTA[ID],0)))</f>
        <v/>
      </c>
      <c r="I113" t="str">
        <f>IF(ATALI[[#This Row],[ID NOTA]]="","",INDEX([2]!NOTA[NO.NOTA],MATCH(ATALI[[#This Row],[ID NOTA]],[2]!NOTA[ID],0)))</f>
        <v/>
      </c>
      <c r="J113" t="str">
        <f ca="1">IF(ATALI[[#This Row],[//]]="","",INDEX([4]!db[NB PAJAK],ATALI[[#This Row],[stt]]-1))</f>
        <v>CRAYON / OIL PASTEL JOYKO OP-18S PP CASE SEA WORLD</v>
      </c>
      <c r="K113" s="1">
        <f ca="1">IF(ATALI[[#This Row],[//]]="","",IF(INDEX([2]!NOTA[C],ATALI[[#This Row],[//]]-2)="","",INDEX([2]!NOTA[C],ATALI[[#This Row],[//]]-2)))</f>
        <v>10</v>
      </c>
      <c r="L113" s="1">
        <f ca="1">IF(ATALI[[#This Row],[//]]="","",INDEX([2]!NOTA[QTY],ATALI[[#This Row],[//]]-2))</f>
        <v>720</v>
      </c>
      <c r="M113" s="1" t="str">
        <f ca="1">IF(ATALI[[#This Row],[//]]="","",INDEX([2]!NOTA[STN],ATALI[[#This Row],[//]]-2))</f>
        <v>SET</v>
      </c>
      <c r="N113" s="5">
        <f ca="1">IF(ATALI[[#This Row],[//]]="","",INDEX([2]!NOTA[HARGA SATUAN],ATALI[[#This Row],[//]]-2))</f>
        <v>23000</v>
      </c>
      <c r="O113" s="7">
        <f ca="1">IF(ATALI[[#This Row],[//]]="","",INDEX([2]!NOTA[DISC 1],ATALI[[#This Row],[//]]-2))</f>
        <v>0.125</v>
      </c>
      <c r="P113" s="7">
        <f ca="1">IF(ATALI[[#This Row],[//]]="","",INDEX([2]!NOTA[DISC 2],ATALI[[#This Row],[//]]-2))</f>
        <v>0.05</v>
      </c>
      <c r="Q113" s="5">
        <f ca="1">IF(ATALI[[#This Row],[//]]="","",INDEX([2]!NOTA[TOTAL],ATALI[[#This Row],[//]]-2))</f>
        <v>13765500</v>
      </c>
      <c r="R1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t="str">
        <f ca="1">IF(ATALI[[#This Row],[//]]="","",INDEX([2]!NOTA[NAMA BARANG],ATALI[[#This Row],[//]]-2))</f>
        <v>OIL PASTEL OP-18S PP CASE SEA WORLD JK</v>
      </c>
      <c r="V113" t="str">
        <f ca="1">LOWER(SUBSTITUTE(SUBSTITUTE(SUBSTITUTE(SUBSTITUTE(SUBSTITUTE(SUBSTITUTE(SUBSTITUTE(ATALI[[#This Row],[N.B.nota]]," ",""),"-",""),"(",""),")",""),".",""),",",""),"/",""))</f>
        <v>oilpastelop18sppcaseseaworldjk</v>
      </c>
      <c r="W113">
        <f ca="1">IF(ATALI[[#This Row],[concat]]="","",MATCH(ATALI[[#This Row],[concat]],[4]!db[NB NOTA_C],0)+1)</f>
        <v>1501</v>
      </c>
      <c r="X113" t="str">
        <f ca="1">IF(ATALI[[#This Row],[N.B.nota]]="","",ADDRESS(ROW(ATALI[QB]),COLUMN(ATALI[QB]))&amp;":"&amp;ADDRESS(ROW(),COLUMN(ATALI[QB])))</f>
        <v>$D$3:$D$113</v>
      </c>
      <c r="Y113" s="13" t="str">
        <f ca="1">IF(ATALI[[#This Row],[//]]="","",HYPERLINK("[../DB.xlsx]DB!e"&amp;MATCH(ATALI[[#This Row],[concat]],[4]!db[NB NOTA_C],0)+1,"&gt;"))</f>
        <v>&gt;</v>
      </c>
    </row>
    <row r="114" spans="1:25" x14ac:dyDescent="0.25">
      <c r="A114" s="4"/>
      <c r="B114" s="1" t="str">
        <f>IF(ATALI[[#This Row],[N_ID]]="","",INDEX(Table1[ID],MATCH(ATALI[[#This Row],[N_ID]],Table1[N_ID],0)))</f>
        <v/>
      </c>
      <c r="C114" s="1" t="str">
        <f>IF(ATALI[[#This Row],[ID NOTA]]="","",HYPERLINK("[NOTA_.xlsx]NOTA!e"&amp;INDEX([2]!PAJAK[//],MATCH(ATALI[[#This Row],[ID NOTA]],[2]!PAJAK[ID],0)),"&gt;") )</f>
        <v/>
      </c>
      <c r="D114" s="1" t="str">
        <f>IF(ATALI[[#This Row],[ID NOTA]]="","",INDEX(Table1[QB],MATCH(ATALI[[#This Row],[ID NOTA]],Table1[ID],0)))</f>
        <v/>
      </c>
      <c r="E11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628</v>
      </c>
      <c r="F114" s="1"/>
      <c r="G114" s="3" t="str">
        <f>IF(ATALI[[#This Row],[ID NOTA]]="","",INDEX([2]!NOTA[TGL_H],MATCH(ATALI[[#This Row],[ID NOTA]],[2]!NOTA[ID],0)))</f>
        <v/>
      </c>
      <c r="H114" s="3" t="str">
        <f>IF(ATALI[[#This Row],[ID NOTA]]="","",INDEX([2]!NOTA[TGL.NOTA],MATCH(ATALI[[#This Row],[ID NOTA]],[2]!NOTA[ID],0)))</f>
        <v/>
      </c>
      <c r="I114" t="str">
        <f>IF(ATALI[[#This Row],[ID NOTA]]="","",INDEX([2]!NOTA[NO.NOTA],MATCH(ATALI[[#This Row],[ID NOTA]],[2]!NOTA[ID],0)))</f>
        <v/>
      </c>
      <c r="J114" t="str">
        <f ca="1">IF(ATALI[[#This Row],[//]]="","",INDEX([4]!db[NB PAJAK],ATALI[[#This Row],[stt]]-1))</f>
        <v>CRAYON / OIL PASTEL JOYKO OP-24S PP CASE SEA WORLD</v>
      </c>
      <c r="K114" s="1">
        <f ca="1">IF(ATALI[[#This Row],[//]]="","",IF(INDEX([2]!NOTA[C],ATALI[[#This Row],[//]]-2)="","",INDEX([2]!NOTA[C],ATALI[[#This Row],[//]]-2)))</f>
        <v>10</v>
      </c>
      <c r="L114" s="1">
        <f ca="1">IF(ATALI[[#This Row],[//]]="","",INDEX([2]!NOTA[QTY],ATALI[[#This Row],[//]]-2))</f>
        <v>480</v>
      </c>
      <c r="M114" s="1" t="str">
        <f ca="1">IF(ATALI[[#This Row],[//]]="","",INDEX([2]!NOTA[STN],ATALI[[#This Row],[//]]-2))</f>
        <v>SET</v>
      </c>
      <c r="N114" s="5">
        <f ca="1">IF(ATALI[[#This Row],[//]]="","",INDEX([2]!NOTA[HARGA SATUAN],ATALI[[#This Row],[//]]-2))</f>
        <v>28700</v>
      </c>
      <c r="O114" s="7">
        <f ca="1">IF(ATALI[[#This Row],[//]]="","",INDEX([2]!NOTA[DISC 1],ATALI[[#This Row],[//]]-2))</f>
        <v>0.125</v>
      </c>
      <c r="P114" s="7">
        <f ca="1">IF(ATALI[[#This Row],[//]]="","",INDEX([2]!NOTA[DISC 2],ATALI[[#This Row],[//]]-2))</f>
        <v>0.05</v>
      </c>
      <c r="Q114" s="5">
        <f ca="1">IF(ATALI[[#This Row],[//]]="","",INDEX([2]!NOTA[TOTAL],ATALI[[#This Row],[//]]-2))</f>
        <v>11451300</v>
      </c>
      <c r="R1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t="str">
        <f ca="1">IF(ATALI[[#This Row],[//]]="","",INDEX([2]!NOTA[NAMA BARANG],ATALI[[#This Row],[//]]-2))</f>
        <v>OIL PASTEL OP-24S PP CASE SEA WORLD JK</v>
      </c>
      <c r="V114" t="str">
        <f ca="1">LOWER(SUBSTITUTE(SUBSTITUTE(SUBSTITUTE(SUBSTITUTE(SUBSTITUTE(SUBSTITUTE(SUBSTITUTE(ATALI[[#This Row],[N.B.nota]]," ",""),"-",""),"(",""),")",""),".",""),",",""),"/",""))</f>
        <v>oilpastelop24sppcaseseaworldjk</v>
      </c>
      <c r="W114">
        <f ca="1">IF(ATALI[[#This Row],[concat]]="","",MATCH(ATALI[[#This Row],[concat]],[4]!db[NB NOTA_C],0)+1)</f>
        <v>1502</v>
      </c>
      <c r="X114" t="str">
        <f ca="1">IF(ATALI[[#This Row],[N.B.nota]]="","",ADDRESS(ROW(ATALI[QB]),COLUMN(ATALI[QB]))&amp;":"&amp;ADDRESS(ROW(),COLUMN(ATALI[QB])))</f>
        <v>$D$3:$D$114</v>
      </c>
      <c r="Y114" s="13" t="str">
        <f ca="1">IF(ATALI[[#This Row],[//]]="","",HYPERLINK("[../DB.xlsx]DB!e"&amp;MATCH(ATALI[[#This Row],[concat]],[4]!db[NB NOTA_C],0)+1,"&gt;"))</f>
        <v>&gt;</v>
      </c>
    </row>
    <row r="115" spans="1:25" x14ac:dyDescent="0.25">
      <c r="A115" s="4"/>
      <c r="B115" s="1" t="str">
        <f>IF(ATALI[[#This Row],[N_ID]]="","",INDEX(Table1[ID],MATCH(ATALI[[#This Row],[N_ID]],Table1[N_ID],0)))</f>
        <v/>
      </c>
      <c r="C115" s="1" t="str">
        <f>IF(ATALI[[#This Row],[ID NOTA]]="","",HYPERLINK("[NOTA_.xlsx]NOTA!e"&amp;INDEX([2]!PAJAK[//],MATCH(ATALI[[#This Row],[ID NOTA]],[2]!PAJAK[ID],0)),"&gt;") )</f>
        <v/>
      </c>
      <c r="D115" s="1" t="str">
        <f>IF(ATALI[[#This Row],[ID NOTA]]="","",INDEX(Table1[QB],MATCH(ATALI[[#This Row],[ID NOTA]],Table1[ID],0)))</f>
        <v/>
      </c>
      <c r="E11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629</v>
      </c>
      <c r="F115" s="1"/>
      <c r="G115" s="3" t="str">
        <f>IF(ATALI[[#This Row],[ID NOTA]]="","",INDEX([2]!NOTA[TGL_H],MATCH(ATALI[[#This Row],[ID NOTA]],[2]!NOTA[ID],0)))</f>
        <v/>
      </c>
      <c r="H115" s="3" t="str">
        <f>IF(ATALI[[#This Row],[ID NOTA]]="","",INDEX([2]!NOTA[TGL.NOTA],MATCH(ATALI[[#This Row],[ID NOTA]],[2]!NOTA[ID],0)))</f>
        <v/>
      </c>
      <c r="I115" t="str">
        <f>IF(ATALI[[#This Row],[ID NOTA]]="","",INDEX([2]!NOTA[NO.NOTA],MATCH(ATALI[[#This Row],[ID NOTA]],[2]!NOTA[ID],0)))</f>
        <v/>
      </c>
      <c r="J115" t="str">
        <f ca="1">IF(ATALI[[#This Row],[//]]="","",INDEX([4]!db[NB PAJAK],ATALI[[#This Row],[stt]]-1))</f>
        <v>CRAYON / OIL PASTEL JOYKO OP-36S PP CASE SEA WORLD</v>
      </c>
      <c r="K115" s="1">
        <f ca="1">IF(ATALI[[#This Row],[//]]="","",IF(INDEX([2]!NOTA[C],ATALI[[#This Row],[//]]-2)="","",INDEX([2]!NOTA[C],ATALI[[#This Row],[//]]-2)))</f>
        <v>3</v>
      </c>
      <c r="L115" s="1">
        <f ca="1">IF(ATALI[[#This Row],[//]]="","",INDEX([2]!NOTA[QTY],ATALI[[#This Row],[//]]-2))</f>
        <v>108</v>
      </c>
      <c r="M115" s="1" t="str">
        <f ca="1">IF(ATALI[[#This Row],[//]]="","",INDEX([2]!NOTA[STN],ATALI[[#This Row],[//]]-2))</f>
        <v>SET</v>
      </c>
      <c r="N115" s="5">
        <f ca="1">IF(ATALI[[#This Row],[//]]="","",INDEX([2]!NOTA[HARGA SATUAN],ATALI[[#This Row],[//]]-2))</f>
        <v>41500</v>
      </c>
      <c r="O115" s="7">
        <f ca="1">IF(ATALI[[#This Row],[//]]="","",INDEX([2]!NOTA[DISC 1],ATALI[[#This Row],[//]]-2))</f>
        <v>0.125</v>
      </c>
      <c r="P115" s="7">
        <f ca="1">IF(ATALI[[#This Row],[//]]="","",INDEX([2]!NOTA[DISC 2],ATALI[[#This Row],[//]]-2))</f>
        <v>0.05</v>
      </c>
      <c r="Q115" s="5">
        <f ca="1">IF(ATALI[[#This Row],[//]]="","",INDEX([2]!NOTA[TOTAL],ATALI[[#This Row],[//]]-2))</f>
        <v>3725662.5</v>
      </c>
      <c r="R1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t="str">
        <f ca="1">IF(ATALI[[#This Row],[//]]="","",INDEX([2]!NOTA[NAMA BARANG],ATALI[[#This Row],[//]]-2))</f>
        <v>OIL PASTEL OP-36S PP CASE SEA WORLD JK</v>
      </c>
      <c r="V115" t="str">
        <f ca="1">LOWER(SUBSTITUTE(SUBSTITUTE(SUBSTITUTE(SUBSTITUTE(SUBSTITUTE(SUBSTITUTE(SUBSTITUTE(ATALI[[#This Row],[N.B.nota]]," ",""),"-",""),"(",""),")",""),".",""),",",""),"/",""))</f>
        <v>oilpastelop36sppcaseseaworldjk</v>
      </c>
      <c r="W115">
        <f ca="1">IF(ATALI[[#This Row],[concat]]="","",MATCH(ATALI[[#This Row],[concat]],[4]!db[NB NOTA_C],0)+1)</f>
        <v>1503</v>
      </c>
      <c r="X115" t="str">
        <f ca="1">IF(ATALI[[#This Row],[N.B.nota]]="","",ADDRESS(ROW(ATALI[QB]),COLUMN(ATALI[QB]))&amp;":"&amp;ADDRESS(ROW(),COLUMN(ATALI[QB])))</f>
        <v>$D$3:$D$115</v>
      </c>
      <c r="Y115" s="13" t="str">
        <f ca="1">IF(ATALI[[#This Row],[//]]="","",HYPERLINK("[../DB.xlsx]DB!e"&amp;MATCH(ATALI[[#This Row],[concat]],[4]!db[NB NOTA_C],0)+1,"&gt;"))</f>
        <v>&gt;</v>
      </c>
    </row>
    <row r="116" spans="1:25" x14ac:dyDescent="0.25">
      <c r="A116" s="4"/>
      <c r="B116" s="1" t="str">
        <f>IF(ATALI[[#This Row],[N_ID]]="","",INDEX(Table1[ID],MATCH(ATALI[[#This Row],[N_ID]],Table1[N_ID],0)))</f>
        <v/>
      </c>
      <c r="C116" s="1" t="str">
        <f>IF(ATALI[[#This Row],[ID NOTA]]="","",HYPERLINK("[NOTA_.xlsx]NOTA!e"&amp;INDEX([2]!PAJAK[//],MATCH(ATALI[[#This Row],[ID NOTA]],[2]!PAJAK[ID],0)),"&gt;") )</f>
        <v/>
      </c>
      <c r="D116" s="1" t="str">
        <f>IF(ATALI[[#This Row],[ID NOTA]]="","",INDEX(Table1[QB],MATCH(ATALI[[#This Row],[ID NOTA]],Table1[ID],0)))</f>
        <v/>
      </c>
      <c r="E1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630</v>
      </c>
      <c r="F116" s="1"/>
      <c r="G116" s="3" t="str">
        <f>IF(ATALI[[#This Row],[ID NOTA]]="","",INDEX([2]!NOTA[TGL_H],MATCH(ATALI[[#This Row],[ID NOTA]],[2]!NOTA[ID],0)))</f>
        <v/>
      </c>
      <c r="H116" s="3" t="str">
        <f>IF(ATALI[[#This Row],[ID NOTA]]="","",INDEX([2]!NOTA[TGL.NOTA],MATCH(ATALI[[#This Row],[ID NOTA]],[2]!NOTA[ID],0)))</f>
        <v/>
      </c>
      <c r="I116" t="str">
        <f>IF(ATALI[[#This Row],[ID NOTA]]="","",INDEX([2]!NOTA[NO.NOTA],MATCH(ATALI[[#This Row],[ID NOTA]],[2]!NOTA[ID],0)))</f>
        <v/>
      </c>
      <c r="J116" t="str">
        <f ca="1">IF(ATALI[[#This Row],[//]]="","",INDEX([4]!db[NB PAJAK],ATALI[[#This Row],[stt]]-1))</f>
        <v>CRAYON / OIL PASTEL JOYKO OP-48S PP CASE SEA WORLD</v>
      </c>
      <c r="K116" s="1">
        <f ca="1">IF(ATALI[[#This Row],[//]]="","",IF(INDEX([2]!NOTA[C],ATALI[[#This Row],[//]]-2)="","",INDEX([2]!NOTA[C],ATALI[[#This Row],[//]]-2)))</f>
        <v>2</v>
      </c>
      <c r="L116" s="1">
        <f ca="1">IF(ATALI[[#This Row],[//]]="","",INDEX([2]!NOTA[QTY],ATALI[[#This Row],[//]]-2))</f>
        <v>48</v>
      </c>
      <c r="M116" s="1" t="str">
        <f ca="1">IF(ATALI[[#This Row],[//]]="","",INDEX([2]!NOTA[STN],ATALI[[#This Row],[//]]-2))</f>
        <v>SET</v>
      </c>
      <c r="N116" s="5">
        <f ca="1">IF(ATALI[[#This Row],[//]]="","",INDEX([2]!NOTA[HARGA SATUAN],ATALI[[#This Row],[//]]-2))</f>
        <v>58900</v>
      </c>
      <c r="O116" s="7">
        <f ca="1">IF(ATALI[[#This Row],[//]]="","",INDEX([2]!NOTA[DISC 1],ATALI[[#This Row],[//]]-2))</f>
        <v>0.125</v>
      </c>
      <c r="P116" s="7">
        <f ca="1">IF(ATALI[[#This Row],[//]]="","",INDEX([2]!NOTA[DISC 2],ATALI[[#This Row],[//]]-2))</f>
        <v>0.05</v>
      </c>
      <c r="Q116" s="5">
        <f ca="1">IF(ATALI[[#This Row],[//]]="","",INDEX([2]!NOTA[TOTAL],ATALI[[#This Row],[//]]-2))</f>
        <v>2350110</v>
      </c>
      <c r="R1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t="str">
        <f ca="1">IF(ATALI[[#This Row],[//]]="","",INDEX([2]!NOTA[NAMA BARANG],ATALI[[#This Row],[//]]-2))</f>
        <v>OIL PASTEL OP-48S PP CASE SEA WORLD JK</v>
      </c>
      <c r="V116" t="str">
        <f ca="1">LOWER(SUBSTITUTE(SUBSTITUTE(SUBSTITUTE(SUBSTITUTE(SUBSTITUTE(SUBSTITUTE(SUBSTITUTE(ATALI[[#This Row],[N.B.nota]]," ",""),"-",""),"(",""),")",""),".",""),",",""),"/",""))</f>
        <v>oilpastelop48sppcaseseaworldjk</v>
      </c>
      <c r="W116">
        <f ca="1">IF(ATALI[[#This Row],[concat]]="","",MATCH(ATALI[[#This Row],[concat]],[4]!db[NB NOTA_C],0)+1)</f>
        <v>1504</v>
      </c>
      <c r="X116" t="str">
        <f ca="1">IF(ATALI[[#This Row],[N.B.nota]]="","",ADDRESS(ROW(ATALI[QB]),COLUMN(ATALI[QB]))&amp;":"&amp;ADDRESS(ROW(),COLUMN(ATALI[QB])))</f>
        <v>$D$3:$D$116</v>
      </c>
      <c r="Y116" s="13" t="str">
        <f ca="1">IF(ATALI[[#This Row],[//]]="","",HYPERLINK("[../DB.xlsx]DB!e"&amp;MATCH(ATALI[[#This Row],[concat]],[4]!db[NB NOTA_C],0)+1,"&gt;"))</f>
        <v>&gt;</v>
      </c>
    </row>
    <row r="117" spans="1:25" x14ac:dyDescent="0.25">
      <c r="A117" s="4"/>
      <c r="B117" s="1" t="str">
        <f>IF(ATALI[[#This Row],[N_ID]]="","",INDEX(Table1[ID],MATCH(ATALI[[#This Row],[N_ID]],Table1[N_ID],0)))</f>
        <v/>
      </c>
      <c r="C117" s="1" t="str">
        <f>IF(ATALI[[#This Row],[ID NOTA]]="","",HYPERLINK("[NOTA_.xlsx]NOTA!e"&amp;INDEX([2]!PAJAK[//],MATCH(ATALI[[#This Row],[ID NOTA]],[2]!PAJAK[ID],0)),"&gt;") )</f>
        <v/>
      </c>
      <c r="D117" s="1" t="str">
        <f>IF(ATALI[[#This Row],[ID NOTA]]="","",INDEX(Table1[QB],MATCH(ATALI[[#This Row],[ID NOTA]],Table1[ID],0)))</f>
        <v/>
      </c>
      <c r="E1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631</v>
      </c>
      <c r="F117" s="1"/>
      <c r="G117" s="3" t="str">
        <f>IF(ATALI[[#This Row],[ID NOTA]]="","",INDEX([2]!NOTA[TGL_H],MATCH(ATALI[[#This Row],[ID NOTA]],[2]!NOTA[ID],0)))</f>
        <v/>
      </c>
      <c r="H117" s="3" t="str">
        <f>IF(ATALI[[#This Row],[ID NOTA]]="","",INDEX([2]!NOTA[TGL.NOTA],MATCH(ATALI[[#This Row],[ID NOTA]],[2]!NOTA[ID],0)))</f>
        <v/>
      </c>
      <c r="I117" t="str">
        <f>IF(ATALI[[#This Row],[ID NOTA]]="","",INDEX([2]!NOTA[NO.NOTA],MATCH(ATALI[[#This Row],[ID NOTA]],[2]!NOTA[ID],0)))</f>
        <v/>
      </c>
      <c r="J117" t="str">
        <f ca="1">IF(ATALI[[#This Row],[//]]="","",INDEX([4]!db[NB PAJAK],ATALI[[#This Row],[stt]]-1))</f>
        <v>CRAYON / OIL PASTEL JOYKO OP-55S PP CASE SEA WORLD</v>
      </c>
      <c r="K117" s="1">
        <f ca="1">IF(ATALI[[#This Row],[//]]="","",IF(INDEX([2]!NOTA[C],ATALI[[#This Row],[//]]-2)="","",INDEX([2]!NOTA[C],ATALI[[#This Row],[//]]-2)))</f>
        <v>2</v>
      </c>
      <c r="L117" s="1">
        <f ca="1">IF(ATALI[[#This Row],[//]]="","",INDEX([2]!NOTA[QTY],ATALI[[#This Row],[//]]-2))</f>
        <v>48</v>
      </c>
      <c r="M117" s="1" t="str">
        <f ca="1">IF(ATALI[[#This Row],[//]]="","",INDEX([2]!NOTA[STN],ATALI[[#This Row],[//]]-2))</f>
        <v>SET</v>
      </c>
      <c r="N117" s="5">
        <f ca="1">IF(ATALI[[#This Row],[//]]="","",INDEX([2]!NOTA[HARGA SATUAN],ATALI[[#This Row],[//]]-2))</f>
        <v>66900</v>
      </c>
      <c r="O117" s="7">
        <f ca="1">IF(ATALI[[#This Row],[//]]="","",INDEX([2]!NOTA[DISC 1],ATALI[[#This Row],[//]]-2))</f>
        <v>0.125</v>
      </c>
      <c r="P117" s="7">
        <f ca="1">IF(ATALI[[#This Row],[//]]="","",INDEX([2]!NOTA[DISC 2],ATALI[[#This Row],[//]]-2))</f>
        <v>0.05</v>
      </c>
      <c r="Q117" s="5">
        <f ca="1">IF(ATALI[[#This Row],[//]]="","",INDEX([2]!NOTA[TOTAL],ATALI[[#This Row],[//]]-2))</f>
        <v>2669310</v>
      </c>
      <c r="R1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7" t="str">
        <f ca="1">IF(ATALI[[#This Row],[//]]="","",INDEX([2]!NOTA[NAMA BARANG],ATALI[[#This Row],[//]]-2))</f>
        <v>OIL PASTEL OP-55S PP CASE SEA WORLD JK</v>
      </c>
      <c r="V117" t="str">
        <f ca="1">LOWER(SUBSTITUTE(SUBSTITUTE(SUBSTITUTE(SUBSTITUTE(SUBSTITUTE(SUBSTITUTE(SUBSTITUTE(ATALI[[#This Row],[N.B.nota]]," ",""),"-",""),"(",""),")",""),".",""),",",""),"/",""))</f>
        <v>oilpastelop55sppcaseseaworldjk</v>
      </c>
      <c r="W117">
        <f ca="1">IF(ATALI[[#This Row],[concat]]="","",MATCH(ATALI[[#This Row],[concat]],[4]!db[NB NOTA_C],0)+1)</f>
        <v>1505</v>
      </c>
      <c r="X117" t="str">
        <f ca="1">IF(ATALI[[#This Row],[N.B.nota]]="","",ADDRESS(ROW(ATALI[QB]),COLUMN(ATALI[QB]))&amp;":"&amp;ADDRESS(ROW(),COLUMN(ATALI[QB])))</f>
        <v>$D$3:$D$117</v>
      </c>
      <c r="Y117" s="13" t="str">
        <f ca="1">IF(ATALI[[#This Row],[//]]="","",HYPERLINK("[../DB.xlsx]DB!e"&amp;MATCH(ATALI[[#This Row],[concat]],[4]!db[NB NOTA_C],0)+1,"&gt;"))</f>
        <v>&gt;</v>
      </c>
    </row>
    <row r="118" spans="1:25" x14ac:dyDescent="0.25">
      <c r="A118" s="4"/>
      <c r="B118" s="1" t="str">
        <f>IF(ATALI[[#This Row],[N_ID]]="","",INDEX(Table1[ID],MATCH(ATALI[[#This Row],[N_ID]],Table1[N_ID],0)))</f>
        <v/>
      </c>
      <c r="C118" s="1" t="str">
        <f>IF(ATALI[[#This Row],[ID NOTA]]="","",HYPERLINK("[NOTA_.xlsx]NOTA!e"&amp;INDEX([2]!PAJAK[//],MATCH(ATALI[[#This Row],[ID NOTA]],[2]!PAJAK[ID],0)),"&gt;") )</f>
        <v/>
      </c>
      <c r="D118" s="1" t="str">
        <f>IF(ATALI[[#This Row],[ID NOTA]]="","",INDEX(Table1[QB],MATCH(ATALI[[#This Row],[ID NOTA]],Table1[ID],0)))</f>
        <v/>
      </c>
      <c r="E11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632</v>
      </c>
      <c r="F118" s="1"/>
      <c r="G118" s="3" t="str">
        <f>IF(ATALI[[#This Row],[ID NOTA]]="","",INDEX([2]!NOTA[TGL_H],MATCH(ATALI[[#This Row],[ID NOTA]],[2]!NOTA[ID],0)))</f>
        <v/>
      </c>
      <c r="H118" s="3" t="str">
        <f>IF(ATALI[[#This Row],[ID NOTA]]="","",INDEX([2]!NOTA[TGL.NOTA],MATCH(ATALI[[#This Row],[ID NOTA]],[2]!NOTA[ID],0)))</f>
        <v/>
      </c>
      <c r="I118" t="str">
        <f>IF(ATALI[[#This Row],[ID NOTA]]="","",INDEX([2]!NOTA[NO.NOTA],MATCH(ATALI[[#This Row],[ID NOTA]],[2]!NOTA[ID],0)))</f>
        <v/>
      </c>
      <c r="J118" t="str">
        <f ca="1">IF(ATALI[[#This Row],[//]]="","",INDEX([4]!db[NB PAJAK],ATALI[[#This Row],[stt]]-1))</f>
        <v>GEL PEN JOYKO GP-265 Q-GEL HITAM</v>
      </c>
      <c r="K118" s="1" t="str">
        <f ca="1">IF(ATALI[[#This Row],[//]]="","",IF(INDEX([2]!NOTA[C],ATALI[[#This Row],[//]]-2)="","",INDEX([2]!NOTA[C],ATALI[[#This Row],[//]]-2)))</f>
        <v/>
      </c>
      <c r="L118" s="1">
        <f ca="1">IF(ATALI[[#This Row],[//]]="","",INDEX([2]!NOTA[QTY],ATALI[[#This Row],[//]]-2))</f>
        <v>84</v>
      </c>
      <c r="M118" s="1" t="str">
        <f ca="1">IF(ATALI[[#This Row],[//]]="","",INDEX([2]!NOTA[STN],ATALI[[#This Row],[//]]-2))</f>
        <v>DZ</v>
      </c>
      <c r="N118" s="5">
        <f ca="1">IF(ATALI[[#This Row],[//]]="","",INDEX([2]!NOTA[HARGA SATUAN],ATALI[[#This Row],[//]]-2))</f>
        <v>27600</v>
      </c>
      <c r="O118" s="7">
        <f ca="1">IF(ATALI[[#This Row],[//]]="","",INDEX([2]!NOTA[DISC 1],ATALI[[#This Row],[//]]-2))</f>
        <v>0.125</v>
      </c>
      <c r="P118" s="7">
        <f ca="1">IF(ATALI[[#This Row],[//]]="","",INDEX([2]!NOTA[DISC 2],ATALI[[#This Row],[//]]-2))</f>
        <v>0.05</v>
      </c>
      <c r="Q118" s="5">
        <f ca="1">IF(ATALI[[#This Row],[//]]="","",INDEX([2]!NOTA[TOTAL],ATALI[[#This Row],[//]]-2))</f>
        <v>1927170</v>
      </c>
      <c r="R11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1927170</v>
      </c>
      <c r="S11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55328332.5</v>
      </c>
      <c r="T118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OP&amp;CP JK</v>
      </c>
      <c r="U118" t="str">
        <f ca="1">IF(ATALI[[#This Row],[//]]="","",INDEX([2]!NOTA[NAMA BARANG],ATALI[[#This Row],[//]]-2))</f>
        <v>GEL PEN GP-265 Q GEL (BLACK) JK</v>
      </c>
      <c r="V118" t="str">
        <f ca="1">LOWER(SUBSTITUTE(SUBSTITUTE(SUBSTITUTE(SUBSTITUTE(SUBSTITUTE(SUBSTITUTE(SUBSTITUTE(ATALI[[#This Row],[N.B.nota]]," ",""),"-",""),"(",""),")",""),".",""),",",""),"/",""))</f>
        <v>gelpengp265qgelblackjk</v>
      </c>
      <c r="W118">
        <f ca="1">IF(ATALI[[#This Row],[concat]]="","",MATCH(ATALI[[#This Row],[concat]],[4]!db[NB NOTA_C],0)+1)</f>
        <v>705</v>
      </c>
      <c r="X118" t="str">
        <f ca="1">IF(ATALI[[#This Row],[N.B.nota]]="","",ADDRESS(ROW(ATALI[QB]),COLUMN(ATALI[QB]))&amp;":"&amp;ADDRESS(ROW(),COLUMN(ATALI[QB])))</f>
        <v>$D$3:$D$118</v>
      </c>
      <c r="Y118" s="13" t="str">
        <f ca="1">IF(ATALI[[#This Row],[//]]="","",HYPERLINK("[../DB.xlsx]DB!e"&amp;MATCH(ATALI[[#This Row],[concat]],[4]!db[NB NOTA_C],0)+1,"&gt;"))</f>
        <v>&gt;</v>
      </c>
    </row>
    <row r="119" spans="1:25" x14ac:dyDescent="0.25">
      <c r="A119" s="4"/>
      <c r="B119" s="1" t="str">
        <f>IF(ATALI[[#This Row],[N_ID]]="","",INDEX(Table1[ID],MATCH(ATALI[[#This Row],[N_ID]],Table1[N_ID],0)))</f>
        <v/>
      </c>
      <c r="C119" s="1" t="str">
        <f>IF(ATALI[[#This Row],[ID NOTA]]="","",HYPERLINK("[NOTA_.xlsx]NOTA!e"&amp;INDEX([2]!PAJAK[//],MATCH(ATALI[[#This Row],[ID NOTA]],[2]!PAJAK[ID],0)),"&gt;") )</f>
        <v/>
      </c>
      <c r="D119" s="1" t="str">
        <f>IF(ATALI[[#This Row],[ID NOTA]]="","",INDEX(Table1[QB],MATCH(ATALI[[#This Row],[ID NOTA]],Table1[ID],0)))</f>
        <v/>
      </c>
      <c r="E11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19" s="1"/>
      <c r="G119" s="3" t="str">
        <f>IF(ATALI[[#This Row],[ID NOTA]]="","",INDEX([2]!NOTA[TGL_H],MATCH(ATALI[[#This Row],[ID NOTA]],[2]!NOTA[ID],0)))</f>
        <v/>
      </c>
      <c r="H119" s="3" t="str">
        <f>IF(ATALI[[#This Row],[ID NOTA]]="","",INDEX([2]!NOTA[TGL.NOTA],MATCH(ATALI[[#This Row],[ID NOTA]],[2]!NOTA[ID],0)))</f>
        <v/>
      </c>
      <c r="I119" t="str">
        <f>IF(ATALI[[#This Row],[ID NOTA]]="","",INDEX([2]!NOTA[NO.NOTA],MATCH(ATALI[[#This Row],[ID NOTA]],[2]!NOTA[ID],0)))</f>
        <v/>
      </c>
      <c r="J119" t="str">
        <f ca="1">IF(ATALI[[#This Row],[//]]="","",INDEX([4]!db[NB PAJAK],ATALI[[#This Row],[stt]]-1))</f>
        <v/>
      </c>
      <c r="K119" s="1" t="str">
        <f ca="1">IF(ATALI[[#This Row],[//]]="","",IF(INDEX([2]!NOTA[C],ATALI[[#This Row],[//]]-2)="","",INDEX([2]!NOTA[C],ATALI[[#This Row],[//]]-2)))</f>
        <v/>
      </c>
      <c r="L119" s="1" t="str">
        <f ca="1">IF(ATALI[[#This Row],[//]]="","",INDEX([2]!NOTA[QTY],ATALI[[#This Row],[//]]-2))</f>
        <v/>
      </c>
      <c r="M119" s="1" t="str">
        <f ca="1">IF(ATALI[[#This Row],[//]]="","",INDEX([2]!NOTA[STN],ATALI[[#This Row],[//]]-2))</f>
        <v/>
      </c>
      <c r="N119" s="5" t="str">
        <f ca="1">IF(ATALI[[#This Row],[//]]="","",INDEX([2]!NOTA[HARGA SATUAN],ATALI[[#This Row],[//]]-2))</f>
        <v/>
      </c>
      <c r="O119" s="7" t="str">
        <f ca="1">IF(ATALI[[#This Row],[//]]="","",INDEX([2]!NOTA[DISC 1],ATALI[[#This Row],[//]]-2))</f>
        <v/>
      </c>
      <c r="P119" s="7" t="str">
        <f ca="1">IF(ATALI[[#This Row],[//]]="","",INDEX([2]!NOTA[DISC 2],ATALI[[#This Row],[//]]-2))</f>
        <v/>
      </c>
      <c r="Q119" s="5" t="str">
        <f ca="1">IF(ATALI[[#This Row],[//]]="","",INDEX([2]!NOTA[TOTAL],ATALI[[#This Row],[//]]-2))</f>
        <v/>
      </c>
      <c r="R1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t="str">
        <f ca="1">IF(ATALI[[#This Row],[//]]="","",INDEX([2]!NOTA[NAMA BARANG],ATALI[[#This Row],[//]]-2))</f>
        <v/>
      </c>
      <c r="V119" t="str">
        <f ca="1">LOWER(SUBSTITUTE(SUBSTITUTE(SUBSTITUTE(SUBSTITUTE(SUBSTITUTE(SUBSTITUTE(SUBSTITUTE(ATALI[[#This Row],[N.B.nota]]," ",""),"-",""),"(",""),")",""),".",""),",",""),"/",""))</f>
        <v/>
      </c>
      <c r="W119" t="str">
        <f ca="1">IF(ATALI[[#This Row],[concat]]="","",MATCH(ATALI[[#This Row],[concat]],[4]!db[NB NOTA_C],0)+1)</f>
        <v/>
      </c>
      <c r="X119" t="str">
        <f ca="1">IF(ATALI[[#This Row],[N.B.nota]]="","",ADDRESS(ROW(ATALI[QB]),COLUMN(ATALI[QB]))&amp;":"&amp;ADDRESS(ROW(),COLUMN(ATALI[QB])))</f>
        <v/>
      </c>
      <c r="Y119" s="13" t="str">
        <f ca="1">IF(ATALI[[#This Row],[//]]="","",HYPERLINK("[../DB.xlsx]DB!e"&amp;MATCH(ATALI[[#This Row],[concat]],[4]!db[NB NOTA_C],0)+1,"&gt;"))</f>
        <v/>
      </c>
    </row>
    <row r="120" spans="1:25" x14ac:dyDescent="0.25">
      <c r="A120" s="4" t="s">
        <v>101</v>
      </c>
      <c r="B120" s="1">
        <f ca="1">IF(ATALI[[#This Row],[N_ID]]="","",INDEX(Table1[ID],MATCH(ATALI[[#This Row],[N_ID]],Table1[N_ID],0)))</f>
        <v>110</v>
      </c>
      <c r="C120" s="1" t="str">
        <f ca="1">IF(ATALI[[#This Row],[ID NOTA]]="","",HYPERLINK("[NOTA_.xlsx]NOTA!e"&amp;INDEX([2]!PAJAK[//],MATCH(ATALI[[#This Row],[ID NOTA]],[2]!PAJAK[ID],0)),"&gt;") )</f>
        <v>&gt;</v>
      </c>
      <c r="D120" s="1">
        <f ca="1">IF(ATALI[[#This Row],[ID NOTA]]="","",INDEX(Table1[QB],MATCH(ATALI[[#This Row],[ID NOTA]],Table1[ID],0)))</f>
        <v>7</v>
      </c>
      <c r="E1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646</v>
      </c>
      <c r="F120" s="1">
        <v>16</v>
      </c>
      <c r="G120" s="3">
        <f ca="1">IF(ATALI[[#This Row],[ID NOTA]]="","",INDEX([2]!NOTA[TGL_H],MATCH(ATALI[[#This Row],[ID NOTA]],[2]!NOTA[ID],0)))</f>
        <v>44827</v>
      </c>
      <c r="H120" s="3">
        <f ca="1">IF(ATALI[[#This Row],[ID NOTA]]="","",INDEX([2]!NOTA[TGL.NOTA],MATCH(ATALI[[#This Row],[ID NOTA]],[2]!NOTA[ID],0)))</f>
        <v>44823</v>
      </c>
      <c r="I120" t="str">
        <f ca="1">IF(ATALI[[#This Row],[ID NOTA]]="","",INDEX([2]!NOTA[NO.NOTA],MATCH(ATALI[[#This Row],[ID NOTA]],[2]!NOTA[ID],0)))</f>
        <v>SA220914758</v>
      </c>
      <c r="J120" t="str">
        <f ca="1">IF(ATALI[[#This Row],[//]]="","",INDEX([4]!db[NB PAJAK],ATALI[[#This Row],[stt]]-1))</f>
        <v>CRAYON / OIL PASTEL JOYKO OP-12S PP CASE SEA WORLD</v>
      </c>
      <c r="K120" s="1">
        <f ca="1">IF(ATALI[[#This Row],[//]]="","",IF(INDEX([2]!NOTA[C],ATALI[[#This Row],[//]]-2)="","",INDEX([2]!NOTA[C],ATALI[[#This Row],[//]]-2)))</f>
        <v>15</v>
      </c>
      <c r="L120" s="1">
        <f ca="1">IF(ATALI[[#This Row],[//]]="","",INDEX([2]!NOTA[QTY],ATALI[[#This Row],[//]]-2))</f>
        <v>2160</v>
      </c>
      <c r="M120" s="1" t="str">
        <f ca="1">IF(ATALI[[#This Row],[//]]="","",INDEX([2]!NOTA[STN],ATALI[[#This Row],[//]]-2))</f>
        <v>SET</v>
      </c>
      <c r="N120" s="5">
        <f ca="1">IF(ATALI[[#This Row],[//]]="","",INDEX([2]!NOTA[HARGA SATUAN],ATALI[[#This Row],[//]]-2))</f>
        <v>11900</v>
      </c>
      <c r="O120" s="7">
        <f ca="1">IF(ATALI[[#This Row],[//]]="","",INDEX([2]!NOTA[DISC 1],ATALI[[#This Row],[//]]-2))</f>
        <v>0.125</v>
      </c>
      <c r="P120" s="7">
        <f ca="1">IF(ATALI[[#This Row],[//]]="","",INDEX([2]!NOTA[DISC 2],ATALI[[#This Row],[//]]-2))</f>
        <v>0.05</v>
      </c>
      <c r="Q120" s="5">
        <f ca="1">IF(ATALI[[#This Row],[//]]="","",INDEX([2]!NOTA[TOTAL],ATALI[[#This Row],[//]]-2))</f>
        <v>21366450</v>
      </c>
      <c r="R1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t="str">
        <f ca="1">IF(ATALI[[#This Row],[//]]="","",INDEX([2]!NOTA[NAMA BARANG],ATALI[[#This Row],[//]]-2))</f>
        <v>OIL PASTEL OP-12S PP CASE SEA WORLD JK</v>
      </c>
      <c r="V120" t="str">
        <f ca="1">LOWER(SUBSTITUTE(SUBSTITUTE(SUBSTITUTE(SUBSTITUTE(SUBSTITUTE(SUBSTITUTE(SUBSTITUTE(ATALI[[#This Row],[N.B.nota]]," ",""),"-",""),"(",""),")",""),".",""),",",""),"/",""))</f>
        <v>oilpastelop12sppcaseseaworldjk</v>
      </c>
      <c r="W120">
        <f ca="1">IF(ATALI[[#This Row],[concat]]="","",MATCH(ATALI[[#This Row],[concat]],[4]!db[NB NOTA_C],0)+1)</f>
        <v>1500</v>
      </c>
      <c r="X120" t="str">
        <f ca="1">IF(ATALI[[#This Row],[N.B.nota]]="","",ADDRESS(ROW(ATALI[QB]),COLUMN(ATALI[QB]))&amp;":"&amp;ADDRESS(ROW(),COLUMN(ATALI[QB])))</f>
        <v>$D$3:$D$120</v>
      </c>
      <c r="Y120" s="13" t="str">
        <f ca="1">IF(ATALI[[#This Row],[//]]="","",HYPERLINK("[../DB.xlsx]DB!e"&amp;MATCH(ATALI[[#This Row],[concat]],[4]!db[NB NOTA_C],0)+1,"&gt;"))</f>
        <v>&gt;</v>
      </c>
    </row>
    <row r="121" spans="1:25" x14ac:dyDescent="0.25">
      <c r="A121" s="4"/>
      <c r="B121" s="1" t="str">
        <f>IF(ATALI[[#This Row],[N_ID]]="","",INDEX(Table1[ID],MATCH(ATALI[[#This Row],[N_ID]],Table1[N_ID],0)))</f>
        <v/>
      </c>
      <c r="C121" s="1" t="str">
        <f>IF(ATALI[[#This Row],[ID NOTA]]="","",HYPERLINK("[NOTA_.xlsx]NOTA!e"&amp;INDEX([2]!PAJAK[//],MATCH(ATALI[[#This Row],[ID NOTA]],[2]!PAJAK[ID],0)),"&gt;") )</f>
        <v/>
      </c>
      <c r="D121" s="1" t="str">
        <f>IF(ATALI[[#This Row],[ID NOTA]]="","",INDEX(Table1[QB],MATCH(ATALI[[#This Row],[ID NOTA]],Table1[ID],0)))</f>
        <v/>
      </c>
      <c r="E1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647</v>
      </c>
      <c r="F121" s="1"/>
      <c r="G121" s="3" t="str">
        <f>IF(ATALI[[#This Row],[ID NOTA]]="","",INDEX([2]!NOTA[TGL_H],MATCH(ATALI[[#This Row],[ID NOTA]],[2]!NOTA[ID],0)))</f>
        <v/>
      </c>
      <c r="H121" s="3" t="str">
        <f>IF(ATALI[[#This Row],[ID NOTA]]="","",INDEX([2]!NOTA[TGL.NOTA],MATCH(ATALI[[#This Row],[ID NOTA]],[2]!NOTA[ID],0)))</f>
        <v/>
      </c>
      <c r="I121" t="str">
        <f>IF(ATALI[[#This Row],[ID NOTA]]="","",INDEX([2]!NOTA[NO.NOTA],MATCH(ATALI[[#This Row],[ID NOTA]],[2]!NOTA[ID],0)))</f>
        <v/>
      </c>
      <c r="J121" t="str">
        <f ca="1">IF(ATALI[[#This Row],[//]]="","",INDEX([4]!db[NB PAJAK],ATALI[[#This Row],[stt]]-1))</f>
        <v>CRAYON / OIL PASTEL JOYKO OP-18S PP CASE SEA WORLD</v>
      </c>
      <c r="K121" s="1">
        <f ca="1">IF(ATALI[[#This Row],[//]]="","",IF(INDEX([2]!NOTA[C],ATALI[[#This Row],[//]]-2)="","",INDEX([2]!NOTA[C],ATALI[[#This Row],[//]]-2)))</f>
        <v>10</v>
      </c>
      <c r="L121" s="1">
        <f ca="1">IF(ATALI[[#This Row],[//]]="","",INDEX([2]!NOTA[QTY],ATALI[[#This Row],[//]]-2))</f>
        <v>720</v>
      </c>
      <c r="M121" s="1" t="str">
        <f ca="1">IF(ATALI[[#This Row],[//]]="","",INDEX([2]!NOTA[STN],ATALI[[#This Row],[//]]-2))</f>
        <v>SET</v>
      </c>
      <c r="N121" s="5">
        <f ca="1">IF(ATALI[[#This Row],[//]]="","",INDEX([2]!NOTA[HARGA SATUAN],ATALI[[#This Row],[//]]-2))</f>
        <v>23000</v>
      </c>
      <c r="O121" s="7">
        <f ca="1">IF(ATALI[[#This Row],[//]]="","",INDEX([2]!NOTA[DISC 1],ATALI[[#This Row],[//]]-2))</f>
        <v>0.125</v>
      </c>
      <c r="P121" s="7">
        <f ca="1">IF(ATALI[[#This Row],[//]]="","",INDEX([2]!NOTA[DISC 2],ATALI[[#This Row],[//]]-2))</f>
        <v>0.05</v>
      </c>
      <c r="Q121" s="5">
        <f ca="1">IF(ATALI[[#This Row],[//]]="","",INDEX([2]!NOTA[TOTAL],ATALI[[#This Row],[//]]-2))</f>
        <v>13765500</v>
      </c>
      <c r="R1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t="str">
        <f ca="1">IF(ATALI[[#This Row],[//]]="","",INDEX([2]!NOTA[NAMA BARANG],ATALI[[#This Row],[//]]-2))</f>
        <v>OIL PASTEL OP-18S PP CASE SEA WORLD JK</v>
      </c>
      <c r="V121" t="str">
        <f ca="1">LOWER(SUBSTITUTE(SUBSTITUTE(SUBSTITUTE(SUBSTITUTE(SUBSTITUTE(SUBSTITUTE(SUBSTITUTE(ATALI[[#This Row],[N.B.nota]]," ",""),"-",""),"(",""),")",""),".",""),",",""),"/",""))</f>
        <v>oilpastelop18sppcaseseaworldjk</v>
      </c>
      <c r="W121">
        <f ca="1">IF(ATALI[[#This Row],[concat]]="","",MATCH(ATALI[[#This Row],[concat]],[4]!db[NB NOTA_C],0)+1)</f>
        <v>1501</v>
      </c>
      <c r="X121" t="str">
        <f ca="1">IF(ATALI[[#This Row],[N.B.nota]]="","",ADDRESS(ROW(ATALI[QB]),COLUMN(ATALI[QB]))&amp;":"&amp;ADDRESS(ROW(),COLUMN(ATALI[QB])))</f>
        <v>$D$3:$D$121</v>
      </c>
      <c r="Y121" s="13" t="str">
        <f ca="1">IF(ATALI[[#This Row],[//]]="","",HYPERLINK("[../DB.xlsx]DB!e"&amp;MATCH(ATALI[[#This Row],[concat]],[4]!db[NB NOTA_C],0)+1,"&gt;"))</f>
        <v>&gt;</v>
      </c>
    </row>
    <row r="122" spans="1:25" x14ac:dyDescent="0.25">
      <c r="A122" s="4"/>
      <c r="B122" s="1" t="str">
        <f>IF(ATALI[[#This Row],[N_ID]]="","",INDEX(Table1[ID],MATCH(ATALI[[#This Row],[N_ID]],Table1[N_ID],0)))</f>
        <v/>
      </c>
      <c r="C122" s="1" t="str">
        <f>IF(ATALI[[#This Row],[ID NOTA]]="","",HYPERLINK("[NOTA_.xlsx]NOTA!e"&amp;INDEX([2]!PAJAK[//],MATCH(ATALI[[#This Row],[ID NOTA]],[2]!PAJAK[ID],0)),"&gt;") )</f>
        <v/>
      </c>
      <c r="D122" s="1" t="str">
        <f>IF(ATALI[[#This Row],[ID NOTA]]="","",INDEX(Table1[QB],MATCH(ATALI[[#This Row],[ID NOTA]],Table1[ID],0)))</f>
        <v/>
      </c>
      <c r="E12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648</v>
      </c>
      <c r="F122" s="1"/>
      <c r="G122" s="3" t="str">
        <f>IF(ATALI[[#This Row],[ID NOTA]]="","",INDEX([2]!NOTA[TGL_H],MATCH(ATALI[[#This Row],[ID NOTA]],[2]!NOTA[ID],0)))</f>
        <v/>
      </c>
      <c r="H122" s="3" t="str">
        <f>IF(ATALI[[#This Row],[ID NOTA]]="","",INDEX([2]!NOTA[TGL.NOTA],MATCH(ATALI[[#This Row],[ID NOTA]],[2]!NOTA[ID],0)))</f>
        <v/>
      </c>
      <c r="I122" t="str">
        <f>IF(ATALI[[#This Row],[ID NOTA]]="","",INDEX([2]!NOTA[NO.NOTA],MATCH(ATALI[[#This Row],[ID NOTA]],[2]!NOTA[ID],0)))</f>
        <v/>
      </c>
      <c r="J122" t="str">
        <f ca="1">IF(ATALI[[#This Row],[//]]="","",INDEX([4]!db[NB PAJAK],ATALI[[#This Row],[stt]]-1))</f>
        <v>CRAYON / OIL PASTEL JOYKO OP-24S PP CASE SEA WORLD</v>
      </c>
      <c r="K122" s="1">
        <f ca="1">IF(ATALI[[#This Row],[//]]="","",IF(INDEX([2]!NOTA[C],ATALI[[#This Row],[//]]-2)="","",INDEX([2]!NOTA[C],ATALI[[#This Row],[//]]-2)))</f>
        <v>10</v>
      </c>
      <c r="L122" s="1">
        <f ca="1">IF(ATALI[[#This Row],[//]]="","",INDEX([2]!NOTA[QTY],ATALI[[#This Row],[//]]-2))</f>
        <v>480</v>
      </c>
      <c r="M122" s="1" t="str">
        <f ca="1">IF(ATALI[[#This Row],[//]]="","",INDEX([2]!NOTA[STN],ATALI[[#This Row],[//]]-2))</f>
        <v>SET</v>
      </c>
      <c r="N122" s="5">
        <f ca="1">IF(ATALI[[#This Row],[//]]="","",INDEX([2]!NOTA[HARGA SATUAN],ATALI[[#This Row],[//]]-2))</f>
        <v>28700</v>
      </c>
      <c r="O122" s="7">
        <f ca="1">IF(ATALI[[#This Row],[//]]="","",INDEX([2]!NOTA[DISC 1],ATALI[[#This Row],[//]]-2))</f>
        <v>0.125</v>
      </c>
      <c r="P122" s="7">
        <f ca="1">IF(ATALI[[#This Row],[//]]="","",INDEX([2]!NOTA[DISC 2],ATALI[[#This Row],[//]]-2))</f>
        <v>0.05</v>
      </c>
      <c r="Q122" s="5">
        <f ca="1">IF(ATALI[[#This Row],[//]]="","",INDEX([2]!NOTA[TOTAL],ATALI[[#This Row],[//]]-2))</f>
        <v>11451300</v>
      </c>
      <c r="R1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2" t="str">
        <f ca="1">IF(ATALI[[#This Row],[//]]="","",INDEX([2]!NOTA[NAMA BARANG],ATALI[[#This Row],[//]]-2))</f>
        <v>OIL PASTEL OP-24S PP CASE SEA WORLD JK</v>
      </c>
      <c r="V122" t="str">
        <f ca="1">LOWER(SUBSTITUTE(SUBSTITUTE(SUBSTITUTE(SUBSTITUTE(SUBSTITUTE(SUBSTITUTE(SUBSTITUTE(ATALI[[#This Row],[N.B.nota]]," ",""),"-",""),"(",""),")",""),".",""),",",""),"/",""))</f>
        <v>oilpastelop24sppcaseseaworldjk</v>
      </c>
      <c r="W122">
        <f ca="1">IF(ATALI[[#This Row],[concat]]="","",MATCH(ATALI[[#This Row],[concat]],[4]!db[NB NOTA_C],0)+1)</f>
        <v>1502</v>
      </c>
      <c r="X122" t="str">
        <f ca="1">IF(ATALI[[#This Row],[N.B.nota]]="","",ADDRESS(ROW(ATALI[QB]),COLUMN(ATALI[QB]))&amp;":"&amp;ADDRESS(ROW(),COLUMN(ATALI[QB])))</f>
        <v>$D$3:$D$122</v>
      </c>
      <c r="Y122" s="13" t="str">
        <f ca="1">IF(ATALI[[#This Row],[//]]="","",HYPERLINK("[../DB.xlsx]DB!e"&amp;MATCH(ATALI[[#This Row],[concat]],[4]!db[NB NOTA_C],0)+1,"&gt;"))</f>
        <v>&gt;</v>
      </c>
    </row>
    <row r="123" spans="1:25" x14ac:dyDescent="0.25">
      <c r="A123" s="4"/>
      <c r="B123" s="1" t="str">
        <f>IF(ATALI[[#This Row],[N_ID]]="","",INDEX(Table1[ID],MATCH(ATALI[[#This Row],[N_ID]],Table1[N_ID],0)))</f>
        <v/>
      </c>
      <c r="C123" s="1" t="str">
        <f>IF(ATALI[[#This Row],[ID NOTA]]="","",HYPERLINK("[NOTA_.xlsx]NOTA!e"&amp;INDEX([2]!PAJAK[//],MATCH(ATALI[[#This Row],[ID NOTA]],[2]!PAJAK[ID],0)),"&gt;") )</f>
        <v/>
      </c>
      <c r="D123" s="1" t="str">
        <f>IF(ATALI[[#This Row],[ID NOTA]]="","",INDEX(Table1[QB],MATCH(ATALI[[#This Row],[ID NOTA]],Table1[ID],0)))</f>
        <v/>
      </c>
      <c r="E1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649</v>
      </c>
      <c r="F123" s="1"/>
      <c r="G123" s="3" t="str">
        <f>IF(ATALI[[#This Row],[ID NOTA]]="","",INDEX([2]!NOTA[TGL_H],MATCH(ATALI[[#This Row],[ID NOTA]],[2]!NOTA[ID],0)))</f>
        <v/>
      </c>
      <c r="H123" s="3" t="str">
        <f>IF(ATALI[[#This Row],[ID NOTA]]="","",INDEX([2]!NOTA[TGL.NOTA],MATCH(ATALI[[#This Row],[ID NOTA]],[2]!NOTA[ID],0)))</f>
        <v/>
      </c>
      <c r="I123" t="str">
        <f>IF(ATALI[[#This Row],[ID NOTA]]="","",INDEX([2]!NOTA[NO.NOTA],MATCH(ATALI[[#This Row],[ID NOTA]],[2]!NOTA[ID],0)))</f>
        <v/>
      </c>
      <c r="J123" t="str">
        <f ca="1">IF(ATALI[[#This Row],[//]]="","",INDEX([4]!db[NB PAJAK],ATALI[[#This Row],[stt]]-1))</f>
        <v>CRAYON / OIL PASTEL JOYKO OP-36S PP CASE SEA WORLD</v>
      </c>
      <c r="K123" s="1">
        <f ca="1">IF(ATALI[[#This Row],[//]]="","",IF(INDEX([2]!NOTA[C],ATALI[[#This Row],[//]]-2)="","",INDEX([2]!NOTA[C],ATALI[[#This Row],[//]]-2)))</f>
        <v>5</v>
      </c>
      <c r="L123" s="1">
        <f ca="1">IF(ATALI[[#This Row],[//]]="","",INDEX([2]!NOTA[QTY],ATALI[[#This Row],[//]]-2))</f>
        <v>180</v>
      </c>
      <c r="M123" s="1" t="str">
        <f ca="1">IF(ATALI[[#This Row],[//]]="","",INDEX([2]!NOTA[STN],ATALI[[#This Row],[//]]-2))</f>
        <v>SET</v>
      </c>
      <c r="N123" s="5">
        <f ca="1">IF(ATALI[[#This Row],[//]]="","",INDEX([2]!NOTA[HARGA SATUAN],ATALI[[#This Row],[//]]-2))</f>
        <v>41500</v>
      </c>
      <c r="O123" s="7">
        <f ca="1">IF(ATALI[[#This Row],[//]]="","",INDEX([2]!NOTA[DISC 1],ATALI[[#This Row],[//]]-2))</f>
        <v>0.125</v>
      </c>
      <c r="P123" s="7">
        <f ca="1">IF(ATALI[[#This Row],[//]]="","",INDEX([2]!NOTA[DISC 2],ATALI[[#This Row],[//]]-2))</f>
        <v>0.05</v>
      </c>
      <c r="Q123" s="5">
        <f ca="1">IF(ATALI[[#This Row],[//]]="","",INDEX([2]!NOTA[TOTAL],ATALI[[#This Row],[//]]-2))</f>
        <v>6209437.5</v>
      </c>
      <c r="R1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t="str">
        <f ca="1">IF(ATALI[[#This Row],[//]]="","",INDEX([2]!NOTA[NAMA BARANG],ATALI[[#This Row],[//]]-2))</f>
        <v>OIL PASTEL OP-36S PP CASE SEA WORLD JK</v>
      </c>
      <c r="V123" t="str">
        <f ca="1">LOWER(SUBSTITUTE(SUBSTITUTE(SUBSTITUTE(SUBSTITUTE(SUBSTITUTE(SUBSTITUTE(SUBSTITUTE(ATALI[[#This Row],[N.B.nota]]," ",""),"-",""),"(",""),")",""),".",""),",",""),"/",""))</f>
        <v>oilpastelop36sppcaseseaworldjk</v>
      </c>
      <c r="W123">
        <f ca="1">IF(ATALI[[#This Row],[concat]]="","",MATCH(ATALI[[#This Row],[concat]],[4]!db[NB NOTA_C],0)+1)</f>
        <v>1503</v>
      </c>
      <c r="X123" t="str">
        <f ca="1">IF(ATALI[[#This Row],[N.B.nota]]="","",ADDRESS(ROW(ATALI[QB]),COLUMN(ATALI[QB]))&amp;":"&amp;ADDRESS(ROW(),COLUMN(ATALI[QB])))</f>
        <v>$D$3:$D$123</v>
      </c>
      <c r="Y123" s="13" t="str">
        <f ca="1">IF(ATALI[[#This Row],[//]]="","",HYPERLINK("[../DB.xlsx]DB!e"&amp;MATCH(ATALI[[#This Row],[concat]],[4]!db[NB NOTA_C],0)+1,"&gt;"))</f>
        <v>&gt;</v>
      </c>
    </row>
    <row r="124" spans="1:25" x14ac:dyDescent="0.25">
      <c r="A124" s="4"/>
      <c r="B124" s="1" t="str">
        <f>IF(ATALI[[#This Row],[N_ID]]="","",INDEX(Table1[ID],MATCH(ATALI[[#This Row],[N_ID]],Table1[N_ID],0)))</f>
        <v/>
      </c>
      <c r="C124" s="1" t="str">
        <f>IF(ATALI[[#This Row],[ID NOTA]]="","",HYPERLINK("[NOTA_.xlsx]NOTA!e"&amp;INDEX([2]!PAJAK[//],MATCH(ATALI[[#This Row],[ID NOTA]],[2]!PAJAK[ID],0)),"&gt;") )</f>
        <v/>
      </c>
      <c r="D124" s="1" t="str">
        <f>IF(ATALI[[#This Row],[ID NOTA]]="","",INDEX(Table1[QB],MATCH(ATALI[[#This Row],[ID NOTA]],Table1[ID],0)))</f>
        <v/>
      </c>
      <c r="E1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650</v>
      </c>
      <c r="F124" s="1"/>
      <c r="G124" s="3" t="str">
        <f>IF(ATALI[[#This Row],[ID NOTA]]="","",INDEX([2]!NOTA[TGL_H],MATCH(ATALI[[#This Row],[ID NOTA]],[2]!NOTA[ID],0)))</f>
        <v/>
      </c>
      <c r="H124" s="3" t="str">
        <f>IF(ATALI[[#This Row],[ID NOTA]]="","",INDEX([2]!NOTA[TGL.NOTA],MATCH(ATALI[[#This Row],[ID NOTA]],[2]!NOTA[ID],0)))</f>
        <v/>
      </c>
      <c r="I124" t="str">
        <f>IF(ATALI[[#This Row],[ID NOTA]]="","",INDEX([2]!NOTA[NO.NOTA],MATCH(ATALI[[#This Row],[ID NOTA]],[2]!NOTA[ID],0)))</f>
        <v/>
      </c>
      <c r="J124" t="str">
        <f ca="1">IF(ATALI[[#This Row],[//]]="","",INDEX([4]!db[NB PAJAK],ATALI[[#This Row],[stt]]-1))</f>
        <v>CRAYON / OIL PASTEL JOYKO OP-48S PP CASE SEA WORLD</v>
      </c>
      <c r="K124" s="1">
        <f ca="1">IF(ATALI[[#This Row],[//]]="","",IF(INDEX([2]!NOTA[C],ATALI[[#This Row],[//]]-2)="","",INDEX([2]!NOTA[C],ATALI[[#This Row],[//]]-2)))</f>
        <v>2</v>
      </c>
      <c r="L124" s="1">
        <f ca="1">IF(ATALI[[#This Row],[//]]="","",INDEX([2]!NOTA[QTY],ATALI[[#This Row],[//]]-2))</f>
        <v>48</v>
      </c>
      <c r="M124" s="1" t="str">
        <f ca="1">IF(ATALI[[#This Row],[//]]="","",INDEX([2]!NOTA[STN],ATALI[[#This Row],[//]]-2))</f>
        <v>SET</v>
      </c>
      <c r="N124" s="5">
        <f ca="1">IF(ATALI[[#This Row],[//]]="","",INDEX([2]!NOTA[HARGA SATUAN],ATALI[[#This Row],[//]]-2))</f>
        <v>58900</v>
      </c>
      <c r="O124" s="7">
        <f ca="1">IF(ATALI[[#This Row],[//]]="","",INDEX([2]!NOTA[DISC 1],ATALI[[#This Row],[//]]-2))</f>
        <v>0.125</v>
      </c>
      <c r="P124" s="7">
        <f ca="1">IF(ATALI[[#This Row],[//]]="","",INDEX([2]!NOTA[DISC 2],ATALI[[#This Row],[//]]-2))</f>
        <v>0.05</v>
      </c>
      <c r="Q124" s="5">
        <f ca="1">IF(ATALI[[#This Row],[//]]="","",INDEX([2]!NOTA[TOTAL],ATALI[[#This Row],[//]]-2))</f>
        <v>2350110</v>
      </c>
      <c r="R1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4" t="str">
        <f ca="1">IF(ATALI[[#This Row],[//]]="","",INDEX([2]!NOTA[NAMA BARANG],ATALI[[#This Row],[//]]-2))</f>
        <v>OIL PASTEL OP-48S PP CASE SEA WORLD JK</v>
      </c>
      <c r="V124" t="str">
        <f ca="1">LOWER(SUBSTITUTE(SUBSTITUTE(SUBSTITUTE(SUBSTITUTE(SUBSTITUTE(SUBSTITUTE(SUBSTITUTE(ATALI[[#This Row],[N.B.nota]]," ",""),"-",""),"(",""),")",""),".",""),",",""),"/",""))</f>
        <v>oilpastelop48sppcaseseaworldjk</v>
      </c>
      <c r="W124">
        <f ca="1">IF(ATALI[[#This Row],[concat]]="","",MATCH(ATALI[[#This Row],[concat]],[4]!db[NB NOTA_C],0)+1)</f>
        <v>1504</v>
      </c>
      <c r="X124" t="str">
        <f ca="1">IF(ATALI[[#This Row],[N.B.nota]]="","",ADDRESS(ROW(ATALI[QB]),COLUMN(ATALI[QB]))&amp;":"&amp;ADDRESS(ROW(),COLUMN(ATALI[QB])))</f>
        <v>$D$3:$D$124</v>
      </c>
      <c r="Y124" s="13" t="str">
        <f ca="1">IF(ATALI[[#This Row],[//]]="","",HYPERLINK("[../DB.xlsx]DB!e"&amp;MATCH(ATALI[[#This Row],[concat]],[4]!db[NB NOTA_C],0)+1,"&gt;"))</f>
        <v>&gt;</v>
      </c>
    </row>
    <row r="125" spans="1:25" x14ac:dyDescent="0.25">
      <c r="A125" s="4"/>
      <c r="B125" s="1" t="str">
        <f>IF(ATALI[[#This Row],[N_ID]]="","",INDEX(Table1[ID],MATCH(ATALI[[#This Row],[N_ID]],Table1[N_ID],0)))</f>
        <v/>
      </c>
      <c r="C125" s="1" t="str">
        <f>IF(ATALI[[#This Row],[ID NOTA]]="","",HYPERLINK("[NOTA_.xlsx]NOTA!e"&amp;INDEX([2]!PAJAK[//],MATCH(ATALI[[#This Row],[ID NOTA]],[2]!PAJAK[ID],0)),"&gt;") )</f>
        <v/>
      </c>
      <c r="D125" s="1" t="str">
        <f>IF(ATALI[[#This Row],[ID NOTA]]="","",INDEX(Table1[QB],MATCH(ATALI[[#This Row],[ID NOTA]],Table1[ID],0)))</f>
        <v/>
      </c>
      <c r="E12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651</v>
      </c>
      <c r="F125" s="1"/>
      <c r="G125" s="3" t="str">
        <f>IF(ATALI[[#This Row],[ID NOTA]]="","",INDEX([2]!NOTA[TGL_H],MATCH(ATALI[[#This Row],[ID NOTA]],[2]!NOTA[ID],0)))</f>
        <v/>
      </c>
      <c r="H125" s="3" t="str">
        <f>IF(ATALI[[#This Row],[ID NOTA]]="","",INDEX([2]!NOTA[TGL.NOTA],MATCH(ATALI[[#This Row],[ID NOTA]],[2]!NOTA[ID],0)))</f>
        <v/>
      </c>
      <c r="I125" t="str">
        <f>IF(ATALI[[#This Row],[ID NOTA]]="","",INDEX([2]!NOTA[NO.NOTA],MATCH(ATALI[[#This Row],[ID NOTA]],[2]!NOTA[ID],0)))</f>
        <v/>
      </c>
      <c r="J125" t="str">
        <f ca="1">IF(ATALI[[#This Row],[//]]="","",INDEX([4]!db[NB PAJAK],ATALI[[#This Row],[stt]]-1))</f>
        <v>CRAYON / OIL PASTEL JOYKO OP-55S PP CASE SEA WORLD</v>
      </c>
      <c r="K125" s="1">
        <f ca="1">IF(ATALI[[#This Row],[//]]="","",IF(INDEX([2]!NOTA[C],ATALI[[#This Row],[//]]-2)="","",INDEX([2]!NOTA[C],ATALI[[#This Row],[//]]-2)))</f>
        <v>3</v>
      </c>
      <c r="L125" s="1">
        <f ca="1">IF(ATALI[[#This Row],[//]]="","",INDEX([2]!NOTA[QTY],ATALI[[#This Row],[//]]-2))</f>
        <v>72</v>
      </c>
      <c r="M125" s="1" t="str">
        <f ca="1">IF(ATALI[[#This Row],[//]]="","",INDEX([2]!NOTA[STN],ATALI[[#This Row],[//]]-2))</f>
        <v>SET</v>
      </c>
      <c r="N125" s="5">
        <f ca="1">IF(ATALI[[#This Row],[//]]="","",INDEX([2]!NOTA[HARGA SATUAN],ATALI[[#This Row],[//]]-2))</f>
        <v>66900</v>
      </c>
      <c r="O125" s="7">
        <f ca="1">IF(ATALI[[#This Row],[//]]="","",INDEX([2]!NOTA[DISC 1],ATALI[[#This Row],[//]]-2))</f>
        <v>0.125</v>
      </c>
      <c r="P125" s="7">
        <f ca="1">IF(ATALI[[#This Row],[//]]="","",INDEX([2]!NOTA[DISC 2],ATALI[[#This Row],[//]]-2))</f>
        <v>0.05</v>
      </c>
      <c r="Q125" s="5">
        <f ca="1">IF(ATALI[[#This Row],[//]]="","",INDEX([2]!NOTA[TOTAL],ATALI[[#This Row],[//]]-2))</f>
        <v>4003965</v>
      </c>
      <c r="R1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5" t="str">
        <f ca="1">IF(ATALI[[#This Row],[//]]="","",INDEX([2]!NOTA[NAMA BARANG],ATALI[[#This Row],[//]]-2))</f>
        <v>OIL PASTEL OP-55S PP CASE SEA WORLD JK</v>
      </c>
      <c r="V125" t="str">
        <f ca="1">LOWER(SUBSTITUTE(SUBSTITUTE(SUBSTITUTE(SUBSTITUTE(SUBSTITUTE(SUBSTITUTE(SUBSTITUTE(ATALI[[#This Row],[N.B.nota]]," ",""),"-",""),"(",""),")",""),".",""),",",""),"/",""))</f>
        <v>oilpastelop55sppcaseseaworldjk</v>
      </c>
      <c r="W125">
        <f ca="1">IF(ATALI[[#This Row],[concat]]="","",MATCH(ATALI[[#This Row],[concat]],[4]!db[NB NOTA_C],0)+1)</f>
        <v>1505</v>
      </c>
      <c r="X125" t="str">
        <f ca="1">IF(ATALI[[#This Row],[N.B.nota]]="","",ADDRESS(ROW(ATALI[QB]),COLUMN(ATALI[QB]))&amp;":"&amp;ADDRESS(ROW(),COLUMN(ATALI[QB])))</f>
        <v>$D$3:$D$125</v>
      </c>
      <c r="Y125" s="13" t="str">
        <f ca="1">IF(ATALI[[#This Row],[//]]="","",HYPERLINK("[../DB.xlsx]DB!e"&amp;MATCH(ATALI[[#This Row],[concat]],[4]!db[NB NOTA_C],0)+1,"&gt;"))</f>
        <v>&gt;</v>
      </c>
    </row>
    <row r="126" spans="1:25" x14ac:dyDescent="0.25">
      <c r="A126" s="4"/>
      <c r="B126" s="1" t="str">
        <f>IF(ATALI[[#This Row],[N_ID]]="","",INDEX(Table1[ID],MATCH(ATALI[[#This Row],[N_ID]],Table1[N_ID],0)))</f>
        <v/>
      </c>
      <c r="C126" s="1" t="str">
        <f>IF(ATALI[[#This Row],[ID NOTA]]="","",HYPERLINK("[NOTA_.xlsx]NOTA!e"&amp;INDEX([2]!PAJAK[//],MATCH(ATALI[[#This Row],[ID NOTA]],[2]!PAJAK[ID],0)),"&gt;") )</f>
        <v/>
      </c>
      <c r="D126" s="1" t="str">
        <f>IF(ATALI[[#This Row],[ID NOTA]]="","",INDEX(Table1[QB],MATCH(ATALI[[#This Row],[ID NOTA]],Table1[ID],0)))</f>
        <v/>
      </c>
      <c r="E1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652</v>
      </c>
      <c r="F126" s="1"/>
      <c r="G126" s="3" t="str">
        <f>IF(ATALI[[#This Row],[ID NOTA]]="","",INDEX([2]!NOTA[TGL_H],MATCH(ATALI[[#This Row],[ID NOTA]],[2]!NOTA[ID],0)))</f>
        <v/>
      </c>
      <c r="H126" s="3" t="str">
        <f>IF(ATALI[[#This Row],[ID NOTA]]="","",INDEX([2]!NOTA[TGL.NOTA],MATCH(ATALI[[#This Row],[ID NOTA]],[2]!NOTA[ID],0)))</f>
        <v/>
      </c>
      <c r="I126" t="str">
        <f>IF(ATALI[[#This Row],[ID NOTA]]="","",INDEX([2]!NOTA[NO.NOTA],MATCH(ATALI[[#This Row],[ID NOTA]],[2]!NOTA[ID],0)))</f>
        <v/>
      </c>
      <c r="J126" t="str">
        <f ca="1">IF(ATALI[[#This Row],[//]]="","",INDEX([4]!db[NB PAJAK],ATALI[[#This Row],[stt]]-1))</f>
        <v>GEL PEN JOYKO GP-265 Q-GEL HITAM</v>
      </c>
      <c r="K126" s="1" t="str">
        <f ca="1">IF(ATALI[[#This Row],[//]]="","",IF(INDEX([2]!NOTA[C],ATALI[[#This Row],[//]]-2)="","",INDEX([2]!NOTA[C],ATALI[[#This Row],[//]]-2)))</f>
        <v/>
      </c>
      <c r="L126" s="1">
        <f ca="1">IF(ATALI[[#This Row],[//]]="","",INDEX([2]!NOTA[QTY],ATALI[[#This Row],[//]]-2))</f>
        <v>90</v>
      </c>
      <c r="M126" s="1" t="str">
        <f ca="1">IF(ATALI[[#This Row],[//]]="","",INDEX([2]!NOTA[STN],ATALI[[#This Row],[//]]-2))</f>
        <v>DZ</v>
      </c>
      <c r="N126" s="5">
        <f ca="1">IF(ATALI[[#This Row],[//]]="","",INDEX([2]!NOTA[HARGA SATUAN],ATALI[[#This Row],[//]]-2))</f>
        <v>27600</v>
      </c>
      <c r="O126" s="7">
        <f ca="1">IF(ATALI[[#This Row],[//]]="","",INDEX([2]!NOTA[DISC 1],ATALI[[#This Row],[//]]-2))</f>
        <v>0.125</v>
      </c>
      <c r="P126" s="7">
        <f ca="1">IF(ATALI[[#This Row],[//]]="","",INDEX([2]!NOTA[DISC 2],ATALI[[#This Row],[//]]-2))</f>
        <v>0.05</v>
      </c>
      <c r="Q126" s="5">
        <f ca="1">IF(ATALI[[#This Row],[//]]="","",INDEX([2]!NOTA[TOTAL],ATALI[[#This Row],[//]]-2))</f>
        <v>2064825</v>
      </c>
      <c r="R12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2064825</v>
      </c>
      <c r="S12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59146762.5</v>
      </c>
      <c r="T126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126" t="str">
        <f ca="1">IF(ATALI[[#This Row],[//]]="","",INDEX([2]!NOTA[NAMA BARANG],ATALI[[#This Row],[//]]-2))</f>
        <v>GEL PEN GP-265 Q GEL (BLACK) JK</v>
      </c>
      <c r="V126" t="str">
        <f ca="1">LOWER(SUBSTITUTE(SUBSTITUTE(SUBSTITUTE(SUBSTITUTE(SUBSTITUTE(SUBSTITUTE(SUBSTITUTE(ATALI[[#This Row],[N.B.nota]]," ",""),"-",""),"(",""),")",""),".",""),",",""),"/",""))</f>
        <v>gelpengp265qgelblackjk</v>
      </c>
      <c r="W126">
        <f ca="1">IF(ATALI[[#This Row],[concat]]="","",MATCH(ATALI[[#This Row],[concat]],[4]!db[NB NOTA_C],0)+1)</f>
        <v>705</v>
      </c>
      <c r="X126" t="str">
        <f ca="1">IF(ATALI[[#This Row],[N.B.nota]]="","",ADDRESS(ROW(ATALI[QB]),COLUMN(ATALI[QB]))&amp;":"&amp;ADDRESS(ROW(),COLUMN(ATALI[QB])))</f>
        <v>$D$3:$D$126</v>
      </c>
      <c r="Y126" s="13" t="str">
        <f ca="1">IF(ATALI[[#This Row],[//]]="","",HYPERLINK("[../DB.xlsx]DB!e"&amp;MATCH(ATALI[[#This Row],[concat]],[4]!db[NB NOTA_C],0)+1,"&gt;"))</f>
        <v>&gt;</v>
      </c>
    </row>
    <row r="127" spans="1:25" x14ac:dyDescent="0.25">
      <c r="A127" s="4"/>
      <c r="B127" s="1" t="str">
        <f>IF(ATALI[[#This Row],[N_ID]]="","",INDEX(Table1[ID],MATCH(ATALI[[#This Row],[N_ID]],Table1[N_ID],0)))</f>
        <v/>
      </c>
      <c r="C127" s="1" t="str">
        <f>IF(ATALI[[#This Row],[ID NOTA]]="","",HYPERLINK("[NOTA_.xlsx]NOTA!e"&amp;INDEX([2]!PAJAK[//],MATCH(ATALI[[#This Row],[ID NOTA]],[2]!PAJAK[ID],0)),"&gt;") )</f>
        <v/>
      </c>
      <c r="D127" s="1" t="str">
        <f>IF(ATALI[[#This Row],[ID NOTA]]="","",INDEX(Table1[QB],MATCH(ATALI[[#This Row],[ID NOTA]],Table1[ID],0)))</f>
        <v/>
      </c>
      <c r="E12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7" s="1"/>
      <c r="G127" s="3" t="str">
        <f>IF(ATALI[[#This Row],[ID NOTA]]="","",INDEX([2]!NOTA[TGL_H],MATCH(ATALI[[#This Row],[ID NOTA]],[2]!NOTA[ID],0)))</f>
        <v/>
      </c>
      <c r="H127" s="3" t="str">
        <f>IF(ATALI[[#This Row],[ID NOTA]]="","",INDEX([2]!NOTA[TGL.NOTA],MATCH(ATALI[[#This Row],[ID NOTA]],[2]!NOTA[ID],0)))</f>
        <v/>
      </c>
      <c r="I127" t="str">
        <f>IF(ATALI[[#This Row],[ID NOTA]]="","",INDEX([2]!NOTA[NO.NOTA],MATCH(ATALI[[#This Row],[ID NOTA]],[2]!NOTA[ID],0)))</f>
        <v/>
      </c>
      <c r="J127" t="str">
        <f ca="1">IF(ATALI[[#This Row],[//]]="","",INDEX([4]!db[NB PAJAK],ATALI[[#This Row],[stt]]-1))</f>
        <v/>
      </c>
      <c r="K127" s="1" t="str">
        <f ca="1">IF(ATALI[[#This Row],[//]]="","",IF(INDEX([2]!NOTA[C],ATALI[[#This Row],[//]]-2)="","",INDEX([2]!NOTA[C],ATALI[[#This Row],[//]]-2)))</f>
        <v/>
      </c>
      <c r="L127" s="1" t="str">
        <f ca="1">IF(ATALI[[#This Row],[//]]="","",INDEX([2]!NOTA[QTY],ATALI[[#This Row],[//]]-2))</f>
        <v/>
      </c>
      <c r="M127" s="1" t="str">
        <f ca="1">IF(ATALI[[#This Row],[//]]="","",INDEX([2]!NOTA[STN],ATALI[[#This Row],[//]]-2))</f>
        <v/>
      </c>
      <c r="N127" s="5" t="str">
        <f ca="1">IF(ATALI[[#This Row],[//]]="","",INDEX([2]!NOTA[HARGA SATUAN],ATALI[[#This Row],[//]]-2))</f>
        <v/>
      </c>
      <c r="O127" s="7" t="str">
        <f ca="1">IF(ATALI[[#This Row],[//]]="","",INDEX([2]!NOTA[DISC 1],ATALI[[#This Row],[//]]-2))</f>
        <v/>
      </c>
      <c r="P127" s="7" t="str">
        <f ca="1">IF(ATALI[[#This Row],[//]]="","",INDEX([2]!NOTA[DISC 2],ATALI[[#This Row],[//]]-2))</f>
        <v/>
      </c>
      <c r="Q127" s="5" t="str">
        <f ca="1">IF(ATALI[[#This Row],[//]]="","",INDEX([2]!NOTA[TOTAL],ATALI[[#This Row],[//]]-2))</f>
        <v/>
      </c>
      <c r="R1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7" t="str">
        <f ca="1">IF(ATALI[[#This Row],[//]]="","",INDEX([2]!NOTA[NAMA BARANG],ATALI[[#This Row],[//]]-2))</f>
        <v/>
      </c>
      <c r="V127" t="str">
        <f ca="1">LOWER(SUBSTITUTE(SUBSTITUTE(SUBSTITUTE(SUBSTITUTE(SUBSTITUTE(SUBSTITUTE(SUBSTITUTE(ATALI[[#This Row],[N.B.nota]]," ",""),"-",""),"(",""),")",""),".",""),",",""),"/",""))</f>
        <v/>
      </c>
      <c r="W127" t="str">
        <f ca="1">IF(ATALI[[#This Row],[concat]]="","",MATCH(ATALI[[#This Row],[concat]],[4]!db[NB NOTA_C],0)+1)</f>
        <v/>
      </c>
      <c r="X127" t="str">
        <f ca="1">IF(ATALI[[#This Row],[N.B.nota]]="","",ADDRESS(ROW(ATALI[QB]),COLUMN(ATALI[QB]))&amp;":"&amp;ADDRESS(ROW(),COLUMN(ATALI[QB])))</f>
        <v/>
      </c>
      <c r="Y127" s="13" t="str">
        <f ca="1">IF(ATALI[[#This Row],[//]]="","",HYPERLINK("[../DB.xlsx]DB!e"&amp;MATCH(ATALI[[#This Row],[concat]],[4]!db[NB NOTA_C],0)+1,"&gt;"))</f>
        <v/>
      </c>
    </row>
    <row r="128" spans="1:25" x14ac:dyDescent="0.25">
      <c r="A128" s="4" t="s">
        <v>102</v>
      </c>
      <c r="B128" s="1">
        <f ca="1">IF(ATALI[[#This Row],[N_ID]]="","",INDEX(Table1[ID],MATCH(ATALI[[#This Row],[N_ID]],Table1[N_ID],0)))</f>
        <v>111</v>
      </c>
      <c r="C128" s="1" t="str">
        <f ca="1">IF(ATALI[[#This Row],[ID NOTA]]="","",HYPERLINK("[NOTA_.xlsx]NOTA!e"&amp;INDEX([2]!PAJAK[//],MATCH(ATALI[[#This Row],[ID NOTA]],[2]!PAJAK[ID],0)),"&gt;") )</f>
        <v>&gt;</v>
      </c>
      <c r="D128" s="1">
        <f ca="1">IF(ATALI[[#This Row],[ID NOTA]]="","",INDEX(Table1[QB],MATCH(ATALI[[#This Row],[ID NOTA]],Table1[ID],0)))</f>
        <v>4</v>
      </c>
      <c r="E12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654</v>
      </c>
      <c r="F128" s="1">
        <v>17</v>
      </c>
      <c r="G128" s="3">
        <f ca="1">IF(ATALI[[#This Row],[ID NOTA]]="","",INDEX([2]!NOTA[TGL_H],MATCH(ATALI[[#This Row],[ID NOTA]],[2]!NOTA[ID],0)))</f>
        <v>44827</v>
      </c>
      <c r="H128" s="3">
        <f ca="1">IF(ATALI[[#This Row],[ID NOTA]]="","",INDEX([2]!NOTA[TGL.NOTA],MATCH(ATALI[[#This Row],[ID NOTA]],[2]!NOTA[ID],0)))</f>
        <v>44823</v>
      </c>
      <c r="I128" t="str">
        <f ca="1">IF(ATALI[[#This Row],[ID NOTA]]="","",INDEX([2]!NOTA[NO.NOTA],MATCH(ATALI[[#This Row],[ID NOTA]],[2]!NOTA[ID],0)))</f>
        <v>SA220914796</v>
      </c>
      <c r="J128" t="str">
        <f ca="1">IF(ATALI[[#This Row],[//]]="","",INDEX([4]!db[NB PAJAK],ATALI[[#This Row],[stt]]-1))</f>
        <v>PENCIL CASE JOYKO PC-0719PSTL-35 Biru</v>
      </c>
      <c r="K128" s="1" t="str">
        <f ca="1">IF(ATALI[[#This Row],[//]]="","",IF(INDEX([2]!NOTA[C],ATALI[[#This Row],[//]]-2)="","",INDEX([2]!NOTA[C],ATALI[[#This Row],[//]]-2)))</f>
        <v/>
      </c>
      <c r="L128" s="1">
        <f ca="1">IF(ATALI[[#This Row],[//]]="","",INDEX([2]!NOTA[QTY],ATALI[[#This Row],[//]]-2))</f>
        <v>432</v>
      </c>
      <c r="M128" s="1" t="str">
        <f ca="1">IF(ATALI[[#This Row],[//]]="","",INDEX([2]!NOTA[STN],ATALI[[#This Row],[//]]-2))</f>
        <v>PCS</v>
      </c>
      <c r="N128" s="5">
        <f ca="1">IF(ATALI[[#This Row],[//]]="","",INDEX([2]!NOTA[HARGA SATUAN],ATALI[[#This Row],[//]]-2))</f>
        <v>4800</v>
      </c>
      <c r="O128" s="7">
        <f ca="1">IF(ATALI[[#This Row],[//]]="","",INDEX([2]!NOTA[DISC 1],ATALI[[#This Row],[//]]-2))</f>
        <v>0.125</v>
      </c>
      <c r="P128" s="7">
        <f ca="1">IF(ATALI[[#This Row],[//]]="","",INDEX([2]!NOTA[DISC 2],ATALI[[#This Row],[//]]-2))</f>
        <v>0.05</v>
      </c>
      <c r="Q128" s="5">
        <f ca="1">IF(ATALI[[#This Row],[//]]="","",INDEX([2]!NOTA[TOTAL],ATALI[[#This Row],[//]]-2))</f>
        <v>1723680</v>
      </c>
      <c r="R1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t="str">
        <f ca="1">IF(ATALI[[#This Row],[//]]="","",INDEX([2]!NOTA[NAMA BARANG],ATALI[[#This Row],[//]]-2))</f>
        <v>PENCIL CASE PC-0719PSTL-35 (BLUE) JK</v>
      </c>
      <c r="V128" t="str">
        <f ca="1">LOWER(SUBSTITUTE(SUBSTITUTE(SUBSTITUTE(SUBSTITUTE(SUBSTITUTE(SUBSTITUTE(SUBSTITUTE(ATALI[[#This Row],[N.B.nota]]," ",""),"-",""),"(",""),")",""),".",""),",",""),"/",""))</f>
        <v>pencilcasepc0719pstl35bluejk</v>
      </c>
      <c r="W128">
        <f ca="1">IF(ATALI[[#This Row],[concat]]="","",MATCH(ATALI[[#This Row],[concat]],[4]!db[NB NOTA_C],0)+1)</f>
        <v>1669</v>
      </c>
      <c r="X128" t="str">
        <f ca="1">IF(ATALI[[#This Row],[N.B.nota]]="","",ADDRESS(ROW(ATALI[QB]),COLUMN(ATALI[QB]))&amp;":"&amp;ADDRESS(ROW(),COLUMN(ATALI[QB])))</f>
        <v>$D$3:$D$128</v>
      </c>
      <c r="Y128" s="13" t="str">
        <f ca="1">IF(ATALI[[#This Row],[//]]="","",HYPERLINK("[../DB.xlsx]DB!e"&amp;MATCH(ATALI[[#This Row],[concat]],[4]!db[NB NOTA_C],0)+1,"&gt;"))</f>
        <v>&gt;</v>
      </c>
    </row>
    <row r="129" spans="1:25" x14ac:dyDescent="0.25">
      <c r="A129" s="4"/>
      <c r="B129" s="1" t="str">
        <f>IF(ATALI[[#This Row],[N_ID]]="","",INDEX(Table1[ID],MATCH(ATALI[[#This Row],[N_ID]],Table1[N_ID],0)))</f>
        <v/>
      </c>
      <c r="C129" s="1" t="str">
        <f>IF(ATALI[[#This Row],[ID NOTA]]="","",HYPERLINK("[NOTA_.xlsx]NOTA!e"&amp;INDEX([2]!PAJAK[//],MATCH(ATALI[[#This Row],[ID NOTA]],[2]!PAJAK[ID],0)),"&gt;") )</f>
        <v/>
      </c>
      <c r="D129" s="1" t="str">
        <f>IF(ATALI[[#This Row],[ID NOTA]]="","",INDEX(Table1[QB],MATCH(ATALI[[#This Row],[ID NOTA]],Table1[ID],0)))</f>
        <v/>
      </c>
      <c r="E1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655</v>
      </c>
      <c r="F129" s="1"/>
      <c r="G129" s="3" t="str">
        <f>IF(ATALI[[#This Row],[ID NOTA]]="","",INDEX([2]!NOTA[TGL_H],MATCH(ATALI[[#This Row],[ID NOTA]],[2]!NOTA[ID],0)))</f>
        <v/>
      </c>
      <c r="H129" s="3" t="str">
        <f>IF(ATALI[[#This Row],[ID NOTA]]="","",INDEX([2]!NOTA[TGL.NOTA],MATCH(ATALI[[#This Row],[ID NOTA]],[2]!NOTA[ID],0)))</f>
        <v/>
      </c>
      <c r="I129" t="str">
        <f>IF(ATALI[[#This Row],[ID NOTA]]="","",INDEX([2]!NOTA[NO.NOTA],MATCH(ATALI[[#This Row],[ID NOTA]],[2]!NOTA[ID],0)))</f>
        <v/>
      </c>
      <c r="J129" t="str">
        <f ca="1">IF(ATALI[[#This Row],[//]]="","",INDEX([4]!db[NB PAJAK],ATALI[[#This Row],[stt]]-1))</f>
        <v>PENCIL CASE JOYKO PC-0719PSTL-35 Hijau</v>
      </c>
      <c r="K129" s="1" t="str">
        <f ca="1">IF(ATALI[[#This Row],[//]]="","",IF(INDEX([2]!NOTA[C],ATALI[[#This Row],[//]]-2)="","",INDEX([2]!NOTA[C],ATALI[[#This Row],[//]]-2)))</f>
        <v/>
      </c>
      <c r="L129" s="1">
        <f ca="1">IF(ATALI[[#This Row],[//]]="","",INDEX([2]!NOTA[QTY],ATALI[[#This Row],[//]]-2))</f>
        <v>432</v>
      </c>
      <c r="M129" s="1" t="str">
        <f ca="1">IF(ATALI[[#This Row],[//]]="","",INDEX([2]!NOTA[STN],ATALI[[#This Row],[//]]-2))</f>
        <v>PCS</v>
      </c>
      <c r="N129" s="5">
        <f ca="1">IF(ATALI[[#This Row],[//]]="","",INDEX([2]!NOTA[HARGA SATUAN],ATALI[[#This Row],[//]]-2))</f>
        <v>4800</v>
      </c>
      <c r="O129" s="7">
        <f ca="1">IF(ATALI[[#This Row],[//]]="","",INDEX([2]!NOTA[DISC 1],ATALI[[#This Row],[//]]-2))</f>
        <v>0.125</v>
      </c>
      <c r="P129" s="7">
        <f ca="1">IF(ATALI[[#This Row],[//]]="","",INDEX([2]!NOTA[DISC 2],ATALI[[#This Row],[//]]-2))</f>
        <v>0.05</v>
      </c>
      <c r="Q129" s="5">
        <f ca="1">IF(ATALI[[#This Row],[//]]="","",INDEX([2]!NOTA[TOTAL],ATALI[[#This Row],[//]]-2))</f>
        <v>1723680</v>
      </c>
      <c r="R1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t="str">
        <f ca="1">IF(ATALI[[#This Row],[//]]="","",INDEX([2]!NOTA[NAMA BARANG],ATALI[[#This Row],[//]]-2))</f>
        <v>PENCIL CASE PC-0719PSTL-35 (GREEN) JK</v>
      </c>
      <c r="V129" t="str">
        <f ca="1">LOWER(SUBSTITUTE(SUBSTITUTE(SUBSTITUTE(SUBSTITUTE(SUBSTITUTE(SUBSTITUTE(SUBSTITUTE(ATALI[[#This Row],[N.B.nota]]," ",""),"-",""),"(",""),")",""),".",""),",",""),"/",""))</f>
        <v>pencilcasepc0719pstl35greenjk</v>
      </c>
      <c r="W129">
        <f ca="1">IF(ATALI[[#This Row],[concat]]="","",MATCH(ATALI[[#This Row],[concat]],[4]!db[NB NOTA_C],0)+1)</f>
        <v>1670</v>
      </c>
      <c r="X129" t="str">
        <f ca="1">IF(ATALI[[#This Row],[N.B.nota]]="","",ADDRESS(ROW(ATALI[QB]),COLUMN(ATALI[QB]))&amp;":"&amp;ADDRESS(ROW(),COLUMN(ATALI[QB])))</f>
        <v>$D$3:$D$129</v>
      </c>
      <c r="Y129" s="13" t="str">
        <f ca="1">IF(ATALI[[#This Row],[//]]="","",HYPERLINK("[../DB.xlsx]DB!e"&amp;MATCH(ATALI[[#This Row],[concat]],[4]!db[NB NOTA_C],0)+1,"&gt;"))</f>
        <v>&gt;</v>
      </c>
    </row>
    <row r="130" spans="1:25" x14ac:dyDescent="0.25">
      <c r="A130" s="4"/>
      <c r="B130" s="1" t="str">
        <f>IF(ATALI[[#This Row],[N_ID]]="","",INDEX(Table1[ID],MATCH(ATALI[[#This Row],[N_ID]],Table1[N_ID],0)))</f>
        <v/>
      </c>
      <c r="C130" s="1" t="str">
        <f>IF(ATALI[[#This Row],[ID NOTA]]="","",HYPERLINK("[NOTA_.xlsx]NOTA!e"&amp;INDEX([2]!PAJAK[//],MATCH(ATALI[[#This Row],[ID NOTA]],[2]!PAJAK[ID],0)),"&gt;") )</f>
        <v/>
      </c>
      <c r="D130" s="1" t="str">
        <f>IF(ATALI[[#This Row],[ID NOTA]]="","",INDEX(Table1[QB],MATCH(ATALI[[#This Row],[ID NOTA]],Table1[ID],0)))</f>
        <v/>
      </c>
      <c r="E1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656</v>
      </c>
      <c r="F130" s="1"/>
      <c r="G130" s="3" t="str">
        <f>IF(ATALI[[#This Row],[ID NOTA]]="","",INDEX([2]!NOTA[TGL_H],MATCH(ATALI[[#This Row],[ID NOTA]],[2]!NOTA[ID],0)))</f>
        <v/>
      </c>
      <c r="H130" s="3" t="str">
        <f>IF(ATALI[[#This Row],[ID NOTA]]="","",INDEX([2]!NOTA[TGL.NOTA],MATCH(ATALI[[#This Row],[ID NOTA]],[2]!NOTA[ID],0)))</f>
        <v/>
      </c>
      <c r="I130" t="str">
        <f>IF(ATALI[[#This Row],[ID NOTA]]="","",INDEX([2]!NOTA[NO.NOTA],MATCH(ATALI[[#This Row],[ID NOTA]],[2]!NOTA[ID],0)))</f>
        <v/>
      </c>
      <c r="J130" t="str">
        <f ca="1">IF(ATALI[[#This Row],[//]]="","",INDEX([4]!db[NB PAJAK],ATALI[[#This Row],[stt]]-1))</f>
        <v>PENCIL CASE JOYKO PC-0719PSTL-35 Pink</v>
      </c>
      <c r="K130" s="1" t="str">
        <f ca="1">IF(ATALI[[#This Row],[//]]="","",IF(INDEX([2]!NOTA[C],ATALI[[#This Row],[//]]-2)="","",INDEX([2]!NOTA[C],ATALI[[#This Row],[//]]-2)))</f>
        <v/>
      </c>
      <c r="L130" s="1">
        <f ca="1">IF(ATALI[[#This Row],[//]]="","",INDEX([2]!NOTA[QTY],ATALI[[#This Row],[//]]-2))</f>
        <v>432</v>
      </c>
      <c r="M130" s="1" t="str">
        <f ca="1">IF(ATALI[[#This Row],[//]]="","",INDEX([2]!NOTA[STN],ATALI[[#This Row],[//]]-2))</f>
        <v>PCS</v>
      </c>
      <c r="N130" s="5">
        <f ca="1">IF(ATALI[[#This Row],[//]]="","",INDEX([2]!NOTA[HARGA SATUAN],ATALI[[#This Row],[//]]-2))</f>
        <v>4800</v>
      </c>
      <c r="O130" s="7">
        <f ca="1">IF(ATALI[[#This Row],[//]]="","",INDEX([2]!NOTA[DISC 1],ATALI[[#This Row],[//]]-2))</f>
        <v>0.125</v>
      </c>
      <c r="P130" s="7">
        <f ca="1">IF(ATALI[[#This Row],[//]]="","",INDEX([2]!NOTA[DISC 2],ATALI[[#This Row],[//]]-2))</f>
        <v>0.05</v>
      </c>
      <c r="Q130" s="5">
        <f ca="1">IF(ATALI[[#This Row],[//]]="","",INDEX([2]!NOTA[TOTAL],ATALI[[#This Row],[//]]-2))</f>
        <v>1723680</v>
      </c>
      <c r="R1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0" t="str">
        <f ca="1">IF(ATALI[[#This Row],[//]]="","",INDEX([2]!NOTA[NAMA BARANG],ATALI[[#This Row],[//]]-2))</f>
        <v>PENCIL CASE PC-0719PSTL-35 (PINK) JK</v>
      </c>
      <c r="V130" t="str">
        <f ca="1">LOWER(SUBSTITUTE(SUBSTITUTE(SUBSTITUTE(SUBSTITUTE(SUBSTITUTE(SUBSTITUTE(SUBSTITUTE(ATALI[[#This Row],[N.B.nota]]," ",""),"-",""),"(",""),")",""),".",""),",",""),"/",""))</f>
        <v>pencilcasepc0719pstl35pinkjk</v>
      </c>
      <c r="W130">
        <f ca="1">IF(ATALI[[#This Row],[concat]]="","",MATCH(ATALI[[#This Row],[concat]],[4]!db[NB NOTA_C],0)+1)</f>
        <v>1671</v>
      </c>
      <c r="X130" t="str">
        <f ca="1">IF(ATALI[[#This Row],[N.B.nota]]="","",ADDRESS(ROW(ATALI[QB]),COLUMN(ATALI[QB]))&amp;":"&amp;ADDRESS(ROW(),COLUMN(ATALI[QB])))</f>
        <v>$D$3:$D$130</v>
      </c>
      <c r="Y130" s="13" t="str">
        <f ca="1">IF(ATALI[[#This Row],[//]]="","",HYPERLINK("[../DB.xlsx]DB!e"&amp;MATCH(ATALI[[#This Row],[concat]],[4]!db[NB NOTA_C],0)+1,"&gt;"))</f>
        <v>&gt;</v>
      </c>
    </row>
    <row r="131" spans="1:25" x14ac:dyDescent="0.25">
      <c r="A131" s="4"/>
      <c r="B131" s="1" t="str">
        <f>IF(ATALI[[#This Row],[N_ID]]="","",INDEX(Table1[ID],MATCH(ATALI[[#This Row],[N_ID]],Table1[N_ID],0)))</f>
        <v/>
      </c>
      <c r="C131" s="1" t="str">
        <f>IF(ATALI[[#This Row],[ID NOTA]]="","",HYPERLINK("[NOTA_.xlsx]NOTA!e"&amp;INDEX([2]!PAJAK[//],MATCH(ATALI[[#This Row],[ID NOTA]],[2]!PAJAK[ID],0)),"&gt;") )</f>
        <v/>
      </c>
      <c r="D131" s="1" t="str">
        <f>IF(ATALI[[#This Row],[ID NOTA]]="","",INDEX(Table1[QB],MATCH(ATALI[[#This Row],[ID NOTA]],Table1[ID],0)))</f>
        <v/>
      </c>
      <c r="E13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657</v>
      </c>
      <c r="F131" s="1"/>
      <c r="G131" s="3" t="str">
        <f>IF(ATALI[[#This Row],[ID NOTA]]="","",INDEX([2]!NOTA[TGL_H],MATCH(ATALI[[#This Row],[ID NOTA]],[2]!NOTA[ID],0)))</f>
        <v/>
      </c>
      <c r="H131" s="3" t="str">
        <f>IF(ATALI[[#This Row],[ID NOTA]]="","",INDEX([2]!NOTA[TGL.NOTA],MATCH(ATALI[[#This Row],[ID NOTA]],[2]!NOTA[ID],0)))</f>
        <v/>
      </c>
      <c r="I131" t="str">
        <f>IF(ATALI[[#This Row],[ID NOTA]]="","",INDEX([2]!NOTA[NO.NOTA],MATCH(ATALI[[#This Row],[ID NOTA]],[2]!NOTA[ID],0)))</f>
        <v/>
      </c>
      <c r="J131" t="str">
        <f ca="1">IF(ATALI[[#This Row],[//]]="","",INDEX([4]!db[NB PAJAK],ATALI[[#This Row],[stt]]-1))</f>
        <v>PENCIL CASE JOYKO PC-0719PSTL-35 Ungu</v>
      </c>
      <c r="K131" s="1" t="str">
        <f ca="1">IF(ATALI[[#This Row],[//]]="","",IF(INDEX([2]!NOTA[C],ATALI[[#This Row],[//]]-2)="","",INDEX([2]!NOTA[C],ATALI[[#This Row],[//]]-2)))</f>
        <v/>
      </c>
      <c r="L131" s="1">
        <f ca="1">IF(ATALI[[#This Row],[//]]="","",INDEX([2]!NOTA[QTY],ATALI[[#This Row],[//]]-2))</f>
        <v>432</v>
      </c>
      <c r="M131" s="1" t="str">
        <f ca="1">IF(ATALI[[#This Row],[//]]="","",INDEX([2]!NOTA[STN],ATALI[[#This Row],[//]]-2))</f>
        <v>PCS</v>
      </c>
      <c r="N131" s="5">
        <f ca="1">IF(ATALI[[#This Row],[//]]="","",INDEX([2]!NOTA[HARGA SATUAN],ATALI[[#This Row],[//]]-2))</f>
        <v>4800</v>
      </c>
      <c r="O131" s="7">
        <f ca="1">IF(ATALI[[#This Row],[//]]="","",INDEX([2]!NOTA[DISC 1],ATALI[[#This Row],[//]]-2))</f>
        <v>0.125</v>
      </c>
      <c r="P131" s="7">
        <f ca="1">IF(ATALI[[#This Row],[//]]="","",INDEX([2]!NOTA[DISC 2],ATALI[[#This Row],[//]]-2))</f>
        <v>0.05</v>
      </c>
      <c r="Q131" s="5">
        <f ca="1">IF(ATALI[[#This Row],[//]]="","",INDEX([2]!NOTA[TOTAL],ATALI[[#This Row],[//]]-2))</f>
        <v>1723680</v>
      </c>
      <c r="R13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6894720</v>
      </c>
      <c r="T131" s="1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1" t="str">
        <f ca="1">IF(ATALI[[#This Row],[//]]="","",INDEX([2]!NOTA[NAMA BARANG],ATALI[[#This Row],[//]]-2))</f>
        <v>PENCIL CASE PC-0719PSTL-35 (PURPLE) JK</v>
      </c>
      <c r="V131" t="str">
        <f ca="1">LOWER(SUBSTITUTE(SUBSTITUTE(SUBSTITUTE(SUBSTITUTE(SUBSTITUTE(SUBSTITUTE(SUBSTITUTE(ATALI[[#This Row],[N.B.nota]]," ",""),"-",""),"(",""),")",""),".",""),",",""),"/",""))</f>
        <v>pencilcasepc0719pstl35purplejk</v>
      </c>
      <c r="W131">
        <f ca="1">IF(ATALI[[#This Row],[concat]]="","",MATCH(ATALI[[#This Row],[concat]],[4]!db[NB NOTA_C],0)+1)</f>
        <v>1672</v>
      </c>
      <c r="X131" t="str">
        <f ca="1">IF(ATALI[[#This Row],[N.B.nota]]="","",ADDRESS(ROW(ATALI[QB]),COLUMN(ATALI[QB]))&amp;":"&amp;ADDRESS(ROW(),COLUMN(ATALI[QB])))</f>
        <v>$D$3:$D$131</v>
      </c>
      <c r="Y131" s="15" t="str">
        <f ca="1">IF(ATALI[[#This Row],[//]]="","",HYPERLINK("[../DB.xlsx]DB!e"&amp;MATCH(ATALI[[#This Row],[concat]],[4]!db[NB NOTA_C],0)+1,"&gt;"))</f>
        <v>&gt;</v>
      </c>
    </row>
    <row r="132" spans="1:25" x14ac:dyDescent="0.25">
      <c r="A132" s="4"/>
      <c r="B132" s="6" t="str">
        <f>IF(ATALI[[#This Row],[N_ID]]="","",INDEX(Table1[ID],MATCH(ATALI[[#This Row],[N_ID]],Table1[N_ID],0)))</f>
        <v/>
      </c>
      <c r="C132" s="6" t="str">
        <f>IF(ATALI[[#This Row],[ID NOTA]]="","",HYPERLINK("[NOTA_.xlsx]NOTA!e"&amp;INDEX([2]!PAJAK[//],MATCH(ATALI[[#This Row],[ID NOTA]],[2]!PAJAK[ID],0)),"&gt;") )</f>
        <v/>
      </c>
      <c r="D132" s="6" t="str">
        <f>IF(ATALI[[#This Row],[ID NOTA]]="","",INDEX(Table1[QB],MATCH(ATALI[[#This Row],[ID NOTA]],Table1[ID],0)))</f>
        <v/>
      </c>
      <c r="E1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2" s="6"/>
      <c r="G132" s="3" t="str">
        <f>IF(ATALI[[#This Row],[ID NOTA]]="","",INDEX([2]!NOTA[TGL_H],MATCH(ATALI[[#This Row],[ID NOTA]],[2]!NOTA[ID],0)))</f>
        <v/>
      </c>
      <c r="H132" s="3" t="str">
        <f>IF(ATALI[[#This Row],[ID NOTA]]="","",INDEX([2]!NOTA[TGL.NOTA],MATCH(ATALI[[#This Row],[ID NOTA]],[2]!NOTA[ID],0)))</f>
        <v/>
      </c>
      <c r="I132" s="4" t="str">
        <f>IF(ATALI[[#This Row],[ID NOTA]]="","",INDEX([2]!NOTA[NO.NOTA],MATCH(ATALI[[#This Row],[ID NOTA]],[2]!NOTA[ID],0)))</f>
        <v/>
      </c>
      <c r="J132" s="4" t="str">
        <f ca="1">IF(ATALI[[#This Row],[//]]="","",INDEX([4]!db[NB PAJAK],ATALI[[#This Row],[stt]]-1))</f>
        <v/>
      </c>
      <c r="K132" s="6" t="str">
        <f ca="1">IF(ATALI[[#This Row],[//]]="","",IF(INDEX([2]!NOTA[C],ATALI[[#This Row],[//]]-2)="","",INDEX([2]!NOTA[C],ATALI[[#This Row],[//]]-2)))</f>
        <v/>
      </c>
      <c r="L132" s="6" t="str">
        <f ca="1">IF(ATALI[[#This Row],[//]]="","",INDEX([2]!NOTA[QTY],ATALI[[#This Row],[//]]-2))</f>
        <v/>
      </c>
      <c r="M132" s="6" t="str">
        <f ca="1">IF(ATALI[[#This Row],[//]]="","",INDEX([2]!NOTA[STN],ATALI[[#This Row],[//]]-2))</f>
        <v/>
      </c>
      <c r="N132" s="5" t="str">
        <f ca="1">IF(ATALI[[#This Row],[//]]="","",INDEX([2]!NOTA[HARGA SATUAN],ATALI[[#This Row],[//]]-2))</f>
        <v/>
      </c>
      <c r="O132" s="7" t="str">
        <f ca="1">IF(ATALI[[#This Row],[//]]="","",INDEX([2]!NOTA[DISC 1],ATALI[[#This Row],[//]]-2))</f>
        <v/>
      </c>
      <c r="P132" s="7" t="str">
        <f ca="1">IF(ATALI[[#This Row],[//]]="","",INDEX([2]!NOTA[DISC 2],ATALI[[#This Row],[//]]-2))</f>
        <v/>
      </c>
      <c r="Q132" s="5" t="str">
        <f ca="1">IF(ATALI[[#This Row],[//]]="","",INDEX([2]!NOTA[TOTAL],ATALI[[#This Row],[//]]-2))</f>
        <v/>
      </c>
      <c r="R1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2" s="4" t="str">
        <f ca="1">IF(ATALI[[#This Row],[//]]="","",INDEX([2]!NOTA[NAMA BARANG],ATALI[[#This Row],[//]]-2))</f>
        <v/>
      </c>
      <c r="V132" s="4" t="str">
        <f ca="1">LOWER(SUBSTITUTE(SUBSTITUTE(SUBSTITUTE(SUBSTITUTE(SUBSTITUTE(SUBSTITUTE(SUBSTITUTE(ATALI[[#This Row],[N.B.nota]]," ",""),"-",""),"(",""),")",""),".",""),",",""),"/",""))</f>
        <v/>
      </c>
      <c r="W132" s="4" t="str">
        <f ca="1">IF(ATALI[[#This Row],[concat]]="","",MATCH(ATALI[[#This Row],[concat]],[4]!db[NB NOTA_C],0)+1)</f>
        <v/>
      </c>
      <c r="X132" s="4" t="str">
        <f ca="1">IF(ATALI[[#This Row],[N.B.nota]]="","",ADDRESS(ROW(ATALI[QB]),COLUMN(ATALI[QB]))&amp;":"&amp;ADDRESS(ROW(),COLUMN(ATALI[QB])))</f>
        <v/>
      </c>
      <c r="Y132" s="13" t="str">
        <f ca="1">IF(ATALI[[#This Row],[//]]="","",HYPERLINK("[../DB.xlsx]DB!e"&amp;MATCH(ATALI[[#This Row],[concat]],[4]!db[NB NOTA_C],0)+1,"&gt;"))</f>
        <v/>
      </c>
    </row>
    <row r="133" spans="1:25" x14ac:dyDescent="0.25">
      <c r="A133" s="4" t="s">
        <v>109</v>
      </c>
      <c r="B133" s="6">
        <f ca="1">IF(ATALI[[#This Row],[N_ID]]="","",INDEX(Table1[ID],MATCH(ATALI[[#This Row],[N_ID]],Table1[N_ID],0)))</f>
        <v>121</v>
      </c>
      <c r="C133" s="6" t="str">
        <f ca="1">IF(ATALI[[#This Row],[ID NOTA]]="","",HYPERLINK("[NOTA_.xlsx]NOTA!e"&amp;INDEX([2]!PAJAK[//],MATCH(ATALI[[#This Row],[ID NOTA]],[2]!PAJAK[ID],0)),"&gt;") )</f>
        <v>&gt;</v>
      </c>
      <c r="D133" s="6">
        <f ca="1">IF(ATALI[[#This Row],[ID NOTA]]="","",INDEX(Table1[QB],MATCH(ATALI[[#This Row],[ID NOTA]],Table1[ID],0)))</f>
        <v>12</v>
      </c>
      <c r="E13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720</v>
      </c>
      <c r="F133" s="6">
        <v>18</v>
      </c>
      <c r="G133" s="3">
        <f ca="1">IF(ATALI[[#This Row],[ID NOTA]]="","",INDEX([2]!NOTA[TGL_H],MATCH(ATALI[[#This Row],[ID NOTA]],[2]!NOTA[ID],0)))</f>
        <v>44830</v>
      </c>
      <c r="H133" s="3">
        <f ca="1">IF(ATALI[[#This Row],[ID NOTA]]="","",INDEX([2]!NOTA[TGL.NOTA],MATCH(ATALI[[#This Row],[ID NOTA]],[2]!NOTA[ID],0)))</f>
        <v>44824</v>
      </c>
      <c r="I133" s="4" t="str">
        <f ca="1">IF(ATALI[[#This Row],[ID NOTA]]="","",INDEX([2]!NOTA[NO.NOTA],MATCH(ATALI[[#This Row],[ID NOTA]],[2]!NOTA[ID],0)))</f>
        <v>SA220914841</v>
      </c>
      <c r="J133" s="4" t="str">
        <f ca="1">IF(ATALI[[#This Row],[//]]="","",INDEX([4]!db[NB PAJAK],ATALI[[#This Row],[stt]]-1))</f>
        <v>PENCIL CASE JOYKO PC-0719AC-36A/F (Animal Calender)</v>
      </c>
      <c r="K133" s="6">
        <f ca="1">IF(ATALI[[#This Row],[//]]="","",IF(INDEX([2]!NOTA[C],ATALI[[#This Row],[//]]-2)="","",INDEX([2]!NOTA[C],ATALI[[#This Row],[//]]-2)))</f>
        <v>2</v>
      </c>
      <c r="L133" s="6">
        <f ca="1">IF(ATALI[[#This Row],[//]]="","",INDEX([2]!NOTA[QTY],ATALI[[#This Row],[//]]-2))</f>
        <v>576</v>
      </c>
      <c r="M133" s="6" t="str">
        <f ca="1">IF(ATALI[[#This Row],[//]]="","",INDEX([2]!NOTA[STN],ATALI[[#This Row],[//]]-2))</f>
        <v>PCS</v>
      </c>
      <c r="N133" s="5">
        <f ca="1">IF(ATALI[[#This Row],[//]]="","",INDEX([2]!NOTA[HARGA SATUAN],ATALI[[#This Row],[//]]-2))</f>
        <v>4800</v>
      </c>
      <c r="O133" s="7">
        <f ca="1">IF(ATALI[[#This Row],[//]]="","",INDEX([2]!NOTA[DISC 1],ATALI[[#This Row],[//]]-2))</f>
        <v>0.125</v>
      </c>
      <c r="P133" s="7">
        <f ca="1">IF(ATALI[[#This Row],[//]]="","",INDEX([2]!NOTA[DISC 2],ATALI[[#This Row],[//]]-2))</f>
        <v>0.05</v>
      </c>
      <c r="Q133" s="5">
        <f ca="1">IF(ATALI[[#This Row],[//]]="","",INDEX([2]!NOTA[TOTAL],ATALI[[#This Row],[//]]-2))</f>
        <v>2298240</v>
      </c>
      <c r="R1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s="4" t="str">
        <f ca="1">IF(ATALI[[#This Row],[//]]="","",INDEX([2]!NOTA[NAMA BARANG],ATALI[[#This Row],[//]]-2))</f>
        <v>PENCIL CASE PC-0719AC-36A/F (ANIMAL CALENDER) JK</v>
      </c>
      <c r="V133" s="4" t="str">
        <f ca="1">LOWER(SUBSTITUTE(SUBSTITUTE(SUBSTITUTE(SUBSTITUTE(SUBSTITUTE(SUBSTITUTE(SUBSTITUTE(ATALI[[#This Row],[N.B.nota]]," ",""),"-",""),"(",""),")",""),".",""),",",""),"/",""))</f>
        <v>pencilcasepc0719ac36afanimalcalenderjk</v>
      </c>
      <c r="W133" s="4">
        <f ca="1">IF(ATALI[[#This Row],[concat]]="","",MATCH(ATALI[[#This Row],[concat]],[4]!db[NB NOTA_C],0)+1)</f>
        <v>1662</v>
      </c>
      <c r="X133" s="4" t="str">
        <f ca="1">IF(ATALI[[#This Row],[N.B.nota]]="","",ADDRESS(ROW(ATALI[QB]),COLUMN(ATALI[QB]))&amp;":"&amp;ADDRESS(ROW(),COLUMN(ATALI[QB])))</f>
        <v>$D$3:$D$133</v>
      </c>
      <c r="Y133" s="13" t="str">
        <f ca="1">IF(ATALI[[#This Row],[//]]="","",HYPERLINK("[../DB.xlsx]DB!e"&amp;MATCH(ATALI[[#This Row],[concat]],[4]!db[NB NOTA_C],0)+1,"&gt;"))</f>
        <v>&gt;</v>
      </c>
    </row>
    <row r="134" spans="1:25" x14ac:dyDescent="0.25">
      <c r="A134" s="4"/>
      <c r="B134" s="6" t="str">
        <f>IF(ATALI[[#This Row],[N_ID]]="","",INDEX(Table1[ID],MATCH(ATALI[[#This Row],[N_ID]],Table1[N_ID],0)))</f>
        <v/>
      </c>
      <c r="C134" s="6" t="str">
        <f>IF(ATALI[[#This Row],[ID NOTA]]="","",HYPERLINK("[NOTA_.xlsx]NOTA!e"&amp;INDEX([2]!PAJAK[//],MATCH(ATALI[[#This Row],[ID NOTA]],[2]!PAJAK[ID],0)),"&gt;") )</f>
        <v/>
      </c>
      <c r="D134" s="6" t="str">
        <f>IF(ATALI[[#This Row],[ID NOTA]]="","",INDEX(Table1[QB],MATCH(ATALI[[#This Row],[ID NOTA]],Table1[ID],0)))</f>
        <v/>
      </c>
      <c r="E13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721</v>
      </c>
      <c r="F134" s="6"/>
      <c r="G134" s="3" t="str">
        <f>IF(ATALI[[#This Row],[ID NOTA]]="","",INDEX([2]!NOTA[TGL_H],MATCH(ATALI[[#This Row],[ID NOTA]],[2]!NOTA[ID],0)))</f>
        <v/>
      </c>
      <c r="H134" s="3" t="str">
        <f>IF(ATALI[[#This Row],[ID NOTA]]="","",INDEX([2]!NOTA[TGL.NOTA],MATCH(ATALI[[#This Row],[ID NOTA]],[2]!NOTA[ID],0)))</f>
        <v/>
      </c>
      <c r="I134" s="4" t="str">
        <f>IF(ATALI[[#This Row],[ID NOTA]]="","",INDEX([2]!NOTA[NO.NOTA],MATCH(ATALI[[#This Row],[ID NOTA]],[2]!NOTA[ID],0)))</f>
        <v/>
      </c>
      <c r="J134" s="4" t="str">
        <f ca="1">IF(ATALI[[#This Row],[//]]="","",INDEX([4]!db[NB PAJAK],ATALI[[#This Row],[stt]]-1))</f>
        <v>PENCIL CASE JOYKO PC-0719PL-32 BIRU</v>
      </c>
      <c r="K134" s="6" t="str">
        <f ca="1">IF(ATALI[[#This Row],[//]]="","",IF(INDEX([2]!NOTA[C],ATALI[[#This Row],[//]]-2)="","",INDEX([2]!NOTA[C],ATALI[[#This Row],[//]]-2)))</f>
        <v/>
      </c>
      <c r="L134" s="6">
        <f ca="1">IF(ATALI[[#This Row],[//]]="","",INDEX([2]!NOTA[QTY],ATALI[[#This Row],[//]]-2))</f>
        <v>144</v>
      </c>
      <c r="M134" s="6" t="str">
        <f ca="1">IF(ATALI[[#This Row],[//]]="","",INDEX([2]!NOTA[STN],ATALI[[#This Row],[//]]-2))</f>
        <v>PCS</v>
      </c>
      <c r="N134" s="5">
        <f ca="1">IF(ATALI[[#This Row],[//]]="","",INDEX([2]!NOTA[HARGA SATUAN],ATALI[[#This Row],[//]]-2))</f>
        <v>4800</v>
      </c>
      <c r="O134" s="7">
        <f ca="1">IF(ATALI[[#This Row],[//]]="","",INDEX([2]!NOTA[DISC 1],ATALI[[#This Row],[//]]-2))</f>
        <v>0.125</v>
      </c>
      <c r="P134" s="7">
        <f ca="1">IF(ATALI[[#This Row],[//]]="","",INDEX([2]!NOTA[DISC 2],ATALI[[#This Row],[//]]-2))</f>
        <v>0.05</v>
      </c>
      <c r="Q134" s="5">
        <f ca="1">IF(ATALI[[#This Row],[//]]="","",INDEX([2]!NOTA[TOTAL],ATALI[[#This Row],[//]]-2))</f>
        <v>574560</v>
      </c>
      <c r="R1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s="4" t="str">
        <f ca="1">IF(ATALI[[#This Row],[//]]="","",INDEX([2]!NOTA[NAMA BARANG],ATALI[[#This Row],[//]]-2))</f>
        <v>PENCIL CASE PC-0719PL-32 (BLUE) JK</v>
      </c>
      <c r="V134" s="4" t="str">
        <f ca="1">LOWER(SUBSTITUTE(SUBSTITUTE(SUBSTITUTE(SUBSTITUTE(SUBSTITUTE(SUBSTITUTE(SUBSTITUTE(ATALI[[#This Row],[N.B.nota]]," ",""),"-",""),"(",""),")",""),".",""),",",""),"/",""))</f>
        <v>pencilcasepc0719pl32bluejk</v>
      </c>
      <c r="W134" s="4">
        <f ca="1">IF(ATALI[[#This Row],[concat]]="","",MATCH(ATALI[[#This Row],[concat]],[4]!db[NB NOTA_C],0)+1)</f>
        <v>1665</v>
      </c>
      <c r="X134" s="4" t="str">
        <f ca="1">IF(ATALI[[#This Row],[N.B.nota]]="","",ADDRESS(ROW(ATALI[QB]),COLUMN(ATALI[QB]))&amp;":"&amp;ADDRESS(ROW(),COLUMN(ATALI[QB])))</f>
        <v>$D$3:$D$134</v>
      </c>
      <c r="Y134" s="13" t="str">
        <f ca="1">IF(ATALI[[#This Row],[//]]="","",HYPERLINK("[../DB.xlsx]DB!e"&amp;MATCH(ATALI[[#This Row],[concat]],[4]!db[NB NOTA_C],0)+1,"&gt;"))</f>
        <v>&gt;</v>
      </c>
    </row>
    <row r="135" spans="1:25" x14ac:dyDescent="0.25">
      <c r="A135" s="4"/>
      <c r="B135" s="6" t="str">
        <f>IF(ATALI[[#This Row],[N_ID]]="","",INDEX(Table1[ID],MATCH(ATALI[[#This Row],[N_ID]],Table1[N_ID],0)))</f>
        <v/>
      </c>
      <c r="C135" s="6" t="str">
        <f>IF(ATALI[[#This Row],[ID NOTA]]="","",HYPERLINK("[NOTA_.xlsx]NOTA!e"&amp;INDEX([2]!PAJAK[//],MATCH(ATALI[[#This Row],[ID NOTA]],[2]!PAJAK[ID],0)),"&gt;") )</f>
        <v/>
      </c>
      <c r="D135" s="6" t="str">
        <f>IF(ATALI[[#This Row],[ID NOTA]]="","",INDEX(Table1[QB],MATCH(ATALI[[#This Row],[ID NOTA]],Table1[ID],0)))</f>
        <v/>
      </c>
      <c r="E13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722</v>
      </c>
      <c r="F135" s="6"/>
      <c r="G135" s="3" t="str">
        <f>IF(ATALI[[#This Row],[ID NOTA]]="","",INDEX([2]!NOTA[TGL_H],MATCH(ATALI[[#This Row],[ID NOTA]],[2]!NOTA[ID],0)))</f>
        <v/>
      </c>
      <c r="H135" s="3" t="str">
        <f>IF(ATALI[[#This Row],[ID NOTA]]="","",INDEX([2]!NOTA[TGL.NOTA],MATCH(ATALI[[#This Row],[ID NOTA]],[2]!NOTA[ID],0)))</f>
        <v/>
      </c>
      <c r="I135" s="4" t="str">
        <f>IF(ATALI[[#This Row],[ID NOTA]]="","",INDEX([2]!NOTA[NO.NOTA],MATCH(ATALI[[#This Row],[ID NOTA]],[2]!NOTA[ID],0)))</f>
        <v/>
      </c>
      <c r="J135" s="4" t="str">
        <f ca="1">IF(ATALI[[#This Row],[//]]="","",INDEX([4]!db[NB PAJAK],ATALI[[#This Row],[stt]]-1))</f>
        <v>PENCIL CASE JOYKO PC-0719PL-32 HIJAU</v>
      </c>
      <c r="K135" s="6" t="str">
        <f ca="1">IF(ATALI[[#This Row],[//]]="","",IF(INDEX([2]!NOTA[C],ATALI[[#This Row],[//]]-2)="","",INDEX([2]!NOTA[C],ATALI[[#This Row],[//]]-2)))</f>
        <v/>
      </c>
      <c r="L135" s="6">
        <f ca="1">IF(ATALI[[#This Row],[//]]="","",INDEX([2]!NOTA[QTY],ATALI[[#This Row],[//]]-2))</f>
        <v>144</v>
      </c>
      <c r="M135" s="6" t="str">
        <f ca="1">IF(ATALI[[#This Row],[//]]="","",INDEX([2]!NOTA[STN],ATALI[[#This Row],[//]]-2))</f>
        <v>PCS</v>
      </c>
      <c r="N135" s="5">
        <f ca="1">IF(ATALI[[#This Row],[//]]="","",INDEX([2]!NOTA[HARGA SATUAN],ATALI[[#This Row],[//]]-2))</f>
        <v>4800</v>
      </c>
      <c r="O135" s="7">
        <f ca="1">IF(ATALI[[#This Row],[//]]="","",INDEX([2]!NOTA[DISC 1],ATALI[[#This Row],[//]]-2))</f>
        <v>0.125</v>
      </c>
      <c r="P135" s="7">
        <f ca="1">IF(ATALI[[#This Row],[//]]="","",INDEX([2]!NOTA[DISC 2],ATALI[[#This Row],[//]]-2))</f>
        <v>0.05</v>
      </c>
      <c r="Q135" s="5">
        <f ca="1">IF(ATALI[[#This Row],[//]]="","",INDEX([2]!NOTA[TOTAL],ATALI[[#This Row],[//]]-2))</f>
        <v>574560</v>
      </c>
      <c r="R1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s="4" t="str">
        <f ca="1">IF(ATALI[[#This Row],[//]]="","",INDEX([2]!NOTA[NAMA BARANG],ATALI[[#This Row],[//]]-2))</f>
        <v>PENCIL CASE PC-0719PL-32 (GREEN) JK</v>
      </c>
      <c r="V135" s="4" t="str">
        <f ca="1">LOWER(SUBSTITUTE(SUBSTITUTE(SUBSTITUTE(SUBSTITUTE(SUBSTITUTE(SUBSTITUTE(SUBSTITUTE(ATALI[[#This Row],[N.B.nota]]," ",""),"-",""),"(",""),")",""),".",""),",",""),"/",""))</f>
        <v>pencilcasepc0719pl32greenjk</v>
      </c>
      <c r="W135" s="4">
        <f ca="1">IF(ATALI[[#This Row],[concat]]="","",MATCH(ATALI[[#This Row],[concat]],[4]!db[NB NOTA_C],0)+1)</f>
        <v>1666</v>
      </c>
      <c r="X135" s="4" t="str">
        <f ca="1">IF(ATALI[[#This Row],[N.B.nota]]="","",ADDRESS(ROW(ATALI[QB]),COLUMN(ATALI[QB]))&amp;":"&amp;ADDRESS(ROW(),COLUMN(ATALI[QB])))</f>
        <v>$D$3:$D$135</v>
      </c>
      <c r="Y135" s="13" t="str">
        <f ca="1">IF(ATALI[[#This Row],[//]]="","",HYPERLINK("[../DB.xlsx]DB!e"&amp;MATCH(ATALI[[#This Row],[concat]],[4]!db[NB NOTA_C],0)+1,"&gt;"))</f>
        <v>&gt;</v>
      </c>
    </row>
    <row r="136" spans="1:25" x14ac:dyDescent="0.25">
      <c r="A136" s="4"/>
      <c r="B136" s="6" t="str">
        <f>IF(ATALI[[#This Row],[N_ID]]="","",INDEX(Table1[ID],MATCH(ATALI[[#This Row],[N_ID]],Table1[N_ID],0)))</f>
        <v/>
      </c>
      <c r="C136" s="6" t="str">
        <f>IF(ATALI[[#This Row],[ID NOTA]]="","",HYPERLINK("[NOTA_.xlsx]NOTA!e"&amp;INDEX([2]!PAJAK[//],MATCH(ATALI[[#This Row],[ID NOTA]],[2]!PAJAK[ID],0)),"&gt;") )</f>
        <v/>
      </c>
      <c r="D136" s="6" t="str">
        <f>IF(ATALI[[#This Row],[ID NOTA]]="","",INDEX(Table1[QB],MATCH(ATALI[[#This Row],[ID NOTA]],Table1[ID],0)))</f>
        <v/>
      </c>
      <c r="E13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723</v>
      </c>
      <c r="F136" s="6"/>
      <c r="G136" s="3" t="str">
        <f>IF(ATALI[[#This Row],[ID NOTA]]="","",INDEX([2]!NOTA[TGL_H],MATCH(ATALI[[#This Row],[ID NOTA]],[2]!NOTA[ID],0)))</f>
        <v/>
      </c>
      <c r="H136" s="3" t="str">
        <f>IF(ATALI[[#This Row],[ID NOTA]]="","",INDEX([2]!NOTA[TGL.NOTA],MATCH(ATALI[[#This Row],[ID NOTA]],[2]!NOTA[ID],0)))</f>
        <v/>
      </c>
      <c r="I136" s="4" t="str">
        <f>IF(ATALI[[#This Row],[ID NOTA]]="","",INDEX([2]!NOTA[NO.NOTA],MATCH(ATALI[[#This Row],[ID NOTA]],[2]!NOTA[ID],0)))</f>
        <v/>
      </c>
      <c r="J136" s="4" t="str">
        <f ca="1">IF(ATALI[[#This Row],[//]]="","",INDEX([4]!db[NB PAJAK],ATALI[[#This Row],[stt]]-1))</f>
        <v>PENCIL CASE JOYKO PC-0719PL-32 MERAH</v>
      </c>
      <c r="K136" s="6" t="str">
        <f ca="1">IF(ATALI[[#This Row],[//]]="","",IF(INDEX([2]!NOTA[C],ATALI[[#This Row],[//]]-2)="","",INDEX([2]!NOTA[C],ATALI[[#This Row],[//]]-2)))</f>
        <v/>
      </c>
      <c r="L136" s="6">
        <f ca="1">IF(ATALI[[#This Row],[//]]="","",INDEX([2]!NOTA[QTY],ATALI[[#This Row],[//]]-2))</f>
        <v>144</v>
      </c>
      <c r="M136" s="6" t="str">
        <f ca="1">IF(ATALI[[#This Row],[//]]="","",INDEX([2]!NOTA[STN],ATALI[[#This Row],[//]]-2))</f>
        <v>PCS</v>
      </c>
      <c r="N136" s="5">
        <f ca="1">IF(ATALI[[#This Row],[//]]="","",INDEX([2]!NOTA[HARGA SATUAN],ATALI[[#This Row],[//]]-2))</f>
        <v>4800</v>
      </c>
      <c r="O136" s="7">
        <f ca="1">IF(ATALI[[#This Row],[//]]="","",INDEX([2]!NOTA[DISC 1],ATALI[[#This Row],[//]]-2))</f>
        <v>0.125</v>
      </c>
      <c r="P136" s="7">
        <f ca="1">IF(ATALI[[#This Row],[//]]="","",INDEX([2]!NOTA[DISC 2],ATALI[[#This Row],[//]]-2))</f>
        <v>0.05</v>
      </c>
      <c r="Q136" s="5">
        <f ca="1">IF(ATALI[[#This Row],[//]]="","",INDEX([2]!NOTA[TOTAL],ATALI[[#This Row],[//]]-2))</f>
        <v>574560</v>
      </c>
      <c r="R1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s="4" t="str">
        <f ca="1">IF(ATALI[[#This Row],[//]]="","",INDEX([2]!NOTA[NAMA BARANG],ATALI[[#This Row],[//]]-2))</f>
        <v>PENCIL CASE PC-0719PL-32 (RED) JK</v>
      </c>
      <c r="V136" s="4" t="str">
        <f ca="1">LOWER(SUBSTITUTE(SUBSTITUTE(SUBSTITUTE(SUBSTITUTE(SUBSTITUTE(SUBSTITUTE(SUBSTITUTE(ATALI[[#This Row],[N.B.nota]]," ",""),"-",""),"(",""),")",""),".",""),",",""),"/",""))</f>
        <v>pencilcasepc0719pl32redjk</v>
      </c>
      <c r="W136" s="4">
        <f ca="1">IF(ATALI[[#This Row],[concat]]="","",MATCH(ATALI[[#This Row],[concat]],[4]!db[NB NOTA_C],0)+1)</f>
        <v>1667</v>
      </c>
      <c r="X136" s="4" t="str">
        <f ca="1">IF(ATALI[[#This Row],[N.B.nota]]="","",ADDRESS(ROW(ATALI[QB]),COLUMN(ATALI[QB]))&amp;":"&amp;ADDRESS(ROW(),COLUMN(ATALI[QB])))</f>
        <v>$D$3:$D$136</v>
      </c>
      <c r="Y136" s="13" t="str">
        <f ca="1">IF(ATALI[[#This Row],[//]]="","",HYPERLINK("[../DB.xlsx]DB!e"&amp;MATCH(ATALI[[#This Row],[concat]],[4]!db[NB NOTA_C],0)+1,"&gt;"))</f>
        <v>&gt;</v>
      </c>
    </row>
    <row r="137" spans="1:25" x14ac:dyDescent="0.25">
      <c r="A137" s="4"/>
      <c r="B137" s="6" t="str">
        <f>IF(ATALI[[#This Row],[N_ID]]="","",INDEX(Table1[ID],MATCH(ATALI[[#This Row],[N_ID]],Table1[N_ID],0)))</f>
        <v/>
      </c>
      <c r="C137" s="6" t="str">
        <f>IF(ATALI[[#This Row],[ID NOTA]]="","",HYPERLINK("[NOTA_.xlsx]NOTA!e"&amp;INDEX([2]!PAJAK[//],MATCH(ATALI[[#This Row],[ID NOTA]],[2]!PAJAK[ID],0)),"&gt;") )</f>
        <v/>
      </c>
      <c r="D137" s="6" t="str">
        <f>IF(ATALI[[#This Row],[ID NOTA]]="","",INDEX(Table1[QB],MATCH(ATALI[[#This Row],[ID NOTA]],Table1[ID],0)))</f>
        <v/>
      </c>
      <c r="E13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724</v>
      </c>
      <c r="F137" s="6"/>
      <c r="G137" s="3" t="str">
        <f>IF(ATALI[[#This Row],[ID NOTA]]="","",INDEX([2]!NOTA[TGL_H],MATCH(ATALI[[#This Row],[ID NOTA]],[2]!NOTA[ID],0)))</f>
        <v/>
      </c>
      <c r="H137" s="3" t="str">
        <f>IF(ATALI[[#This Row],[ID NOTA]]="","",INDEX([2]!NOTA[TGL.NOTA],MATCH(ATALI[[#This Row],[ID NOTA]],[2]!NOTA[ID],0)))</f>
        <v/>
      </c>
      <c r="I137" s="4" t="str">
        <f>IF(ATALI[[#This Row],[ID NOTA]]="","",INDEX([2]!NOTA[NO.NOTA],MATCH(ATALI[[#This Row],[ID NOTA]],[2]!NOTA[ID],0)))</f>
        <v/>
      </c>
      <c r="J137" s="4" t="str">
        <f ca="1">IF(ATALI[[#This Row],[//]]="","",INDEX([4]!db[NB PAJAK],ATALI[[#This Row],[stt]]-1))</f>
        <v>PENCIL CASE JOYKO PC-0719PL-32 KUNING</v>
      </c>
      <c r="K137" s="6" t="str">
        <f ca="1">IF(ATALI[[#This Row],[//]]="","",IF(INDEX([2]!NOTA[C],ATALI[[#This Row],[//]]-2)="","",INDEX([2]!NOTA[C],ATALI[[#This Row],[//]]-2)))</f>
        <v/>
      </c>
      <c r="L137" s="6">
        <f ca="1">IF(ATALI[[#This Row],[//]]="","",INDEX([2]!NOTA[QTY],ATALI[[#This Row],[//]]-2))</f>
        <v>144</v>
      </c>
      <c r="M137" s="6" t="str">
        <f ca="1">IF(ATALI[[#This Row],[//]]="","",INDEX([2]!NOTA[STN],ATALI[[#This Row],[//]]-2))</f>
        <v>PCS</v>
      </c>
      <c r="N137" s="5">
        <f ca="1">IF(ATALI[[#This Row],[//]]="","",INDEX([2]!NOTA[HARGA SATUAN],ATALI[[#This Row],[//]]-2))</f>
        <v>4800</v>
      </c>
      <c r="O137" s="7">
        <f ca="1">IF(ATALI[[#This Row],[//]]="","",INDEX([2]!NOTA[DISC 1],ATALI[[#This Row],[//]]-2))</f>
        <v>0.125</v>
      </c>
      <c r="P137" s="7">
        <f ca="1">IF(ATALI[[#This Row],[//]]="","",INDEX([2]!NOTA[DISC 2],ATALI[[#This Row],[//]]-2))</f>
        <v>0.05</v>
      </c>
      <c r="Q137" s="5">
        <f ca="1">IF(ATALI[[#This Row],[//]]="","",INDEX([2]!NOTA[TOTAL],ATALI[[#This Row],[//]]-2))</f>
        <v>574560</v>
      </c>
      <c r="R1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s="4" t="str">
        <f ca="1">IF(ATALI[[#This Row],[//]]="","",INDEX([2]!NOTA[NAMA BARANG],ATALI[[#This Row],[//]]-2))</f>
        <v>PENCIL CASE PC-0719PL-32 (YELLOW) JK</v>
      </c>
      <c r="V137" s="4" t="str">
        <f ca="1">LOWER(SUBSTITUTE(SUBSTITUTE(SUBSTITUTE(SUBSTITUTE(SUBSTITUTE(SUBSTITUTE(SUBSTITUTE(ATALI[[#This Row],[N.B.nota]]," ",""),"-",""),"(",""),")",""),".",""),",",""),"/",""))</f>
        <v>pencilcasepc0719pl32yellowjk</v>
      </c>
      <c r="W137" s="4">
        <f ca="1">IF(ATALI[[#This Row],[concat]]="","",MATCH(ATALI[[#This Row],[concat]],[4]!db[NB NOTA_C],0)+1)</f>
        <v>1668</v>
      </c>
      <c r="X137" s="4" t="str">
        <f ca="1">IF(ATALI[[#This Row],[N.B.nota]]="","",ADDRESS(ROW(ATALI[QB]),COLUMN(ATALI[QB]))&amp;":"&amp;ADDRESS(ROW(),COLUMN(ATALI[QB])))</f>
        <v>$D$3:$D$137</v>
      </c>
      <c r="Y137" s="13" t="str">
        <f ca="1">IF(ATALI[[#This Row],[//]]="","",HYPERLINK("[../DB.xlsx]DB!e"&amp;MATCH(ATALI[[#This Row],[concat]],[4]!db[NB NOTA_C],0)+1,"&gt;"))</f>
        <v>&gt;</v>
      </c>
    </row>
    <row r="138" spans="1:25" x14ac:dyDescent="0.25">
      <c r="A138" s="4"/>
      <c r="B138" s="6" t="str">
        <f>IF(ATALI[[#This Row],[N_ID]]="","",INDEX(Table1[ID],MATCH(ATALI[[#This Row],[N_ID]],Table1[N_ID],0)))</f>
        <v/>
      </c>
      <c r="C138" s="6" t="str">
        <f>IF(ATALI[[#This Row],[ID NOTA]]="","",HYPERLINK("[NOTA_.xlsx]NOTA!e"&amp;INDEX([2]!PAJAK[//],MATCH(ATALI[[#This Row],[ID NOTA]],[2]!PAJAK[ID],0)),"&gt;") )</f>
        <v/>
      </c>
      <c r="D138" s="6" t="str">
        <f>IF(ATALI[[#This Row],[ID NOTA]]="","",INDEX(Table1[QB],MATCH(ATALI[[#This Row],[ID NOTA]],Table1[ID],0)))</f>
        <v/>
      </c>
      <c r="E13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725</v>
      </c>
      <c r="F138" s="6"/>
      <c r="G138" s="3" t="str">
        <f>IF(ATALI[[#This Row],[ID NOTA]]="","",INDEX([2]!NOTA[TGL_H],MATCH(ATALI[[#This Row],[ID NOTA]],[2]!NOTA[ID],0)))</f>
        <v/>
      </c>
      <c r="H138" s="3" t="str">
        <f>IF(ATALI[[#This Row],[ID NOTA]]="","",INDEX([2]!NOTA[TGL.NOTA],MATCH(ATALI[[#This Row],[ID NOTA]],[2]!NOTA[ID],0)))</f>
        <v/>
      </c>
      <c r="I138" s="4" t="str">
        <f>IF(ATALI[[#This Row],[ID NOTA]]="","",INDEX([2]!NOTA[NO.NOTA],MATCH(ATALI[[#This Row],[ID NOTA]],[2]!NOTA[ID],0)))</f>
        <v/>
      </c>
      <c r="J138" s="4" t="str">
        <f ca="1">IF(ATALI[[#This Row],[//]]="","",INDEX([4]!db[NB PAJAK],ATALI[[#This Row],[stt]]-1))</f>
        <v>BINDER NOTE JOYKO B5-TSKD-142 (KINDNESS) - U</v>
      </c>
      <c r="K138" s="6" t="str">
        <f ca="1">IF(ATALI[[#This Row],[//]]="","",IF(INDEX([2]!NOTA[C],ATALI[[#This Row],[//]]-2)="","",INDEX([2]!NOTA[C],ATALI[[#This Row],[//]]-2)))</f>
        <v/>
      </c>
      <c r="L138" s="6">
        <f ca="1">IF(ATALI[[#This Row],[//]]="","",INDEX([2]!NOTA[QTY],ATALI[[#This Row],[//]]-2))</f>
        <v>36</v>
      </c>
      <c r="M138" s="6" t="str">
        <f ca="1">IF(ATALI[[#This Row],[//]]="","",INDEX([2]!NOTA[STN],ATALI[[#This Row],[//]]-2))</f>
        <v>PCS</v>
      </c>
      <c r="N138" s="5">
        <f ca="1">IF(ATALI[[#This Row],[//]]="","",INDEX([2]!NOTA[HARGA SATUAN],ATALI[[#This Row],[//]]-2))</f>
        <v>20700</v>
      </c>
      <c r="O138" s="7">
        <f ca="1">IF(ATALI[[#This Row],[//]]="","",INDEX([2]!NOTA[DISC 1],ATALI[[#This Row],[//]]-2))</f>
        <v>0.125</v>
      </c>
      <c r="P138" s="7">
        <f ca="1">IF(ATALI[[#This Row],[//]]="","",INDEX([2]!NOTA[DISC 2],ATALI[[#This Row],[//]]-2))</f>
        <v>0.05</v>
      </c>
      <c r="Q138" s="5">
        <f ca="1">IF(ATALI[[#This Row],[//]]="","",INDEX([2]!NOTA[TOTAL],ATALI[[#This Row],[//]]-2))</f>
        <v>619447.5</v>
      </c>
      <c r="R1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8" s="4" t="str">
        <f ca="1">IF(ATALI[[#This Row],[//]]="","",INDEX([2]!NOTA[NAMA BARANG],ATALI[[#This Row],[//]]-2))</f>
        <v>BINDER B5-TSKD-142 (KINDNESS) JK-U</v>
      </c>
      <c r="V138" s="4" t="str">
        <f ca="1">LOWER(SUBSTITUTE(SUBSTITUTE(SUBSTITUTE(SUBSTITUTE(SUBSTITUTE(SUBSTITUTE(SUBSTITUTE(ATALI[[#This Row],[N.B.nota]]," ",""),"-",""),"(",""),")",""),".",""),",",""),"/",""))</f>
        <v>binderb5tskd142kindnessjku</v>
      </c>
      <c r="W138" s="4">
        <f ca="1">IF(ATALI[[#This Row],[concat]]="","",MATCH(ATALI[[#This Row],[concat]],[4]!db[NB NOTA_C],0)+1)</f>
        <v>192</v>
      </c>
      <c r="X138" s="4" t="str">
        <f ca="1">IF(ATALI[[#This Row],[N.B.nota]]="","",ADDRESS(ROW(ATALI[QB]),COLUMN(ATALI[QB]))&amp;":"&amp;ADDRESS(ROW(),COLUMN(ATALI[QB])))</f>
        <v>$D$3:$D$138</v>
      </c>
      <c r="Y138" s="13" t="str">
        <f ca="1">IF(ATALI[[#This Row],[//]]="","",HYPERLINK("[../DB.xlsx]DB!e"&amp;MATCH(ATALI[[#This Row],[concat]],[4]!db[NB NOTA_C],0)+1,"&gt;"))</f>
        <v>&gt;</v>
      </c>
    </row>
    <row r="139" spans="1:25" x14ac:dyDescent="0.25">
      <c r="A139" s="4"/>
      <c r="B139" s="6" t="str">
        <f>IF(ATALI[[#This Row],[N_ID]]="","",INDEX(Table1[ID],MATCH(ATALI[[#This Row],[N_ID]],Table1[N_ID],0)))</f>
        <v/>
      </c>
      <c r="C139" s="6" t="str">
        <f>IF(ATALI[[#This Row],[ID NOTA]]="","",HYPERLINK("[NOTA_.xlsx]NOTA!e"&amp;INDEX([2]!PAJAK[//],MATCH(ATALI[[#This Row],[ID NOTA]],[2]!PAJAK[ID],0)),"&gt;") )</f>
        <v/>
      </c>
      <c r="D139" s="6" t="str">
        <f>IF(ATALI[[#This Row],[ID NOTA]]="","",INDEX(Table1[QB],MATCH(ATALI[[#This Row],[ID NOTA]],Table1[ID],0)))</f>
        <v/>
      </c>
      <c r="E13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726</v>
      </c>
      <c r="F139" s="6"/>
      <c r="G139" s="3" t="str">
        <f>IF(ATALI[[#This Row],[ID NOTA]]="","",INDEX([2]!NOTA[TGL_H],MATCH(ATALI[[#This Row],[ID NOTA]],[2]!NOTA[ID],0)))</f>
        <v/>
      </c>
      <c r="H139" s="3" t="str">
        <f>IF(ATALI[[#This Row],[ID NOTA]]="","",INDEX([2]!NOTA[TGL.NOTA],MATCH(ATALI[[#This Row],[ID NOTA]],[2]!NOTA[ID],0)))</f>
        <v/>
      </c>
      <c r="I139" s="4" t="str">
        <f>IF(ATALI[[#This Row],[ID NOTA]]="","",INDEX([2]!NOTA[NO.NOTA],MATCH(ATALI[[#This Row],[ID NOTA]],[2]!NOTA[ID],0)))</f>
        <v/>
      </c>
      <c r="J139" s="4" t="str">
        <f ca="1">IF(ATALI[[#This Row],[//]]="","",INDEX([4]!db[NB PAJAK],ATALI[[#This Row],[stt]]-1))</f>
        <v>BINDER NOTE JOYKO B5-TSAC-M129 (ACADEMY)  - U</v>
      </c>
      <c r="K139" s="6" t="str">
        <f ca="1">IF(ATALI[[#This Row],[//]]="","",IF(INDEX([2]!NOTA[C],ATALI[[#This Row],[//]]-2)="","",INDEX([2]!NOTA[C],ATALI[[#This Row],[//]]-2)))</f>
        <v/>
      </c>
      <c r="L139" s="6">
        <f ca="1">IF(ATALI[[#This Row],[//]]="","",INDEX([2]!NOTA[QTY],ATALI[[#This Row],[//]]-2))</f>
        <v>36</v>
      </c>
      <c r="M139" s="6" t="str">
        <f ca="1">IF(ATALI[[#This Row],[//]]="","",INDEX([2]!NOTA[STN],ATALI[[#This Row],[//]]-2))</f>
        <v>PCS</v>
      </c>
      <c r="N139" s="5">
        <f ca="1">IF(ATALI[[#This Row],[//]]="","",INDEX([2]!NOTA[HARGA SATUAN],ATALI[[#This Row],[//]]-2))</f>
        <v>20700</v>
      </c>
      <c r="O139" s="7">
        <f ca="1">IF(ATALI[[#This Row],[//]]="","",INDEX([2]!NOTA[DISC 1],ATALI[[#This Row],[//]]-2))</f>
        <v>0.125</v>
      </c>
      <c r="P139" s="7">
        <f ca="1">IF(ATALI[[#This Row],[//]]="","",INDEX([2]!NOTA[DISC 2],ATALI[[#This Row],[//]]-2))</f>
        <v>0.05</v>
      </c>
      <c r="Q139" s="5">
        <f ca="1">IF(ATALI[[#This Row],[//]]="","",INDEX([2]!NOTA[TOTAL],ATALI[[#This Row],[//]]-2))</f>
        <v>619447.5</v>
      </c>
      <c r="R1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s="4" t="str">
        <f ca="1">IF(ATALI[[#This Row],[//]]="","",INDEX([2]!NOTA[NAMA BARANG],ATALI[[#This Row],[//]]-2))</f>
        <v>BINDER B5-TSAC-M129 (ACADEMY) JK-U</v>
      </c>
      <c r="V139" s="4" t="str">
        <f ca="1">LOWER(SUBSTITUTE(SUBSTITUTE(SUBSTITUTE(SUBSTITUTE(SUBSTITUTE(SUBSTITUTE(SUBSTITUTE(ATALI[[#This Row],[N.B.nota]]," ",""),"-",""),"(",""),")",""),".",""),",",""),"/",""))</f>
        <v>binderb5tsacm129academyjku</v>
      </c>
      <c r="W139" s="4">
        <f ca="1">IF(ATALI[[#This Row],[concat]]="","",MATCH(ATALI[[#This Row],[concat]],[4]!db[NB NOTA_C],0)+1)</f>
        <v>179</v>
      </c>
      <c r="X139" s="4" t="str">
        <f ca="1">IF(ATALI[[#This Row],[N.B.nota]]="","",ADDRESS(ROW(ATALI[QB]),COLUMN(ATALI[QB]))&amp;":"&amp;ADDRESS(ROW(),COLUMN(ATALI[QB])))</f>
        <v>$D$3:$D$139</v>
      </c>
      <c r="Y139" s="13" t="str">
        <f ca="1">IF(ATALI[[#This Row],[//]]="","",HYPERLINK("[../DB.xlsx]DB!e"&amp;MATCH(ATALI[[#This Row],[concat]],[4]!db[NB NOTA_C],0)+1,"&gt;"))</f>
        <v>&gt;</v>
      </c>
    </row>
    <row r="140" spans="1:25" x14ac:dyDescent="0.25">
      <c r="A140" s="4"/>
      <c r="B140" s="6" t="str">
        <f>IF(ATALI[[#This Row],[N_ID]]="","",INDEX(Table1[ID],MATCH(ATALI[[#This Row],[N_ID]],Table1[N_ID],0)))</f>
        <v/>
      </c>
      <c r="C140" s="6" t="str">
        <f>IF(ATALI[[#This Row],[ID NOTA]]="","",HYPERLINK("[NOTA_.xlsx]NOTA!e"&amp;INDEX([2]!PAJAK[//],MATCH(ATALI[[#This Row],[ID NOTA]],[2]!PAJAK[ID],0)),"&gt;") )</f>
        <v/>
      </c>
      <c r="D140" s="6" t="str">
        <f>IF(ATALI[[#This Row],[ID NOTA]]="","",INDEX(Table1[QB],MATCH(ATALI[[#This Row],[ID NOTA]],Table1[ID],0)))</f>
        <v/>
      </c>
      <c r="E14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727</v>
      </c>
      <c r="F140" s="6"/>
      <c r="G140" s="3" t="str">
        <f>IF(ATALI[[#This Row],[ID NOTA]]="","",INDEX([2]!NOTA[TGL_H],MATCH(ATALI[[#This Row],[ID NOTA]],[2]!NOTA[ID],0)))</f>
        <v/>
      </c>
      <c r="H140" s="3" t="str">
        <f>IF(ATALI[[#This Row],[ID NOTA]]="","",INDEX([2]!NOTA[TGL.NOTA],MATCH(ATALI[[#This Row],[ID NOTA]],[2]!NOTA[ID],0)))</f>
        <v/>
      </c>
      <c r="I140" s="4" t="str">
        <f>IF(ATALI[[#This Row],[ID NOTA]]="","",INDEX([2]!NOTA[NO.NOTA],MATCH(ATALI[[#This Row],[ID NOTA]],[2]!NOTA[ID],0)))</f>
        <v/>
      </c>
      <c r="J140" s="4" t="str">
        <f ca="1">IF(ATALI[[#This Row],[//]]="","",INDEX([4]!db[NB PAJAK],ATALI[[#This Row],[stt]]-1))</f>
        <v>BINDER NOTE JOYKO B5-TSBL-M119 (BELIEVE) - U</v>
      </c>
      <c r="K140" s="6" t="str">
        <f ca="1">IF(ATALI[[#This Row],[//]]="","",IF(INDEX([2]!NOTA[C],ATALI[[#This Row],[//]]-2)="","",INDEX([2]!NOTA[C],ATALI[[#This Row],[//]]-2)))</f>
        <v/>
      </c>
      <c r="L140" s="6">
        <f ca="1">IF(ATALI[[#This Row],[//]]="","",INDEX([2]!NOTA[QTY],ATALI[[#This Row],[//]]-2))</f>
        <v>36</v>
      </c>
      <c r="M140" s="6" t="str">
        <f ca="1">IF(ATALI[[#This Row],[//]]="","",INDEX([2]!NOTA[STN],ATALI[[#This Row],[//]]-2))</f>
        <v>PCS</v>
      </c>
      <c r="N140" s="5">
        <f ca="1">IF(ATALI[[#This Row],[//]]="","",INDEX([2]!NOTA[HARGA SATUAN],ATALI[[#This Row],[//]]-2))</f>
        <v>20700</v>
      </c>
      <c r="O140" s="7">
        <f ca="1">IF(ATALI[[#This Row],[//]]="","",INDEX([2]!NOTA[DISC 1],ATALI[[#This Row],[//]]-2))</f>
        <v>0.125</v>
      </c>
      <c r="P140" s="7">
        <f ca="1">IF(ATALI[[#This Row],[//]]="","",INDEX([2]!NOTA[DISC 2],ATALI[[#This Row],[//]]-2))</f>
        <v>0.05</v>
      </c>
      <c r="Q140" s="5">
        <f ca="1">IF(ATALI[[#This Row],[//]]="","",INDEX([2]!NOTA[TOTAL],ATALI[[#This Row],[//]]-2))</f>
        <v>619447.5</v>
      </c>
      <c r="R1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s="4" t="str">
        <f ca="1">IF(ATALI[[#This Row],[//]]="","",INDEX([2]!NOTA[NAMA BARANG],ATALI[[#This Row],[//]]-2))</f>
        <v>BINDER B5-TSBL-M119 (BELIEVE) JK-U</v>
      </c>
      <c r="V140" s="4" t="str">
        <f ca="1">LOWER(SUBSTITUTE(SUBSTITUTE(SUBSTITUTE(SUBSTITUTE(SUBSTITUTE(SUBSTITUTE(SUBSTITUTE(ATALI[[#This Row],[N.B.nota]]," ",""),"-",""),"(",""),")",""),".",""),",",""),"/",""))</f>
        <v>binderb5tsblm119believejku</v>
      </c>
      <c r="W140" s="4">
        <f ca="1">IF(ATALI[[#This Row],[concat]]="","",MATCH(ATALI[[#This Row],[concat]],[4]!db[NB NOTA_C],0)+1)</f>
        <v>181</v>
      </c>
      <c r="X140" s="4" t="str">
        <f ca="1">IF(ATALI[[#This Row],[N.B.nota]]="","",ADDRESS(ROW(ATALI[QB]),COLUMN(ATALI[QB]))&amp;":"&amp;ADDRESS(ROW(),COLUMN(ATALI[QB])))</f>
        <v>$D$3:$D$140</v>
      </c>
      <c r="Y140" s="13" t="str">
        <f ca="1">IF(ATALI[[#This Row],[//]]="","",HYPERLINK("[../DB.xlsx]DB!e"&amp;MATCH(ATALI[[#This Row],[concat]],[4]!db[NB NOTA_C],0)+1,"&gt;"))</f>
        <v>&gt;</v>
      </c>
    </row>
    <row r="141" spans="1:25" x14ac:dyDescent="0.25">
      <c r="A141" s="4"/>
      <c r="B141" s="6" t="str">
        <f>IF(ATALI[[#This Row],[N_ID]]="","",INDEX(Table1[ID],MATCH(ATALI[[#This Row],[N_ID]],Table1[N_ID],0)))</f>
        <v/>
      </c>
      <c r="C141" s="6" t="str">
        <f>IF(ATALI[[#This Row],[ID NOTA]]="","",HYPERLINK("[NOTA_.xlsx]NOTA!e"&amp;INDEX([2]!PAJAK[//],MATCH(ATALI[[#This Row],[ID NOTA]],[2]!PAJAK[ID],0)),"&gt;") )</f>
        <v/>
      </c>
      <c r="D141" s="6" t="str">
        <f>IF(ATALI[[#This Row],[ID NOTA]]="","",INDEX(Table1[QB],MATCH(ATALI[[#This Row],[ID NOTA]],Table1[ID],0)))</f>
        <v/>
      </c>
      <c r="E14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728</v>
      </c>
      <c r="F141" s="6"/>
      <c r="G141" s="3" t="str">
        <f>IF(ATALI[[#This Row],[ID NOTA]]="","",INDEX([2]!NOTA[TGL_H],MATCH(ATALI[[#This Row],[ID NOTA]],[2]!NOTA[ID],0)))</f>
        <v/>
      </c>
      <c r="H141" s="3" t="str">
        <f>IF(ATALI[[#This Row],[ID NOTA]]="","",INDEX([2]!NOTA[TGL.NOTA],MATCH(ATALI[[#This Row],[ID NOTA]],[2]!NOTA[ID],0)))</f>
        <v/>
      </c>
      <c r="I141" s="4" t="str">
        <f>IF(ATALI[[#This Row],[ID NOTA]]="","",INDEX([2]!NOTA[NO.NOTA],MATCH(ATALI[[#This Row],[ID NOTA]],[2]!NOTA[ID],0)))</f>
        <v/>
      </c>
      <c r="J141" s="4" t="str">
        <f ca="1">IF(ATALI[[#This Row],[//]]="","",INDEX([4]!db[NB PAJAK],ATALI[[#This Row],[stt]]-1))</f>
        <v>BINDER NOTE JOYKO B5-TSFD-M137 (EDUCATION) - U</v>
      </c>
      <c r="K141" s="6" t="str">
        <f ca="1">IF(ATALI[[#This Row],[//]]="","",IF(INDEX([2]!NOTA[C],ATALI[[#This Row],[//]]-2)="","",INDEX([2]!NOTA[C],ATALI[[#This Row],[//]]-2)))</f>
        <v/>
      </c>
      <c r="L141" s="6">
        <f ca="1">IF(ATALI[[#This Row],[//]]="","",INDEX([2]!NOTA[QTY],ATALI[[#This Row],[//]]-2))</f>
        <v>36</v>
      </c>
      <c r="M141" s="6" t="str">
        <f ca="1">IF(ATALI[[#This Row],[//]]="","",INDEX([2]!NOTA[STN],ATALI[[#This Row],[//]]-2))</f>
        <v>PCS</v>
      </c>
      <c r="N141" s="5">
        <f ca="1">IF(ATALI[[#This Row],[//]]="","",INDEX([2]!NOTA[HARGA SATUAN],ATALI[[#This Row],[//]]-2))</f>
        <v>20700</v>
      </c>
      <c r="O141" s="7">
        <f ca="1">IF(ATALI[[#This Row],[//]]="","",INDEX([2]!NOTA[DISC 1],ATALI[[#This Row],[//]]-2))</f>
        <v>0.125</v>
      </c>
      <c r="P141" s="7">
        <f ca="1">IF(ATALI[[#This Row],[//]]="","",INDEX([2]!NOTA[DISC 2],ATALI[[#This Row],[//]]-2))</f>
        <v>0.05</v>
      </c>
      <c r="Q141" s="5">
        <f ca="1">IF(ATALI[[#This Row],[//]]="","",INDEX([2]!NOTA[TOTAL],ATALI[[#This Row],[//]]-2))</f>
        <v>619447.5</v>
      </c>
      <c r="R1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s="4" t="str">
        <f ca="1">IF(ATALI[[#This Row],[//]]="","",INDEX([2]!NOTA[NAMA BARANG],ATALI[[#This Row],[//]]-2))</f>
        <v>BINDER B5-TSED-M137 (EDUCATION) JK-U</v>
      </c>
      <c r="V141" s="4" t="str">
        <f ca="1">LOWER(SUBSTITUTE(SUBSTITUTE(SUBSTITUTE(SUBSTITUTE(SUBSTITUTE(SUBSTITUTE(SUBSTITUTE(ATALI[[#This Row],[N.B.nota]]," ",""),"-",""),"(",""),")",""),".",""),",",""),"/",""))</f>
        <v>binderb5tsedm137educationjku</v>
      </c>
      <c r="W141" s="4">
        <f ca="1">IF(ATALI[[#This Row],[concat]]="","",MATCH(ATALI[[#This Row],[concat]],[4]!db[NB NOTA_C],0)+1)</f>
        <v>186</v>
      </c>
      <c r="X141" s="4" t="str">
        <f ca="1">IF(ATALI[[#This Row],[N.B.nota]]="","",ADDRESS(ROW(ATALI[QB]),COLUMN(ATALI[QB]))&amp;":"&amp;ADDRESS(ROW(),COLUMN(ATALI[QB])))</f>
        <v>$D$3:$D$141</v>
      </c>
      <c r="Y141" s="13" t="str">
        <f ca="1">IF(ATALI[[#This Row],[//]]="","",HYPERLINK("[../DB.xlsx]DB!e"&amp;MATCH(ATALI[[#This Row],[concat]],[4]!db[NB NOTA_C],0)+1,"&gt;"))</f>
        <v>&gt;</v>
      </c>
    </row>
    <row r="142" spans="1:25" x14ac:dyDescent="0.25">
      <c r="A142" s="4"/>
      <c r="B142" s="6" t="str">
        <f>IF(ATALI[[#This Row],[N_ID]]="","",INDEX(Table1[ID],MATCH(ATALI[[#This Row],[N_ID]],Table1[N_ID],0)))</f>
        <v/>
      </c>
      <c r="C142" s="6" t="str">
        <f>IF(ATALI[[#This Row],[ID NOTA]]="","",HYPERLINK("[NOTA_.xlsx]NOTA!e"&amp;INDEX([2]!PAJAK[//],MATCH(ATALI[[#This Row],[ID NOTA]],[2]!PAJAK[ID],0)),"&gt;") )</f>
        <v/>
      </c>
      <c r="D142" s="6" t="str">
        <f>IF(ATALI[[#This Row],[ID NOTA]]="","",INDEX(Table1[QB],MATCH(ATALI[[#This Row],[ID NOTA]],Table1[ID],0)))</f>
        <v/>
      </c>
      <c r="E14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729</v>
      </c>
      <c r="F142" s="6"/>
      <c r="G142" s="3" t="str">
        <f>IF(ATALI[[#This Row],[ID NOTA]]="","",INDEX([2]!NOTA[TGL_H],MATCH(ATALI[[#This Row],[ID NOTA]],[2]!NOTA[ID],0)))</f>
        <v/>
      </c>
      <c r="H142" s="3" t="str">
        <f>IF(ATALI[[#This Row],[ID NOTA]]="","",INDEX([2]!NOTA[TGL.NOTA],MATCH(ATALI[[#This Row],[ID NOTA]],[2]!NOTA[ID],0)))</f>
        <v/>
      </c>
      <c r="I142" s="4" t="str">
        <f>IF(ATALI[[#This Row],[ID NOTA]]="","",INDEX([2]!NOTA[NO.NOTA],MATCH(ATALI[[#This Row],[ID NOTA]],[2]!NOTA[ID],0)))</f>
        <v/>
      </c>
      <c r="J142" s="4" t="str">
        <f ca="1">IF(ATALI[[#This Row],[//]]="","",INDEX([4]!db[NB PAJAK],ATALI[[#This Row],[stt]]-1))</f>
        <v>BINDER NOTE JOYKO A5-TSED-M477 (ACADEMY) - U</v>
      </c>
      <c r="K142" s="6">
        <f ca="1">IF(ATALI[[#This Row],[//]]="","",IF(INDEX([2]!NOTA[C],ATALI[[#This Row],[//]]-2)="","",INDEX([2]!NOTA[C],ATALI[[#This Row],[//]]-2)))</f>
        <v>1</v>
      </c>
      <c r="L142" s="6">
        <f ca="1">IF(ATALI[[#This Row],[//]]="","",INDEX([2]!NOTA[QTY],ATALI[[#This Row],[//]]-2))</f>
        <v>72</v>
      </c>
      <c r="M142" s="6" t="str">
        <f ca="1">IF(ATALI[[#This Row],[//]]="","",INDEX([2]!NOTA[STN],ATALI[[#This Row],[//]]-2))</f>
        <v>PCS</v>
      </c>
      <c r="N142" s="5">
        <f ca="1">IF(ATALI[[#This Row],[//]]="","",INDEX([2]!NOTA[HARGA SATUAN],ATALI[[#This Row],[//]]-2))</f>
        <v>15800</v>
      </c>
      <c r="O142" s="7">
        <f ca="1">IF(ATALI[[#This Row],[//]]="","",INDEX([2]!NOTA[DISC 1],ATALI[[#This Row],[//]]-2))</f>
        <v>0.125</v>
      </c>
      <c r="P142" s="7">
        <f ca="1">IF(ATALI[[#This Row],[//]]="","",INDEX([2]!NOTA[DISC 2],ATALI[[#This Row],[//]]-2))</f>
        <v>0.05</v>
      </c>
      <c r="Q142" s="5">
        <f ca="1">IF(ATALI[[#This Row],[//]]="","",INDEX([2]!NOTA[TOTAL],ATALI[[#This Row],[//]]-2))</f>
        <v>945630</v>
      </c>
      <c r="R1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s="4" t="str">
        <f ca="1">IF(ATALI[[#This Row],[//]]="","",INDEX([2]!NOTA[NAMA BARANG],ATALI[[#This Row],[//]]-2))</f>
        <v>BINDER A5-TSAC-M477 (ACADEMY) JK-U</v>
      </c>
      <c r="V142" s="4" t="str">
        <f ca="1">LOWER(SUBSTITUTE(SUBSTITUTE(SUBSTITUTE(SUBSTITUTE(SUBSTITUTE(SUBSTITUTE(SUBSTITUTE(ATALI[[#This Row],[N.B.nota]]," ",""),"-",""),"(",""),")",""),".",""),",",""),"/",""))</f>
        <v>bindera5tsacm477academyjku</v>
      </c>
      <c r="W142" s="4">
        <f ca="1">IF(ATALI[[#This Row],[concat]]="","",MATCH(ATALI[[#This Row],[concat]],[4]!db[NB NOTA_C],0)+1)</f>
        <v>137</v>
      </c>
      <c r="X142" s="4" t="str">
        <f ca="1">IF(ATALI[[#This Row],[N.B.nota]]="","",ADDRESS(ROW(ATALI[QB]),COLUMN(ATALI[QB]))&amp;":"&amp;ADDRESS(ROW(),COLUMN(ATALI[QB])))</f>
        <v>$D$3:$D$142</v>
      </c>
      <c r="Y142" s="13" t="str">
        <f ca="1">IF(ATALI[[#This Row],[//]]="","",HYPERLINK("[../DB.xlsx]DB!e"&amp;MATCH(ATALI[[#This Row],[concat]],[4]!db[NB NOTA_C],0)+1,"&gt;"))</f>
        <v>&gt;</v>
      </c>
    </row>
    <row r="143" spans="1:25" x14ac:dyDescent="0.25">
      <c r="A143" s="4"/>
      <c r="B143" s="6" t="str">
        <f>IF(ATALI[[#This Row],[N_ID]]="","",INDEX(Table1[ID],MATCH(ATALI[[#This Row],[N_ID]],Table1[N_ID],0)))</f>
        <v/>
      </c>
      <c r="C143" s="6" t="str">
        <f>IF(ATALI[[#This Row],[ID NOTA]]="","",HYPERLINK("[NOTA_.xlsx]NOTA!e"&amp;INDEX([2]!PAJAK[//],MATCH(ATALI[[#This Row],[ID NOTA]],[2]!PAJAK[ID],0)),"&gt;") )</f>
        <v/>
      </c>
      <c r="D143" s="6" t="str">
        <f>IF(ATALI[[#This Row],[ID NOTA]]="","",INDEX(Table1[QB],MATCH(ATALI[[#This Row],[ID NOTA]],Table1[ID],0)))</f>
        <v/>
      </c>
      <c r="E14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730</v>
      </c>
      <c r="F143" s="6"/>
      <c r="G143" s="3" t="str">
        <f>IF(ATALI[[#This Row],[ID NOTA]]="","",INDEX([2]!NOTA[TGL_H],MATCH(ATALI[[#This Row],[ID NOTA]],[2]!NOTA[ID],0)))</f>
        <v/>
      </c>
      <c r="H143" s="3" t="str">
        <f>IF(ATALI[[#This Row],[ID NOTA]]="","",INDEX([2]!NOTA[TGL.NOTA],MATCH(ATALI[[#This Row],[ID NOTA]],[2]!NOTA[ID],0)))</f>
        <v/>
      </c>
      <c r="I143" s="4" t="str">
        <f>IF(ATALI[[#This Row],[ID NOTA]]="","",INDEX([2]!NOTA[NO.NOTA],MATCH(ATALI[[#This Row],[ID NOTA]],[2]!NOTA[ID],0)))</f>
        <v/>
      </c>
      <c r="J143" s="4" t="str">
        <f ca="1">IF(ATALI[[#This Row],[//]]="","",INDEX([4]!db[NB PAJAK],ATALI[[#This Row],[stt]]-1))</f>
        <v>BINDER NOTE JOYKO A5-TSCS-M432 (CLASSIC) - U</v>
      </c>
      <c r="K143" s="6">
        <f ca="1">IF(ATALI[[#This Row],[//]]="","",IF(INDEX([2]!NOTA[C],ATALI[[#This Row],[//]]-2)="","",INDEX([2]!NOTA[C],ATALI[[#This Row],[//]]-2)))</f>
        <v>1</v>
      </c>
      <c r="L143" s="6">
        <f ca="1">IF(ATALI[[#This Row],[//]]="","",INDEX([2]!NOTA[QTY],ATALI[[#This Row],[//]]-2))</f>
        <v>72</v>
      </c>
      <c r="M143" s="6" t="str">
        <f ca="1">IF(ATALI[[#This Row],[//]]="","",INDEX([2]!NOTA[STN],ATALI[[#This Row],[//]]-2))</f>
        <v>PCS</v>
      </c>
      <c r="N143" s="5">
        <f ca="1">IF(ATALI[[#This Row],[//]]="","",INDEX([2]!NOTA[HARGA SATUAN],ATALI[[#This Row],[//]]-2))</f>
        <v>15800</v>
      </c>
      <c r="O143" s="7">
        <f ca="1">IF(ATALI[[#This Row],[//]]="","",INDEX([2]!NOTA[DISC 1],ATALI[[#This Row],[//]]-2))</f>
        <v>0.125</v>
      </c>
      <c r="P143" s="7">
        <f ca="1">IF(ATALI[[#This Row],[//]]="","",INDEX([2]!NOTA[DISC 2],ATALI[[#This Row],[//]]-2))</f>
        <v>0.05</v>
      </c>
      <c r="Q143" s="5">
        <f ca="1">IF(ATALI[[#This Row],[//]]="","",INDEX([2]!NOTA[TOTAL],ATALI[[#This Row],[//]]-2))</f>
        <v>945630</v>
      </c>
      <c r="R1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s="4" t="str">
        <f ca="1">IF(ATALI[[#This Row],[//]]="","",INDEX([2]!NOTA[NAMA BARANG],ATALI[[#This Row],[//]]-2))</f>
        <v>BINDER A5-TSCS-M432 (CLASSIC) JK-U</v>
      </c>
      <c r="V143" s="4" t="str">
        <f ca="1">LOWER(SUBSTITUTE(SUBSTITUTE(SUBSTITUTE(SUBSTITUTE(SUBSTITUTE(SUBSTITUTE(SUBSTITUTE(ATALI[[#This Row],[N.B.nota]]," ",""),"-",""),"(",""),")",""),".",""),",",""),"/",""))</f>
        <v>bindera5tscsm432classicjku</v>
      </c>
      <c r="W143" s="4">
        <f ca="1">IF(ATALI[[#This Row],[concat]]="","",MATCH(ATALI[[#This Row],[concat]],[4]!db[NB NOTA_C],0)+1)</f>
        <v>145</v>
      </c>
      <c r="X143" s="4" t="str">
        <f ca="1">IF(ATALI[[#This Row],[N.B.nota]]="","",ADDRESS(ROW(ATALI[QB]),COLUMN(ATALI[QB]))&amp;":"&amp;ADDRESS(ROW(),COLUMN(ATALI[QB])))</f>
        <v>$D$3:$D$143</v>
      </c>
      <c r="Y143" s="13" t="str">
        <f ca="1">IF(ATALI[[#This Row],[//]]="","",HYPERLINK("[../DB.xlsx]DB!e"&amp;MATCH(ATALI[[#This Row],[concat]],[4]!db[NB NOTA_C],0)+1,"&gt;"))</f>
        <v>&gt;</v>
      </c>
    </row>
    <row r="144" spans="1:25" x14ac:dyDescent="0.25">
      <c r="A144" s="4"/>
      <c r="B144" s="6" t="str">
        <f>IF(ATALI[[#This Row],[N_ID]]="","",INDEX(Table1[ID],MATCH(ATALI[[#This Row],[N_ID]],Table1[N_ID],0)))</f>
        <v/>
      </c>
      <c r="C144" s="6" t="str">
        <f>IF(ATALI[[#This Row],[ID NOTA]]="","",HYPERLINK("[NOTA_.xlsx]NOTA!e"&amp;INDEX([2]!PAJAK[//],MATCH(ATALI[[#This Row],[ID NOTA]],[2]!PAJAK[ID],0)),"&gt;") )</f>
        <v/>
      </c>
      <c r="D144" s="6" t="str">
        <f>IF(ATALI[[#This Row],[ID NOTA]]="","",INDEX(Table1[QB],MATCH(ATALI[[#This Row],[ID NOTA]],Table1[ID],0)))</f>
        <v/>
      </c>
      <c r="E14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731</v>
      </c>
      <c r="F144" s="6"/>
      <c r="G144" s="3" t="str">
        <f>IF(ATALI[[#This Row],[ID NOTA]]="","",INDEX([2]!NOTA[TGL_H],MATCH(ATALI[[#This Row],[ID NOTA]],[2]!NOTA[ID],0)))</f>
        <v/>
      </c>
      <c r="H144" s="3" t="str">
        <f>IF(ATALI[[#This Row],[ID NOTA]]="","",INDEX([2]!NOTA[TGL.NOTA],MATCH(ATALI[[#This Row],[ID NOTA]],[2]!NOTA[ID],0)))</f>
        <v/>
      </c>
      <c r="I144" s="4" t="str">
        <f>IF(ATALI[[#This Row],[ID NOTA]]="","",INDEX([2]!NOTA[NO.NOTA],MATCH(ATALI[[#This Row],[ID NOTA]],[2]!NOTA[ID],0)))</f>
        <v/>
      </c>
      <c r="J144" s="4" t="str">
        <f ca="1">IF(ATALI[[#This Row],[//]]="","",INDEX([4]!db[NB PAJAK],ATALI[[#This Row],[stt]]-1))</f>
        <v>BINDER NOTE JOYKO A5-TSED-M476 (EDUCATION) - U</v>
      </c>
      <c r="K144" s="6">
        <f ca="1">IF(ATALI[[#This Row],[//]]="","",IF(INDEX([2]!NOTA[C],ATALI[[#This Row],[//]]-2)="","",INDEX([2]!NOTA[C],ATALI[[#This Row],[//]]-2)))</f>
        <v>1</v>
      </c>
      <c r="L144" s="6">
        <f ca="1">IF(ATALI[[#This Row],[//]]="","",INDEX([2]!NOTA[QTY],ATALI[[#This Row],[//]]-2))</f>
        <v>72</v>
      </c>
      <c r="M144" s="6" t="str">
        <f ca="1">IF(ATALI[[#This Row],[//]]="","",INDEX([2]!NOTA[STN],ATALI[[#This Row],[//]]-2))</f>
        <v>PCS</v>
      </c>
      <c r="N144" s="5">
        <f ca="1">IF(ATALI[[#This Row],[//]]="","",INDEX([2]!NOTA[HARGA SATUAN],ATALI[[#This Row],[//]]-2))</f>
        <v>15800</v>
      </c>
      <c r="O144" s="7">
        <f ca="1">IF(ATALI[[#This Row],[//]]="","",INDEX([2]!NOTA[DISC 1],ATALI[[#This Row],[//]]-2))</f>
        <v>0.125</v>
      </c>
      <c r="P144" s="7">
        <f ca="1">IF(ATALI[[#This Row],[//]]="","",INDEX([2]!NOTA[DISC 2],ATALI[[#This Row],[//]]-2))</f>
        <v>0.05</v>
      </c>
      <c r="Q144" s="5">
        <f ca="1">IF(ATALI[[#This Row],[//]]="","",INDEX([2]!NOTA[TOTAL],ATALI[[#This Row],[//]]-2))</f>
        <v>945630</v>
      </c>
      <c r="R14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9911160</v>
      </c>
      <c r="T1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s="4" t="str">
        <f ca="1">IF(ATALI[[#This Row],[//]]="","",INDEX([2]!NOTA[NAMA BARANG],ATALI[[#This Row],[//]]-2))</f>
        <v>BINDER A5-TSED-M476 (EDUCATION) JK-U</v>
      </c>
      <c r="V144" s="4" t="str">
        <f ca="1">LOWER(SUBSTITUTE(SUBSTITUTE(SUBSTITUTE(SUBSTITUTE(SUBSTITUTE(SUBSTITUTE(SUBSTITUTE(ATALI[[#This Row],[N.B.nota]]," ",""),"-",""),"(",""),")",""),".",""),",",""),"/",""))</f>
        <v>bindera5tsedm476educationjku</v>
      </c>
      <c r="W144" s="4">
        <f ca="1">IF(ATALI[[#This Row],[concat]]="","",MATCH(ATALI[[#This Row],[concat]],[4]!db[NB NOTA_C],0)+1)</f>
        <v>148</v>
      </c>
      <c r="X144" s="4" t="str">
        <f ca="1">IF(ATALI[[#This Row],[N.B.nota]]="","",ADDRESS(ROW(ATALI[QB]),COLUMN(ATALI[QB]))&amp;":"&amp;ADDRESS(ROW(),COLUMN(ATALI[QB])))</f>
        <v>$D$3:$D$144</v>
      </c>
      <c r="Y144" s="13" t="str">
        <f ca="1">IF(ATALI[[#This Row],[//]]="","",HYPERLINK("[../DB.xlsx]DB!e"&amp;MATCH(ATALI[[#This Row],[concat]],[4]!db[NB NOTA_C],0)+1,"&gt;"))</f>
        <v>&gt;</v>
      </c>
    </row>
    <row r="145" spans="1:25" x14ac:dyDescent="0.25">
      <c r="A145" s="4"/>
      <c r="B145" s="6" t="str">
        <f>IF(ATALI[[#This Row],[N_ID]]="","",INDEX(Table1[ID],MATCH(ATALI[[#This Row],[N_ID]],Table1[N_ID],0)))</f>
        <v/>
      </c>
      <c r="C145" s="6" t="str">
        <f>IF(ATALI[[#This Row],[ID NOTA]]="","",HYPERLINK("[NOTA_.xlsx]NOTA!e"&amp;INDEX([2]!PAJAK[//],MATCH(ATALI[[#This Row],[ID NOTA]],[2]!PAJAK[ID],0)),"&gt;") )</f>
        <v/>
      </c>
      <c r="D145" s="6" t="str">
        <f>IF(ATALI[[#This Row],[ID NOTA]]="","",INDEX(Table1[QB],MATCH(ATALI[[#This Row],[ID NOTA]],Table1[ID],0)))</f>
        <v/>
      </c>
      <c r="E1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5" s="6"/>
      <c r="G145" s="3" t="str">
        <f>IF(ATALI[[#This Row],[ID NOTA]]="","",INDEX([2]!NOTA[TGL_H],MATCH(ATALI[[#This Row],[ID NOTA]],[2]!NOTA[ID],0)))</f>
        <v/>
      </c>
      <c r="H145" s="3" t="str">
        <f>IF(ATALI[[#This Row],[ID NOTA]]="","",INDEX([2]!NOTA[TGL.NOTA],MATCH(ATALI[[#This Row],[ID NOTA]],[2]!NOTA[ID],0)))</f>
        <v/>
      </c>
      <c r="I145" s="4" t="str">
        <f>IF(ATALI[[#This Row],[ID NOTA]]="","",INDEX([2]!NOTA[NO.NOTA],MATCH(ATALI[[#This Row],[ID NOTA]],[2]!NOTA[ID],0)))</f>
        <v/>
      </c>
      <c r="J145" s="4" t="str">
        <f ca="1">IF(ATALI[[#This Row],[//]]="","",INDEX([4]!db[NB PAJAK],ATALI[[#This Row],[stt]]-1))</f>
        <v/>
      </c>
      <c r="K145" s="6" t="str">
        <f ca="1">IF(ATALI[[#This Row],[//]]="","",IF(INDEX([2]!NOTA[C],ATALI[[#This Row],[//]]-2)="","",INDEX([2]!NOTA[C],ATALI[[#This Row],[//]]-2)))</f>
        <v/>
      </c>
      <c r="L145" s="6" t="str">
        <f ca="1">IF(ATALI[[#This Row],[//]]="","",INDEX([2]!NOTA[QTY],ATALI[[#This Row],[//]]-2))</f>
        <v/>
      </c>
      <c r="M145" s="6" t="str">
        <f ca="1">IF(ATALI[[#This Row],[//]]="","",INDEX([2]!NOTA[STN],ATALI[[#This Row],[//]]-2))</f>
        <v/>
      </c>
      <c r="N145" s="5" t="str">
        <f ca="1">IF(ATALI[[#This Row],[//]]="","",INDEX([2]!NOTA[HARGA SATUAN],ATALI[[#This Row],[//]]-2))</f>
        <v/>
      </c>
      <c r="O145" s="7" t="str">
        <f ca="1">IF(ATALI[[#This Row],[//]]="","",INDEX([2]!NOTA[DISC 1],ATALI[[#This Row],[//]]-2))</f>
        <v/>
      </c>
      <c r="P145" s="7" t="str">
        <f ca="1">IF(ATALI[[#This Row],[//]]="","",INDEX([2]!NOTA[DISC 2],ATALI[[#This Row],[//]]-2))</f>
        <v/>
      </c>
      <c r="Q145" s="5" t="str">
        <f ca="1">IF(ATALI[[#This Row],[//]]="","",INDEX([2]!NOTA[TOTAL],ATALI[[#This Row],[//]]-2))</f>
        <v/>
      </c>
      <c r="R1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s="4" t="str">
        <f ca="1">IF(ATALI[[#This Row],[//]]="","",INDEX([2]!NOTA[NAMA BARANG],ATALI[[#This Row],[//]]-2))</f>
        <v/>
      </c>
      <c r="V145" s="4" t="str">
        <f ca="1">LOWER(SUBSTITUTE(SUBSTITUTE(SUBSTITUTE(SUBSTITUTE(SUBSTITUTE(SUBSTITUTE(SUBSTITUTE(ATALI[[#This Row],[N.B.nota]]," ",""),"-",""),"(",""),")",""),".",""),",",""),"/",""))</f>
        <v/>
      </c>
      <c r="W145" s="4" t="str">
        <f ca="1">IF(ATALI[[#This Row],[concat]]="","",MATCH(ATALI[[#This Row],[concat]],[4]!db[NB NOTA_C],0)+1)</f>
        <v/>
      </c>
      <c r="X145" s="4" t="str">
        <f ca="1">IF(ATALI[[#This Row],[N.B.nota]]="","",ADDRESS(ROW(ATALI[QB]),COLUMN(ATALI[QB]))&amp;":"&amp;ADDRESS(ROW(),COLUMN(ATALI[QB])))</f>
        <v/>
      </c>
      <c r="Y145" s="13" t="str">
        <f ca="1">IF(ATALI[[#This Row],[//]]="","",HYPERLINK("[../DB.xlsx]DB!e"&amp;MATCH(ATALI[[#This Row],[concat]],[4]!db[NB NOTA_C],0)+1,"&gt;"))</f>
        <v/>
      </c>
    </row>
    <row r="146" spans="1:25" x14ac:dyDescent="0.25">
      <c r="A146" s="4" t="s">
        <v>110</v>
      </c>
      <c r="B146" s="6">
        <f ca="1">IF(ATALI[[#This Row],[N_ID]]="","",INDEX(Table1[ID],MATCH(ATALI[[#This Row],[N_ID]],Table1[N_ID],0)))</f>
        <v>118</v>
      </c>
      <c r="C146" s="6" t="str">
        <f ca="1">IF(ATALI[[#This Row],[ID NOTA]]="","",HYPERLINK("[NOTA_.xlsx]NOTA!e"&amp;INDEX([2]!PAJAK[//],MATCH(ATALI[[#This Row],[ID NOTA]],[2]!PAJAK[ID],0)),"&gt;") )</f>
        <v>&gt;</v>
      </c>
      <c r="D146" s="6">
        <f ca="1">IF(ATALI[[#This Row],[ID NOTA]]="","",INDEX(Table1[QB],MATCH(ATALI[[#This Row],[ID NOTA]],Table1[ID],0)))</f>
        <v>10</v>
      </c>
      <c r="E14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703</v>
      </c>
      <c r="F146" s="6">
        <v>19</v>
      </c>
      <c r="G146" s="3">
        <f ca="1">IF(ATALI[[#This Row],[ID NOTA]]="","",INDEX([2]!NOTA[TGL_H],MATCH(ATALI[[#This Row],[ID NOTA]],[2]!NOTA[ID],0)))</f>
        <v>44830</v>
      </c>
      <c r="H146" s="3">
        <f ca="1">IF(ATALI[[#This Row],[ID NOTA]]="","",INDEX([2]!NOTA[TGL.NOTA],MATCH(ATALI[[#This Row],[ID NOTA]],[2]!NOTA[ID],0)))</f>
        <v>44824</v>
      </c>
      <c r="I146" s="4" t="str">
        <f ca="1">IF(ATALI[[#This Row],[ID NOTA]]="","",INDEX([2]!NOTA[NO.NOTA],MATCH(ATALI[[#This Row],[ID NOTA]],[2]!NOTA[ID],0)))</f>
        <v>SA220914842</v>
      </c>
      <c r="J146" s="4" t="str">
        <f ca="1">IF(ATALI[[#This Row],[//]]="","",INDEX([4]!db[NB PAJAK],ATALI[[#This Row],[stt]]-1))</f>
        <v>ISI PENSIL 2B 2.0 MM JOYKO PL-11</v>
      </c>
      <c r="K146" s="6">
        <f ca="1">IF(ATALI[[#This Row],[//]]="","",IF(INDEX([2]!NOTA[C],ATALI[[#This Row],[//]]-2)="","",INDEX([2]!NOTA[C],ATALI[[#This Row],[//]]-2)))</f>
        <v>1</v>
      </c>
      <c r="L146" s="6">
        <f ca="1">IF(ATALI[[#This Row],[//]]="","",INDEX([2]!NOTA[QTY],ATALI[[#This Row],[//]]-2))</f>
        <v>72</v>
      </c>
      <c r="M146" s="6" t="str">
        <f ca="1">IF(ATALI[[#This Row],[//]]="","",INDEX([2]!NOTA[STN],ATALI[[#This Row],[//]]-2))</f>
        <v>DZ</v>
      </c>
      <c r="N146" s="5">
        <f ca="1">IF(ATALI[[#This Row],[//]]="","",INDEX([2]!NOTA[HARGA SATUAN],ATALI[[#This Row],[//]]-2))</f>
        <v>34500</v>
      </c>
      <c r="O146" s="7">
        <f ca="1">IF(ATALI[[#This Row],[//]]="","",INDEX([2]!NOTA[DISC 1],ATALI[[#This Row],[//]]-2))</f>
        <v>0.125</v>
      </c>
      <c r="P146" s="7">
        <f ca="1">IF(ATALI[[#This Row],[//]]="","",INDEX([2]!NOTA[DISC 2],ATALI[[#This Row],[//]]-2))</f>
        <v>0.05</v>
      </c>
      <c r="Q146" s="5">
        <f ca="1">IF(ATALI[[#This Row],[//]]="","",INDEX([2]!NOTA[TOTAL],ATALI[[#This Row],[//]]-2))</f>
        <v>2064825</v>
      </c>
      <c r="R1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s="4" t="str">
        <f ca="1">IF(ATALI[[#This Row],[//]]="","",INDEX([2]!NOTA[NAMA BARANG],ATALI[[#This Row],[//]]-2))</f>
        <v>PENCIL LEAD PL-11 (2.0) JK</v>
      </c>
      <c r="V146" s="4" t="str">
        <f ca="1">LOWER(SUBSTITUTE(SUBSTITUTE(SUBSTITUTE(SUBSTITUTE(SUBSTITUTE(SUBSTITUTE(SUBSTITUTE(ATALI[[#This Row],[N.B.nota]]," ",""),"-",""),"(",""),")",""),".",""),",",""),"/",""))</f>
        <v>pencilleadpl1120jk</v>
      </c>
      <c r="W146" s="4">
        <f ca="1">IF(ATALI[[#This Row],[concat]]="","",MATCH(ATALI[[#This Row],[concat]],[4]!db[NB NOTA_C],0)+1)</f>
        <v>1681</v>
      </c>
      <c r="X146" s="4" t="str">
        <f ca="1">IF(ATALI[[#This Row],[N.B.nota]]="","",ADDRESS(ROW(ATALI[QB]),COLUMN(ATALI[QB]))&amp;":"&amp;ADDRESS(ROW(),COLUMN(ATALI[QB])))</f>
        <v>$D$3:$D$146</v>
      </c>
      <c r="Y146" s="13" t="str">
        <f ca="1">IF(ATALI[[#This Row],[//]]="","",HYPERLINK("[../DB.xlsx]DB!e"&amp;MATCH(ATALI[[#This Row],[concat]],[4]!db[NB NOTA_C],0)+1,"&gt;"))</f>
        <v>&gt;</v>
      </c>
    </row>
    <row r="147" spans="1:25" x14ac:dyDescent="0.25">
      <c r="A147" s="4"/>
      <c r="B147" s="6" t="str">
        <f>IF(ATALI[[#This Row],[N_ID]]="","",INDEX(Table1[ID],MATCH(ATALI[[#This Row],[N_ID]],Table1[N_ID],0)))</f>
        <v/>
      </c>
      <c r="C147" s="6" t="str">
        <f>IF(ATALI[[#This Row],[ID NOTA]]="","",HYPERLINK("[NOTA_.xlsx]NOTA!e"&amp;INDEX([2]!PAJAK[//],MATCH(ATALI[[#This Row],[ID NOTA]],[2]!PAJAK[ID],0)),"&gt;") )</f>
        <v/>
      </c>
      <c r="D147" s="6" t="str">
        <f>IF(ATALI[[#This Row],[ID NOTA]]="","",INDEX(Table1[QB],MATCH(ATALI[[#This Row],[ID NOTA]],Table1[ID],0)))</f>
        <v/>
      </c>
      <c r="E14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704</v>
      </c>
      <c r="F147" s="6"/>
      <c r="G147" s="3" t="str">
        <f>IF(ATALI[[#This Row],[ID NOTA]]="","",INDEX([2]!NOTA[TGL_H],MATCH(ATALI[[#This Row],[ID NOTA]],[2]!NOTA[ID],0)))</f>
        <v/>
      </c>
      <c r="H147" s="3" t="str">
        <f>IF(ATALI[[#This Row],[ID NOTA]]="","",INDEX([2]!NOTA[TGL.NOTA],MATCH(ATALI[[#This Row],[ID NOTA]],[2]!NOTA[ID],0)))</f>
        <v/>
      </c>
      <c r="I147" s="4" t="str">
        <f>IF(ATALI[[#This Row],[ID NOTA]]="","",INDEX([2]!NOTA[NO.NOTA],MATCH(ATALI[[#This Row],[ID NOTA]],[2]!NOTA[ID],0)))</f>
        <v/>
      </c>
      <c r="J147" s="4" t="str">
        <f ca="1">IF(ATALI[[#This Row],[//]]="","",INDEX([4]!db[NB PAJAK],ATALI[[#This Row],[stt]]-1))</f>
        <v>STIP / PENGHAPUS JOYKO 526-B40P PUTIH</v>
      </c>
      <c r="K147" s="6">
        <f ca="1">IF(ATALI[[#This Row],[//]]="","",IF(INDEX([2]!NOTA[C],ATALI[[#This Row],[//]]-2)="","",INDEX([2]!NOTA[C],ATALI[[#This Row],[//]]-2)))</f>
        <v>7</v>
      </c>
      <c r="L147" s="6">
        <f ca="1">IF(ATALI[[#This Row],[//]]="","",INDEX([2]!NOTA[QTY],ATALI[[#This Row],[//]]-2))</f>
        <v>350</v>
      </c>
      <c r="M147" s="6" t="str">
        <f ca="1">IF(ATALI[[#This Row],[//]]="","",INDEX([2]!NOTA[STN],ATALI[[#This Row],[//]]-2))</f>
        <v>BOX</v>
      </c>
      <c r="N147" s="5">
        <f ca="1">IF(ATALI[[#This Row],[//]]="","",INDEX([2]!NOTA[HARGA SATUAN],ATALI[[#This Row],[//]]-2))</f>
        <v>28300</v>
      </c>
      <c r="O147" s="7">
        <f ca="1">IF(ATALI[[#This Row],[//]]="","",INDEX([2]!NOTA[DISC 1],ATALI[[#This Row],[//]]-2))</f>
        <v>0.125</v>
      </c>
      <c r="P147" s="7">
        <f ca="1">IF(ATALI[[#This Row],[//]]="","",INDEX([2]!NOTA[DISC 2],ATALI[[#This Row],[//]]-2))</f>
        <v>0.05</v>
      </c>
      <c r="Q147" s="5">
        <f ca="1">IF(ATALI[[#This Row],[//]]="","",INDEX([2]!NOTA[TOTAL],ATALI[[#This Row],[//]]-2))</f>
        <v>8233531.25</v>
      </c>
      <c r="R1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s="4" t="str">
        <f ca="1">IF(ATALI[[#This Row],[//]]="","",INDEX([2]!NOTA[NAMA BARANG],ATALI[[#This Row],[//]]-2))</f>
        <v>ERASER 526-B40P JK</v>
      </c>
      <c r="V147" s="4" t="str">
        <f ca="1">LOWER(SUBSTITUTE(SUBSTITUTE(SUBSTITUTE(SUBSTITUTE(SUBSTITUTE(SUBSTITUTE(SUBSTITUTE(ATALI[[#This Row],[N.B.nota]]," ",""),"-",""),"(",""),")",""),".",""),",",""),"/",""))</f>
        <v>eraser526b40pjk</v>
      </c>
      <c r="W147" s="4">
        <f ca="1">IF(ATALI[[#This Row],[concat]]="","",MATCH(ATALI[[#This Row],[concat]],[4]!db[NB NOTA_C],0)+1)</f>
        <v>654</v>
      </c>
      <c r="X147" s="4" t="str">
        <f ca="1">IF(ATALI[[#This Row],[N.B.nota]]="","",ADDRESS(ROW(ATALI[QB]),COLUMN(ATALI[QB]))&amp;":"&amp;ADDRESS(ROW(),COLUMN(ATALI[QB])))</f>
        <v>$D$3:$D$147</v>
      </c>
      <c r="Y147" s="13" t="str">
        <f ca="1">IF(ATALI[[#This Row],[//]]="","",HYPERLINK("[../DB.xlsx]DB!e"&amp;MATCH(ATALI[[#This Row],[concat]],[4]!db[NB NOTA_C],0)+1,"&gt;"))</f>
        <v>&gt;</v>
      </c>
    </row>
    <row r="148" spans="1:25" x14ac:dyDescent="0.25">
      <c r="A148" s="4"/>
      <c r="B148" s="6" t="str">
        <f>IF(ATALI[[#This Row],[N_ID]]="","",INDEX(Table1[ID],MATCH(ATALI[[#This Row],[N_ID]],Table1[N_ID],0)))</f>
        <v/>
      </c>
      <c r="C148" s="6" t="str">
        <f>IF(ATALI[[#This Row],[ID NOTA]]="","",HYPERLINK("[NOTA_.xlsx]NOTA!e"&amp;INDEX([2]!PAJAK[//],MATCH(ATALI[[#This Row],[ID NOTA]],[2]!PAJAK[ID],0)),"&gt;") )</f>
        <v/>
      </c>
      <c r="D148" s="6" t="str">
        <f>IF(ATALI[[#This Row],[ID NOTA]]="","",INDEX(Table1[QB],MATCH(ATALI[[#This Row],[ID NOTA]],Table1[ID],0)))</f>
        <v/>
      </c>
      <c r="E14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705</v>
      </c>
      <c r="F148" s="6"/>
      <c r="G148" s="3" t="str">
        <f>IF(ATALI[[#This Row],[ID NOTA]]="","",INDEX([2]!NOTA[TGL_H],MATCH(ATALI[[#This Row],[ID NOTA]],[2]!NOTA[ID],0)))</f>
        <v/>
      </c>
      <c r="H148" s="3" t="str">
        <f>IF(ATALI[[#This Row],[ID NOTA]]="","",INDEX([2]!NOTA[TGL.NOTA],MATCH(ATALI[[#This Row],[ID NOTA]],[2]!NOTA[ID],0)))</f>
        <v/>
      </c>
      <c r="I148" s="4" t="str">
        <f>IF(ATALI[[#This Row],[ID NOTA]]="","",INDEX([2]!NOTA[NO.NOTA],MATCH(ATALI[[#This Row],[ID NOTA]],[2]!NOTA[ID],0)))</f>
        <v/>
      </c>
      <c r="J148" s="4" t="str">
        <f ca="1">IF(ATALI[[#This Row],[//]]="","",INDEX([4]!db[NB PAJAK],ATALI[[#This Row],[stt]]-1))</f>
        <v>LEM LIQUID (CAIR) JOYKO GL-W02</v>
      </c>
      <c r="K148" s="6">
        <f ca="1">IF(ATALI[[#This Row],[//]]="","",IF(INDEX([2]!NOTA[C],ATALI[[#This Row],[//]]-2)="","",INDEX([2]!NOTA[C],ATALI[[#This Row],[//]]-2)))</f>
        <v>1</v>
      </c>
      <c r="L148" s="6">
        <f ca="1">IF(ATALI[[#This Row],[//]]="","",INDEX([2]!NOTA[QTY],ATALI[[#This Row],[//]]-2))</f>
        <v>288</v>
      </c>
      <c r="M148" s="6" t="str">
        <f ca="1">IF(ATALI[[#This Row],[//]]="","",INDEX([2]!NOTA[STN],ATALI[[#This Row],[//]]-2))</f>
        <v>PCS</v>
      </c>
      <c r="N148" s="5">
        <f ca="1">IF(ATALI[[#This Row],[//]]="","",INDEX([2]!NOTA[HARGA SATUAN],ATALI[[#This Row],[//]]-2))</f>
        <v>3000</v>
      </c>
      <c r="O148" s="7">
        <f ca="1">IF(ATALI[[#This Row],[//]]="","",INDEX([2]!NOTA[DISC 1],ATALI[[#This Row],[//]]-2))</f>
        <v>0.125</v>
      </c>
      <c r="P148" s="7">
        <f ca="1">IF(ATALI[[#This Row],[//]]="","",INDEX([2]!NOTA[DISC 2],ATALI[[#This Row],[//]]-2))</f>
        <v>0.05</v>
      </c>
      <c r="Q148" s="5">
        <f ca="1">IF(ATALI[[#This Row],[//]]="","",INDEX([2]!NOTA[TOTAL],ATALI[[#This Row],[//]]-2))</f>
        <v>718200</v>
      </c>
      <c r="R1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s="4" t="str">
        <f ca="1">IF(ATALI[[#This Row],[//]]="","",INDEX([2]!NOTA[NAMA BARANG],ATALI[[#This Row],[//]]-2))</f>
        <v>GLUE GL-W02 JK</v>
      </c>
      <c r="V148" s="4" t="str">
        <f ca="1">LOWER(SUBSTITUTE(SUBSTITUTE(SUBSTITUTE(SUBSTITUTE(SUBSTITUTE(SUBSTITUTE(SUBSTITUTE(ATALI[[#This Row],[N.B.nota]]," ",""),"-",""),"(",""),")",""),".",""),",",""),"/",""))</f>
        <v>glueglw02jk</v>
      </c>
      <c r="W148" s="4">
        <f ca="1">IF(ATALI[[#This Row],[concat]]="","",MATCH(ATALI[[#This Row],[concat]],[4]!db[NB NOTA_C],0)+1)</f>
        <v>894</v>
      </c>
      <c r="X148" s="4" t="str">
        <f ca="1">IF(ATALI[[#This Row],[N.B.nota]]="","",ADDRESS(ROW(ATALI[QB]),COLUMN(ATALI[QB]))&amp;":"&amp;ADDRESS(ROW(),COLUMN(ATALI[QB])))</f>
        <v>$D$3:$D$148</v>
      </c>
      <c r="Y148" s="13" t="str">
        <f ca="1">IF(ATALI[[#This Row],[//]]="","",HYPERLINK("[../DB.xlsx]DB!e"&amp;MATCH(ATALI[[#This Row],[concat]],[4]!db[NB NOTA_C],0)+1,"&gt;"))</f>
        <v>&gt;</v>
      </c>
    </row>
    <row r="149" spans="1:25" x14ac:dyDescent="0.25">
      <c r="A149" s="4"/>
      <c r="B149" s="6" t="str">
        <f>IF(ATALI[[#This Row],[N_ID]]="","",INDEX(Table1[ID],MATCH(ATALI[[#This Row],[N_ID]],Table1[N_ID],0)))</f>
        <v/>
      </c>
      <c r="C149" s="6" t="str">
        <f>IF(ATALI[[#This Row],[ID NOTA]]="","",HYPERLINK("[NOTA_.xlsx]NOTA!e"&amp;INDEX([2]!PAJAK[//],MATCH(ATALI[[#This Row],[ID NOTA]],[2]!PAJAK[ID],0)),"&gt;") )</f>
        <v/>
      </c>
      <c r="D149" s="6" t="str">
        <f>IF(ATALI[[#This Row],[ID NOTA]]="","",INDEX(Table1[QB],MATCH(ATALI[[#This Row],[ID NOTA]],Table1[ID],0)))</f>
        <v/>
      </c>
      <c r="E14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706</v>
      </c>
      <c r="F149" s="6"/>
      <c r="G149" s="3" t="str">
        <f>IF(ATALI[[#This Row],[ID NOTA]]="","",INDEX([2]!NOTA[TGL_H],MATCH(ATALI[[#This Row],[ID NOTA]],[2]!NOTA[ID],0)))</f>
        <v/>
      </c>
      <c r="H149" s="3" t="str">
        <f>IF(ATALI[[#This Row],[ID NOTA]]="","",INDEX([2]!NOTA[TGL.NOTA],MATCH(ATALI[[#This Row],[ID NOTA]],[2]!NOTA[ID],0)))</f>
        <v/>
      </c>
      <c r="I149" s="4" t="str">
        <f>IF(ATALI[[#This Row],[ID NOTA]]="","",INDEX([2]!NOTA[NO.NOTA],MATCH(ATALI[[#This Row],[ID NOTA]],[2]!NOTA[ID],0)))</f>
        <v/>
      </c>
      <c r="J149" s="4" t="str">
        <f ca="1">IF(ATALI[[#This Row],[//]]="","",INDEX([4]!db[NB PAJAK],ATALI[[#This Row],[stt]]-1))</f>
        <v>STAPLER JOYKO HS-7</v>
      </c>
      <c r="K149" s="6">
        <f ca="1">IF(ATALI[[#This Row],[//]]="","",IF(INDEX([2]!NOTA[C],ATALI[[#This Row],[//]]-2)="","",INDEX([2]!NOTA[C],ATALI[[#This Row],[//]]-2)))</f>
        <v>1</v>
      </c>
      <c r="L149" s="6">
        <f ca="1">IF(ATALI[[#This Row],[//]]="","",INDEX([2]!NOTA[QTY],ATALI[[#This Row],[//]]-2))</f>
        <v>12</v>
      </c>
      <c r="M149" s="6" t="str">
        <f ca="1">IF(ATALI[[#This Row],[//]]="","",INDEX([2]!NOTA[STN],ATALI[[#This Row],[//]]-2))</f>
        <v>PCS</v>
      </c>
      <c r="N149" s="5">
        <f ca="1">IF(ATALI[[#This Row],[//]]="","",INDEX([2]!NOTA[HARGA SATUAN],ATALI[[#This Row],[//]]-2))</f>
        <v>200000</v>
      </c>
      <c r="O149" s="7">
        <f ca="1">IF(ATALI[[#This Row],[//]]="","",INDEX([2]!NOTA[DISC 1],ATALI[[#This Row],[//]]-2))</f>
        <v>0.125</v>
      </c>
      <c r="P149" s="7">
        <f ca="1">IF(ATALI[[#This Row],[//]]="","",INDEX([2]!NOTA[DISC 2],ATALI[[#This Row],[//]]-2))</f>
        <v>0.05</v>
      </c>
      <c r="Q149" s="5">
        <f ca="1">IF(ATALI[[#This Row],[//]]="","",INDEX([2]!NOTA[TOTAL],ATALI[[#This Row],[//]]-2))</f>
        <v>1995000</v>
      </c>
      <c r="R1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s="4" t="str">
        <f ca="1">IF(ATALI[[#This Row],[//]]="","",INDEX([2]!NOTA[NAMA BARANG],ATALI[[#This Row],[//]]-2))</f>
        <v>STAPLER HS-7 JK</v>
      </c>
      <c r="V149" s="4" t="str">
        <f ca="1">LOWER(SUBSTITUTE(SUBSTITUTE(SUBSTITUTE(SUBSTITUTE(SUBSTITUTE(SUBSTITUTE(SUBSTITUTE(ATALI[[#This Row],[N.B.nota]]," ",""),"-",""),"(",""),")",""),".",""),",",""),"/",""))</f>
        <v>staplerhs7jk</v>
      </c>
      <c r="W149" s="4">
        <f ca="1">IF(ATALI[[#This Row],[concat]]="","",MATCH(ATALI[[#This Row],[concat]],[4]!db[NB NOTA_C],0)+1)</f>
        <v>1895</v>
      </c>
      <c r="X149" s="4" t="str">
        <f ca="1">IF(ATALI[[#This Row],[N.B.nota]]="","",ADDRESS(ROW(ATALI[QB]),COLUMN(ATALI[QB]))&amp;":"&amp;ADDRESS(ROW(),COLUMN(ATALI[QB])))</f>
        <v>$D$3:$D$149</v>
      </c>
      <c r="Y149" s="13" t="str">
        <f ca="1">IF(ATALI[[#This Row],[//]]="","",HYPERLINK("[../DB.xlsx]DB!e"&amp;MATCH(ATALI[[#This Row],[concat]],[4]!db[NB NOTA_C],0)+1,"&gt;"))</f>
        <v>&gt;</v>
      </c>
    </row>
    <row r="150" spans="1:25" x14ac:dyDescent="0.25">
      <c r="A150" s="4"/>
      <c r="B150" s="6" t="str">
        <f>IF(ATALI[[#This Row],[N_ID]]="","",INDEX(Table1[ID],MATCH(ATALI[[#This Row],[N_ID]],Table1[N_ID],0)))</f>
        <v/>
      </c>
      <c r="C150" s="6" t="str">
        <f>IF(ATALI[[#This Row],[ID NOTA]]="","",HYPERLINK("[NOTA_.xlsx]NOTA!e"&amp;INDEX([2]!PAJAK[//],MATCH(ATALI[[#This Row],[ID NOTA]],[2]!PAJAK[ID],0)),"&gt;") )</f>
        <v/>
      </c>
      <c r="D150" s="6" t="str">
        <f>IF(ATALI[[#This Row],[ID NOTA]]="","",INDEX(Table1[QB],MATCH(ATALI[[#This Row],[ID NOTA]],Table1[ID],0)))</f>
        <v/>
      </c>
      <c r="E15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707</v>
      </c>
      <c r="F150" s="6"/>
      <c r="G150" s="3" t="str">
        <f>IF(ATALI[[#This Row],[ID NOTA]]="","",INDEX([2]!NOTA[TGL_H],MATCH(ATALI[[#This Row],[ID NOTA]],[2]!NOTA[ID],0)))</f>
        <v/>
      </c>
      <c r="H150" s="3" t="str">
        <f>IF(ATALI[[#This Row],[ID NOTA]]="","",INDEX([2]!NOTA[TGL.NOTA],MATCH(ATALI[[#This Row],[ID NOTA]],[2]!NOTA[ID],0)))</f>
        <v/>
      </c>
      <c r="I150" s="4" t="str">
        <f>IF(ATALI[[#This Row],[ID NOTA]]="","",INDEX([2]!NOTA[NO.NOTA],MATCH(ATALI[[#This Row],[ID NOTA]],[2]!NOTA[ID],0)))</f>
        <v/>
      </c>
      <c r="J150" s="4" t="str">
        <f ca="1">IF(ATALI[[#This Row],[//]]="","",INDEX([4]!db[NB PAJAK],ATALI[[#This Row],[stt]]-1))</f>
        <v>STAPLER HEAVY DUTY JOYKO HD-12N/24</v>
      </c>
      <c r="K150" s="6">
        <f ca="1">IF(ATALI[[#This Row],[//]]="","",IF(INDEX([2]!NOTA[C],ATALI[[#This Row],[//]]-2)="","",INDEX([2]!NOTA[C],ATALI[[#This Row],[//]]-2)))</f>
        <v>1</v>
      </c>
      <c r="L150" s="6">
        <f ca="1">IF(ATALI[[#This Row],[//]]="","",INDEX([2]!NOTA[QTY],ATALI[[#This Row],[//]]-2))</f>
        <v>6</v>
      </c>
      <c r="M150" s="6" t="str">
        <f ca="1">IF(ATALI[[#This Row],[//]]="","",INDEX([2]!NOTA[STN],ATALI[[#This Row],[//]]-2))</f>
        <v>PCS</v>
      </c>
      <c r="N150" s="5">
        <f ca="1">IF(ATALI[[#This Row],[//]]="","",INDEX([2]!NOTA[HARGA SATUAN],ATALI[[#This Row],[//]]-2))</f>
        <v>187000</v>
      </c>
      <c r="O150" s="7">
        <f ca="1">IF(ATALI[[#This Row],[//]]="","",INDEX([2]!NOTA[DISC 1],ATALI[[#This Row],[//]]-2))</f>
        <v>0.125</v>
      </c>
      <c r="P150" s="7">
        <f ca="1">IF(ATALI[[#This Row],[//]]="","",INDEX([2]!NOTA[DISC 2],ATALI[[#This Row],[//]]-2))</f>
        <v>0.05</v>
      </c>
      <c r="Q150" s="5">
        <f ca="1">IF(ATALI[[#This Row],[//]]="","",INDEX([2]!NOTA[TOTAL],ATALI[[#This Row],[//]]-2))</f>
        <v>932662.5</v>
      </c>
      <c r="R1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s="4" t="str">
        <f ca="1">IF(ATALI[[#This Row],[//]]="","",INDEX([2]!NOTA[NAMA BARANG],ATALI[[#This Row],[//]]-2))</f>
        <v>STAPLER HD-12N/24 JK</v>
      </c>
      <c r="V150" s="4" t="str">
        <f ca="1">LOWER(SUBSTITUTE(SUBSTITUTE(SUBSTITUTE(SUBSTITUTE(SUBSTITUTE(SUBSTITUTE(SUBSTITUTE(ATALI[[#This Row],[N.B.nota]]," ",""),"-",""),"(",""),")",""),".",""),",",""),"/",""))</f>
        <v>staplerhd12n24jk</v>
      </c>
      <c r="W150" s="4">
        <f ca="1">IF(ATALI[[#This Row],[concat]]="","",MATCH(ATALI[[#This Row],[concat]],[4]!db[NB NOTA_C],0)+1)</f>
        <v>1891</v>
      </c>
      <c r="X150" s="4" t="str">
        <f ca="1">IF(ATALI[[#This Row],[N.B.nota]]="","",ADDRESS(ROW(ATALI[QB]),COLUMN(ATALI[QB]))&amp;":"&amp;ADDRESS(ROW(),COLUMN(ATALI[QB])))</f>
        <v>$D$3:$D$150</v>
      </c>
      <c r="Y150" s="13" t="str">
        <f ca="1">IF(ATALI[[#This Row],[//]]="","",HYPERLINK("[../DB.xlsx]DB!e"&amp;MATCH(ATALI[[#This Row],[concat]],[4]!db[NB NOTA_C],0)+1,"&gt;"))</f>
        <v>&gt;</v>
      </c>
    </row>
    <row r="151" spans="1:25" x14ac:dyDescent="0.25">
      <c r="A151" s="4"/>
      <c r="B151" s="6" t="str">
        <f>IF(ATALI[[#This Row],[N_ID]]="","",INDEX(Table1[ID],MATCH(ATALI[[#This Row],[N_ID]],Table1[N_ID],0)))</f>
        <v/>
      </c>
      <c r="C151" s="6" t="str">
        <f>IF(ATALI[[#This Row],[ID NOTA]]="","",HYPERLINK("[NOTA_.xlsx]NOTA!e"&amp;INDEX([2]!PAJAK[//],MATCH(ATALI[[#This Row],[ID NOTA]],[2]!PAJAK[ID],0)),"&gt;") )</f>
        <v/>
      </c>
      <c r="D151" s="6" t="str">
        <f>IF(ATALI[[#This Row],[ID NOTA]]="","",INDEX(Table1[QB],MATCH(ATALI[[#This Row],[ID NOTA]],Table1[ID],0)))</f>
        <v/>
      </c>
      <c r="E15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708</v>
      </c>
      <c r="F151" s="6"/>
      <c r="G151" s="3" t="str">
        <f>IF(ATALI[[#This Row],[ID NOTA]]="","",INDEX([2]!NOTA[TGL_H],MATCH(ATALI[[#This Row],[ID NOTA]],[2]!NOTA[ID],0)))</f>
        <v/>
      </c>
      <c r="H151" s="3" t="str">
        <f>IF(ATALI[[#This Row],[ID NOTA]]="","",INDEX([2]!NOTA[TGL.NOTA],MATCH(ATALI[[#This Row],[ID NOTA]],[2]!NOTA[ID],0)))</f>
        <v/>
      </c>
      <c r="I151" s="4" t="str">
        <f>IF(ATALI[[#This Row],[ID NOTA]]="","",INDEX([2]!NOTA[NO.NOTA],MATCH(ATALI[[#This Row],[ID NOTA]],[2]!NOTA[ID],0)))</f>
        <v/>
      </c>
      <c r="J151" s="4" t="str">
        <f ca="1">IF(ATALI[[#This Row],[//]]="","",INDEX([4]!db[NB PAJAK],ATALI[[#This Row],[stt]]-1))</f>
        <v>PENSIL JOYKO 2B P-88</v>
      </c>
      <c r="K151" s="6">
        <f ca="1">IF(ATALI[[#This Row],[//]]="","",IF(INDEX([2]!NOTA[C],ATALI[[#This Row],[//]]-2)="","",INDEX([2]!NOTA[C],ATALI[[#This Row],[//]]-2)))</f>
        <v>3</v>
      </c>
      <c r="L151" s="6">
        <f ca="1">IF(ATALI[[#This Row],[//]]="","",INDEX([2]!NOTA[QTY],ATALI[[#This Row],[//]]-2))</f>
        <v>90</v>
      </c>
      <c r="M151" s="6" t="str">
        <f ca="1">IF(ATALI[[#This Row],[//]]="","",INDEX([2]!NOTA[STN],ATALI[[#This Row],[//]]-2))</f>
        <v>GRS</v>
      </c>
      <c r="N151" s="5">
        <f ca="1">IF(ATALI[[#This Row],[//]]="","",INDEX([2]!NOTA[HARGA SATUAN],ATALI[[#This Row],[//]]-2))</f>
        <v>104400</v>
      </c>
      <c r="O151" s="7">
        <f ca="1">IF(ATALI[[#This Row],[//]]="","",INDEX([2]!NOTA[DISC 1],ATALI[[#This Row],[//]]-2))</f>
        <v>0.125</v>
      </c>
      <c r="P151" s="7">
        <f ca="1">IF(ATALI[[#This Row],[//]]="","",INDEX([2]!NOTA[DISC 2],ATALI[[#This Row],[//]]-2))</f>
        <v>0.05</v>
      </c>
      <c r="Q151" s="5">
        <f ca="1">IF(ATALI[[#This Row],[//]]="","",INDEX([2]!NOTA[TOTAL],ATALI[[#This Row],[//]]-2))</f>
        <v>7810425</v>
      </c>
      <c r="R1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s="4" t="str">
        <f ca="1">IF(ATALI[[#This Row],[//]]="","",INDEX([2]!NOTA[NAMA BARANG],ATALI[[#This Row],[//]]-2))</f>
        <v>PENCIL P-88 2B JK</v>
      </c>
      <c r="V151" s="4" t="str">
        <f ca="1">LOWER(SUBSTITUTE(SUBSTITUTE(SUBSTITUTE(SUBSTITUTE(SUBSTITUTE(SUBSTITUTE(SUBSTITUTE(ATALI[[#This Row],[N.B.nota]]," ",""),"-",""),"(",""),")",""),".",""),",",""),"/",""))</f>
        <v>pencilp882bjk</v>
      </c>
      <c r="W151" s="4">
        <f ca="1">IF(ATALI[[#This Row],[concat]]="","",MATCH(ATALI[[#This Row],[concat]],[4]!db[NB NOTA_C],0)+1)</f>
        <v>1684</v>
      </c>
      <c r="X151" s="4" t="str">
        <f ca="1">IF(ATALI[[#This Row],[N.B.nota]]="","",ADDRESS(ROW(ATALI[QB]),COLUMN(ATALI[QB]))&amp;":"&amp;ADDRESS(ROW(),COLUMN(ATALI[QB])))</f>
        <v>$D$3:$D$151</v>
      </c>
      <c r="Y151" s="13" t="str">
        <f ca="1">IF(ATALI[[#This Row],[//]]="","",HYPERLINK("[../DB.xlsx]DB!e"&amp;MATCH(ATALI[[#This Row],[concat]],[4]!db[NB NOTA_C],0)+1,"&gt;"))</f>
        <v>&gt;</v>
      </c>
    </row>
    <row r="152" spans="1:25" x14ac:dyDescent="0.25">
      <c r="A152" s="4"/>
      <c r="B152" s="6" t="str">
        <f>IF(ATALI[[#This Row],[N_ID]]="","",INDEX(Table1[ID],MATCH(ATALI[[#This Row],[N_ID]],Table1[N_ID],0)))</f>
        <v/>
      </c>
      <c r="C152" s="6" t="str">
        <f>IF(ATALI[[#This Row],[ID NOTA]]="","",HYPERLINK("[NOTA_.xlsx]NOTA!e"&amp;INDEX([2]!PAJAK[//],MATCH(ATALI[[#This Row],[ID NOTA]],[2]!PAJAK[ID],0)),"&gt;") )</f>
        <v/>
      </c>
      <c r="D152" s="6" t="str">
        <f>IF(ATALI[[#This Row],[ID NOTA]]="","",INDEX(Table1[QB],MATCH(ATALI[[#This Row],[ID NOTA]],Table1[ID],0)))</f>
        <v/>
      </c>
      <c r="E15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709</v>
      </c>
      <c r="F152" s="6"/>
      <c r="G152" s="3" t="str">
        <f>IF(ATALI[[#This Row],[ID NOTA]]="","",INDEX([2]!NOTA[TGL_H],MATCH(ATALI[[#This Row],[ID NOTA]],[2]!NOTA[ID],0)))</f>
        <v/>
      </c>
      <c r="H152" s="3" t="str">
        <f>IF(ATALI[[#This Row],[ID NOTA]]="","",INDEX([2]!NOTA[TGL.NOTA],MATCH(ATALI[[#This Row],[ID NOTA]],[2]!NOTA[ID],0)))</f>
        <v/>
      </c>
      <c r="I152" s="4" t="str">
        <f>IF(ATALI[[#This Row],[ID NOTA]]="","",INDEX([2]!NOTA[NO.NOTA],MATCH(ATALI[[#This Row],[ID NOTA]],[2]!NOTA[ID],0)))</f>
        <v/>
      </c>
      <c r="J152" s="4" t="str">
        <f ca="1">IF(ATALI[[#This Row],[//]]="","",INDEX([4]!db[NB PAJAK],ATALI[[#This Row],[stt]]-1))</f>
        <v>PENSIL WARNA JOYKO CP-12PB (PANJANG)</v>
      </c>
      <c r="K152" s="6">
        <f ca="1">IF(ATALI[[#This Row],[//]]="","",IF(INDEX([2]!NOTA[C],ATALI[[#This Row],[//]]-2)="","",INDEX([2]!NOTA[C],ATALI[[#This Row],[//]]-2)))</f>
        <v>2</v>
      </c>
      <c r="L152" s="6">
        <f ca="1">IF(ATALI[[#This Row],[//]]="","",INDEX([2]!NOTA[QTY],ATALI[[#This Row],[//]]-2))</f>
        <v>288</v>
      </c>
      <c r="M152" s="6" t="str">
        <f ca="1">IF(ATALI[[#This Row],[//]]="","",INDEX([2]!NOTA[STN],ATALI[[#This Row],[//]]-2))</f>
        <v>SET</v>
      </c>
      <c r="N152" s="5">
        <f ca="1">IF(ATALI[[#This Row],[//]]="","",INDEX([2]!NOTA[HARGA SATUAN],ATALI[[#This Row],[//]]-2))</f>
        <v>10600</v>
      </c>
      <c r="O152" s="7">
        <f ca="1">IF(ATALI[[#This Row],[//]]="","",INDEX([2]!NOTA[DISC 1],ATALI[[#This Row],[//]]-2))</f>
        <v>0.125</v>
      </c>
      <c r="P152" s="7">
        <f ca="1">IF(ATALI[[#This Row],[//]]="","",INDEX([2]!NOTA[DISC 2],ATALI[[#This Row],[//]]-2))</f>
        <v>0.05</v>
      </c>
      <c r="Q152" s="5">
        <f ca="1">IF(ATALI[[#This Row],[//]]="","",INDEX([2]!NOTA[TOTAL],ATALI[[#This Row],[//]]-2))</f>
        <v>2537640</v>
      </c>
      <c r="R1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s="4" t="str">
        <f ca="1">IF(ATALI[[#This Row],[//]]="","",INDEX([2]!NOTA[NAMA BARANG],ATALI[[#This Row],[//]]-2))</f>
        <v>COLOR PENCIL CP-12PB JK</v>
      </c>
      <c r="V152" s="4" t="str">
        <f ca="1">LOWER(SUBSTITUTE(SUBSTITUTE(SUBSTITUTE(SUBSTITUTE(SUBSTITUTE(SUBSTITUTE(SUBSTITUTE(ATALI[[#This Row],[N.B.nota]]," ",""),"-",""),"(",""),")",""),".",""),",",""),"/",""))</f>
        <v>colorpencilcp12pbjk</v>
      </c>
      <c r="W152" s="4">
        <f ca="1">IF(ATALI[[#This Row],[concat]]="","",MATCH(ATALI[[#This Row],[concat]],[4]!db[NB NOTA_C],0)+1)</f>
        <v>477</v>
      </c>
      <c r="X152" s="4" t="str">
        <f ca="1">IF(ATALI[[#This Row],[N.B.nota]]="","",ADDRESS(ROW(ATALI[QB]),COLUMN(ATALI[QB]))&amp;":"&amp;ADDRESS(ROW(),COLUMN(ATALI[QB])))</f>
        <v>$D$3:$D$152</v>
      </c>
      <c r="Y152" s="13" t="str">
        <f ca="1">IF(ATALI[[#This Row],[//]]="","",HYPERLINK("[../DB.xlsx]DB!e"&amp;MATCH(ATALI[[#This Row],[concat]],[4]!db[NB NOTA_C],0)+1,"&gt;"))</f>
        <v>&gt;</v>
      </c>
    </row>
    <row r="153" spans="1:25" x14ac:dyDescent="0.25">
      <c r="A153" s="4"/>
      <c r="B153" s="6" t="str">
        <f>IF(ATALI[[#This Row],[N_ID]]="","",INDEX(Table1[ID],MATCH(ATALI[[#This Row],[N_ID]],Table1[N_ID],0)))</f>
        <v/>
      </c>
      <c r="C153" s="6" t="str">
        <f>IF(ATALI[[#This Row],[ID NOTA]]="","",HYPERLINK("[NOTA_.xlsx]NOTA!e"&amp;INDEX([2]!PAJAK[//],MATCH(ATALI[[#This Row],[ID NOTA]],[2]!PAJAK[ID],0)),"&gt;") )</f>
        <v/>
      </c>
      <c r="D153" s="6" t="str">
        <f>IF(ATALI[[#This Row],[ID NOTA]]="","",INDEX(Table1[QB],MATCH(ATALI[[#This Row],[ID NOTA]],Table1[ID],0)))</f>
        <v/>
      </c>
      <c r="E15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710</v>
      </c>
      <c r="F153" s="6"/>
      <c r="G153" s="3" t="str">
        <f>IF(ATALI[[#This Row],[ID NOTA]]="","",INDEX([2]!NOTA[TGL_H],MATCH(ATALI[[#This Row],[ID NOTA]],[2]!NOTA[ID],0)))</f>
        <v/>
      </c>
      <c r="H153" s="3" t="str">
        <f>IF(ATALI[[#This Row],[ID NOTA]]="","",INDEX([2]!NOTA[TGL.NOTA],MATCH(ATALI[[#This Row],[ID NOTA]],[2]!NOTA[ID],0)))</f>
        <v/>
      </c>
      <c r="I153" s="4" t="str">
        <f>IF(ATALI[[#This Row],[ID NOTA]]="","",INDEX([2]!NOTA[NO.NOTA],MATCH(ATALI[[#This Row],[ID NOTA]],[2]!NOTA[ID],0)))</f>
        <v/>
      </c>
      <c r="J153" s="4" t="str">
        <f ca="1">IF(ATALI[[#This Row],[//]]="","",INDEX([4]!db[NB PAJAK],ATALI[[#This Row],[stt]]-1))</f>
        <v>KUAS SET JOYKO BR-1</v>
      </c>
      <c r="K153" s="6">
        <f ca="1">IF(ATALI[[#This Row],[//]]="","",IF(INDEX([2]!NOTA[C],ATALI[[#This Row],[//]]-2)="","",INDEX([2]!NOTA[C],ATALI[[#This Row],[//]]-2)))</f>
        <v>3</v>
      </c>
      <c r="L153" s="6">
        <f ca="1">IF(ATALI[[#This Row],[//]]="","",INDEX([2]!NOTA[QTY],ATALI[[#This Row],[//]]-2))</f>
        <v>720</v>
      </c>
      <c r="M153" s="6" t="str">
        <f ca="1">IF(ATALI[[#This Row],[//]]="","",INDEX([2]!NOTA[STN],ATALI[[#This Row],[//]]-2))</f>
        <v>SET</v>
      </c>
      <c r="N153" s="5">
        <f ca="1">IF(ATALI[[#This Row],[//]]="","",INDEX([2]!NOTA[HARGA SATUAN],ATALI[[#This Row],[//]]-2))</f>
        <v>8800</v>
      </c>
      <c r="O153" s="7">
        <f ca="1">IF(ATALI[[#This Row],[//]]="","",INDEX([2]!NOTA[DISC 1],ATALI[[#This Row],[//]]-2))</f>
        <v>0.125</v>
      </c>
      <c r="P153" s="7">
        <f ca="1">IF(ATALI[[#This Row],[//]]="","",INDEX([2]!NOTA[DISC 2],ATALI[[#This Row],[//]]-2))</f>
        <v>0.05</v>
      </c>
      <c r="Q153" s="5">
        <f ca="1">IF(ATALI[[#This Row],[//]]="","",INDEX([2]!NOTA[TOTAL],ATALI[[#This Row],[//]]-2))</f>
        <v>5266800</v>
      </c>
      <c r="R1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3" s="4" t="str">
        <f ca="1">IF(ATALI[[#This Row],[//]]="","",INDEX([2]!NOTA[NAMA BARANG],ATALI[[#This Row],[//]]-2))</f>
        <v>BRUSH BR-1 JK</v>
      </c>
      <c r="V153" s="4" t="str">
        <f ca="1">LOWER(SUBSTITUTE(SUBSTITUTE(SUBSTITUTE(SUBSTITUTE(SUBSTITUTE(SUBSTITUTE(SUBSTITUTE(ATALI[[#This Row],[N.B.nota]]," ",""),"-",""),"(",""),")",""),".",""),",",""),"/",""))</f>
        <v>brushbr1jk</v>
      </c>
      <c r="W153" s="4">
        <f ca="1">IF(ATALI[[#This Row],[concat]]="","",MATCH(ATALI[[#This Row],[concat]],[4]!db[NB NOTA_C],0)+1)</f>
        <v>305</v>
      </c>
      <c r="X153" s="4" t="str">
        <f ca="1">IF(ATALI[[#This Row],[N.B.nota]]="","",ADDRESS(ROW(ATALI[QB]),COLUMN(ATALI[QB]))&amp;":"&amp;ADDRESS(ROW(),COLUMN(ATALI[QB])))</f>
        <v>$D$3:$D$153</v>
      </c>
      <c r="Y153" s="13" t="str">
        <f ca="1">IF(ATALI[[#This Row],[//]]="","",HYPERLINK("[../DB.xlsx]DB!e"&amp;MATCH(ATALI[[#This Row],[concat]],[4]!db[NB NOTA_C],0)+1,"&gt;"))</f>
        <v>&gt;</v>
      </c>
    </row>
    <row r="154" spans="1:25" x14ac:dyDescent="0.25">
      <c r="A154" s="4"/>
      <c r="B154" s="6" t="str">
        <f>IF(ATALI[[#This Row],[N_ID]]="","",INDEX(Table1[ID],MATCH(ATALI[[#This Row],[N_ID]],Table1[N_ID],0)))</f>
        <v/>
      </c>
      <c r="C154" s="6" t="str">
        <f>IF(ATALI[[#This Row],[ID NOTA]]="","",HYPERLINK("[NOTA_.xlsx]NOTA!e"&amp;INDEX([2]!PAJAK[//],MATCH(ATALI[[#This Row],[ID NOTA]],[2]!PAJAK[ID],0)),"&gt;") )</f>
        <v/>
      </c>
      <c r="D154" s="6" t="str">
        <f>IF(ATALI[[#This Row],[ID NOTA]]="","",INDEX(Table1[QB],MATCH(ATALI[[#This Row],[ID NOTA]],Table1[ID],0)))</f>
        <v/>
      </c>
      <c r="E15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711</v>
      </c>
      <c r="F154" s="6"/>
      <c r="G154" s="3" t="str">
        <f>IF(ATALI[[#This Row],[ID NOTA]]="","",INDEX([2]!NOTA[TGL_H],MATCH(ATALI[[#This Row],[ID NOTA]],[2]!NOTA[ID],0)))</f>
        <v/>
      </c>
      <c r="H154" s="3" t="str">
        <f>IF(ATALI[[#This Row],[ID NOTA]]="","",INDEX([2]!NOTA[TGL.NOTA],MATCH(ATALI[[#This Row],[ID NOTA]],[2]!NOTA[ID],0)))</f>
        <v/>
      </c>
      <c r="I154" s="4" t="str">
        <f>IF(ATALI[[#This Row],[ID NOTA]]="","",INDEX([2]!NOTA[NO.NOTA],MATCH(ATALI[[#This Row],[ID NOTA]],[2]!NOTA[ID],0)))</f>
        <v/>
      </c>
      <c r="J154" s="4" t="str">
        <f ca="1">IF(ATALI[[#This Row],[//]]="","",INDEX([4]!db[NB PAJAK],ATALI[[#This Row],[stt]]-1))</f>
        <v>JANGKA (MATH SET) JOYKO MS-25</v>
      </c>
      <c r="K154" s="6">
        <f ca="1">IF(ATALI[[#This Row],[//]]="","",IF(INDEX([2]!NOTA[C],ATALI[[#This Row],[//]]-2)="","",INDEX([2]!NOTA[C],ATALI[[#This Row],[//]]-2)))</f>
        <v>2</v>
      </c>
      <c r="L154" s="6">
        <f ca="1">IF(ATALI[[#This Row],[//]]="","",INDEX([2]!NOTA[QTY],ATALI[[#This Row],[//]]-2))</f>
        <v>48</v>
      </c>
      <c r="M154" s="6" t="str">
        <f ca="1">IF(ATALI[[#This Row],[//]]="","",INDEX([2]!NOTA[STN],ATALI[[#This Row],[//]]-2))</f>
        <v>DZ</v>
      </c>
      <c r="N154" s="5">
        <f ca="1">IF(ATALI[[#This Row],[//]]="","",INDEX([2]!NOTA[HARGA SATUAN],ATALI[[#This Row],[//]]-2))</f>
        <v>88200</v>
      </c>
      <c r="O154" s="7">
        <f ca="1">IF(ATALI[[#This Row],[//]]="","",INDEX([2]!NOTA[DISC 1],ATALI[[#This Row],[//]]-2))</f>
        <v>0.125</v>
      </c>
      <c r="P154" s="7">
        <f ca="1">IF(ATALI[[#This Row],[//]]="","",INDEX([2]!NOTA[DISC 2],ATALI[[#This Row],[//]]-2))</f>
        <v>0.05</v>
      </c>
      <c r="Q154" s="5">
        <f ca="1">IF(ATALI[[#This Row],[//]]="","",INDEX([2]!NOTA[TOTAL],ATALI[[#This Row],[//]]-2))</f>
        <v>3519180</v>
      </c>
      <c r="R1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s="4" t="str">
        <f ca="1">IF(ATALI[[#This Row],[//]]="","",INDEX([2]!NOTA[NAMA BARANG],ATALI[[#This Row],[//]]-2))</f>
        <v>MATH SET MS-25 JK</v>
      </c>
      <c r="V154" s="4" t="str">
        <f ca="1">LOWER(SUBSTITUTE(SUBSTITUTE(SUBSTITUTE(SUBSTITUTE(SUBSTITUTE(SUBSTITUTE(SUBSTITUTE(ATALI[[#This Row],[N.B.nota]]," ",""),"-",""),"(",""),")",""),".",""),",",""),"/",""))</f>
        <v>mathsetms25jk</v>
      </c>
      <c r="W154" s="4">
        <f ca="1">IF(ATALI[[#This Row],[concat]]="","",MATCH(ATALI[[#This Row],[concat]],[4]!db[NB NOTA_C],0)+1)</f>
        <v>1425</v>
      </c>
      <c r="X154" s="4" t="str">
        <f ca="1">IF(ATALI[[#This Row],[N.B.nota]]="","",ADDRESS(ROW(ATALI[QB]),COLUMN(ATALI[QB]))&amp;":"&amp;ADDRESS(ROW(),COLUMN(ATALI[QB])))</f>
        <v>$D$3:$D$154</v>
      </c>
      <c r="Y154" s="13" t="str">
        <f ca="1">IF(ATALI[[#This Row],[//]]="","",HYPERLINK("[../DB.xlsx]DB!e"&amp;MATCH(ATALI[[#This Row],[concat]],[4]!db[NB NOTA_C],0)+1,"&gt;"))</f>
        <v>&gt;</v>
      </c>
    </row>
    <row r="155" spans="1:25" x14ac:dyDescent="0.25">
      <c r="A155" s="4"/>
      <c r="B155" s="6" t="str">
        <f>IF(ATALI[[#This Row],[N_ID]]="","",INDEX(Table1[ID],MATCH(ATALI[[#This Row],[N_ID]],Table1[N_ID],0)))</f>
        <v/>
      </c>
      <c r="C155" s="6" t="str">
        <f>IF(ATALI[[#This Row],[ID NOTA]]="","",HYPERLINK("[NOTA_.xlsx]NOTA!e"&amp;INDEX([2]!PAJAK[//],MATCH(ATALI[[#This Row],[ID NOTA]],[2]!PAJAK[ID],0)),"&gt;") )</f>
        <v/>
      </c>
      <c r="D155" s="6" t="str">
        <f>IF(ATALI[[#This Row],[ID NOTA]]="","",INDEX(Table1[QB],MATCH(ATALI[[#This Row],[ID NOTA]],Table1[ID],0)))</f>
        <v/>
      </c>
      <c r="E15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712</v>
      </c>
      <c r="F155" s="6"/>
      <c r="G155" s="3" t="str">
        <f>IF(ATALI[[#This Row],[ID NOTA]]="","",INDEX([2]!NOTA[TGL_H],MATCH(ATALI[[#This Row],[ID NOTA]],[2]!NOTA[ID],0)))</f>
        <v/>
      </c>
      <c r="H155" s="3" t="str">
        <f>IF(ATALI[[#This Row],[ID NOTA]]="","",INDEX([2]!NOTA[TGL.NOTA],MATCH(ATALI[[#This Row],[ID NOTA]],[2]!NOTA[ID],0)))</f>
        <v/>
      </c>
      <c r="I155" s="4" t="str">
        <f>IF(ATALI[[#This Row],[ID NOTA]]="","",INDEX([2]!NOTA[NO.NOTA],MATCH(ATALI[[#This Row],[ID NOTA]],[2]!NOTA[ID],0)))</f>
        <v/>
      </c>
      <c r="J155" s="4" t="str">
        <f ca="1">IF(ATALI[[#This Row],[//]]="","",INDEX([4]!db[NB PAJAK],ATALI[[#This Row],[stt]]-1))</f>
        <v>STAPLER JOYKO HD-10</v>
      </c>
      <c r="K155" s="6">
        <f ca="1">IF(ATALI[[#This Row],[//]]="","",IF(INDEX([2]!NOTA[C],ATALI[[#This Row],[//]]-2)="","",INDEX([2]!NOTA[C],ATALI[[#This Row],[//]]-2)))</f>
        <v>5</v>
      </c>
      <c r="L155" s="6">
        <f ca="1">IF(ATALI[[#This Row],[//]]="","",INDEX([2]!NOTA[QTY],ATALI[[#This Row],[//]]-2))</f>
        <v>100</v>
      </c>
      <c r="M155" s="6" t="str">
        <f ca="1">IF(ATALI[[#This Row],[//]]="","",INDEX([2]!NOTA[STN],ATALI[[#This Row],[//]]-2))</f>
        <v>DZ</v>
      </c>
      <c r="N155" s="5">
        <f ca="1">IF(ATALI[[#This Row],[//]]="","",INDEX([2]!NOTA[HARGA SATUAN],ATALI[[#This Row],[//]]-2))</f>
        <v>85200</v>
      </c>
      <c r="O155" s="7">
        <f ca="1">IF(ATALI[[#This Row],[//]]="","",INDEX([2]!NOTA[DISC 1],ATALI[[#This Row],[//]]-2))</f>
        <v>0.125</v>
      </c>
      <c r="P155" s="7">
        <f ca="1">IF(ATALI[[#This Row],[//]]="","",INDEX([2]!NOTA[DISC 2],ATALI[[#This Row],[//]]-2))</f>
        <v>0.05</v>
      </c>
      <c r="Q155" s="5">
        <f ca="1">IF(ATALI[[#This Row],[//]]="","",INDEX([2]!NOTA[TOTAL],ATALI[[#This Row],[//]]-2))</f>
        <v>7082250</v>
      </c>
      <c r="R15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40160513.75</v>
      </c>
      <c r="T1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s="4" t="str">
        <f ca="1">IF(ATALI[[#This Row],[//]]="","",INDEX([2]!NOTA[NAMA BARANG],ATALI[[#This Row],[//]]-2))</f>
        <v>STAPLER HD-10 JK</v>
      </c>
      <c r="V155" s="4" t="str">
        <f ca="1">LOWER(SUBSTITUTE(SUBSTITUTE(SUBSTITUTE(SUBSTITUTE(SUBSTITUTE(SUBSTITUTE(SUBSTITUTE(ATALI[[#This Row],[N.B.nota]]," ",""),"-",""),"(",""),")",""),".",""),",",""),"/",""))</f>
        <v>staplerhd10jk</v>
      </c>
      <c r="W155" s="4">
        <f ca="1">IF(ATALI[[#This Row],[concat]]="","",MATCH(ATALI[[#This Row],[concat]],[4]!db[NB NOTA_C],0)+1)</f>
        <v>1888</v>
      </c>
      <c r="X155" s="4" t="str">
        <f ca="1">IF(ATALI[[#This Row],[N.B.nota]]="","",ADDRESS(ROW(ATALI[QB]),COLUMN(ATALI[QB]))&amp;":"&amp;ADDRESS(ROW(),COLUMN(ATALI[QB])))</f>
        <v>$D$3:$D$155</v>
      </c>
      <c r="Y155" s="13" t="str">
        <f ca="1">IF(ATALI[[#This Row],[//]]="","",HYPERLINK("[../DB.xlsx]DB!e"&amp;MATCH(ATALI[[#This Row],[concat]],[4]!db[NB NOTA_C],0)+1,"&gt;"))</f>
        <v>&gt;</v>
      </c>
    </row>
    <row r="156" spans="1:25" x14ac:dyDescent="0.25">
      <c r="A156" s="4"/>
      <c r="B156" s="6" t="str">
        <f>IF(ATALI[[#This Row],[N_ID]]="","",INDEX(Table1[ID],MATCH(ATALI[[#This Row],[N_ID]],Table1[N_ID],0)))</f>
        <v/>
      </c>
      <c r="C156" s="6" t="str">
        <f>IF(ATALI[[#This Row],[ID NOTA]]="","",HYPERLINK("[NOTA_.xlsx]NOTA!e"&amp;INDEX([2]!PAJAK[//],MATCH(ATALI[[#This Row],[ID NOTA]],[2]!PAJAK[ID],0)),"&gt;") )</f>
        <v/>
      </c>
      <c r="D156" s="6" t="str">
        <f>IF(ATALI[[#This Row],[ID NOTA]]="","",INDEX(Table1[QB],MATCH(ATALI[[#This Row],[ID NOTA]],Table1[ID],0)))</f>
        <v/>
      </c>
      <c r="E1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6" s="6"/>
      <c r="G156" s="3" t="str">
        <f>IF(ATALI[[#This Row],[ID NOTA]]="","",INDEX([2]!NOTA[TGL_H],MATCH(ATALI[[#This Row],[ID NOTA]],[2]!NOTA[ID],0)))</f>
        <v/>
      </c>
      <c r="H156" s="3" t="str">
        <f>IF(ATALI[[#This Row],[ID NOTA]]="","",INDEX([2]!NOTA[TGL.NOTA],MATCH(ATALI[[#This Row],[ID NOTA]],[2]!NOTA[ID],0)))</f>
        <v/>
      </c>
      <c r="I156" s="4" t="str">
        <f>IF(ATALI[[#This Row],[ID NOTA]]="","",INDEX([2]!NOTA[NO.NOTA],MATCH(ATALI[[#This Row],[ID NOTA]],[2]!NOTA[ID],0)))</f>
        <v/>
      </c>
      <c r="J156" s="4" t="str">
        <f ca="1">IF(ATALI[[#This Row],[//]]="","",INDEX([4]!db[NB PAJAK],ATALI[[#This Row],[stt]]-1))</f>
        <v/>
      </c>
      <c r="K156" s="6" t="str">
        <f ca="1">IF(ATALI[[#This Row],[//]]="","",IF(INDEX([2]!NOTA[C],ATALI[[#This Row],[//]]-2)="","",INDEX([2]!NOTA[C],ATALI[[#This Row],[//]]-2)))</f>
        <v/>
      </c>
      <c r="L156" s="6" t="str">
        <f ca="1">IF(ATALI[[#This Row],[//]]="","",INDEX([2]!NOTA[QTY],ATALI[[#This Row],[//]]-2))</f>
        <v/>
      </c>
      <c r="M156" s="6" t="str">
        <f ca="1">IF(ATALI[[#This Row],[//]]="","",INDEX([2]!NOTA[STN],ATALI[[#This Row],[//]]-2))</f>
        <v/>
      </c>
      <c r="N156" s="5" t="str">
        <f ca="1">IF(ATALI[[#This Row],[//]]="","",INDEX([2]!NOTA[HARGA SATUAN],ATALI[[#This Row],[//]]-2))</f>
        <v/>
      </c>
      <c r="O156" s="7" t="str">
        <f ca="1">IF(ATALI[[#This Row],[//]]="","",INDEX([2]!NOTA[DISC 1],ATALI[[#This Row],[//]]-2))</f>
        <v/>
      </c>
      <c r="P156" s="7" t="str">
        <f ca="1">IF(ATALI[[#This Row],[//]]="","",INDEX([2]!NOTA[DISC 2],ATALI[[#This Row],[//]]-2))</f>
        <v/>
      </c>
      <c r="Q156" s="5" t="str">
        <f ca="1">IF(ATALI[[#This Row],[//]]="","",INDEX([2]!NOTA[TOTAL],ATALI[[#This Row],[//]]-2))</f>
        <v/>
      </c>
      <c r="R1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6" s="4" t="str">
        <f ca="1">IF(ATALI[[#This Row],[//]]="","",INDEX([2]!NOTA[NAMA BARANG],ATALI[[#This Row],[//]]-2))</f>
        <v/>
      </c>
      <c r="V156" s="4" t="str">
        <f ca="1">LOWER(SUBSTITUTE(SUBSTITUTE(SUBSTITUTE(SUBSTITUTE(SUBSTITUTE(SUBSTITUTE(SUBSTITUTE(ATALI[[#This Row],[N.B.nota]]," ",""),"-",""),"(",""),")",""),".",""),",",""),"/",""))</f>
        <v/>
      </c>
      <c r="W156" s="4" t="str">
        <f ca="1">IF(ATALI[[#This Row],[concat]]="","",MATCH(ATALI[[#This Row],[concat]],[4]!db[NB NOTA_C],0)+1)</f>
        <v/>
      </c>
      <c r="X156" s="4" t="str">
        <f ca="1">IF(ATALI[[#This Row],[N.B.nota]]="","",ADDRESS(ROW(ATALI[QB]),COLUMN(ATALI[QB]))&amp;":"&amp;ADDRESS(ROW(),COLUMN(ATALI[QB])))</f>
        <v/>
      </c>
      <c r="Y156" s="13" t="str">
        <f ca="1">IF(ATALI[[#This Row],[//]]="","",HYPERLINK("[../DB.xlsx]DB!e"&amp;MATCH(ATALI[[#This Row],[concat]],[4]!db[NB NOTA_C],0)+1,"&gt;"))</f>
        <v/>
      </c>
    </row>
    <row r="157" spans="1:25" x14ac:dyDescent="0.25">
      <c r="A157" s="4" t="s">
        <v>111</v>
      </c>
      <c r="B157" s="6">
        <f ca="1">IF(ATALI[[#This Row],[N_ID]]="","",INDEX(Table1[ID],MATCH(ATALI[[#This Row],[N_ID]],Table1[N_ID],0)))</f>
        <v>122</v>
      </c>
      <c r="C157" s="6" t="str">
        <f ca="1">IF(ATALI[[#This Row],[ID NOTA]]="","",HYPERLINK("[NOTA_.xlsx]NOTA!e"&amp;INDEX([2]!PAJAK[//],MATCH(ATALI[[#This Row],[ID NOTA]],[2]!PAJAK[ID],0)),"&gt;") )</f>
        <v>&gt;</v>
      </c>
      <c r="D157" s="6">
        <f ca="1">IF(ATALI[[#This Row],[ID NOTA]]="","",INDEX(Table1[QB],MATCH(ATALI[[#This Row],[ID NOTA]],Table1[ID],0)))</f>
        <v>3</v>
      </c>
      <c r="E15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733</v>
      </c>
      <c r="F157" s="6">
        <v>20</v>
      </c>
      <c r="G157" s="3">
        <f ca="1">IF(ATALI[[#This Row],[ID NOTA]]="","",INDEX([2]!NOTA[TGL_H],MATCH(ATALI[[#This Row],[ID NOTA]],[2]!NOTA[ID],0)))</f>
        <v>44830</v>
      </c>
      <c r="H157" s="3">
        <f ca="1">IF(ATALI[[#This Row],[ID NOTA]]="","",INDEX([2]!NOTA[TGL.NOTA],MATCH(ATALI[[#This Row],[ID NOTA]],[2]!NOTA[ID],0)))</f>
        <v>44824</v>
      </c>
      <c r="I157" s="4" t="str">
        <f ca="1">IF(ATALI[[#This Row],[ID NOTA]]="","",INDEX([2]!NOTA[NO.NOTA],MATCH(ATALI[[#This Row],[ID NOTA]],[2]!NOTA[ID],0)))</f>
        <v>SA220914843</v>
      </c>
      <c r="J157" s="4" t="str">
        <f ca="1">IF(ATALI[[#This Row],[//]]="","",INDEX([4]!db[NB PAJAK],ATALI[[#This Row],[stt]]-1))</f>
        <v>GEL PEN JOYKO JK-100 KING JELLER</v>
      </c>
      <c r="K157" s="6">
        <f ca="1">IF(ATALI[[#This Row],[//]]="","",IF(INDEX([2]!NOTA[C],ATALI[[#This Row],[//]]-2)="","",INDEX([2]!NOTA[C],ATALI[[#This Row],[//]]-2)))</f>
        <v>1</v>
      </c>
      <c r="L157" s="6">
        <f ca="1">IF(ATALI[[#This Row],[//]]="","",INDEX([2]!NOTA[QTY],ATALI[[#This Row],[//]]-2))</f>
        <v>144</v>
      </c>
      <c r="M157" s="6" t="str">
        <f ca="1">IF(ATALI[[#This Row],[//]]="","",INDEX([2]!NOTA[STN],ATALI[[#This Row],[//]]-2))</f>
        <v>DZ</v>
      </c>
      <c r="N157" s="5">
        <f ca="1">IF(ATALI[[#This Row],[//]]="","",INDEX([2]!NOTA[HARGA SATUAN],ATALI[[#This Row],[//]]-2))</f>
        <v>20400</v>
      </c>
      <c r="O157" s="7">
        <f ca="1">IF(ATALI[[#This Row],[//]]="","",INDEX([2]!NOTA[DISC 1],ATALI[[#This Row],[//]]-2))</f>
        <v>0.125</v>
      </c>
      <c r="P157" s="7">
        <f ca="1">IF(ATALI[[#This Row],[//]]="","",INDEX([2]!NOTA[DISC 2],ATALI[[#This Row],[//]]-2))</f>
        <v>0.05</v>
      </c>
      <c r="Q157" s="5">
        <f ca="1">IF(ATALI[[#This Row],[//]]="","",INDEX([2]!NOTA[TOTAL],ATALI[[#This Row],[//]]-2))</f>
        <v>2441880</v>
      </c>
      <c r="R1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s="4" t="str">
        <f ca="1">IF(ATALI[[#This Row],[//]]="","",INDEX([2]!NOTA[NAMA BARANG],ATALI[[#This Row],[//]]-2))</f>
        <v>KING JELLER JK-100 (BLACK) JK</v>
      </c>
      <c r="V157" s="4" t="str">
        <f ca="1">LOWER(SUBSTITUTE(SUBSTITUTE(SUBSTITUTE(SUBSTITUTE(SUBSTITUTE(SUBSTITUTE(SUBSTITUTE(ATALI[[#This Row],[N.B.nota]]," ",""),"-",""),"(",""),")",""),".",""),",",""),"/",""))</f>
        <v>kingjellerjk100blackjk</v>
      </c>
      <c r="W157" s="4">
        <f ca="1">IF(ATALI[[#This Row],[concat]]="","",MATCH(ATALI[[#This Row],[concat]],[4]!db[NB NOTA_C],0)+1)</f>
        <v>1278</v>
      </c>
      <c r="X157" s="4" t="str">
        <f ca="1">IF(ATALI[[#This Row],[N.B.nota]]="","",ADDRESS(ROW(ATALI[QB]),COLUMN(ATALI[QB]))&amp;":"&amp;ADDRESS(ROW(),COLUMN(ATALI[QB])))</f>
        <v>$D$3:$D$157</v>
      </c>
      <c r="Y157" s="13" t="str">
        <f ca="1">IF(ATALI[[#This Row],[//]]="","",HYPERLINK("[../DB.xlsx]DB!e"&amp;MATCH(ATALI[[#This Row],[concat]],[4]!db[NB NOTA_C],0)+1,"&gt;"))</f>
        <v>&gt;</v>
      </c>
    </row>
    <row r="158" spans="1:25" x14ac:dyDescent="0.25">
      <c r="A158" s="4"/>
      <c r="B158" s="6" t="str">
        <f>IF(ATALI[[#This Row],[N_ID]]="","",INDEX(Table1[ID],MATCH(ATALI[[#This Row],[N_ID]],Table1[N_ID],0)))</f>
        <v/>
      </c>
      <c r="C158" s="6" t="str">
        <f>IF(ATALI[[#This Row],[ID NOTA]]="","",HYPERLINK("[NOTA_.xlsx]NOTA!e"&amp;INDEX([2]!PAJAK[//],MATCH(ATALI[[#This Row],[ID NOTA]],[2]!PAJAK[ID],0)),"&gt;") )</f>
        <v/>
      </c>
      <c r="D158" s="6" t="str">
        <f>IF(ATALI[[#This Row],[ID NOTA]]="","",INDEX(Table1[QB],MATCH(ATALI[[#This Row],[ID NOTA]],Table1[ID],0)))</f>
        <v/>
      </c>
      <c r="E15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734</v>
      </c>
      <c r="F158" s="6"/>
      <c r="G158" s="3" t="str">
        <f>IF(ATALI[[#This Row],[ID NOTA]]="","",INDEX([2]!NOTA[TGL_H],MATCH(ATALI[[#This Row],[ID NOTA]],[2]!NOTA[ID],0)))</f>
        <v/>
      </c>
      <c r="H158" s="3" t="str">
        <f>IF(ATALI[[#This Row],[ID NOTA]]="","",INDEX([2]!NOTA[TGL.NOTA],MATCH(ATALI[[#This Row],[ID NOTA]],[2]!NOTA[ID],0)))</f>
        <v/>
      </c>
      <c r="I158" s="4" t="str">
        <f>IF(ATALI[[#This Row],[ID NOTA]]="","",INDEX([2]!NOTA[NO.NOTA],MATCH(ATALI[[#This Row],[ID NOTA]],[2]!NOTA[ID],0)))</f>
        <v/>
      </c>
      <c r="J158" s="4" t="str">
        <f ca="1">IF(ATALI[[#This Row],[//]]="","",INDEX([4]!db[NB PAJAK],ATALI[[#This Row],[stt]]-1))</f>
        <v>CUTTER 18 MM JOYKO L-500 + ISI (BESAR)</v>
      </c>
      <c r="K158" s="6">
        <f ca="1">IF(ATALI[[#This Row],[//]]="","",IF(INDEX([2]!NOTA[C],ATALI[[#This Row],[//]]-2)="","",INDEX([2]!NOTA[C],ATALI[[#This Row],[//]]-2)))</f>
        <v>3</v>
      </c>
      <c r="L158" s="6">
        <f ca="1">IF(ATALI[[#This Row],[//]]="","",INDEX([2]!NOTA[QTY],ATALI[[#This Row],[//]]-2))</f>
        <v>72</v>
      </c>
      <c r="M158" s="6" t="str">
        <f ca="1">IF(ATALI[[#This Row],[//]]="","",INDEX([2]!NOTA[STN],ATALI[[#This Row],[//]]-2))</f>
        <v>DZ</v>
      </c>
      <c r="N158" s="5">
        <f ca="1">IF(ATALI[[#This Row],[//]]="","",INDEX([2]!NOTA[HARGA SATUAN],ATALI[[#This Row],[//]]-2))</f>
        <v>162000</v>
      </c>
      <c r="O158" s="7">
        <f ca="1">IF(ATALI[[#This Row],[//]]="","",INDEX([2]!NOTA[DISC 1],ATALI[[#This Row],[//]]-2))</f>
        <v>0.125</v>
      </c>
      <c r="P158" s="7">
        <f ca="1">IF(ATALI[[#This Row],[//]]="","",INDEX([2]!NOTA[DISC 2],ATALI[[#This Row],[//]]-2))</f>
        <v>0.05</v>
      </c>
      <c r="Q158" s="5">
        <f ca="1">IF(ATALI[[#This Row],[//]]="","",INDEX([2]!NOTA[TOTAL],ATALI[[#This Row],[//]]-2))</f>
        <v>9695700</v>
      </c>
      <c r="R1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8" s="4" t="str">
        <f ca="1">IF(ATALI[[#This Row],[//]]="","",INDEX([2]!NOTA[NAMA BARANG],ATALI[[#This Row],[//]]-2))</f>
        <v>CUTTER L-500 JK</v>
      </c>
      <c r="V158" s="4" t="str">
        <f ca="1">LOWER(SUBSTITUTE(SUBSTITUTE(SUBSTITUTE(SUBSTITUTE(SUBSTITUTE(SUBSTITUTE(SUBSTITUTE(ATALI[[#This Row],[N.B.nota]]," ",""),"-",""),"(",""),")",""),".",""),",",""),"/",""))</f>
        <v>cutterl500jk</v>
      </c>
      <c r="W158" s="4">
        <f ca="1">IF(ATALI[[#This Row],[concat]]="","",MATCH(ATALI[[#This Row],[concat]],[4]!db[NB NOTA_C],0)+1)</f>
        <v>557</v>
      </c>
      <c r="X158" s="4" t="str">
        <f ca="1">IF(ATALI[[#This Row],[N.B.nota]]="","",ADDRESS(ROW(ATALI[QB]),COLUMN(ATALI[QB]))&amp;":"&amp;ADDRESS(ROW(),COLUMN(ATALI[QB])))</f>
        <v>$D$3:$D$158</v>
      </c>
      <c r="Y158" s="13" t="str">
        <f ca="1">IF(ATALI[[#This Row],[//]]="","",HYPERLINK("[../DB.xlsx]DB!e"&amp;MATCH(ATALI[[#This Row],[concat]],[4]!db[NB NOTA_C],0)+1,"&gt;"))</f>
        <v>&gt;</v>
      </c>
    </row>
    <row r="159" spans="1:25" x14ac:dyDescent="0.25">
      <c r="A159" s="4"/>
      <c r="B159" s="6" t="str">
        <f>IF(ATALI[[#This Row],[N_ID]]="","",INDEX(Table1[ID],MATCH(ATALI[[#This Row],[N_ID]],Table1[N_ID],0)))</f>
        <v/>
      </c>
      <c r="C159" s="6" t="str">
        <f>IF(ATALI[[#This Row],[ID NOTA]]="","",HYPERLINK("[NOTA_.xlsx]NOTA!e"&amp;INDEX([2]!PAJAK[//],MATCH(ATALI[[#This Row],[ID NOTA]],[2]!PAJAK[ID],0)),"&gt;") )</f>
        <v/>
      </c>
      <c r="D159" s="6" t="str">
        <f>IF(ATALI[[#This Row],[ID NOTA]]="","",INDEX(Table1[QB],MATCH(ATALI[[#This Row],[ID NOTA]],Table1[ID],0)))</f>
        <v/>
      </c>
      <c r="E15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735</v>
      </c>
      <c r="F159" s="6"/>
      <c r="G159" s="3" t="str">
        <f>IF(ATALI[[#This Row],[ID NOTA]]="","",INDEX([2]!NOTA[TGL_H],MATCH(ATALI[[#This Row],[ID NOTA]],[2]!NOTA[ID],0)))</f>
        <v/>
      </c>
      <c r="H159" s="3" t="str">
        <f>IF(ATALI[[#This Row],[ID NOTA]]="","",INDEX([2]!NOTA[TGL.NOTA],MATCH(ATALI[[#This Row],[ID NOTA]],[2]!NOTA[ID],0)))</f>
        <v/>
      </c>
      <c r="I159" s="4" t="str">
        <f>IF(ATALI[[#This Row],[ID NOTA]]="","",INDEX([2]!NOTA[NO.NOTA],MATCH(ATALI[[#This Row],[ID NOTA]],[2]!NOTA[ID],0)))</f>
        <v/>
      </c>
      <c r="J159" s="4" t="str">
        <f ca="1">IF(ATALI[[#This Row],[//]]="","",INDEX([4]!db[NB PAJAK],ATALI[[#This Row],[stt]]-1))</f>
        <v>ISI CUTTER 18 MM JOYKO L-150 MH (BESAR)</v>
      </c>
      <c r="K159" s="6" t="str">
        <f ca="1">IF(ATALI[[#This Row],[//]]="","",IF(INDEX([2]!NOTA[C],ATALI[[#This Row],[//]]-2)="","",INDEX([2]!NOTA[C],ATALI[[#This Row],[//]]-2)))</f>
        <v/>
      </c>
      <c r="L159" s="6">
        <f ca="1">IF(ATALI[[#This Row],[//]]="","",INDEX([2]!NOTA[QTY],ATALI[[#This Row],[//]]-2))</f>
        <v>72</v>
      </c>
      <c r="M159" s="6" t="str">
        <f ca="1">IF(ATALI[[#This Row],[//]]="","",INDEX([2]!NOTA[STN],ATALI[[#This Row],[//]]-2))</f>
        <v>DZ</v>
      </c>
      <c r="N159" s="5">
        <f ca="1">IF(ATALI[[#This Row],[//]]="","",INDEX([2]!NOTA[HARGA SATUAN],ATALI[[#This Row],[//]]-2))</f>
        <v>0</v>
      </c>
      <c r="O159" s="7">
        <f ca="1">IF(ATALI[[#This Row],[//]]="","",INDEX([2]!NOTA[DISC 1],ATALI[[#This Row],[//]]-2))</f>
        <v>0</v>
      </c>
      <c r="P159" s="7">
        <f ca="1">IF(ATALI[[#This Row],[//]]="","",INDEX([2]!NOTA[DISC 2],ATALI[[#This Row],[//]]-2))</f>
        <v>0</v>
      </c>
      <c r="Q159" s="5" t="str">
        <f ca="1">IF(ATALI[[#This Row],[//]]="","",INDEX([2]!NOTA[TOTAL],ATALI[[#This Row],[//]]-2))</f>
        <v/>
      </c>
      <c r="R15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12137580</v>
      </c>
      <c r="T159" s="12" t="s">
        <v>118</v>
      </c>
      <c r="U159" s="4" t="str">
        <f ca="1">IF(ATALI[[#This Row],[//]]="","",INDEX([2]!NOTA[NAMA BARANG],ATALI[[#This Row],[//]]-2))</f>
        <v>CUTTER BLADE L-150M (MH) JK</v>
      </c>
      <c r="V159" s="4" t="str">
        <f ca="1">LOWER(SUBSTITUTE(SUBSTITUTE(SUBSTITUTE(SUBSTITUTE(SUBSTITUTE(SUBSTITUTE(SUBSTITUTE(ATALI[[#This Row],[N.B.nota]]," ",""),"-",""),"(",""),")",""),".",""),",",""),"/",""))</f>
        <v>cutterbladel150mmhjk</v>
      </c>
      <c r="W159" s="4">
        <f ca="1">IF(ATALI[[#This Row],[concat]]="","",MATCH(ATALI[[#This Row],[concat]],[4]!db[NB NOTA_C],0)+1)</f>
        <v>551</v>
      </c>
      <c r="X159" s="4" t="str">
        <f ca="1">IF(ATALI[[#This Row],[N.B.nota]]="","",ADDRESS(ROW(ATALI[QB]),COLUMN(ATALI[QB]))&amp;":"&amp;ADDRESS(ROW(),COLUMN(ATALI[QB])))</f>
        <v>$D$3:$D$159</v>
      </c>
      <c r="Y159" s="13" t="str">
        <f ca="1">IF(ATALI[[#This Row],[//]]="","",HYPERLINK("[../DB.xlsx]DB!e"&amp;MATCH(ATALI[[#This Row],[concat]],[4]!db[NB NOTA_C],0)+1,"&gt;"))</f>
        <v>&gt;</v>
      </c>
    </row>
    <row r="160" spans="1:25" x14ac:dyDescent="0.25">
      <c r="A160" s="4"/>
      <c r="B160" s="6" t="str">
        <f>IF(ATALI[[#This Row],[N_ID]]="","",INDEX(Table1[ID],MATCH(ATALI[[#This Row],[N_ID]],Table1[N_ID],0)))</f>
        <v/>
      </c>
      <c r="C160" s="6" t="str">
        <f>IF(ATALI[[#This Row],[ID NOTA]]="","",HYPERLINK("[NOTA_.xlsx]NOTA!e"&amp;INDEX([2]!PAJAK[//],MATCH(ATALI[[#This Row],[ID NOTA]],[2]!PAJAK[ID],0)),"&gt;") )</f>
        <v/>
      </c>
      <c r="D160" s="6" t="str">
        <f>IF(ATALI[[#This Row],[ID NOTA]]="","",INDEX(Table1[QB],MATCH(ATALI[[#This Row],[ID NOTA]],Table1[ID],0)))</f>
        <v/>
      </c>
      <c r="E1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0" s="6"/>
      <c r="G160" s="3" t="str">
        <f>IF(ATALI[[#This Row],[ID NOTA]]="","",INDEX([2]!NOTA[TGL_H],MATCH(ATALI[[#This Row],[ID NOTA]],[2]!NOTA[ID],0)))</f>
        <v/>
      </c>
      <c r="H160" s="3" t="str">
        <f>IF(ATALI[[#This Row],[ID NOTA]]="","",INDEX([2]!NOTA[TGL.NOTA],MATCH(ATALI[[#This Row],[ID NOTA]],[2]!NOTA[ID],0)))</f>
        <v/>
      </c>
      <c r="I160" s="4" t="str">
        <f>IF(ATALI[[#This Row],[ID NOTA]]="","",INDEX([2]!NOTA[NO.NOTA],MATCH(ATALI[[#This Row],[ID NOTA]],[2]!NOTA[ID],0)))</f>
        <v/>
      </c>
      <c r="J160" s="4" t="str">
        <f ca="1">IF(ATALI[[#This Row],[//]]="","",INDEX([4]!db[NB PAJAK],ATALI[[#This Row],[stt]]-1))</f>
        <v/>
      </c>
      <c r="K160" s="6" t="str">
        <f ca="1">IF(ATALI[[#This Row],[//]]="","",IF(INDEX([2]!NOTA[C],ATALI[[#This Row],[//]]-2)="","",INDEX([2]!NOTA[C],ATALI[[#This Row],[//]]-2)))</f>
        <v/>
      </c>
      <c r="L160" s="6" t="str">
        <f ca="1">IF(ATALI[[#This Row],[//]]="","",INDEX([2]!NOTA[QTY],ATALI[[#This Row],[//]]-2))</f>
        <v/>
      </c>
      <c r="M160" s="6" t="str">
        <f ca="1">IF(ATALI[[#This Row],[//]]="","",INDEX([2]!NOTA[STN],ATALI[[#This Row],[//]]-2))</f>
        <v/>
      </c>
      <c r="N160" s="5" t="str">
        <f ca="1">IF(ATALI[[#This Row],[//]]="","",INDEX([2]!NOTA[HARGA SATUAN],ATALI[[#This Row],[//]]-2))</f>
        <v/>
      </c>
      <c r="O160" s="7" t="str">
        <f ca="1">IF(ATALI[[#This Row],[//]]="","",INDEX([2]!NOTA[DISC 1],ATALI[[#This Row],[//]]-2))</f>
        <v/>
      </c>
      <c r="P160" s="7" t="str">
        <f ca="1">IF(ATALI[[#This Row],[//]]="","",INDEX([2]!NOTA[DISC 2],ATALI[[#This Row],[//]]-2))</f>
        <v/>
      </c>
      <c r="Q160" s="5" t="str">
        <f ca="1">IF(ATALI[[#This Row],[//]]="","",INDEX([2]!NOTA[TOTAL],ATALI[[#This Row],[//]]-2))</f>
        <v/>
      </c>
      <c r="R1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s="4" t="str">
        <f ca="1">IF(ATALI[[#This Row],[//]]="","",INDEX([2]!NOTA[NAMA BARANG],ATALI[[#This Row],[//]]-2))</f>
        <v/>
      </c>
      <c r="V160" s="4" t="str">
        <f ca="1">LOWER(SUBSTITUTE(SUBSTITUTE(SUBSTITUTE(SUBSTITUTE(SUBSTITUTE(SUBSTITUTE(SUBSTITUTE(ATALI[[#This Row],[N.B.nota]]," ",""),"-",""),"(",""),")",""),".",""),",",""),"/",""))</f>
        <v/>
      </c>
      <c r="W160" s="4" t="str">
        <f ca="1">IF(ATALI[[#This Row],[concat]]="","",MATCH(ATALI[[#This Row],[concat]],[4]!db[NB NOTA_C],0)+1)</f>
        <v/>
      </c>
      <c r="X160" s="4" t="str">
        <f ca="1">IF(ATALI[[#This Row],[N.B.nota]]="","",ADDRESS(ROW(ATALI[QB]),COLUMN(ATALI[QB]))&amp;":"&amp;ADDRESS(ROW(),COLUMN(ATALI[QB])))</f>
        <v/>
      </c>
      <c r="Y160" s="13" t="str">
        <f ca="1">IF(ATALI[[#This Row],[//]]="","",HYPERLINK("[../DB.xlsx]DB!e"&amp;MATCH(ATALI[[#This Row],[concat]],[4]!db[NB NOTA_C],0)+1,"&gt;"))</f>
        <v/>
      </c>
    </row>
    <row r="161" spans="1:25" x14ac:dyDescent="0.25">
      <c r="A161" s="4" t="s">
        <v>112</v>
      </c>
      <c r="B161" s="6">
        <f ca="1">IF(ATALI[[#This Row],[N_ID]]="","",INDEX(Table1[ID],MATCH(ATALI[[#This Row],[N_ID]],Table1[N_ID],0)))</f>
        <v>123</v>
      </c>
      <c r="C161" s="6" t="str">
        <f ca="1">IF(ATALI[[#This Row],[ID NOTA]]="","",HYPERLINK("[NOTA_.xlsx]NOTA!e"&amp;INDEX([2]!PAJAK[//],MATCH(ATALI[[#This Row],[ID NOTA]],[2]!PAJAK[ID],0)),"&gt;") )</f>
        <v>&gt;</v>
      </c>
      <c r="D161" s="6">
        <f ca="1">IF(ATALI[[#This Row],[ID NOTA]]="","",INDEX(Table1[QB],MATCH(ATALI[[#This Row],[ID NOTA]],Table1[ID],0)))</f>
        <v>3</v>
      </c>
      <c r="E16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737</v>
      </c>
      <c r="F161" s="6">
        <v>21</v>
      </c>
      <c r="G161" s="3">
        <f ca="1">IF(ATALI[[#This Row],[ID NOTA]]="","",INDEX([2]!NOTA[TGL_H],MATCH(ATALI[[#This Row],[ID NOTA]],[2]!NOTA[ID],0)))</f>
        <v>44830</v>
      </c>
      <c r="H161" s="3">
        <f ca="1">IF(ATALI[[#This Row],[ID NOTA]]="","",INDEX([2]!NOTA[TGL.NOTA],MATCH(ATALI[[#This Row],[ID NOTA]],[2]!NOTA[ID],0)))</f>
        <v>44824</v>
      </c>
      <c r="I161" s="4" t="str">
        <f ca="1">IF(ATALI[[#This Row],[ID NOTA]]="","",INDEX([2]!NOTA[NO.NOTA],MATCH(ATALI[[#This Row],[ID NOTA]],[2]!NOTA[ID],0)))</f>
        <v>SA220914879</v>
      </c>
      <c r="J161" s="4" t="str">
        <f ca="1">IF(ATALI[[#This Row],[//]]="","",INDEX([4]!db[NB PAJAK],ATALI[[#This Row],[stt]]-1))</f>
        <v>CRAYON / OIL PASTEL JOYKO OP-12S PP CASE SEA WORLD</v>
      </c>
      <c r="K161" s="6">
        <f ca="1">IF(ATALI[[#This Row],[//]]="","",IF(INDEX([2]!NOTA[C],ATALI[[#This Row],[//]]-2)="","",INDEX([2]!NOTA[C],ATALI[[#This Row],[//]]-2)))</f>
        <v>10</v>
      </c>
      <c r="L161" s="6">
        <f ca="1">IF(ATALI[[#This Row],[//]]="","",INDEX([2]!NOTA[QTY],ATALI[[#This Row],[//]]-2))</f>
        <v>1440</v>
      </c>
      <c r="M161" s="6" t="str">
        <f ca="1">IF(ATALI[[#This Row],[//]]="","",INDEX([2]!NOTA[STN],ATALI[[#This Row],[//]]-2))</f>
        <v>SET</v>
      </c>
      <c r="N161" s="5">
        <f ca="1">IF(ATALI[[#This Row],[//]]="","",INDEX([2]!NOTA[HARGA SATUAN],ATALI[[#This Row],[//]]-2))</f>
        <v>11900</v>
      </c>
      <c r="O161" s="7">
        <f ca="1">IF(ATALI[[#This Row],[//]]="","",INDEX([2]!NOTA[DISC 1],ATALI[[#This Row],[//]]-2))</f>
        <v>0.125</v>
      </c>
      <c r="P161" s="7">
        <f ca="1">IF(ATALI[[#This Row],[//]]="","",INDEX([2]!NOTA[DISC 2],ATALI[[#This Row],[//]]-2))</f>
        <v>0.05</v>
      </c>
      <c r="Q161" s="5">
        <f ca="1">IF(ATALI[[#This Row],[//]]="","",INDEX([2]!NOTA[TOTAL],ATALI[[#This Row],[//]]-2))</f>
        <v>14244300</v>
      </c>
      <c r="R1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s="4" t="str">
        <f ca="1">IF(ATALI[[#This Row],[//]]="","",INDEX([2]!NOTA[NAMA BARANG],ATALI[[#This Row],[//]]-2))</f>
        <v>OIL PASTEL OP-12S PP CASE SEA WORLD JK</v>
      </c>
      <c r="V161" s="4" t="str">
        <f ca="1">LOWER(SUBSTITUTE(SUBSTITUTE(SUBSTITUTE(SUBSTITUTE(SUBSTITUTE(SUBSTITUTE(SUBSTITUTE(ATALI[[#This Row],[N.B.nota]]," ",""),"-",""),"(",""),")",""),".",""),",",""),"/",""))</f>
        <v>oilpastelop12sppcaseseaworldjk</v>
      </c>
      <c r="W161" s="4">
        <f ca="1">IF(ATALI[[#This Row],[concat]]="","",MATCH(ATALI[[#This Row],[concat]],[4]!db[NB NOTA_C],0)+1)</f>
        <v>1500</v>
      </c>
      <c r="X161" s="4" t="str">
        <f ca="1">IF(ATALI[[#This Row],[N.B.nota]]="","",ADDRESS(ROW(ATALI[QB]),COLUMN(ATALI[QB]))&amp;":"&amp;ADDRESS(ROW(),COLUMN(ATALI[QB])))</f>
        <v>$D$3:$D$161</v>
      </c>
      <c r="Y161" s="13" t="str">
        <f ca="1">IF(ATALI[[#This Row],[//]]="","",HYPERLINK("[../DB.xlsx]DB!e"&amp;MATCH(ATALI[[#This Row],[concat]],[4]!db[NB NOTA_C],0)+1,"&gt;"))</f>
        <v>&gt;</v>
      </c>
    </row>
    <row r="162" spans="1:25" x14ac:dyDescent="0.25">
      <c r="A162" s="4"/>
      <c r="B162" s="6" t="str">
        <f>IF(ATALI[[#This Row],[N_ID]]="","",INDEX(Table1[ID],MATCH(ATALI[[#This Row],[N_ID]],Table1[N_ID],0)))</f>
        <v/>
      </c>
      <c r="C162" s="6" t="str">
        <f>IF(ATALI[[#This Row],[ID NOTA]]="","",HYPERLINK("[NOTA_.xlsx]NOTA!e"&amp;INDEX([2]!PAJAK[//],MATCH(ATALI[[#This Row],[ID NOTA]],[2]!PAJAK[ID],0)),"&gt;") )</f>
        <v/>
      </c>
      <c r="D162" s="6" t="str">
        <f>IF(ATALI[[#This Row],[ID NOTA]]="","",INDEX(Table1[QB],MATCH(ATALI[[#This Row],[ID NOTA]],Table1[ID],0)))</f>
        <v/>
      </c>
      <c r="E16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738</v>
      </c>
      <c r="F162" s="6"/>
      <c r="G162" s="3" t="str">
        <f>IF(ATALI[[#This Row],[ID NOTA]]="","",INDEX([2]!NOTA[TGL_H],MATCH(ATALI[[#This Row],[ID NOTA]],[2]!NOTA[ID],0)))</f>
        <v/>
      </c>
      <c r="H162" s="3" t="str">
        <f>IF(ATALI[[#This Row],[ID NOTA]]="","",INDEX([2]!NOTA[TGL.NOTA],MATCH(ATALI[[#This Row],[ID NOTA]],[2]!NOTA[ID],0)))</f>
        <v/>
      </c>
      <c r="I162" s="4" t="str">
        <f>IF(ATALI[[#This Row],[ID NOTA]]="","",INDEX([2]!NOTA[NO.NOTA],MATCH(ATALI[[#This Row],[ID NOTA]],[2]!NOTA[ID],0)))</f>
        <v/>
      </c>
      <c r="J162" s="4" t="str">
        <f ca="1">IF(ATALI[[#This Row],[//]]="","",INDEX([4]!db[NB PAJAK],ATALI[[#This Row],[stt]]-1))</f>
        <v>CRAYON / OIL PASTEL JOYKO OP-18S PP CASE SEA WORLD</v>
      </c>
      <c r="K162" s="6">
        <f ca="1">IF(ATALI[[#This Row],[//]]="","",IF(INDEX([2]!NOTA[C],ATALI[[#This Row],[//]]-2)="","",INDEX([2]!NOTA[C],ATALI[[#This Row],[//]]-2)))</f>
        <v>5</v>
      </c>
      <c r="L162" s="6">
        <f ca="1">IF(ATALI[[#This Row],[//]]="","",INDEX([2]!NOTA[QTY],ATALI[[#This Row],[//]]-2))</f>
        <v>360</v>
      </c>
      <c r="M162" s="6" t="str">
        <f ca="1">IF(ATALI[[#This Row],[//]]="","",INDEX([2]!NOTA[STN],ATALI[[#This Row],[//]]-2))</f>
        <v>SET</v>
      </c>
      <c r="N162" s="5">
        <f ca="1">IF(ATALI[[#This Row],[//]]="","",INDEX([2]!NOTA[HARGA SATUAN],ATALI[[#This Row],[//]]-2))</f>
        <v>23000</v>
      </c>
      <c r="O162" s="7">
        <f ca="1">IF(ATALI[[#This Row],[//]]="","",INDEX([2]!NOTA[DISC 1],ATALI[[#This Row],[//]]-2))</f>
        <v>0.125</v>
      </c>
      <c r="P162" s="7">
        <f ca="1">IF(ATALI[[#This Row],[//]]="","",INDEX([2]!NOTA[DISC 2],ATALI[[#This Row],[//]]-2))</f>
        <v>0.05</v>
      </c>
      <c r="Q162" s="5">
        <f ca="1">IF(ATALI[[#This Row],[//]]="","",INDEX([2]!NOTA[TOTAL],ATALI[[#This Row],[//]]-2))</f>
        <v>6882750</v>
      </c>
      <c r="R1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s="4" t="str">
        <f ca="1">IF(ATALI[[#This Row],[//]]="","",INDEX([2]!NOTA[NAMA BARANG],ATALI[[#This Row],[//]]-2))</f>
        <v>OIL PASTEL OP-18S PP CASE SEA WORLD JK</v>
      </c>
      <c r="V162" s="4" t="str">
        <f ca="1">LOWER(SUBSTITUTE(SUBSTITUTE(SUBSTITUTE(SUBSTITUTE(SUBSTITUTE(SUBSTITUTE(SUBSTITUTE(ATALI[[#This Row],[N.B.nota]]," ",""),"-",""),"(",""),")",""),".",""),",",""),"/",""))</f>
        <v>oilpastelop18sppcaseseaworldjk</v>
      </c>
      <c r="W162" s="4">
        <f ca="1">IF(ATALI[[#This Row],[concat]]="","",MATCH(ATALI[[#This Row],[concat]],[4]!db[NB NOTA_C],0)+1)</f>
        <v>1501</v>
      </c>
      <c r="X162" s="4" t="str">
        <f ca="1">IF(ATALI[[#This Row],[N.B.nota]]="","",ADDRESS(ROW(ATALI[QB]),COLUMN(ATALI[QB]))&amp;":"&amp;ADDRESS(ROW(),COLUMN(ATALI[QB])))</f>
        <v>$D$3:$D$162</v>
      </c>
      <c r="Y162" s="13" t="str">
        <f ca="1">IF(ATALI[[#This Row],[//]]="","",HYPERLINK("[../DB.xlsx]DB!e"&amp;MATCH(ATALI[[#This Row],[concat]],[4]!db[NB NOTA_C],0)+1,"&gt;"))</f>
        <v>&gt;</v>
      </c>
    </row>
    <row r="163" spans="1:25" x14ac:dyDescent="0.25">
      <c r="A163" s="4"/>
      <c r="B163" s="6" t="str">
        <f>IF(ATALI[[#This Row],[N_ID]]="","",INDEX(Table1[ID],MATCH(ATALI[[#This Row],[N_ID]],Table1[N_ID],0)))</f>
        <v/>
      </c>
      <c r="C163" s="6" t="str">
        <f>IF(ATALI[[#This Row],[ID NOTA]]="","",HYPERLINK("[NOTA_.xlsx]NOTA!e"&amp;INDEX([2]!PAJAK[//],MATCH(ATALI[[#This Row],[ID NOTA]],[2]!PAJAK[ID],0)),"&gt;") )</f>
        <v/>
      </c>
      <c r="D163" s="6" t="str">
        <f>IF(ATALI[[#This Row],[ID NOTA]]="","",INDEX(Table1[QB],MATCH(ATALI[[#This Row],[ID NOTA]],Table1[ID],0)))</f>
        <v/>
      </c>
      <c r="E16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739</v>
      </c>
      <c r="F163" s="6"/>
      <c r="G163" s="3" t="str">
        <f>IF(ATALI[[#This Row],[ID NOTA]]="","",INDEX([2]!NOTA[TGL_H],MATCH(ATALI[[#This Row],[ID NOTA]],[2]!NOTA[ID],0)))</f>
        <v/>
      </c>
      <c r="H163" s="3" t="str">
        <f>IF(ATALI[[#This Row],[ID NOTA]]="","",INDEX([2]!NOTA[TGL.NOTA],MATCH(ATALI[[#This Row],[ID NOTA]],[2]!NOTA[ID],0)))</f>
        <v/>
      </c>
      <c r="I163" s="4" t="str">
        <f>IF(ATALI[[#This Row],[ID NOTA]]="","",INDEX([2]!NOTA[NO.NOTA],MATCH(ATALI[[#This Row],[ID NOTA]],[2]!NOTA[ID],0)))</f>
        <v/>
      </c>
      <c r="J163" s="4" t="str">
        <f ca="1">IF(ATALI[[#This Row],[//]]="","",INDEX([4]!db[NB PAJAK],ATALI[[#This Row],[stt]]-1))</f>
        <v>CRAYON / OIL PASTEL JOYKO OP-24S PP CASE SEA WORLD</v>
      </c>
      <c r="K163" s="6">
        <f ca="1">IF(ATALI[[#This Row],[//]]="","",IF(INDEX([2]!NOTA[C],ATALI[[#This Row],[//]]-2)="","",INDEX([2]!NOTA[C],ATALI[[#This Row],[//]]-2)))</f>
        <v>5</v>
      </c>
      <c r="L163" s="6">
        <f ca="1">IF(ATALI[[#This Row],[//]]="","",INDEX([2]!NOTA[QTY],ATALI[[#This Row],[//]]-2))</f>
        <v>240</v>
      </c>
      <c r="M163" s="6" t="str">
        <f ca="1">IF(ATALI[[#This Row],[//]]="","",INDEX([2]!NOTA[STN],ATALI[[#This Row],[//]]-2))</f>
        <v>SET</v>
      </c>
      <c r="N163" s="5">
        <f ca="1">IF(ATALI[[#This Row],[//]]="","",INDEX([2]!NOTA[HARGA SATUAN],ATALI[[#This Row],[//]]-2))</f>
        <v>28700</v>
      </c>
      <c r="O163" s="7">
        <f ca="1">IF(ATALI[[#This Row],[//]]="","",INDEX([2]!NOTA[DISC 1],ATALI[[#This Row],[//]]-2))</f>
        <v>0.125</v>
      </c>
      <c r="P163" s="7">
        <f ca="1">IF(ATALI[[#This Row],[//]]="","",INDEX([2]!NOTA[DISC 2],ATALI[[#This Row],[//]]-2))</f>
        <v>0.05</v>
      </c>
      <c r="Q163" s="5">
        <f ca="1">IF(ATALI[[#This Row],[//]]="","",INDEX([2]!NOTA[TOTAL],ATALI[[#This Row],[//]]-2))</f>
        <v>5725650</v>
      </c>
      <c r="R16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26852700</v>
      </c>
      <c r="T1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s="4" t="str">
        <f ca="1">IF(ATALI[[#This Row],[//]]="","",INDEX([2]!NOTA[NAMA BARANG],ATALI[[#This Row],[//]]-2))</f>
        <v>OIL PASTEL OP-24S PP CASE SEA WORLD JK</v>
      </c>
      <c r="V163" s="4" t="str">
        <f ca="1">LOWER(SUBSTITUTE(SUBSTITUTE(SUBSTITUTE(SUBSTITUTE(SUBSTITUTE(SUBSTITUTE(SUBSTITUTE(ATALI[[#This Row],[N.B.nota]]," ",""),"-",""),"(",""),")",""),".",""),",",""),"/",""))</f>
        <v>oilpastelop24sppcaseseaworldjk</v>
      </c>
      <c r="W163" s="4">
        <f ca="1">IF(ATALI[[#This Row],[concat]]="","",MATCH(ATALI[[#This Row],[concat]],[4]!db[NB NOTA_C],0)+1)</f>
        <v>1502</v>
      </c>
      <c r="X163" s="4" t="str">
        <f ca="1">IF(ATALI[[#This Row],[N.B.nota]]="","",ADDRESS(ROW(ATALI[QB]),COLUMN(ATALI[QB]))&amp;":"&amp;ADDRESS(ROW(),COLUMN(ATALI[QB])))</f>
        <v>$D$3:$D$163</v>
      </c>
      <c r="Y163" s="13" t="str">
        <f ca="1">IF(ATALI[[#This Row],[//]]="","",HYPERLINK("[../DB.xlsx]DB!e"&amp;MATCH(ATALI[[#This Row],[concat]],[4]!db[NB NOTA_C],0)+1,"&gt;"))</f>
        <v>&gt;</v>
      </c>
    </row>
    <row r="164" spans="1:25" x14ac:dyDescent="0.25">
      <c r="A164" s="4"/>
      <c r="B164" s="6" t="str">
        <f>IF(ATALI[[#This Row],[N_ID]]="","",INDEX(Table1[ID],MATCH(ATALI[[#This Row],[N_ID]],Table1[N_ID],0)))</f>
        <v/>
      </c>
      <c r="C164" s="6" t="str">
        <f>IF(ATALI[[#This Row],[ID NOTA]]="","",HYPERLINK("[NOTA_.xlsx]NOTA!e"&amp;INDEX([2]!PAJAK[//],MATCH(ATALI[[#This Row],[ID NOTA]],[2]!PAJAK[ID],0)),"&gt;") )</f>
        <v/>
      </c>
      <c r="D164" s="6" t="str">
        <f>IF(ATALI[[#This Row],[ID NOTA]]="","",INDEX(Table1[QB],MATCH(ATALI[[#This Row],[ID NOTA]],Table1[ID],0)))</f>
        <v/>
      </c>
      <c r="E1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4" s="6"/>
      <c r="G164" s="3" t="str">
        <f>IF(ATALI[[#This Row],[ID NOTA]]="","",INDEX([2]!NOTA[TGL_H],MATCH(ATALI[[#This Row],[ID NOTA]],[2]!NOTA[ID],0)))</f>
        <v/>
      </c>
      <c r="H164" s="3" t="str">
        <f>IF(ATALI[[#This Row],[ID NOTA]]="","",INDEX([2]!NOTA[TGL.NOTA],MATCH(ATALI[[#This Row],[ID NOTA]],[2]!NOTA[ID],0)))</f>
        <v/>
      </c>
      <c r="I164" s="4" t="str">
        <f>IF(ATALI[[#This Row],[ID NOTA]]="","",INDEX([2]!NOTA[NO.NOTA],MATCH(ATALI[[#This Row],[ID NOTA]],[2]!NOTA[ID],0)))</f>
        <v/>
      </c>
      <c r="J164" s="4" t="str">
        <f ca="1">IF(ATALI[[#This Row],[//]]="","",INDEX([4]!db[NB PAJAK],ATALI[[#This Row],[stt]]-1))</f>
        <v/>
      </c>
      <c r="K164" s="6" t="str">
        <f ca="1">IF(ATALI[[#This Row],[//]]="","",IF(INDEX([2]!NOTA[C],ATALI[[#This Row],[//]]-2)="","",INDEX([2]!NOTA[C],ATALI[[#This Row],[//]]-2)))</f>
        <v/>
      </c>
      <c r="L164" s="6" t="str">
        <f ca="1">IF(ATALI[[#This Row],[//]]="","",INDEX([2]!NOTA[QTY],ATALI[[#This Row],[//]]-2))</f>
        <v/>
      </c>
      <c r="M164" s="6" t="str">
        <f ca="1">IF(ATALI[[#This Row],[//]]="","",INDEX([2]!NOTA[STN],ATALI[[#This Row],[//]]-2))</f>
        <v/>
      </c>
      <c r="N164" s="5" t="str">
        <f ca="1">IF(ATALI[[#This Row],[//]]="","",INDEX([2]!NOTA[HARGA SATUAN],ATALI[[#This Row],[//]]-2))</f>
        <v/>
      </c>
      <c r="O164" s="7" t="str">
        <f ca="1">IF(ATALI[[#This Row],[//]]="","",INDEX([2]!NOTA[DISC 1],ATALI[[#This Row],[//]]-2))</f>
        <v/>
      </c>
      <c r="P164" s="7" t="str">
        <f ca="1">IF(ATALI[[#This Row],[//]]="","",INDEX([2]!NOTA[DISC 2],ATALI[[#This Row],[//]]-2))</f>
        <v/>
      </c>
      <c r="Q164" s="5" t="str">
        <f ca="1">IF(ATALI[[#This Row],[//]]="","",INDEX([2]!NOTA[TOTAL],ATALI[[#This Row],[//]]-2))</f>
        <v/>
      </c>
      <c r="R1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s="4" t="str">
        <f ca="1">IF(ATALI[[#This Row],[//]]="","",INDEX([2]!NOTA[NAMA BARANG],ATALI[[#This Row],[//]]-2))</f>
        <v/>
      </c>
      <c r="V164" s="4" t="str">
        <f ca="1">LOWER(SUBSTITUTE(SUBSTITUTE(SUBSTITUTE(SUBSTITUTE(SUBSTITUTE(SUBSTITUTE(SUBSTITUTE(ATALI[[#This Row],[N.B.nota]]," ",""),"-",""),"(",""),")",""),".",""),",",""),"/",""))</f>
        <v/>
      </c>
      <c r="W164" s="4" t="str">
        <f ca="1">IF(ATALI[[#This Row],[concat]]="","",MATCH(ATALI[[#This Row],[concat]],[4]!db[NB NOTA_C],0)+1)</f>
        <v/>
      </c>
      <c r="X164" s="4" t="str">
        <f ca="1">IF(ATALI[[#This Row],[N.B.nota]]="","",ADDRESS(ROW(ATALI[QB]),COLUMN(ATALI[QB]))&amp;":"&amp;ADDRESS(ROW(),COLUMN(ATALI[QB])))</f>
        <v/>
      </c>
      <c r="Y164" s="13" t="str">
        <f ca="1">IF(ATALI[[#This Row],[//]]="","",HYPERLINK("[../DB.xlsx]DB!e"&amp;MATCH(ATALI[[#This Row],[concat]],[4]!db[NB NOTA_C],0)+1,"&gt;"))</f>
        <v/>
      </c>
    </row>
    <row r="165" spans="1:25" x14ac:dyDescent="0.25">
      <c r="A165" s="4" t="s">
        <v>113</v>
      </c>
      <c r="B165" s="6">
        <f ca="1">IF(ATALI[[#This Row],[N_ID]]="","",INDEX(Table1[ID],MATCH(ATALI[[#This Row],[N_ID]],Table1[N_ID],0)))</f>
        <v>124</v>
      </c>
      <c r="C165" s="6" t="str">
        <f ca="1">IF(ATALI[[#This Row],[ID NOTA]]="","",HYPERLINK("[NOTA_.xlsx]NOTA!e"&amp;INDEX([2]!PAJAK[//],MATCH(ATALI[[#This Row],[ID NOTA]],[2]!PAJAK[ID],0)),"&gt;") )</f>
        <v>&gt;</v>
      </c>
      <c r="D165" s="6">
        <f ca="1">IF(ATALI[[#This Row],[ID NOTA]]="","",INDEX(Table1[QB],MATCH(ATALI[[#This Row],[ID NOTA]],Table1[ID],0)))</f>
        <v>2</v>
      </c>
      <c r="E16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741</v>
      </c>
      <c r="F165" s="6">
        <v>22</v>
      </c>
      <c r="G165" s="3">
        <f ca="1">IF(ATALI[[#This Row],[ID NOTA]]="","",INDEX([2]!NOTA[TGL_H],MATCH(ATALI[[#This Row],[ID NOTA]],[2]!NOTA[ID],0)))</f>
        <v>44830</v>
      </c>
      <c r="H165" s="3">
        <f ca="1">IF(ATALI[[#This Row],[ID NOTA]]="","",INDEX([2]!NOTA[TGL.NOTA],MATCH(ATALI[[#This Row],[ID NOTA]],[2]!NOTA[ID],0)))</f>
        <v>44825</v>
      </c>
      <c r="I165" s="4" t="str">
        <f ca="1">IF(ATALI[[#This Row],[ID NOTA]]="","",INDEX([2]!NOTA[NO.NOTA],MATCH(ATALI[[#This Row],[ID NOTA]],[2]!NOTA[ID],0)))</f>
        <v>SA220914915</v>
      </c>
      <c r="J165" s="4" t="str">
        <f ca="1">IF(ATALI[[#This Row],[//]]="","",INDEX([4]!db[NB PAJAK],ATALI[[#This Row],[stt]]-1))</f>
        <v>CRAYON / OIL PASTEL JOYKO OP-24S PP CASE SEA WORLD</v>
      </c>
      <c r="K165" s="6">
        <f ca="1">IF(ATALI[[#This Row],[//]]="","",IF(INDEX([2]!NOTA[C],ATALI[[#This Row],[//]]-2)="","",INDEX([2]!NOTA[C],ATALI[[#This Row],[//]]-2)))</f>
        <v>1</v>
      </c>
      <c r="L165" s="6">
        <f ca="1">IF(ATALI[[#This Row],[//]]="","",INDEX([2]!NOTA[QTY],ATALI[[#This Row],[//]]-2))</f>
        <v>48</v>
      </c>
      <c r="M165" s="6" t="str">
        <f ca="1">IF(ATALI[[#This Row],[//]]="","",INDEX([2]!NOTA[STN],ATALI[[#This Row],[//]]-2))</f>
        <v>SET</v>
      </c>
      <c r="N165" s="5">
        <f ca="1">IF(ATALI[[#This Row],[//]]="","",INDEX([2]!NOTA[HARGA SATUAN],ATALI[[#This Row],[//]]-2))</f>
        <v>28700</v>
      </c>
      <c r="O165" s="7">
        <f ca="1">IF(ATALI[[#This Row],[//]]="","",INDEX([2]!NOTA[DISC 1],ATALI[[#This Row],[//]]-2))</f>
        <v>0.125</v>
      </c>
      <c r="P165" s="7">
        <f ca="1">IF(ATALI[[#This Row],[//]]="","",INDEX([2]!NOTA[DISC 2],ATALI[[#This Row],[//]]-2))</f>
        <v>0.05</v>
      </c>
      <c r="Q165" s="5">
        <f ca="1">IF(ATALI[[#This Row],[//]]="","",INDEX([2]!NOTA[TOTAL],ATALI[[#This Row],[//]]-2))</f>
        <v>1145130</v>
      </c>
      <c r="R1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s="4" t="str">
        <f ca="1">IF(ATALI[[#This Row],[//]]="","",INDEX([2]!NOTA[NAMA BARANG],ATALI[[#This Row],[//]]-2))</f>
        <v>OIL PASTEL OP-24S PP CASE SEA WORLD JK</v>
      </c>
      <c r="V165" s="4" t="str">
        <f ca="1">LOWER(SUBSTITUTE(SUBSTITUTE(SUBSTITUTE(SUBSTITUTE(SUBSTITUTE(SUBSTITUTE(SUBSTITUTE(ATALI[[#This Row],[N.B.nota]]," ",""),"-",""),"(",""),")",""),".",""),",",""),"/",""))</f>
        <v>oilpastelop24sppcaseseaworldjk</v>
      </c>
      <c r="W165" s="4">
        <f ca="1">IF(ATALI[[#This Row],[concat]]="","",MATCH(ATALI[[#This Row],[concat]],[4]!db[NB NOTA_C],0)+1)</f>
        <v>1502</v>
      </c>
      <c r="X165" s="4" t="str">
        <f ca="1">IF(ATALI[[#This Row],[N.B.nota]]="","",ADDRESS(ROW(ATALI[QB]),COLUMN(ATALI[QB]))&amp;":"&amp;ADDRESS(ROW(),COLUMN(ATALI[QB])))</f>
        <v>$D$3:$D$165</v>
      </c>
      <c r="Y165" s="13" t="str">
        <f ca="1">IF(ATALI[[#This Row],[//]]="","",HYPERLINK("[../DB.xlsx]DB!e"&amp;MATCH(ATALI[[#This Row],[concat]],[4]!db[NB NOTA_C],0)+1,"&gt;"))</f>
        <v>&gt;</v>
      </c>
    </row>
    <row r="166" spans="1:25" x14ac:dyDescent="0.25">
      <c r="A166" s="4"/>
      <c r="B166" s="6" t="str">
        <f>IF(ATALI[[#This Row],[N_ID]]="","",INDEX(Table1[ID],MATCH(ATALI[[#This Row],[N_ID]],Table1[N_ID],0)))</f>
        <v/>
      </c>
      <c r="C166" s="6" t="str">
        <f>IF(ATALI[[#This Row],[ID NOTA]]="","",HYPERLINK("[NOTA_.xlsx]NOTA!e"&amp;INDEX([2]!PAJAK[//],MATCH(ATALI[[#This Row],[ID NOTA]],[2]!PAJAK[ID],0)),"&gt;") )</f>
        <v/>
      </c>
      <c r="D166" s="6" t="str">
        <f>IF(ATALI[[#This Row],[ID NOTA]]="","",INDEX(Table1[QB],MATCH(ATALI[[#This Row],[ID NOTA]],Table1[ID],0)))</f>
        <v/>
      </c>
      <c r="E16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742</v>
      </c>
      <c r="F166" s="6"/>
      <c r="G166" s="3" t="str">
        <f>IF(ATALI[[#This Row],[ID NOTA]]="","",INDEX([2]!NOTA[TGL_H],MATCH(ATALI[[#This Row],[ID NOTA]],[2]!NOTA[ID],0)))</f>
        <v/>
      </c>
      <c r="H166" s="3" t="str">
        <f>IF(ATALI[[#This Row],[ID NOTA]]="","",INDEX([2]!NOTA[TGL.NOTA],MATCH(ATALI[[#This Row],[ID NOTA]],[2]!NOTA[ID],0)))</f>
        <v/>
      </c>
      <c r="I166" s="4" t="str">
        <f>IF(ATALI[[#This Row],[ID NOTA]]="","",INDEX([2]!NOTA[NO.NOTA],MATCH(ATALI[[#This Row],[ID NOTA]],[2]!NOTA[ID],0)))</f>
        <v/>
      </c>
      <c r="J166" s="4" t="str">
        <f ca="1">IF(ATALI[[#This Row],[//]]="","",INDEX([4]!db[NB PAJAK],ATALI[[#This Row],[stt]]-1))</f>
        <v>CRAYON / OIL PASTEL JOYKO OP-48S PP CASE SEA WORLD</v>
      </c>
      <c r="K166" s="6">
        <f ca="1">IF(ATALI[[#This Row],[//]]="","",IF(INDEX([2]!NOTA[C],ATALI[[#This Row],[//]]-2)="","",INDEX([2]!NOTA[C],ATALI[[#This Row],[//]]-2)))</f>
        <v>1</v>
      </c>
      <c r="L166" s="6">
        <f ca="1">IF(ATALI[[#This Row],[//]]="","",INDEX([2]!NOTA[QTY],ATALI[[#This Row],[//]]-2))</f>
        <v>24</v>
      </c>
      <c r="M166" s="6" t="str">
        <f ca="1">IF(ATALI[[#This Row],[//]]="","",INDEX([2]!NOTA[STN],ATALI[[#This Row],[//]]-2))</f>
        <v>SET</v>
      </c>
      <c r="N166" s="5">
        <f ca="1">IF(ATALI[[#This Row],[//]]="","",INDEX([2]!NOTA[HARGA SATUAN],ATALI[[#This Row],[//]]-2))</f>
        <v>58900</v>
      </c>
      <c r="O166" s="7">
        <f ca="1">IF(ATALI[[#This Row],[//]]="","",INDEX([2]!NOTA[DISC 1],ATALI[[#This Row],[//]]-2))</f>
        <v>0.125</v>
      </c>
      <c r="P166" s="7">
        <f ca="1">IF(ATALI[[#This Row],[//]]="","",INDEX([2]!NOTA[DISC 2],ATALI[[#This Row],[//]]-2))</f>
        <v>0.05</v>
      </c>
      <c r="Q166" s="5">
        <f ca="1">IF(ATALI[[#This Row],[//]]="","",INDEX([2]!NOTA[TOTAL],ATALI[[#This Row],[//]]-2))</f>
        <v>1175055</v>
      </c>
      <c r="R16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2320185</v>
      </c>
      <c r="T1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s="4" t="str">
        <f ca="1">IF(ATALI[[#This Row],[//]]="","",INDEX([2]!NOTA[NAMA BARANG],ATALI[[#This Row],[//]]-2))</f>
        <v>OIL PASTEL OP-48S PP CASE SEA WORLD JK</v>
      </c>
      <c r="V166" s="4" t="str">
        <f ca="1">LOWER(SUBSTITUTE(SUBSTITUTE(SUBSTITUTE(SUBSTITUTE(SUBSTITUTE(SUBSTITUTE(SUBSTITUTE(ATALI[[#This Row],[N.B.nota]]," ",""),"-",""),"(",""),")",""),".",""),",",""),"/",""))</f>
        <v>oilpastelop48sppcaseseaworldjk</v>
      </c>
      <c r="W166" s="4">
        <f ca="1">IF(ATALI[[#This Row],[concat]]="","",MATCH(ATALI[[#This Row],[concat]],[4]!db[NB NOTA_C],0)+1)</f>
        <v>1504</v>
      </c>
      <c r="X166" s="4" t="str">
        <f ca="1">IF(ATALI[[#This Row],[N.B.nota]]="","",ADDRESS(ROW(ATALI[QB]),COLUMN(ATALI[QB]))&amp;":"&amp;ADDRESS(ROW(),COLUMN(ATALI[QB])))</f>
        <v>$D$3:$D$166</v>
      </c>
      <c r="Y166" s="13" t="str">
        <f ca="1">IF(ATALI[[#This Row],[//]]="","",HYPERLINK("[../DB.xlsx]DB!e"&amp;MATCH(ATALI[[#This Row],[concat]],[4]!db[NB NOTA_C],0)+1,"&gt;"))</f>
        <v>&gt;</v>
      </c>
    </row>
    <row r="167" spans="1:25" x14ac:dyDescent="0.25">
      <c r="A167" s="4"/>
      <c r="B167" s="6" t="str">
        <f>IF(ATALI[[#This Row],[N_ID]]="","",INDEX(Table1[ID],MATCH(ATALI[[#This Row],[N_ID]],Table1[N_ID],0)))</f>
        <v/>
      </c>
      <c r="C167" s="6" t="str">
        <f>IF(ATALI[[#This Row],[ID NOTA]]="","",HYPERLINK("[NOTA_.xlsx]NOTA!e"&amp;INDEX([2]!PAJAK[//],MATCH(ATALI[[#This Row],[ID NOTA]],[2]!PAJAK[ID],0)),"&gt;") )</f>
        <v/>
      </c>
      <c r="D167" s="6" t="str">
        <f>IF(ATALI[[#This Row],[ID NOTA]]="","",INDEX(Table1[QB],MATCH(ATALI[[#This Row],[ID NOTA]],Table1[ID],0)))</f>
        <v/>
      </c>
      <c r="E1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7" s="6"/>
      <c r="G167" s="3" t="str">
        <f>IF(ATALI[[#This Row],[ID NOTA]]="","",INDEX([2]!NOTA[TGL_H],MATCH(ATALI[[#This Row],[ID NOTA]],[2]!NOTA[ID],0)))</f>
        <v/>
      </c>
      <c r="H167" s="3" t="str">
        <f>IF(ATALI[[#This Row],[ID NOTA]]="","",INDEX([2]!NOTA[TGL.NOTA],MATCH(ATALI[[#This Row],[ID NOTA]],[2]!NOTA[ID],0)))</f>
        <v/>
      </c>
      <c r="I167" s="4" t="str">
        <f>IF(ATALI[[#This Row],[ID NOTA]]="","",INDEX([2]!NOTA[NO.NOTA],MATCH(ATALI[[#This Row],[ID NOTA]],[2]!NOTA[ID],0)))</f>
        <v/>
      </c>
      <c r="J167" s="4" t="str">
        <f ca="1">IF(ATALI[[#This Row],[//]]="","",INDEX([4]!db[NB PAJAK],ATALI[[#This Row],[stt]]-1))</f>
        <v/>
      </c>
      <c r="K167" s="6" t="str">
        <f ca="1">IF(ATALI[[#This Row],[//]]="","",IF(INDEX([2]!NOTA[C],ATALI[[#This Row],[//]]-2)="","",INDEX([2]!NOTA[C],ATALI[[#This Row],[//]]-2)))</f>
        <v/>
      </c>
      <c r="L167" s="6" t="str">
        <f ca="1">IF(ATALI[[#This Row],[//]]="","",INDEX([2]!NOTA[QTY],ATALI[[#This Row],[//]]-2))</f>
        <v/>
      </c>
      <c r="M167" s="6" t="str">
        <f ca="1">IF(ATALI[[#This Row],[//]]="","",INDEX([2]!NOTA[STN],ATALI[[#This Row],[//]]-2))</f>
        <v/>
      </c>
      <c r="N167" s="5" t="str">
        <f ca="1">IF(ATALI[[#This Row],[//]]="","",INDEX([2]!NOTA[HARGA SATUAN],ATALI[[#This Row],[//]]-2))</f>
        <v/>
      </c>
      <c r="O167" s="7" t="str">
        <f ca="1">IF(ATALI[[#This Row],[//]]="","",INDEX([2]!NOTA[DISC 1],ATALI[[#This Row],[//]]-2))</f>
        <v/>
      </c>
      <c r="P167" s="7" t="str">
        <f ca="1">IF(ATALI[[#This Row],[//]]="","",INDEX([2]!NOTA[DISC 2],ATALI[[#This Row],[//]]-2))</f>
        <v/>
      </c>
      <c r="Q167" s="5" t="str">
        <f ca="1">IF(ATALI[[#This Row],[//]]="","",INDEX([2]!NOTA[TOTAL],ATALI[[#This Row],[//]]-2))</f>
        <v/>
      </c>
      <c r="R1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s="4" t="str">
        <f ca="1">IF(ATALI[[#This Row],[//]]="","",INDEX([2]!NOTA[NAMA BARANG],ATALI[[#This Row],[//]]-2))</f>
        <v/>
      </c>
      <c r="V167" s="4" t="str">
        <f ca="1">LOWER(SUBSTITUTE(SUBSTITUTE(SUBSTITUTE(SUBSTITUTE(SUBSTITUTE(SUBSTITUTE(SUBSTITUTE(ATALI[[#This Row],[N.B.nota]]," ",""),"-",""),"(",""),")",""),".",""),",",""),"/",""))</f>
        <v/>
      </c>
      <c r="W167" s="4" t="str">
        <f ca="1">IF(ATALI[[#This Row],[concat]]="","",MATCH(ATALI[[#This Row],[concat]],[4]!db[NB NOTA_C],0)+1)</f>
        <v/>
      </c>
      <c r="X167" s="4" t="str">
        <f ca="1">IF(ATALI[[#This Row],[N.B.nota]]="","",ADDRESS(ROW(ATALI[QB]),COLUMN(ATALI[QB]))&amp;":"&amp;ADDRESS(ROW(),COLUMN(ATALI[QB])))</f>
        <v/>
      </c>
      <c r="Y167" s="13" t="str">
        <f ca="1">IF(ATALI[[#This Row],[//]]="","",HYPERLINK("[../DB.xlsx]DB!e"&amp;MATCH(ATALI[[#This Row],[concat]],[4]!db[NB NOTA_C],0)+1,"&gt;"))</f>
        <v/>
      </c>
    </row>
    <row r="168" spans="1:25" x14ac:dyDescent="0.25">
      <c r="A168" s="4" t="s">
        <v>114</v>
      </c>
      <c r="B168" s="6">
        <f ca="1">IF(ATALI[[#This Row],[N_ID]]="","",INDEX(Table1[ID],MATCH(ATALI[[#This Row],[N_ID]],Table1[N_ID],0)))</f>
        <v>119</v>
      </c>
      <c r="C168" s="6" t="str">
        <f ca="1">IF(ATALI[[#This Row],[ID NOTA]]="","",HYPERLINK("[NOTA_.xlsx]NOTA!e"&amp;INDEX([2]!PAJAK[//],MATCH(ATALI[[#This Row],[ID NOTA]],[2]!PAJAK[ID],0)),"&gt;") )</f>
        <v>&gt;</v>
      </c>
      <c r="D168" s="6">
        <f ca="1">IF(ATALI[[#This Row],[ID NOTA]]="","",INDEX(Table1[QB],MATCH(ATALI[[#This Row],[ID NOTA]],Table1[ID],0)))</f>
        <v>3</v>
      </c>
      <c r="E16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714</v>
      </c>
      <c r="F168" s="6">
        <v>23</v>
      </c>
      <c r="G168" s="3">
        <f ca="1">IF(ATALI[[#This Row],[ID NOTA]]="","",INDEX([2]!NOTA[TGL_H],MATCH(ATALI[[#This Row],[ID NOTA]],[2]!NOTA[ID],0)))</f>
        <v>44830</v>
      </c>
      <c r="H168" s="3">
        <f ca="1">IF(ATALI[[#This Row],[ID NOTA]]="","",INDEX([2]!NOTA[TGL.NOTA],MATCH(ATALI[[#This Row],[ID NOTA]],[2]!NOTA[ID],0)))</f>
        <v>44825</v>
      </c>
      <c r="I168" s="4" t="str">
        <f ca="1">IF(ATALI[[#This Row],[ID NOTA]]="","",INDEX([2]!NOTA[NO.NOTA],MATCH(ATALI[[#This Row],[ID NOTA]],[2]!NOTA[ID],0)))</f>
        <v>SA220914928</v>
      </c>
      <c r="J168" s="4" t="str">
        <f ca="1">IF(ATALI[[#This Row],[//]]="","",INDEX([4]!db[NB PAJAK],ATALI[[#This Row],[stt]]-1))</f>
        <v>TAPE CUTTER JOYKO TD-102</v>
      </c>
      <c r="K168" s="6">
        <f ca="1">IF(ATALI[[#This Row],[//]]="","",IF(INDEX([2]!NOTA[C],ATALI[[#This Row],[//]]-2)="","",INDEX([2]!NOTA[C],ATALI[[#This Row],[//]]-2)))</f>
        <v>1</v>
      </c>
      <c r="L168" s="6">
        <f ca="1">IF(ATALI[[#This Row],[//]]="","",INDEX([2]!NOTA[QTY],ATALI[[#This Row],[//]]-2))</f>
        <v>24</v>
      </c>
      <c r="M168" s="6" t="str">
        <f ca="1">IF(ATALI[[#This Row],[//]]="","",INDEX([2]!NOTA[STN],ATALI[[#This Row],[//]]-2))</f>
        <v>PCS</v>
      </c>
      <c r="N168" s="5">
        <f ca="1">IF(ATALI[[#This Row],[//]]="","",INDEX([2]!NOTA[HARGA SATUAN],ATALI[[#This Row],[//]]-2))</f>
        <v>10600</v>
      </c>
      <c r="O168" s="7">
        <f ca="1">IF(ATALI[[#This Row],[//]]="","",INDEX([2]!NOTA[DISC 1],ATALI[[#This Row],[//]]-2))</f>
        <v>0.125</v>
      </c>
      <c r="P168" s="7">
        <f ca="1">IF(ATALI[[#This Row],[//]]="","",INDEX([2]!NOTA[DISC 2],ATALI[[#This Row],[//]]-2))</f>
        <v>0.05</v>
      </c>
      <c r="Q168" s="5">
        <f ca="1">IF(ATALI[[#This Row],[//]]="","",INDEX([2]!NOTA[TOTAL],ATALI[[#This Row],[//]]-2))</f>
        <v>211470</v>
      </c>
      <c r="R1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8" s="4" t="str">
        <f ca="1">IF(ATALI[[#This Row],[//]]="","",INDEX([2]!NOTA[NAMA BARANG],ATALI[[#This Row],[//]]-2))</f>
        <v>TAPE CUTTER TD-102 JK</v>
      </c>
      <c r="V168" s="4" t="str">
        <f ca="1">LOWER(SUBSTITUTE(SUBSTITUTE(SUBSTITUTE(SUBSTITUTE(SUBSTITUTE(SUBSTITUTE(SUBSTITUTE(ATALI[[#This Row],[N.B.nota]]," ",""),"-",""),"(",""),")",""),".",""),",",""),"/",""))</f>
        <v>tapecuttertd102jk</v>
      </c>
      <c r="W168" s="4">
        <f ca="1">IF(ATALI[[#This Row],[concat]]="","",MATCH(ATALI[[#This Row],[concat]],[4]!db[NB NOTA_C],0)+1)</f>
        <v>1927</v>
      </c>
      <c r="X168" s="4" t="str">
        <f ca="1">IF(ATALI[[#This Row],[N.B.nota]]="","",ADDRESS(ROW(ATALI[QB]),COLUMN(ATALI[QB]))&amp;":"&amp;ADDRESS(ROW(),COLUMN(ATALI[QB])))</f>
        <v>$D$3:$D$168</v>
      </c>
      <c r="Y168" s="13" t="str">
        <f ca="1">IF(ATALI[[#This Row],[//]]="","",HYPERLINK("[../DB.xlsx]DB!e"&amp;MATCH(ATALI[[#This Row],[concat]],[4]!db[NB NOTA_C],0)+1,"&gt;"))</f>
        <v>&gt;</v>
      </c>
    </row>
    <row r="169" spans="1:25" x14ac:dyDescent="0.25">
      <c r="A169" s="4"/>
      <c r="B169" s="6" t="str">
        <f>IF(ATALI[[#This Row],[N_ID]]="","",INDEX(Table1[ID],MATCH(ATALI[[#This Row],[N_ID]],Table1[N_ID],0)))</f>
        <v/>
      </c>
      <c r="C169" s="6" t="str">
        <f>IF(ATALI[[#This Row],[ID NOTA]]="","",HYPERLINK("[NOTA_.xlsx]NOTA!e"&amp;INDEX([2]!PAJAK[//],MATCH(ATALI[[#This Row],[ID NOTA]],[2]!PAJAK[ID],0)),"&gt;") )</f>
        <v/>
      </c>
      <c r="D169" s="6" t="str">
        <f>IF(ATALI[[#This Row],[ID NOTA]]="","",INDEX(Table1[QB],MATCH(ATALI[[#This Row],[ID NOTA]],Table1[ID],0)))</f>
        <v/>
      </c>
      <c r="E16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715</v>
      </c>
      <c r="F169" s="6"/>
      <c r="G169" s="3" t="str">
        <f>IF(ATALI[[#This Row],[ID NOTA]]="","",INDEX([2]!NOTA[TGL_H],MATCH(ATALI[[#This Row],[ID NOTA]],[2]!NOTA[ID],0)))</f>
        <v/>
      </c>
      <c r="H169" s="3" t="str">
        <f>IF(ATALI[[#This Row],[ID NOTA]]="","",INDEX([2]!NOTA[TGL.NOTA],MATCH(ATALI[[#This Row],[ID NOTA]],[2]!NOTA[ID],0)))</f>
        <v/>
      </c>
      <c r="I169" s="4" t="str">
        <f>IF(ATALI[[#This Row],[ID NOTA]]="","",INDEX([2]!NOTA[NO.NOTA],MATCH(ATALI[[#This Row],[ID NOTA]],[2]!NOTA[ID],0)))</f>
        <v/>
      </c>
      <c r="J169" s="4" t="str">
        <f ca="1">IF(ATALI[[#This Row],[//]]="","",INDEX([4]!db[NB PAJAK],ATALI[[#This Row],[stt]]-1))</f>
        <v>TAPE CUTTER JOYKO TC-111</v>
      </c>
      <c r="K169" s="6">
        <f ca="1">IF(ATALI[[#This Row],[//]]="","",IF(INDEX([2]!NOTA[C],ATALI[[#This Row],[//]]-2)="","",INDEX([2]!NOTA[C],ATALI[[#This Row],[//]]-2)))</f>
        <v>1</v>
      </c>
      <c r="L169" s="6">
        <f ca="1">IF(ATALI[[#This Row],[//]]="","",INDEX([2]!NOTA[QTY],ATALI[[#This Row],[//]]-2))</f>
        <v>24</v>
      </c>
      <c r="M169" s="6" t="str">
        <f ca="1">IF(ATALI[[#This Row],[//]]="","",INDEX([2]!NOTA[STN],ATALI[[#This Row],[//]]-2))</f>
        <v>PCS</v>
      </c>
      <c r="N169" s="5">
        <f ca="1">IF(ATALI[[#This Row],[//]]="","",INDEX([2]!NOTA[HARGA SATUAN],ATALI[[#This Row],[//]]-2))</f>
        <v>12300</v>
      </c>
      <c r="O169" s="7">
        <f ca="1">IF(ATALI[[#This Row],[//]]="","",INDEX([2]!NOTA[DISC 1],ATALI[[#This Row],[//]]-2))</f>
        <v>0.125</v>
      </c>
      <c r="P169" s="7">
        <f ca="1">IF(ATALI[[#This Row],[//]]="","",INDEX([2]!NOTA[DISC 2],ATALI[[#This Row],[//]]-2))</f>
        <v>0.05</v>
      </c>
      <c r="Q169" s="5">
        <f ca="1">IF(ATALI[[#This Row],[//]]="","",INDEX([2]!NOTA[TOTAL],ATALI[[#This Row],[//]]-2))</f>
        <v>245385</v>
      </c>
      <c r="R1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s="4" t="str">
        <f ca="1">IF(ATALI[[#This Row],[//]]="","",INDEX([2]!NOTA[NAMA BARANG],ATALI[[#This Row],[//]]-2))</f>
        <v>TAPE CUTTER TC-111 JK</v>
      </c>
      <c r="V169" s="4" t="str">
        <f ca="1">LOWER(SUBSTITUTE(SUBSTITUTE(SUBSTITUTE(SUBSTITUTE(SUBSTITUTE(SUBSTITUTE(SUBSTITUTE(ATALI[[#This Row],[N.B.nota]]," ",""),"-",""),"(",""),")",""),".",""),",",""),"/",""))</f>
        <v>tapecuttertc111jk</v>
      </c>
      <c r="W169" s="4">
        <f ca="1">IF(ATALI[[#This Row],[concat]]="","",MATCH(ATALI[[#This Row],[concat]],[4]!db[NB NOTA_C],0)+1)</f>
        <v>1922</v>
      </c>
      <c r="X169" s="4" t="str">
        <f ca="1">IF(ATALI[[#This Row],[N.B.nota]]="","",ADDRESS(ROW(ATALI[QB]),COLUMN(ATALI[QB]))&amp;":"&amp;ADDRESS(ROW(),COLUMN(ATALI[QB])))</f>
        <v>$D$3:$D$169</v>
      </c>
      <c r="Y169" s="13" t="str">
        <f ca="1">IF(ATALI[[#This Row],[//]]="","",HYPERLINK("[../DB.xlsx]DB!e"&amp;MATCH(ATALI[[#This Row],[concat]],[4]!db[NB NOTA_C],0)+1,"&gt;"))</f>
        <v>&gt;</v>
      </c>
    </row>
    <row r="170" spans="1:25" x14ac:dyDescent="0.25">
      <c r="A170" s="4"/>
      <c r="B170" s="6" t="str">
        <f>IF(ATALI[[#This Row],[N_ID]]="","",INDEX(Table1[ID],MATCH(ATALI[[#This Row],[N_ID]],Table1[N_ID],0)))</f>
        <v/>
      </c>
      <c r="C170" s="6" t="str">
        <f>IF(ATALI[[#This Row],[ID NOTA]]="","",HYPERLINK("[NOTA_.xlsx]NOTA!e"&amp;INDEX([2]!PAJAK[//],MATCH(ATALI[[#This Row],[ID NOTA]],[2]!PAJAK[ID],0)),"&gt;") )</f>
        <v/>
      </c>
      <c r="D170" s="6" t="str">
        <f>IF(ATALI[[#This Row],[ID NOTA]]="","",INDEX(Table1[QB],MATCH(ATALI[[#This Row],[ID NOTA]],Table1[ID],0)))</f>
        <v/>
      </c>
      <c r="E17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716</v>
      </c>
      <c r="F170" s="6"/>
      <c r="G170" s="3" t="str">
        <f>IF(ATALI[[#This Row],[ID NOTA]]="","",INDEX([2]!NOTA[TGL_H],MATCH(ATALI[[#This Row],[ID NOTA]],[2]!NOTA[ID],0)))</f>
        <v/>
      </c>
      <c r="H170" s="3" t="str">
        <f>IF(ATALI[[#This Row],[ID NOTA]]="","",INDEX([2]!NOTA[TGL.NOTA],MATCH(ATALI[[#This Row],[ID NOTA]],[2]!NOTA[ID],0)))</f>
        <v/>
      </c>
      <c r="I170" s="4" t="str">
        <f>IF(ATALI[[#This Row],[ID NOTA]]="","",INDEX([2]!NOTA[NO.NOTA],MATCH(ATALI[[#This Row],[ID NOTA]],[2]!NOTA[ID],0)))</f>
        <v/>
      </c>
      <c r="J170" s="4" t="str">
        <f ca="1">IF(ATALI[[#This Row],[//]]="","",INDEX([4]!db[NB PAJAK],ATALI[[#This Row],[stt]]-1))</f>
        <v>TAPE CUTTER JOYKO TC-114</v>
      </c>
      <c r="K170" s="6">
        <f ca="1">IF(ATALI[[#This Row],[//]]="","",IF(INDEX([2]!NOTA[C],ATALI[[#This Row],[//]]-2)="","",INDEX([2]!NOTA[C],ATALI[[#This Row],[//]]-2)))</f>
        <v>1</v>
      </c>
      <c r="L170" s="6">
        <f ca="1">IF(ATALI[[#This Row],[//]]="","",INDEX([2]!NOTA[QTY],ATALI[[#This Row],[//]]-2))</f>
        <v>24</v>
      </c>
      <c r="M170" s="6" t="str">
        <f ca="1">IF(ATALI[[#This Row],[//]]="","",INDEX([2]!NOTA[STN],ATALI[[#This Row],[//]]-2))</f>
        <v>PCS</v>
      </c>
      <c r="N170" s="5">
        <f ca="1">IF(ATALI[[#This Row],[//]]="","",INDEX([2]!NOTA[HARGA SATUAN],ATALI[[#This Row],[//]]-2))</f>
        <v>17200</v>
      </c>
      <c r="O170" s="7">
        <f ca="1">IF(ATALI[[#This Row],[//]]="","",INDEX([2]!NOTA[DISC 1],ATALI[[#This Row],[//]]-2))</f>
        <v>0.125</v>
      </c>
      <c r="P170" s="7">
        <f ca="1">IF(ATALI[[#This Row],[//]]="","",INDEX([2]!NOTA[DISC 2],ATALI[[#This Row],[//]]-2))</f>
        <v>0.05</v>
      </c>
      <c r="Q170" s="5">
        <f ca="1">IF(ATALI[[#This Row],[//]]="","",INDEX([2]!NOTA[TOTAL],ATALI[[#This Row],[//]]-2))</f>
        <v>343140</v>
      </c>
      <c r="R17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7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799995</v>
      </c>
      <c r="T1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0" s="4" t="str">
        <f ca="1">IF(ATALI[[#This Row],[//]]="","",INDEX([2]!NOTA[NAMA BARANG],ATALI[[#This Row],[//]]-2))</f>
        <v>TAPE CUTTER TC-114 JK</v>
      </c>
      <c r="V170" s="4" t="str">
        <f ca="1">LOWER(SUBSTITUTE(SUBSTITUTE(SUBSTITUTE(SUBSTITUTE(SUBSTITUTE(SUBSTITUTE(SUBSTITUTE(ATALI[[#This Row],[N.B.nota]]," ",""),"-",""),"(",""),")",""),".",""),",",""),"/",""))</f>
        <v>tapecuttertc114jk</v>
      </c>
      <c r="W170" s="4">
        <f ca="1">IF(ATALI[[#This Row],[concat]]="","",MATCH(ATALI[[#This Row],[concat]],[4]!db[NB NOTA_C],0)+1)</f>
        <v>1923</v>
      </c>
      <c r="X170" s="4" t="str">
        <f ca="1">IF(ATALI[[#This Row],[N.B.nota]]="","",ADDRESS(ROW(ATALI[QB]),COLUMN(ATALI[QB]))&amp;":"&amp;ADDRESS(ROW(),COLUMN(ATALI[QB])))</f>
        <v>$D$3:$D$170</v>
      </c>
      <c r="Y170" s="13" t="str">
        <f ca="1">IF(ATALI[[#This Row],[//]]="","",HYPERLINK("[../DB.xlsx]DB!e"&amp;MATCH(ATALI[[#This Row],[concat]],[4]!db[NB NOTA_C],0)+1,"&gt;"))</f>
        <v>&gt;</v>
      </c>
    </row>
    <row r="171" spans="1:25" x14ac:dyDescent="0.25">
      <c r="A171" s="4"/>
      <c r="B171" s="6" t="str">
        <f>IF(ATALI[[#This Row],[N_ID]]="","",INDEX(Table1[ID],MATCH(ATALI[[#This Row],[N_ID]],Table1[N_ID],0)))</f>
        <v/>
      </c>
      <c r="C171" s="6" t="str">
        <f>IF(ATALI[[#This Row],[ID NOTA]]="","",HYPERLINK("[NOTA_.xlsx]NOTA!e"&amp;INDEX([2]!PAJAK[//],MATCH(ATALI[[#This Row],[ID NOTA]],[2]!PAJAK[ID],0)),"&gt;") )</f>
        <v/>
      </c>
      <c r="D171" s="6" t="str">
        <f>IF(ATALI[[#This Row],[ID NOTA]]="","",INDEX(Table1[QB],MATCH(ATALI[[#This Row],[ID NOTA]],Table1[ID],0)))</f>
        <v/>
      </c>
      <c r="E1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1" s="6"/>
      <c r="G171" s="3" t="str">
        <f>IF(ATALI[[#This Row],[ID NOTA]]="","",INDEX([2]!NOTA[TGL_H],MATCH(ATALI[[#This Row],[ID NOTA]],[2]!NOTA[ID],0)))</f>
        <v/>
      </c>
      <c r="H171" s="3" t="str">
        <f>IF(ATALI[[#This Row],[ID NOTA]]="","",INDEX([2]!NOTA[TGL.NOTA],MATCH(ATALI[[#This Row],[ID NOTA]],[2]!NOTA[ID],0)))</f>
        <v/>
      </c>
      <c r="I171" s="4" t="str">
        <f>IF(ATALI[[#This Row],[ID NOTA]]="","",INDEX([2]!NOTA[NO.NOTA],MATCH(ATALI[[#This Row],[ID NOTA]],[2]!NOTA[ID],0)))</f>
        <v/>
      </c>
      <c r="J171" s="4" t="str">
        <f ca="1">IF(ATALI[[#This Row],[//]]="","",INDEX([4]!db[NB PAJAK],ATALI[[#This Row],[stt]]-1))</f>
        <v/>
      </c>
      <c r="K171" s="6" t="str">
        <f ca="1">IF(ATALI[[#This Row],[//]]="","",IF(INDEX([2]!NOTA[C],ATALI[[#This Row],[//]]-2)="","",INDEX([2]!NOTA[C],ATALI[[#This Row],[//]]-2)))</f>
        <v/>
      </c>
      <c r="L171" s="6" t="str">
        <f ca="1">IF(ATALI[[#This Row],[//]]="","",INDEX([2]!NOTA[QTY],ATALI[[#This Row],[//]]-2))</f>
        <v/>
      </c>
      <c r="M171" s="6" t="str">
        <f ca="1">IF(ATALI[[#This Row],[//]]="","",INDEX([2]!NOTA[STN],ATALI[[#This Row],[//]]-2))</f>
        <v/>
      </c>
      <c r="N171" s="5" t="str">
        <f ca="1">IF(ATALI[[#This Row],[//]]="","",INDEX([2]!NOTA[HARGA SATUAN],ATALI[[#This Row],[//]]-2))</f>
        <v/>
      </c>
      <c r="O171" s="7" t="str">
        <f ca="1">IF(ATALI[[#This Row],[//]]="","",INDEX([2]!NOTA[DISC 1],ATALI[[#This Row],[//]]-2))</f>
        <v/>
      </c>
      <c r="P171" s="7" t="str">
        <f ca="1">IF(ATALI[[#This Row],[//]]="","",INDEX([2]!NOTA[DISC 2],ATALI[[#This Row],[//]]-2))</f>
        <v/>
      </c>
      <c r="Q171" s="5" t="str">
        <f ca="1">IF(ATALI[[#This Row],[//]]="","",INDEX([2]!NOTA[TOTAL],ATALI[[#This Row],[//]]-2))</f>
        <v/>
      </c>
      <c r="R1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s="4" t="str">
        <f ca="1">IF(ATALI[[#This Row],[//]]="","",INDEX([2]!NOTA[NAMA BARANG],ATALI[[#This Row],[//]]-2))</f>
        <v/>
      </c>
      <c r="V171" s="4" t="str">
        <f ca="1">LOWER(SUBSTITUTE(SUBSTITUTE(SUBSTITUTE(SUBSTITUTE(SUBSTITUTE(SUBSTITUTE(SUBSTITUTE(ATALI[[#This Row],[N.B.nota]]," ",""),"-",""),"(",""),")",""),".",""),",",""),"/",""))</f>
        <v/>
      </c>
      <c r="W171" s="4" t="str">
        <f ca="1">IF(ATALI[[#This Row],[concat]]="","",MATCH(ATALI[[#This Row],[concat]],[4]!db[NB NOTA_C],0)+1)</f>
        <v/>
      </c>
      <c r="X171" s="4" t="str">
        <f ca="1">IF(ATALI[[#This Row],[N.B.nota]]="","",ADDRESS(ROW(ATALI[QB]),COLUMN(ATALI[QB]))&amp;":"&amp;ADDRESS(ROW(),COLUMN(ATALI[QB])))</f>
        <v/>
      </c>
      <c r="Y171" s="13" t="str">
        <f ca="1">IF(ATALI[[#This Row],[//]]="","",HYPERLINK("[../DB.xlsx]DB!e"&amp;MATCH(ATALI[[#This Row],[concat]],[4]!db[NB NOTA_C],0)+1,"&gt;"))</f>
        <v/>
      </c>
    </row>
    <row r="172" spans="1:25" x14ac:dyDescent="0.25">
      <c r="A172" s="4" t="s">
        <v>115</v>
      </c>
      <c r="B172" s="6">
        <f ca="1">IF(ATALI[[#This Row],[N_ID]]="","",INDEX(Table1[ID],MATCH(ATALI[[#This Row],[N_ID]],Table1[N_ID],0)))</f>
        <v>126</v>
      </c>
      <c r="C172" s="6" t="str">
        <f ca="1">IF(ATALI[[#This Row],[ID NOTA]]="","",HYPERLINK("[NOTA_.xlsx]NOTA!e"&amp;INDEX([2]!PAJAK[//],MATCH(ATALI[[#This Row],[ID NOTA]],[2]!PAJAK[ID],0)),"&gt;") )</f>
        <v>&gt;</v>
      </c>
      <c r="D172" s="6">
        <f ca="1">IF(ATALI[[#This Row],[ID NOTA]]="","",INDEX(Table1[QB],MATCH(ATALI[[#This Row],[ID NOTA]],Table1[ID],0)))</f>
        <v>1</v>
      </c>
      <c r="E17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748</v>
      </c>
      <c r="F172" s="6">
        <v>24</v>
      </c>
      <c r="G172" s="3">
        <f ca="1">IF(ATALI[[#This Row],[ID NOTA]]="","",INDEX([2]!NOTA[TGL_H],MATCH(ATALI[[#This Row],[ID NOTA]],[2]!NOTA[ID],0)))</f>
        <v>44831</v>
      </c>
      <c r="H172" s="3">
        <f ca="1">IF(ATALI[[#This Row],[ID NOTA]]="","",INDEX([2]!NOTA[TGL.NOTA],MATCH(ATALI[[#This Row],[ID NOTA]],[2]!NOTA[ID],0)))</f>
        <v>44826</v>
      </c>
      <c r="I172" s="4" t="str">
        <f ca="1">IF(ATALI[[#This Row],[ID NOTA]]="","",INDEX([2]!NOTA[NO.NOTA],MATCH(ATALI[[#This Row],[ID NOTA]],[2]!NOTA[ID],0)))</f>
        <v>SA220915039</v>
      </c>
      <c r="J172" s="4" t="str">
        <f ca="1">IF(ATALI[[#This Row],[//]]="","",INDEX([4]!db[NB PAJAK],ATALI[[#This Row],[stt]]-1))</f>
        <v>KUAS SET JOYKO BR-1</v>
      </c>
      <c r="K172" s="6">
        <f ca="1">IF(ATALI[[#This Row],[//]]="","",IF(INDEX([2]!NOTA[C],ATALI[[#This Row],[//]]-2)="","",INDEX([2]!NOTA[C],ATALI[[#This Row],[//]]-2)))</f>
        <v>2</v>
      </c>
      <c r="L172" s="6">
        <f ca="1">IF(ATALI[[#This Row],[//]]="","",INDEX([2]!NOTA[QTY],ATALI[[#This Row],[//]]-2))</f>
        <v>480</v>
      </c>
      <c r="M172" s="6" t="str">
        <f ca="1">IF(ATALI[[#This Row],[//]]="","",INDEX([2]!NOTA[STN],ATALI[[#This Row],[//]]-2))</f>
        <v>SET</v>
      </c>
      <c r="N172" s="5">
        <f ca="1">IF(ATALI[[#This Row],[//]]="","",INDEX([2]!NOTA[HARGA SATUAN],ATALI[[#This Row],[//]]-2))</f>
        <v>8800</v>
      </c>
      <c r="O172" s="7">
        <f ca="1">IF(ATALI[[#This Row],[//]]="","",INDEX([2]!NOTA[DISC 1],ATALI[[#This Row],[//]]-2))</f>
        <v>0.125</v>
      </c>
      <c r="P172" s="7">
        <f ca="1">IF(ATALI[[#This Row],[//]]="","",INDEX([2]!NOTA[DISC 2],ATALI[[#This Row],[//]]-2))</f>
        <v>0.05</v>
      </c>
      <c r="Q172" s="5">
        <f ca="1">IF(ATALI[[#This Row],[//]]="","",INDEX([2]!NOTA[TOTAL],ATALI[[#This Row],[//]]-2))</f>
        <v>3511200</v>
      </c>
      <c r="R17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7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3511200</v>
      </c>
      <c r="T1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s="4" t="str">
        <f ca="1">IF(ATALI[[#This Row],[//]]="","",INDEX([2]!NOTA[NAMA BARANG],ATALI[[#This Row],[//]]-2))</f>
        <v>BRUSH BR-1 JK</v>
      </c>
      <c r="V172" s="4" t="str">
        <f ca="1">LOWER(SUBSTITUTE(SUBSTITUTE(SUBSTITUTE(SUBSTITUTE(SUBSTITUTE(SUBSTITUTE(SUBSTITUTE(ATALI[[#This Row],[N.B.nota]]," ",""),"-",""),"(",""),")",""),".",""),",",""),"/",""))</f>
        <v>brushbr1jk</v>
      </c>
      <c r="W172" s="4">
        <f ca="1">IF(ATALI[[#This Row],[concat]]="","",MATCH(ATALI[[#This Row],[concat]],[4]!db[NB NOTA_C],0)+1)</f>
        <v>305</v>
      </c>
      <c r="X172" s="4" t="str">
        <f ca="1">IF(ATALI[[#This Row],[N.B.nota]]="","",ADDRESS(ROW(ATALI[QB]),COLUMN(ATALI[QB]))&amp;":"&amp;ADDRESS(ROW(),COLUMN(ATALI[QB])))</f>
        <v>$D$3:$D$172</v>
      </c>
      <c r="Y172" s="13" t="str">
        <f ca="1">IF(ATALI[[#This Row],[//]]="","",HYPERLINK("[../DB.xlsx]DB!e"&amp;MATCH(ATALI[[#This Row],[concat]],[4]!db[NB NOTA_C],0)+1,"&gt;"))</f>
        <v>&gt;</v>
      </c>
    </row>
    <row r="173" spans="1:25" x14ac:dyDescent="0.25">
      <c r="A173" s="4"/>
      <c r="B173" s="6" t="str">
        <f>IF(ATALI[[#This Row],[N_ID]]="","",INDEX(Table1[ID],MATCH(ATALI[[#This Row],[N_ID]],Table1[N_ID],0)))</f>
        <v/>
      </c>
      <c r="C173" s="6" t="str">
        <f>IF(ATALI[[#This Row],[ID NOTA]]="","",HYPERLINK("[NOTA_.xlsx]NOTA!e"&amp;INDEX([2]!PAJAK[//],MATCH(ATALI[[#This Row],[ID NOTA]],[2]!PAJAK[ID],0)),"&gt;") )</f>
        <v/>
      </c>
      <c r="D173" s="6" t="str">
        <f>IF(ATALI[[#This Row],[ID NOTA]]="","",INDEX(Table1[QB],MATCH(ATALI[[#This Row],[ID NOTA]],Table1[ID],0)))</f>
        <v/>
      </c>
      <c r="E1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3" s="6"/>
      <c r="G173" s="3" t="str">
        <f>IF(ATALI[[#This Row],[ID NOTA]]="","",INDEX([2]!NOTA[TGL_H],MATCH(ATALI[[#This Row],[ID NOTA]],[2]!NOTA[ID],0)))</f>
        <v/>
      </c>
      <c r="H173" s="3" t="str">
        <f>IF(ATALI[[#This Row],[ID NOTA]]="","",INDEX([2]!NOTA[TGL.NOTA],MATCH(ATALI[[#This Row],[ID NOTA]],[2]!NOTA[ID],0)))</f>
        <v/>
      </c>
      <c r="I173" s="4" t="str">
        <f>IF(ATALI[[#This Row],[ID NOTA]]="","",INDEX([2]!NOTA[NO.NOTA],MATCH(ATALI[[#This Row],[ID NOTA]],[2]!NOTA[ID],0)))</f>
        <v/>
      </c>
      <c r="J173" s="4" t="str">
        <f ca="1">IF(ATALI[[#This Row],[//]]="","",INDEX([4]!db[NB PAJAK],ATALI[[#This Row],[stt]]-1))</f>
        <v/>
      </c>
      <c r="K173" s="6" t="str">
        <f ca="1">IF(ATALI[[#This Row],[//]]="","",IF(INDEX([2]!NOTA[C],ATALI[[#This Row],[//]]-2)="","",INDEX([2]!NOTA[C],ATALI[[#This Row],[//]]-2)))</f>
        <v/>
      </c>
      <c r="L173" s="6" t="str">
        <f ca="1">IF(ATALI[[#This Row],[//]]="","",INDEX([2]!NOTA[QTY],ATALI[[#This Row],[//]]-2))</f>
        <v/>
      </c>
      <c r="M173" s="6" t="str">
        <f ca="1">IF(ATALI[[#This Row],[//]]="","",INDEX([2]!NOTA[STN],ATALI[[#This Row],[//]]-2))</f>
        <v/>
      </c>
      <c r="N173" s="5" t="str">
        <f ca="1">IF(ATALI[[#This Row],[//]]="","",INDEX([2]!NOTA[HARGA SATUAN],ATALI[[#This Row],[//]]-2))</f>
        <v/>
      </c>
      <c r="O173" s="7" t="str">
        <f ca="1">IF(ATALI[[#This Row],[//]]="","",INDEX([2]!NOTA[DISC 1],ATALI[[#This Row],[//]]-2))</f>
        <v/>
      </c>
      <c r="P173" s="7" t="str">
        <f ca="1">IF(ATALI[[#This Row],[//]]="","",INDEX([2]!NOTA[DISC 2],ATALI[[#This Row],[//]]-2))</f>
        <v/>
      </c>
      <c r="Q173" s="5" t="str">
        <f ca="1">IF(ATALI[[#This Row],[//]]="","",INDEX([2]!NOTA[TOTAL],ATALI[[#This Row],[//]]-2))</f>
        <v/>
      </c>
      <c r="R1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s="4" t="str">
        <f ca="1">IF(ATALI[[#This Row],[//]]="","",INDEX([2]!NOTA[NAMA BARANG],ATALI[[#This Row],[//]]-2))</f>
        <v/>
      </c>
      <c r="V173" s="4" t="str">
        <f ca="1">LOWER(SUBSTITUTE(SUBSTITUTE(SUBSTITUTE(SUBSTITUTE(SUBSTITUTE(SUBSTITUTE(SUBSTITUTE(ATALI[[#This Row],[N.B.nota]]," ",""),"-",""),"(",""),")",""),".",""),",",""),"/",""))</f>
        <v/>
      </c>
      <c r="W173" s="4" t="str">
        <f ca="1">IF(ATALI[[#This Row],[concat]]="","",MATCH(ATALI[[#This Row],[concat]],[4]!db[NB NOTA_C],0)+1)</f>
        <v/>
      </c>
      <c r="X173" s="4" t="str">
        <f ca="1">IF(ATALI[[#This Row],[N.B.nota]]="","",ADDRESS(ROW(ATALI[QB]),COLUMN(ATALI[QB]))&amp;":"&amp;ADDRESS(ROW(),COLUMN(ATALI[QB])))</f>
        <v/>
      </c>
      <c r="Y173" s="13" t="str">
        <f ca="1">IF(ATALI[[#This Row],[//]]="","",HYPERLINK("[../DB.xlsx]DB!e"&amp;MATCH(ATALI[[#This Row],[concat]],[4]!db[NB NOTA_C],0)+1,"&gt;"))</f>
        <v/>
      </c>
    </row>
    <row r="174" spans="1:25" x14ac:dyDescent="0.25">
      <c r="A174" s="4" t="s">
        <v>116</v>
      </c>
      <c r="B174" s="6">
        <f ca="1">IF(ATALI[[#This Row],[N_ID]]="","",INDEX(Table1[ID],MATCH(ATALI[[#This Row],[N_ID]],Table1[N_ID],0)))</f>
        <v>127</v>
      </c>
      <c r="C174" s="6" t="str">
        <f ca="1">IF(ATALI[[#This Row],[ID NOTA]]="","",HYPERLINK("[NOTA_.xlsx]NOTA!e"&amp;INDEX([2]!PAJAK[//],MATCH(ATALI[[#This Row],[ID NOTA]],[2]!PAJAK[ID],0)),"&gt;") )</f>
        <v>&gt;</v>
      </c>
      <c r="D174" s="6">
        <f ca="1">IF(ATALI[[#This Row],[ID NOTA]]="","",INDEX(Table1[QB],MATCH(ATALI[[#This Row],[ID NOTA]],Table1[ID],0)))</f>
        <v>4</v>
      </c>
      <c r="E17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750</v>
      </c>
      <c r="F174" s="6">
        <v>25</v>
      </c>
      <c r="G174" s="3">
        <f ca="1">IF(ATALI[[#This Row],[ID NOTA]]="","",INDEX([2]!NOTA[TGL_H],MATCH(ATALI[[#This Row],[ID NOTA]],[2]!NOTA[ID],0)))</f>
        <v>44831</v>
      </c>
      <c r="H174" s="3">
        <f ca="1">IF(ATALI[[#This Row],[ID NOTA]]="","",INDEX([2]!NOTA[TGL.NOTA],MATCH(ATALI[[#This Row],[ID NOTA]],[2]!NOTA[ID],0)))</f>
        <v>44826</v>
      </c>
      <c r="I174" s="4" t="str">
        <f ca="1">IF(ATALI[[#This Row],[ID NOTA]]="","",INDEX([2]!NOTA[NO.NOTA],MATCH(ATALI[[#This Row],[ID NOTA]],[2]!NOTA[ID],0)))</f>
        <v>SA220915035</v>
      </c>
      <c r="J174" s="4" t="str">
        <f ca="1">IF(ATALI[[#This Row],[//]]="","",INDEX([4]!db[NB PAJAK],ATALI[[#This Row],[stt]]-1))</f>
        <v>JANGKA (MATH SET) JOYKO MS-75</v>
      </c>
      <c r="K174" s="6">
        <f ca="1">IF(ATALI[[#This Row],[//]]="","",IF(INDEX([2]!NOTA[C],ATALI[[#This Row],[//]]-2)="","",INDEX([2]!NOTA[C],ATALI[[#This Row],[//]]-2)))</f>
        <v>2</v>
      </c>
      <c r="L174" s="6">
        <f ca="1">IF(ATALI[[#This Row],[//]]="","",INDEX([2]!NOTA[QTY],ATALI[[#This Row],[//]]-2))</f>
        <v>48</v>
      </c>
      <c r="M174" s="6" t="str">
        <f ca="1">IF(ATALI[[#This Row],[//]]="","",INDEX([2]!NOTA[STN],ATALI[[#This Row],[//]]-2))</f>
        <v>DZ</v>
      </c>
      <c r="N174" s="5">
        <f ca="1">IF(ATALI[[#This Row],[//]]="","",INDEX([2]!NOTA[HARGA SATUAN],ATALI[[#This Row],[//]]-2))</f>
        <v>89400</v>
      </c>
      <c r="O174" s="7">
        <f ca="1">IF(ATALI[[#This Row],[//]]="","",INDEX([2]!NOTA[DISC 1],ATALI[[#This Row],[//]]-2))</f>
        <v>0.125</v>
      </c>
      <c r="P174" s="7">
        <f ca="1">IF(ATALI[[#This Row],[//]]="","",INDEX([2]!NOTA[DISC 2],ATALI[[#This Row],[//]]-2))</f>
        <v>0.05</v>
      </c>
      <c r="Q174" s="5">
        <f ca="1">IF(ATALI[[#This Row],[//]]="","",INDEX([2]!NOTA[TOTAL],ATALI[[#This Row],[//]]-2))</f>
        <v>3567060</v>
      </c>
      <c r="R1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s="4" t="str">
        <f ca="1">IF(ATALI[[#This Row],[//]]="","",INDEX([2]!NOTA[NAMA BARANG],ATALI[[#This Row],[//]]-2))</f>
        <v>MATH SET MS-75 JK</v>
      </c>
      <c r="V174" s="4" t="str">
        <f ca="1">LOWER(SUBSTITUTE(SUBSTITUTE(SUBSTITUTE(SUBSTITUTE(SUBSTITUTE(SUBSTITUTE(SUBSTITUTE(ATALI[[#This Row],[N.B.nota]]," ",""),"-",""),"(",""),")",""),".",""),",",""),"/",""))</f>
        <v>mathsetms75jk</v>
      </c>
      <c r="W174" s="4">
        <f ca="1">IF(ATALI[[#This Row],[concat]]="","",MATCH(ATALI[[#This Row],[concat]],[4]!db[NB NOTA_C],0)+1)</f>
        <v>1430</v>
      </c>
      <c r="X174" s="4" t="str">
        <f ca="1">IF(ATALI[[#This Row],[N.B.nota]]="","",ADDRESS(ROW(ATALI[QB]),COLUMN(ATALI[QB]))&amp;":"&amp;ADDRESS(ROW(),COLUMN(ATALI[QB])))</f>
        <v>$D$3:$D$174</v>
      </c>
      <c r="Y174" s="13" t="str">
        <f ca="1">IF(ATALI[[#This Row],[//]]="","",HYPERLINK("[../DB.xlsx]DB!e"&amp;MATCH(ATALI[[#This Row],[concat]],[4]!db[NB NOTA_C],0)+1,"&gt;"))</f>
        <v>&gt;</v>
      </c>
    </row>
    <row r="175" spans="1:25" x14ac:dyDescent="0.25">
      <c r="A175" s="4"/>
      <c r="B175" s="6" t="str">
        <f>IF(ATALI[[#This Row],[N_ID]]="","",INDEX(Table1[ID],MATCH(ATALI[[#This Row],[N_ID]],Table1[N_ID],0)))</f>
        <v/>
      </c>
      <c r="C175" s="6" t="str">
        <f>IF(ATALI[[#This Row],[ID NOTA]]="","",HYPERLINK("[NOTA_.xlsx]NOTA!e"&amp;INDEX([2]!PAJAK[//],MATCH(ATALI[[#This Row],[ID NOTA]],[2]!PAJAK[ID],0)),"&gt;") )</f>
        <v/>
      </c>
      <c r="D175" s="6" t="str">
        <f>IF(ATALI[[#This Row],[ID NOTA]]="","",INDEX(Table1[QB],MATCH(ATALI[[#This Row],[ID NOTA]],Table1[ID],0)))</f>
        <v/>
      </c>
      <c r="E17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751</v>
      </c>
      <c r="F175" s="6"/>
      <c r="G175" s="3" t="str">
        <f>IF(ATALI[[#This Row],[ID NOTA]]="","",INDEX([2]!NOTA[TGL_H],MATCH(ATALI[[#This Row],[ID NOTA]],[2]!NOTA[ID],0)))</f>
        <v/>
      </c>
      <c r="H175" s="3" t="str">
        <f>IF(ATALI[[#This Row],[ID NOTA]]="","",INDEX([2]!NOTA[TGL.NOTA],MATCH(ATALI[[#This Row],[ID NOTA]],[2]!NOTA[ID],0)))</f>
        <v/>
      </c>
      <c r="I175" s="4" t="str">
        <f>IF(ATALI[[#This Row],[ID NOTA]]="","",INDEX([2]!NOTA[NO.NOTA],MATCH(ATALI[[#This Row],[ID NOTA]],[2]!NOTA[ID],0)))</f>
        <v/>
      </c>
      <c r="J175" s="4" t="str">
        <f ca="1">IF(ATALI[[#This Row],[//]]="","",INDEX([4]!db[NB PAJAK],ATALI[[#This Row],[stt]]-1))</f>
        <v>JANGKA (MATH SET) JOYKO MS-25</v>
      </c>
      <c r="K175" s="6">
        <f ca="1">IF(ATALI[[#This Row],[//]]="","",IF(INDEX([2]!NOTA[C],ATALI[[#This Row],[//]]-2)="","",INDEX([2]!NOTA[C],ATALI[[#This Row],[//]]-2)))</f>
        <v>2</v>
      </c>
      <c r="L175" s="6">
        <f ca="1">IF(ATALI[[#This Row],[//]]="","",INDEX([2]!NOTA[QTY],ATALI[[#This Row],[//]]-2))</f>
        <v>48</v>
      </c>
      <c r="M175" s="6" t="str">
        <f ca="1">IF(ATALI[[#This Row],[//]]="","",INDEX([2]!NOTA[STN],ATALI[[#This Row],[//]]-2))</f>
        <v>DZ</v>
      </c>
      <c r="N175" s="5">
        <f ca="1">IF(ATALI[[#This Row],[//]]="","",INDEX([2]!NOTA[HARGA SATUAN],ATALI[[#This Row],[//]]-2))</f>
        <v>88200</v>
      </c>
      <c r="O175" s="7">
        <f ca="1">IF(ATALI[[#This Row],[//]]="","",INDEX([2]!NOTA[DISC 1],ATALI[[#This Row],[//]]-2))</f>
        <v>0.125</v>
      </c>
      <c r="P175" s="7">
        <f ca="1">IF(ATALI[[#This Row],[//]]="","",INDEX([2]!NOTA[DISC 2],ATALI[[#This Row],[//]]-2))</f>
        <v>0.05</v>
      </c>
      <c r="Q175" s="5">
        <f ca="1">IF(ATALI[[#This Row],[//]]="","",INDEX([2]!NOTA[TOTAL],ATALI[[#This Row],[//]]-2))</f>
        <v>3519180</v>
      </c>
      <c r="R1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s="4" t="str">
        <f ca="1">IF(ATALI[[#This Row],[//]]="","",INDEX([2]!NOTA[NAMA BARANG],ATALI[[#This Row],[//]]-2))</f>
        <v>MATH SET MS-25 JK</v>
      </c>
      <c r="V175" s="4" t="str">
        <f ca="1">LOWER(SUBSTITUTE(SUBSTITUTE(SUBSTITUTE(SUBSTITUTE(SUBSTITUTE(SUBSTITUTE(SUBSTITUTE(ATALI[[#This Row],[N.B.nota]]," ",""),"-",""),"(",""),")",""),".",""),",",""),"/",""))</f>
        <v>mathsetms25jk</v>
      </c>
      <c r="W175" s="4">
        <f ca="1">IF(ATALI[[#This Row],[concat]]="","",MATCH(ATALI[[#This Row],[concat]],[4]!db[NB NOTA_C],0)+1)</f>
        <v>1425</v>
      </c>
      <c r="X175" s="4" t="str">
        <f ca="1">IF(ATALI[[#This Row],[N.B.nota]]="","",ADDRESS(ROW(ATALI[QB]),COLUMN(ATALI[QB]))&amp;":"&amp;ADDRESS(ROW(),COLUMN(ATALI[QB])))</f>
        <v>$D$3:$D$175</v>
      </c>
      <c r="Y175" s="13" t="str">
        <f ca="1">IF(ATALI[[#This Row],[//]]="","",HYPERLINK("[../DB.xlsx]DB!e"&amp;MATCH(ATALI[[#This Row],[concat]],[4]!db[NB NOTA_C],0)+1,"&gt;"))</f>
        <v>&gt;</v>
      </c>
    </row>
    <row r="176" spans="1:25" x14ac:dyDescent="0.25">
      <c r="A176" s="4"/>
      <c r="B176" s="6" t="str">
        <f>IF(ATALI[[#This Row],[N_ID]]="","",INDEX(Table1[ID],MATCH(ATALI[[#This Row],[N_ID]],Table1[N_ID],0)))</f>
        <v/>
      </c>
      <c r="C176" s="6" t="str">
        <f>IF(ATALI[[#This Row],[ID NOTA]]="","",HYPERLINK("[NOTA_.xlsx]NOTA!e"&amp;INDEX([2]!PAJAK[//],MATCH(ATALI[[#This Row],[ID NOTA]],[2]!PAJAK[ID],0)),"&gt;") )</f>
        <v/>
      </c>
      <c r="D176" s="6" t="str">
        <f>IF(ATALI[[#This Row],[ID NOTA]]="","",INDEX(Table1[QB],MATCH(ATALI[[#This Row],[ID NOTA]],Table1[ID],0)))</f>
        <v/>
      </c>
      <c r="E17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752</v>
      </c>
      <c r="F176" s="6"/>
      <c r="G176" s="3" t="str">
        <f>IF(ATALI[[#This Row],[ID NOTA]]="","",INDEX([2]!NOTA[TGL_H],MATCH(ATALI[[#This Row],[ID NOTA]],[2]!NOTA[ID],0)))</f>
        <v/>
      </c>
      <c r="H176" s="3" t="str">
        <f>IF(ATALI[[#This Row],[ID NOTA]]="","",INDEX([2]!NOTA[TGL.NOTA],MATCH(ATALI[[#This Row],[ID NOTA]],[2]!NOTA[ID],0)))</f>
        <v/>
      </c>
      <c r="I176" s="4" t="str">
        <f>IF(ATALI[[#This Row],[ID NOTA]]="","",INDEX([2]!NOTA[NO.NOTA],MATCH(ATALI[[#This Row],[ID NOTA]],[2]!NOTA[ID],0)))</f>
        <v/>
      </c>
      <c r="J176" s="4" t="str">
        <f ca="1">IF(ATALI[[#This Row],[//]]="","",INDEX([4]!db[NB PAJAK],ATALI[[#This Row],[stt]]-1))</f>
        <v>MESIN LABEL HARGA JOYKO MX-5500M (8 DIGITS, 1 LINE)</v>
      </c>
      <c r="K176" s="6">
        <f ca="1">IF(ATALI[[#This Row],[//]]="","",IF(INDEX([2]!NOTA[C],ATALI[[#This Row],[//]]-2)="","",INDEX([2]!NOTA[C],ATALI[[#This Row],[//]]-2)))</f>
        <v>1</v>
      </c>
      <c r="L176" s="6">
        <f ca="1">IF(ATALI[[#This Row],[//]]="","",INDEX([2]!NOTA[QTY],ATALI[[#This Row],[//]]-2))</f>
        <v>20</v>
      </c>
      <c r="M176" s="6" t="str">
        <f ca="1">IF(ATALI[[#This Row],[//]]="","",INDEX([2]!NOTA[STN],ATALI[[#This Row],[//]]-2))</f>
        <v>PCS</v>
      </c>
      <c r="N176" s="5">
        <f ca="1">IF(ATALI[[#This Row],[//]]="","",INDEX([2]!NOTA[HARGA SATUAN],ATALI[[#This Row],[//]]-2))</f>
        <v>40500</v>
      </c>
      <c r="O176" s="7">
        <f ca="1">IF(ATALI[[#This Row],[//]]="","",INDEX([2]!NOTA[DISC 1],ATALI[[#This Row],[//]]-2))</f>
        <v>0.125</v>
      </c>
      <c r="P176" s="7">
        <f ca="1">IF(ATALI[[#This Row],[//]]="","",INDEX([2]!NOTA[DISC 2],ATALI[[#This Row],[//]]-2))</f>
        <v>0.05</v>
      </c>
      <c r="Q176" s="5">
        <f ca="1">IF(ATALI[[#This Row],[//]]="","",INDEX([2]!NOTA[TOTAL],ATALI[[#This Row],[//]]-2))</f>
        <v>673312.5</v>
      </c>
      <c r="R1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s="4" t="str">
        <f ca="1">IF(ATALI[[#This Row],[//]]="","",INDEX([2]!NOTA[NAMA BARANG],ATALI[[#This Row],[//]]-2))</f>
        <v>LABELLER MX-5500M (8 DIGITS) JK</v>
      </c>
      <c r="V176" s="4" t="str">
        <f ca="1">LOWER(SUBSTITUTE(SUBSTITUTE(SUBSTITUTE(SUBSTITUTE(SUBSTITUTE(SUBSTITUTE(SUBSTITUTE(ATALI[[#This Row],[N.B.nota]]," ",""),"-",""),"(",""),")",""),".",""),",",""),"/",""))</f>
        <v>labellermx5500m8digitsjk</v>
      </c>
      <c r="W176" s="4">
        <f ca="1">IF(ATALI[[#This Row],[concat]]="","",MATCH(ATALI[[#This Row],[concat]],[4]!db[NB NOTA_C],0)+1)</f>
        <v>1303</v>
      </c>
      <c r="X176" s="4" t="str">
        <f ca="1">IF(ATALI[[#This Row],[N.B.nota]]="","",ADDRESS(ROW(ATALI[QB]),COLUMN(ATALI[QB]))&amp;":"&amp;ADDRESS(ROW(),COLUMN(ATALI[QB])))</f>
        <v>$D$3:$D$176</v>
      </c>
      <c r="Y176" s="13" t="str">
        <f ca="1">IF(ATALI[[#This Row],[//]]="","",HYPERLINK("[../DB.xlsx]DB!e"&amp;MATCH(ATALI[[#This Row],[concat]],[4]!db[NB NOTA_C],0)+1,"&gt;"))</f>
        <v>&gt;</v>
      </c>
    </row>
    <row r="177" spans="1:25" x14ac:dyDescent="0.25">
      <c r="A177" s="4"/>
      <c r="B177" s="6" t="str">
        <f>IF(ATALI[[#This Row],[N_ID]]="","",INDEX(Table1[ID],MATCH(ATALI[[#This Row],[N_ID]],Table1[N_ID],0)))</f>
        <v/>
      </c>
      <c r="C177" s="6" t="str">
        <f>IF(ATALI[[#This Row],[ID NOTA]]="","",HYPERLINK("[NOTA_.xlsx]NOTA!e"&amp;INDEX([2]!PAJAK[//],MATCH(ATALI[[#This Row],[ID NOTA]],[2]!PAJAK[ID],0)),"&gt;") )</f>
        <v/>
      </c>
      <c r="D177" s="6" t="str">
        <f>IF(ATALI[[#This Row],[ID NOTA]]="","",INDEX(Table1[QB],MATCH(ATALI[[#This Row],[ID NOTA]],Table1[ID],0)))</f>
        <v/>
      </c>
      <c r="E17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753</v>
      </c>
      <c r="F177" s="6"/>
      <c r="G177" s="3" t="str">
        <f>IF(ATALI[[#This Row],[ID NOTA]]="","",INDEX([2]!NOTA[TGL_H],MATCH(ATALI[[#This Row],[ID NOTA]],[2]!NOTA[ID],0)))</f>
        <v/>
      </c>
      <c r="H177" s="3" t="str">
        <f>IF(ATALI[[#This Row],[ID NOTA]]="","",INDEX([2]!NOTA[TGL.NOTA],MATCH(ATALI[[#This Row],[ID NOTA]],[2]!NOTA[ID],0)))</f>
        <v/>
      </c>
      <c r="I177" s="4" t="str">
        <f>IF(ATALI[[#This Row],[ID NOTA]]="","",INDEX([2]!NOTA[NO.NOTA],MATCH(ATALI[[#This Row],[ID NOTA]],[2]!NOTA[ID],0)))</f>
        <v/>
      </c>
      <c r="J177" s="4" t="str">
        <f ca="1">IF(ATALI[[#This Row],[//]]="","",INDEX([4]!db[NB PAJAK],ATALI[[#This Row],[stt]]-1))</f>
        <v>JANGKA (MATH SET) JOYKO MS-55</v>
      </c>
      <c r="K177" s="6">
        <f ca="1">IF(ATALI[[#This Row],[//]]="","",IF(INDEX([2]!NOTA[C],ATALI[[#This Row],[//]]-2)="","",INDEX([2]!NOTA[C],ATALI[[#This Row],[//]]-2)))</f>
        <v>1</v>
      </c>
      <c r="L177" s="6">
        <f ca="1">IF(ATALI[[#This Row],[//]]="","",INDEX([2]!NOTA[QTY],ATALI[[#This Row],[//]]-2))</f>
        <v>24</v>
      </c>
      <c r="M177" s="6" t="str">
        <f ca="1">IF(ATALI[[#This Row],[//]]="","",INDEX([2]!NOTA[STN],ATALI[[#This Row],[//]]-2))</f>
        <v>DZ</v>
      </c>
      <c r="N177" s="5">
        <f ca="1">IF(ATALI[[#This Row],[//]]="","",INDEX([2]!NOTA[HARGA SATUAN],ATALI[[#This Row],[//]]-2))</f>
        <v>88200</v>
      </c>
      <c r="O177" s="7">
        <f ca="1">IF(ATALI[[#This Row],[//]]="","",INDEX([2]!NOTA[DISC 1],ATALI[[#This Row],[//]]-2))</f>
        <v>0.125</v>
      </c>
      <c r="P177" s="7">
        <f ca="1">IF(ATALI[[#This Row],[//]]="","",INDEX([2]!NOTA[DISC 2],ATALI[[#This Row],[//]]-2))</f>
        <v>0.05</v>
      </c>
      <c r="Q177" s="5">
        <f ca="1">IF(ATALI[[#This Row],[//]]="","",INDEX([2]!NOTA[TOTAL],ATALI[[#This Row],[//]]-2))</f>
        <v>1759590</v>
      </c>
      <c r="R17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7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9519142.5</v>
      </c>
      <c r="T1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s="4" t="str">
        <f ca="1">IF(ATALI[[#This Row],[//]]="","",INDEX([2]!NOTA[NAMA BARANG],ATALI[[#This Row],[//]]-2))</f>
        <v>MATH SET MS-55 JK</v>
      </c>
      <c r="V177" s="4" t="str">
        <f ca="1">LOWER(SUBSTITUTE(SUBSTITUTE(SUBSTITUTE(SUBSTITUTE(SUBSTITUTE(SUBSTITUTE(SUBSTITUTE(ATALI[[#This Row],[N.B.nota]]," ",""),"-",""),"(",""),")",""),".",""),",",""),"/",""))</f>
        <v>mathsetms55jk</v>
      </c>
      <c r="W177" s="4">
        <f ca="1">IF(ATALI[[#This Row],[concat]]="","",MATCH(ATALI[[#This Row],[concat]],[4]!db[NB NOTA_C],0)+1)</f>
        <v>1429</v>
      </c>
      <c r="X177" s="4" t="str">
        <f ca="1">IF(ATALI[[#This Row],[N.B.nota]]="","",ADDRESS(ROW(ATALI[QB]),COLUMN(ATALI[QB]))&amp;":"&amp;ADDRESS(ROW(),COLUMN(ATALI[QB])))</f>
        <v>$D$3:$D$177</v>
      </c>
      <c r="Y177" s="13" t="str">
        <f ca="1">IF(ATALI[[#This Row],[//]]="","",HYPERLINK("[../DB.xlsx]DB!e"&amp;MATCH(ATALI[[#This Row],[concat]],[4]!db[NB NOTA_C],0)+1,"&gt;"))</f>
        <v>&gt;</v>
      </c>
    </row>
    <row r="178" spans="1:25" x14ac:dyDescent="0.25">
      <c r="A178" s="4"/>
      <c r="B178" s="6" t="str">
        <f>IF(ATALI[[#This Row],[N_ID]]="","",INDEX(Table1[ID],MATCH(ATALI[[#This Row],[N_ID]],Table1[N_ID],0)))</f>
        <v/>
      </c>
      <c r="C178" s="6" t="str">
        <f>IF(ATALI[[#This Row],[ID NOTA]]="","",HYPERLINK("[NOTA_.xlsx]NOTA!e"&amp;INDEX([2]!PAJAK[//],MATCH(ATALI[[#This Row],[ID NOTA]],[2]!PAJAK[ID],0)),"&gt;") )</f>
        <v/>
      </c>
      <c r="D178" s="6" t="str">
        <f>IF(ATALI[[#This Row],[ID NOTA]]="","",INDEX(Table1[QB],MATCH(ATALI[[#This Row],[ID NOTA]],Table1[ID],0)))</f>
        <v/>
      </c>
      <c r="E1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8" s="6"/>
      <c r="G178" s="3" t="str">
        <f>IF(ATALI[[#This Row],[ID NOTA]]="","",INDEX([2]!NOTA[TGL_H],MATCH(ATALI[[#This Row],[ID NOTA]],[2]!NOTA[ID],0)))</f>
        <v/>
      </c>
      <c r="H178" s="3" t="str">
        <f>IF(ATALI[[#This Row],[ID NOTA]]="","",INDEX([2]!NOTA[TGL.NOTA],MATCH(ATALI[[#This Row],[ID NOTA]],[2]!NOTA[ID],0)))</f>
        <v/>
      </c>
      <c r="I178" s="4" t="str">
        <f>IF(ATALI[[#This Row],[ID NOTA]]="","",INDEX([2]!NOTA[NO.NOTA],MATCH(ATALI[[#This Row],[ID NOTA]],[2]!NOTA[ID],0)))</f>
        <v/>
      </c>
      <c r="J178" s="4" t="str">
        <f ca="1">IF(ATALI[[#This Row],[//]]="","",INDEX([4]!db[NB PAJAK],ATALI[[#This Row],[stt]]-1))</f>
        <v/>
      </c>
      <c r="K178" s="6" t="str">
        <f ca="1">IF(ATALI[[#This Row],[//]]="","",IF(INDEX([2]!NOTA[C],ATALI[[#This Row],[//]]-2)="","",INDEX([2]!NOTA[C],ATALI[[#This Row],[//]]-2)))</f>
        <v/>
      </c>
      <c r="L178" s="6" t="str">
        <f ca="1">IF(ATALI[[#This Row],[//]]="","",INDEX([2]!NOTA[QTY],ATALI[[#This Row],[//]]-2))</f>
        <v/>
      </c>
      <c r="M178" s="6" t="str">
        <f ca="1">IF(ATALI[[#This Row],[//]]="","",INDEX([2]!NOTA[STN],ATALI[[#This Row],[//]]-2))</f>
        <v/>
      </c>
      <c r="N178" s="5" t="str">
        <f ca="1">IF(ATALI[[#This Row],[//]]="","",INDEX([2]!NOTA[HARGA SATUAN],ATALI[[#This Row],[//]]-2))</f>
        <v/>
      </c>
      <c r="O178" s="7" t="str">
        <f ca="1">IF(ATALI[[#This Row],[//]]="","",INDEX([2]!NOTA[DISC 1],ATALI[[#This Row],[//]]-2))</f>
        <v/>
      </c>
      <c r="P178" s="7" t="str">
        <f ca="1">IF(ATALI[[#This Row],[//]]="","",INDEX([2]!NOTA[DISC 2],ATALI[[#This Row],[//]]-2))</f>
        <v/>
      </c>
      <c r="Q178" s="5" t="str">
        <f ca="1">IF(ATALI[[#This Row],[//]]="","",INDEX([2]!NOTA[TOTAL],ATALI[[#This Row],[//]]-2))</f>
        <v/>
      </c>
      <c r="R1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s="4" t="str">
        <f ca="1">IF(ATALI[[#This Row],[//]]="","",INDEX([2]!NOTA[NAMA BARANG],ATALI[[#This Row],[//]]-2))</f>
        <v/>
      </c>
      <c r="V178" s="4" t="str">
        <f ca="1">LOWER(SUBSTITUTE(SUBSTITUTE(SUBSTITUTE(SUBSTITUTE(SUBSTITUTE(SUBSTITUTE(SUBSTITUTE(ATALI[[#This Row],[N.B.nota]]," ",""),"-",""),"(",""),")",""),".",""),",",""),"/",""))</f>
        <v/>
      </c>
      <c r="W178" s="4" t="str">
        <f ca="1">IF(ATALI[[#This Row],[concat]]="","",MATCH(ATALI[[#This Row],[concat]],[4]!db[NB NOTA_C],0)+1)</f>
        <v/>
      </c>
      <c r="X178" s="4" t="str">
        <f ca="1">IF(ATALI[[#This Row],[N.B.nota]]="","",ADDRESS(ROW(ATALI[QB]),COLUMN(ATALI[QB]))&amp;":"&amp;ADDRESS(ROW(),COLUMN(ATALI[QB])))</f>
        <v/>
      </c>
      <c r="Y178" s="13" t="str">
        <f ca="1">IF(ATALI[[#This Row],[//]]="","",HYPERLINK("[../DB.xlsx]DB!e"&amp;MATCH(ATALI[[#This Row],[concat]],[4]!db[NB NOTA_C],0)+1,"&gt;"))</f>
        <v/>
      </c>
    </row>
    <row r="179" spans="1:25" s="76" customFormat="1" x14ac:dyDescent="0.25">
      <c r="A179" s="69" t="s">
        <v>136</v>
      </c>
      <c r="B179" s="70">
        <f ca="1">IF(ATALI[[#This Row],[N_ID]]="","",INDEX(Table1[ID],MATCH(ATALI[[#This Row],[N_ID]],Table1[N_ID],0)))</f>
        <v>146</v>
      </c>
      <c r="C179" s="70" t="str">
        <f ca="1">IF(ATALI[[#This Row],[ID NOTA]]="","",HYPERLINK("[NOTA_.xlsx]NOTA!e"&amp;INDEX([2]!PAJAK[//],MATCH(ATALI[[#This Row],[ID NOTA]],[2]!PAJAK[ID],0)),"&gt;") )</f>
        <v>&gt;</v>
      </c>
      <c r="D179" s="70">
        <f ca="1">IF(ATALI[[#This Row],[ID NOTA]]="","",INDEX(Table1[QB],MATCH(ATALI[[#This Row],[ID NOTA]],Table1[ID],0)))</f>
        <v>3</v>
      </c>
      <c r="E17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821</v>
      </c>
      <c r="F179" s="70"/>
      <c r="G179" s="71">
        <f ca="1">IF(ATALI[[#This Row],[ID NOTA]]="","",INDEX([2]!NOTA[TGL_H],MATCH(ATALI[[#This Row],[ID NOTA]],[2]!NOTA[ID],0)))</f>
        <v>44834</v>
      </c>
      <c r="H179" s="71">
        <f ca="1">IF(ATALI[[#This Row],[ID NOTA]]="","",INDEX([2]!NOTA[TGL.NOTA],MATCH(ATALI[[#This Row],[ID NOTA]],[2]!NOTA[ID],0)))</f>
        <v>44830</v>
      </c>
      <c r="I179" s="69" t="str">
        <f ca="1">IF(ATALI[[#This Row],[ID NOTA]]="","",INDEX([2]!NOTA[NO.NOTA],MATCH(ATALI[[#This Row],[ID NOTA]],[2]!NOTA[ID],0)))</f>
        <v>SA220915219</v>
      </c>
      <c r="J179" s="69" t="str">
        <f ca="1">IF(ATALI[[#This Row],[//]]="","",INDEX([4]!db[NB PAJAK],ATALI[[#This Row],[stt]]-1))</f>
        <v>CRAYON / OIL PASTEL JOYKO OP-12S PP CASE SEA WORLD</v>
      </c>
      <c r="K179" s="70">
        <f ca="1">IF(ATALI[[#This Row],[//]]="","",IF(INDEX([2]!NOTA[C],ATALI[[#This Row],[//]]-2)="","",INDEX([2]!NOTA[C],ATALI[[#This Row],[//]]-2)))</f>
        <v>10</v>
      </c>
      <c r="L179" s="70">
        <f ca="1">IF(ATALI[[#This Row],[//]]="","",INDEX([2]!NOTA[QTY],ATALI[[#This Row],[//]]-2))</f>
        <v>1440</v>
      </c>
      <c r="M179" s="70" t="str">
        <f ca="1">IF(ATALI[[#This Row],[//]]="","",INDEX([2]!NOTA[STN],ATALI[[#This Row],[//]]-2))</f>
        <v>SET</v>
      </c>
      <c r="N179" s="72">
        <f ca="1">IF(ATALI[[#This Row],[//]]="","",INDEX([2]!NOTA[HARGA SATUAN],ATALI[[#This Row],[//]]-2))</f>
        <v>11900</v>
      </c>
      <c r="O179" s="73">
        <f ca="1">IF(ATALI[[#This Row],[//]]="","",INDEX([2]!NOTA[DISC 1],ATALI[[#This Row],[//]]-2))</f>
        <v>0.125</v>
      </c>
      <c r="P179" s="73">
        <f ca="1">IF(ATALI[[#This Row],[//]]="","",INDEX([2]!NOTA[DISC 2],ATALI[[#This Row],[//]]-2))</f>
        <v>0.05</v>
      </c>
      <c r="Q179" s="72">
        <f ca="1">IF(ATALI[[#This Row],[//]]="","",INDEX([2]!NOTA[TOTAL],ATALI[[#This Row],[//]]-2))</f>
        <v>14244300</v>
      </c>
      <c r="R179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9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9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s="69" t="str">
        <f ca="1">IF(ATALI[[#This Row],[//]]="","",INDEX([2]!NOTA[NAMA BARANG],ATALI[[#This Row],[//]]-2))</f>
        <v>OIL PASTEL OP-12S PP CASE SEA WORLD JK</v>
      </c>
      <c r="V179" s="69" t="str">
        <f ca="1">LOWER(SUBSTITUTE(SUBSTITUTE(SUBSTITUTE(SUBSTITUTE(SUBSTITUTE(SUBSTITUTE(SUBSTITUTE(ATALI[[#This Row],[N.B.nota]]," ",""),"-",""),"(",""),")",""),".",""),",",""),"/",""))</f>
        <v>oilpastelop12sppcaseseaworldjk</v>
      </c>
      <c r="W179" s="69">
        <f ca="1">IF(ATALI[[#This Row],[concat]]="","",MATCH(ATALI[[#This Row],[concat]],[4]!db[NB NOTA_C],0)+1)</f>
        <v>1500</v>
      </c>
      <c r="X179" s="69" t="str">
        <f ca="1">IF(ATALI[[#This Row],[N.B.nota]]="","",ADDRESS(ROW(ATALI[QB]),COLUMN(ATALI[QB]))&amp;":"&amp;ADDRESS(ROW(),COLUMN(ATALI[QB])))</f>
        <v>$D$3:$D$179</v>
      </c>
      <c r="Y179" s="75" t="str">
        <f ca="1">IF(ATALI[[#This Row],[//]]="","",HYPERLINK("[../DB.xlsx]DB!e"&amp;MATCH(ATALI[[#This Row],[concat]],[4]!db[NB NOTA_C],0)+1,"&gt;"))</f>
        <v>&gt;</v>
      </c>
    </row>
    <row r="180" spans="1:25" s="76" customFormat="1" x14ac:dyDescent="0.25">
      <c r="A180" s="69"/>
      <c r="B180" s="70" t="str">
        <f>IF(ATALI[[#This Row],[N_ID]]="","",INDEX(Table1[ID],MATCH(ATALI[[#This Row],[N_ID]],Table1[N_ID],0)))</f>
        <v/>
      </c>
      <c r="C180" s="70" t="str">
        <f>IF(ATALI[[#This Row],[ID NOTA]]="","",HYPERLINK("[NOTA_.xlsx]NOTA!e"&amp;INDEX([2]!PAJAK[//],MATCH(ATALI[[#This Row],[ID NOTA]],[2]!PAJAK[ID],0)),"&gt;") )</f>
        <v/>
      </c>
      <c r="D180" s="70" t="str">
        <f>IF(ATALI[[#This Row],[ID NOTA]]="","",INDEX(Table1[QB],MATCH(ATALI[[#This Row],[ID NOTA]],Table1[ID],0)))</f>
        <v/>
      </c>
      <c r="E18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822</v>
      </c>
      <c r="F180" s="70"/>
      <c r="G180" s="71" t="str">
        <f>IF(ATALI[[#This Row],[ID NOTA]]="","",INDEX([2]!NOTA[TGL_H],MATCH(ATALI[[#This Row],[ID NOTA]],[2]!NOTA[ID],0)))</f>
        <v/>
      </c>
      <c r="H180" s="71" t="str">
        <f>IF(ATALI[[#This Row],[ID NOTA]]="","",INDEX([2]!NOTA[TGL.NOTA],MATCH(ATALI[[#This Row],[ID NOTA]],[2]!NOTA[ID],0)))</f>
        <v/>
      </c>
      <c r="I180" s="69" t="str">
        <f>IF(ATALI[[#This Row],[ID NOTA]]="","",INDEX([2]!NOTA[NO.NOTA],MATCH(ATALI[[#This Row],[ID NOTA]],[2]!NOTA[ID],0)))</f>
        <v/>
      </c>
      <c r="J180" s="69" t="str">
        <f ca="1">IF(ATALI[[#This Row],[//]]="","",INDEX([4]!db[NB PAJAK],ATALI[[#This Row],[stt]]-1))</f>
        <v>CRAYON / OIL PASTEL JOYKO OP-18S PP CASE SEA WORLD</v>
      </c>
      <c r="K180" s="70">
        <f ca="1">IF(ATALI[[#This Row],[//]]="","",IF(INDEX([2]!NOTA[C],ATALI[[#This Row],[//]]-2)="","",INDEX([2]!NOTA[C],ATALI[[#This Row],[//]]-2)))</f>
        <v>5</v>
      </c>
      <c r="L180" s="70">
        <f ca="1">IF(ATALI[[#This Row],[//]]="","",INDEX([2]!NOTA[QTY],ATALI[[#This Row],[//]]-2))</f>
        <v>360</v>
      </c>
      <c r="M180" s="70" t="str">
        <f ca="1">IF(ATALI[[#This Row],[//]]="","",INDEX([2]!NOTA[STN],ATALI[[#This Row],[//]]-2))</f>
        <v>SET</v>
      </c>
      <c r="N180" s="72">
        <f ca="1">IF(ATALI[[#This Row],[//]]="","",INDEX([2]!NOTA[HARGA SATUAN],ATALI[[#This Row],[//]]-2))</f>
        <v>23000</v>
      </c>
      <c r="O180" s="73">
        <f ca="1">IF(ATALI[[#This Row],[//]]="","",INDEX([2]!NOTA[DISC 1],ATALI[[#This Row],[//]]-2))</f>
        <v>0.125</v>
      </c>
      <c r="P180" s="73">
        <f ca="1">IF(ATALI[[#This Row],[//]]="","",INDEX([2]!NOTA[DISC 2],ATALI[[#This Row],[//]]-2))</f>
        <v>0.05</v>
      </c>
      <c r="Q180" s="72">
        <f ca="1">IF(ATALI[[#This Row],[//]]="","",INDEX([2]!NOTA[TOTAL],ATALI[[#This Row],[//]]-2))</f>
        <v>6882750</v>
      </c>
      <c r="R180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0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0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s="69" t="str">
        <f ca="1">IF(ATALI[[#This Row],[//]]="","",INDEX([2]!NOTA[NAMA BARANG],ATALI[[#This Row],[//]]-2))</f>
        <v>OIL PASTEL OP-18S PP CASE SEA WORLD JK</v>
      </c>
      <c r="V180" s="69" t="str">
        <f ca="1">LOWER(SUBSTITUTE(SUBSTITUTE(SUBSTITUTE(SUBSTITUTE(SUBSTITUTE(SUBSTITUTE(SUBSTITUTE(ATALI[[#This Row],[N.B.nota]]," ",""),"-",""),"(",""),")",""),".",""),",",""),"/",""))</f>
        <v>oilpastelop18sppcaseseaworldjk</v>
      </c>
      <c r="W180" s="69">
        <f ca="1">IF(ATALI[[#This Row],[concat]]="","",MATCH(ATALI[[#This Row],[concat]],[4]!db[NB NOTA_C],0)+1)</f>
        <v>1501</v>
      </c>
      <c r="X180" s="69" t="str">
        <f ca="1">IF(ATALI[[#This Row],[N.B.nota]]="","",ADDRESS(ROW(ATALI[QB]),COLUMN(ATALI[QB]))&amp;":"&amp;ADDRESS(ROW(),COLUMN(ATALI[QB])))</f>
        <v>$D$3:$D$180</v>
      </c>
      <c r="Y180" s="75" t="str">
        <f ca="1">IF(ATALI[[#This Row],[//]]="","",HYPERLINK("[../DB.xlsx]DB!e"&amp;MATCH(ATALI[[#This Row],[concat]],[4]!db[NB NOTA_C],0)+1,"&gt;"))</f>
        <v>&gt;</v>
      </c>
    </row>
    <row r="181" spans="1:25" s="76" customFormat="1" x14ac:dyDescent="0.25">
      <c r="A181" s="69"/>
      <c r="B181" s="70" t="str">
        <f>IF(ATALI[[#This Row],[N_ID]]="","",INDEX(Table1[ID],MATCH(ATALI[[#This Row],[N_ID]],Table1[N_ID],0)))</f>
        <v/>
      </c>
      <c r="C181" s="70" t="str">
        <f>IF(ATALI[[#This Row],[ID NOTA]]="","",HYPERLINK("[NOTA_.xlsx]NOTA!e"&amp;INDEX([2]!PAJAK[//],MATCH(ATALI[[#This Row],[ID NOTA]],[2]!PAJAK[ID],0)),"&gt;") )</f>
        <v/>
      </c>
      <c r="D181" s="70" t="str">
        <f>IF(ATALI[[#This Row],[ID NOTA]]="","",INDEX(Table1[QB],MATCH(ATALI[[#This Row],[ID NOTA]],Table1[ID],0)))</f>
        <v/>
      </c>
      <c r="E18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823</v>
      </c>
      <c r="F181" s="70"/>
      <c r="G181" s="71" t="str">
        <f>IF(ATALI[[#This Row],[ID NOTA]]="","",INDEX([2]!NOTA[TGL_H],MATCH(ATALI[[#This Row],[ID NOTA]],[2]!NOTA[ID],0)))</f>
        <v/>
      </c>
      <c r="H181" s="71" t="str">
        <f>IF(ATALI[[#This Row],[ID NOTA]]="","",INDEX([2]!NOTA[TGL.NOTA],MATCH(ATALI[[#This Row],[ID NOTA]],[2]!NOTA[ID],0)))</f>
        <v/>
      </c>
      <c r="I181" s="69" t="str">
        <f>IF(ATALI[[#This Row],[ID NOTA]]="","",INDEX([2]!NOTA[NO.NOTA],MATCH(ATALI[[#This Row],[ID NOTA]],[2]!NOTA[ID],0)))</f>
        <v/>
      </c>
      <c r="J181" s="69" t="str">
        <f ca="1">IF(ATALI[[#This Row],[//]]="","",INDEX([4]!db[NB PAJAK],ATALI[[#This Row],[stt]]-1))</f>
        <v>CRAYON / OIL PASTEL JOYKO OP-48S PP CASE SEA WORLD</v>
      </c>
      <c r="K181" s="70">
        <f ca="1">IF(ATALI[[#This Row],[//]]="","",IF(INDEX([2]!NOTA[C],ATALI[[#This Row],[//]]-2)="","",INDEX([2]!NOTA[C],ATALI[[#This Row],[//]]-2)))</f>
        <v>2</v>
      </c>
      <c r="L181" s="70">
        <f ca="1">IF(ATALI[[#This Row],[//]]="","",INDEX([2]!NOTA[QTY],ATALI[[#This Row],[//]]-2))</f>
        <v>48</v>
      </c>
      <c r="M181" s="70" t="str">
        <f ca="1">IF(ATALI[[#This Row],[//]]="","",INDEX([2]!NOTA[STN],ATALI[[#This Row],[//]]-2))</f>
        <v>SET</v>
      </c>
      <c r="N181" s="72">
        <f ca="1">IF(ATALI[[#This Row],[//]]="","",INDEX([2]!NOTA[HARGA SATUAN],ATALI[[#This Row],[//]]-2))</f>
        <v>58900</v>
      </c>
      <c r="O181" s="73">
        <f ca="1">IF(ATALI[[#This Row],[//]]="","",INDEX([2]!NOTA[DISC 1],ATALI[[#This Row],[//]]-2))</f>
        <v>0.125</v>
      </c>
      <c r="P181" s="73">
        <f ca="1">IF(ATALI[[#This Row],[//]]="","",INDEX([2]!NOTA[DISC 2],ATALI[[#This Row],[//]]-2))</f>
        <v>0.05</v>
      </c>
      <c r="Q181" s="72">
        <f ca="1">IF(ATALI[[#This Row],[//]]="","",INDEX([2]!NOTA[TOTAL],ATALI[[#This Row],[//]]-2))</f>
        <v>2350110</v>
      </c>
      <c r="R181" s="72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81" s="72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23477160</v>
      </c>
      <c r="T181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s="69" t="str">
        <f ca="1">IF(ATALI[[#This Row],[//]]="","",INDEX([2]!NOTA[NAMA BARANG],ATALI[[#This Row],[//]]-2))</f>
        <v>OIL PASTEL OP-48S PP CASE SEA WORLD JK</v>
      </c>
      <c r="V181" s="69" t="str">
        <f ca="1">LOWER(SUBSTITUTE(SUBSTITUTE(SUBSTITUTE(SUBSTITUTE(SUBSTITUTE(SUBSTITUTE(SUBSTITUTE(ATALI[[#This Row],[N.B.nota]]," ",""),"-",""),"(",""),")",""),".",""),",",""),"/",""))</f>
        <v>oilpastelop48sppcaseseaworldjk</v>
      </c>
      <c r="W181" s="69">
        <f ca="1">IF(ATALI[[#This Row],[concat]]="","",MATCH(ATALI[[#This Row],[concat]],[4]!db[NB NOTA_C],0)+1)</f>
        <v>1504</v>
      </c>
      <c r="X181" s="69" t="str">
        <f ca="1">IF(ATALI[[#This Row],[N.B.nota]]="","",ADDRESS(ROW(ATALI[QB]),COLUMN(ATALI[QB]))&amp;":"&amp;ADDRESS(ROW(),COLUMN(ATALI[QB])))</f>
        <v>$D$3:$D$181</v>
      </c>
      <c r="Y181" s="75" t="str">
        <f ca="1">IF(ATALI[[#This Row],[//]]="","",HYPERLINK("[../DB.xlsx]DB!e"&amp;MATCH(ATALI[[#This Row],[concat]],[4]!db[NB NOTA_C],0)+1,"&gt;"))</f>
        <v>&gt;</v>
      </c>
    </row>
    <row r="182" spans="1:25" s="76" customFormat="1" x14ac:dyDescent="0.25">
      <c r="A182" s="69"/>
      <c r="B182" s="70" t="str">
        <f>IF(ATALI[[#This Row],[N_ID]]="","",INDEX(Table1[ID],MATCH(ATALI[[#This Row],[N_ID]],Table1[N_ID],0)))</f>
        <v/>
      </c>
      <c r="C182" s="70" t="str">
        <f>IF(ATALI[[#This Row],[ID NOTA]]="","",HYPERLINK("[NOTA_.xlsx]NOTA!e"&amp;INDEX([2]!PAJAK[//],MATCH(ATALI[[#This Row],[ID NOTA]],[2]!PAJAK[ID],0)),"&gt;") )</f>
        <v/>
      </c>
      <c r="D182" s="70" t="str">
        <f>IF(ATALI[[#This Row],[ID NOTA]]="","",INDEX(Table1[QB],MATCH(ATALI[[#This Row],[ID NOTA]],Table1[ID],0)))</f>
        <v/>
      </c>
      <c r="E1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2" s="70"/>
      <c r="G182" s="71" t="str">
        <f>IF(ATALI[[#This Row],[ID NOTA]]="","",INDEX([2]!NOTA[TGL_H],MATCH(ATALI[[#This Row],[ID NOTA]],[2]!NOTA[ID],0)))</f>
        <v/>
      </c>
      <c r="H182" s="71" t="str">
        <f>IF(ATALI[[#This Row],[ID NOTA]]="","",INDEX([2]!NOTA[TGL.NOTA],MATCH(ATALI[[#This Row],[ID NOTA]],[2]!NOTA[ID],0)))</f>
        <v/>
      </c>
      <c r="I182" s="69" t="str">
        <f>IF(ATALI[[#This Row],[ID NOTA]]="","",INDEX([2]!NOTA[NO.NOTA],MATCH(ATALI[[#This Row],[ID NOTA]],[2]!NOTA[ID],0)))</f>
        <v/>
      </c>
      <c r="J182" s="69" t="str">
        <f ca="1">IF(ATALI[[#This Row],[//]]="","",INDEX([4]!db[NB PAJAK],ATALI[[#This Row],[stt]]-1))</f>
        <v/>
      </c>
      <c r="K182" s="70" t="str">
        <f ca="1">IF(ATALI[[#This Row],[//]]="","",IF(INDEX([2]!NOTA[C],ATALI[[#This Row],[//]]-2)="","",INDEX([2]!NOTA[C],ATALI[[#This Row],[//]]-2)))</f>
        <v/>
      </c>
      <c r="L182" s="70" t="str">
        <f ca="1">IF(ATALI[[#This Row],[//]]="","",INDEX([2]!NOTA[QTY],ATALI[[#This Row],[//]]-2))</f>
        <v/>
      </c>
      <c r="M182" s="70" t="str">
        <f ca="1">IF(ATALI[[#This Row],[//]]="","",INDEX([2]!NOTA[STN],ATALI[[#This Row],[//]]-2))</f>
        <v/>
      </c>
      <c r="N182" s="72" t="str">
        <f ca="1">IF(ATALI[[#This Row],[//]]="","",INDEX([2]!NOTA[HARGA SATUAN],ATALI[[#This Row],[//]]-2))</f>
        <v/>
      </c>
      <c r="O182" s="73" t="str">
        <f ca="1">IF(ATALI[[#This Row],[//]]="","",INDEX([2]!NOTA[DISC 1],ATALI[[#This Row],[//]]-2))</f>
        <v/>
      </c>
      <c r="P182" s="73" t="str">
        <f ca="1">IF(ATALI[[#This Row],[//]]="","",INDEX([2]!NOTA[DISC 2],ATALI[[#This Row],[//]]-2))</f>
        <v/>
      </c>
      <c r="Q182" s="72" t="str">
        <f ca="1">IF(ATALI[[#This Row],[//]]="","",INDEX([2]!NOTA[TOTAL],ATALI[[#This Row],[//]]-2))</f>
        <v/>
      </c>
      <c r="R182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2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2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s="69" t="str">
        <f ca="1">IF(ATALI[[#This Row],[//]]="","",INDEX([2]!NOTA[NAMA BARANG],ATALI[[#This Row],[//]]-2))</f>
        <v/>
      </c>
      <c r="V182" s="69" t="str">
        <f ca="1">LOWER(SUBSTITUTE(SUBSTITUTE(SUBSTITUTE(SUBSTITUTE(SUBSTITUTE(SUBSTITUTE(SUBSTITUTE(ATALI[[#This Row],[N.B.nota]]," ",""),"-",""),"(",""),")",""),".",""),",",""),"/",""))</f>
        <v/>
      </c>
      <c r="W182" s="69" t="str">
        <f ca="1">IF(ATALI[[#This Row],[concat]]="","",MATCH(ATALI[[#This Row],[concat]],[4]!db[NB NOTA_C],0)+1)</f>
        <v/>
      </c>
      <c r="X182" s="69" t="str">
        <f ca="1">IF(ATALI[[#This Row],[N.B.nota]]="","",ADDRESS(ROW(ATALI[QB]),COLUMN(ATALI[QB]))&amp;":"&amp;ADDRESS(ROW(),COLUMN(ATALI[QB])))</f>
        <v/>
      </c>
      <c r="Y182" s="75" t="str">
        <f ca="1">IF(ATALI[[#This Row],[//]]="","",HYPERLINK("[../DB.xlsx]DB!e"&amp;MATCH(ATALI[[#This Row],[concat]],[4]!db[NB NOTA_C],0)+1,"&gt;"))</f>
        <v/>
      </c>
    </row>
    <row r="183" spans="1:25" s="76" customFormat="1" x14ac:dyDescent="0.25">
      <c r="A183" s="69" t="s">
        <v>134</v>
      </c>
      <c r="B183" s="70">
        <f ca="1">IF(ATALI[[#This Row],[N_ID]]="","",INDEX(Table1[ID],MATCH(ATALI[[#This Row],[N_ID]],Table1[N_ID],0)))</f>
        <v>144</v>
      </c>
      <c r="C183" s="70" t="str">
        <f ca="1">IF(ATALI[[#This Row],[ID NOTA]]="","",HYPERLINK("[NOTA_.xlsx]NOTA!e"&amp;INDEX([2]!PAJAK[//],MATCH(ATALI[[#This Row],[ID NOTA]],[2]!PAJAK[ID],0)),"&gt;") )</f>
        <v>&gt;</v>
      </c>
      <c r="D183" s="70">
        <f ca="1">IF(ATALI[[#This Row],[ID NOTA]]="","",INDEX(Table1[QB],MATCH(ATALI[[#This Row],[ID NOTA]],Table1[ID],0)))</f>
        <v>7</v>
      </c>
      <c r="E18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811</v>
      </c>
      <c r="F183" s="70"/>
      <c r="G183" s="71">
        <f ca="1">IF(ATALI[[#This Row],[ID NOTA]]="","",INDEX([2]!NOTA[TGL_H],MATCH(ATALI[[#This Row],[ID NOTA]],[2]!NOTA[ID],0)))</f>
        <v>44834</v>
      </c>
      <c r="H183" s="71">
        <f ca="1">IF(ATALI[[#This Row],[ID NOTA]]="","",INDEX([2]!NOTA[TGL.NOTA],MATCH(ATALI[[#This Row],[ID NOTA]],[2]!NOTA[ID],0)))</f>
        <v>44830</v>
      </c>
      <c r="I183" s="69" t="str">
        <f ca="1">IF(ATALI[[#This Row],[ID NOTA]]="","",INDEX([2]!NOTA[NO.NOTA],MATCH(ATALI[[#This Row],[ID NOTA]],[2]!NOTA[ID],0)))</f>
        <v>SA220915220</v>
      </c>
      <c r="J183" s="69" t="str">
        <f ca="1">IF(ATALI[[#This Row],[//]]="","",INDEX([4]!db[NB PAJAK],ATALI[[#This Row],[stt]]-1))</f>
        <v>PENSIL WARNA JOYKO CP-12PB (PANJANG)</v>
      </c>
      <c r="K183" s="70">
        <f ca="1">IF(ATALI[[#This Row],[//]]="","",IF(INDEX([2]!NOTA[C],ATALI[[#This Row],[//]]-2)="","",INDEX([2]!NOTA[C],ATALI[[#This Row],[//]]-2)))</f>
        <v>1</v>
      </c>
      <c r="L183" s="70">
        <f ca="1">IF(ATALI[[#This Row],[//]]="","",INDEX([2]!NOTA[QTY],ATALI[[#This Row],[//]]-2))</f>
        <v>144</v>
      </c>
      <c r="M183" s="70" t="str">
        <f ca="1">IF(ATALI[[#This Row],[//]]="","",INDEX([2]!NOTA[STN],ATALI[[#This Row],[//]]-2))</f>
        <v>SET</v>
      </c>
      <c r="N183" s="72">
        <f ca="1">IF(ATALI[[#This Row],[//]]="","",INDEX([2]!NOTA[HARGA SATUAN],ATALI[[#This Row],[//]]-2))</f>
        <v>10600</v>
      </c>
      <c r="O183" s="73">
        <f ca="1">IF(ATALI[[#This Row],[//]]="","",INDEX([2]!NOTA[DISC 1],ATALI[[#This Row],[//]]-2))</f>
        <v>0.125</v>
      </c>
      <c r="P183" s="73">
        <f ca="1">IF(ATALI[[#This Row],[//]]="","",INDEX([2]!NOTA[DISC 2],ATALI[[#This Row],[//]]-2))</f>
        <v>0.05</v>
      </c>
      <c r="Q183" s="72">
        <f ca="1">IF(ATALI[[#This Row],[//]]="","",INDEX([2]!NOTA[TOTAL],ATALI[[#This Row],[//]]-2))</f>
        <v>1268820</v>
      </c>
      <c r="R183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3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3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s="69" t="str">
        <f ca="1">IF(ATALI[[#This Row],[//]]="","",INDEX([2]!NOTA[NAMA BARANG],ATALI[[#This Row],[//]]-2))</f>
        <v>COLOR PENCIL CP-12 PB JK</v>
      </c>
      <c r="V183" s="69" t="str">
        <f ca="1">LOWER(SUBSTITUTE(SUBSTITUTE(SUBSTITUTE(SUBSTITUTE(SUBSTITUTE(SUBSTITUTE(SUBSTITUTE(ATALI[[#This Row],[N.B.nota]]," ",""),"-",""),"(",""),")",""),".",""),",",""),"/",""))</f>
        <v>colorpencilcp12pbjk</v>
      </c>
      <c r="W183" s="69">
        <f ca="1">IF(ATALI[[#This Row],[concat]]="","",MATCH(ATALI[[#This Row],[concat]],[4]!db[NB NOTA_C],0)+1)</f>
        <v>477</v>
      </c>
      <c r="X183" s="69" t="str">
        <f ca="1">IF(ATALI[[#This Row],[N.B.nota]]="","",ADDRESS(ROW(ATALI[QB]),COLUMN(ATALI[QB]))&amp;":"&amp;ADDRESS(ROW(),COLUMN(ATALI[QB])))</f>
        <v>$D$3:$D$183</v>
      </c>
      <c r="Y183" s="75" t="str">
        <f ca="1">IF(ATALI[[#This Row],[//]]="","",HYPERLINK("[../DB.xlsx]DB!e"&amp;MATCH(ATALI[[#This Row],[concat]],[4]!db[NB NOTA_C],0)+1,"&gt;"))</f>
        <v>&gt;</v>
      </c>
    </row>
    <row r="184" spans="1:25" s="76" customFormat="1" x14ac:dyDescent="0.25">
      <c r="A184" s="69"/>
      <c r="B184" s="70" t="str">
        <f>IF(ATALI[[#This Row],[N_ID]]="","",INDEX(Table1[ID],MATCH(ATALI[[#This Row],[N_ID]],Table1[N_ID],0)))</f>
        <v/>
      </c>
      <c r="C184" s="70" t="str">
        <f>IF(ATALI[[#This Row],[ID NOTA]]="","",HYPERLINK("[NOTA_.xlsx]NOTA!e"&amp;INDEX([2]!PAJAK[//],MATCH(ATALI[[#This Row],[ID NOTA]],[2]!PAJAK[ID],0)),"&gt;") )</f>
        <v/>
      </c>
      <c r="D184" s="70" t="str">
        <f>IF(ATALI[[#This Row],[ID NOTA]]="","",INDEX(Table1[QB],MATCH(ATALI[[#This Row],[ID NOTA]],Table1[ID],0)))</f>
        <v/>
      </c>
      <c r="E18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812</v>
      </c>
      <c r="F184" s="70"/>
      <c r="G184" s="71" t="str">
        <f>IF(ATALI[[#This Row],[ID NOTA]]="","",INDEX([2]!NOTA[TGL_H],MATCH(ATALI[[#This Row],[ID NOTA]],[2]!NOTA[ID],0)))</f>
        <v/>
      </c>
      <c r="H184" s="71" t="str">
        <f>IF(ATALI[[#This Row],[ID NOTA]]="","",INDEX([2]!NOTA[TGL.NOTA],MATCH(ATALI[[#This Row],[ID NOTA]],[2]!NOTA[ID],0)))</f>
        <v/>
      </c>
      <c r="I184" s="69" t="str">
        <f>IF(ATALI[[#This Row],[ID NOTA]]="","",INDEX([2]!NOTA[NO.NOTA],MATCH(ATALI[[#This Row],[ID NOTA]],[2]!NOTA[ID],0)))</f>
        <v/>
      </c>
      <c r="J184" s="69" t="str">
        <f ca="1">IF(ATALI[[#This Row],[//]]="","",INDEX([4]!db[NB PAJAK],ATALI[[#This Row],[stt]]-1))</f>
        <v>PENSIL WARNA JOYKO CP-24PB (PANJANG)</v>
      </c>
      <c r="K184" s="70">
        <f ca="1">IF(ATALI[[#This Row],[//]]="","",IF(INDEX([2]!NOTA[C],ATALI[[#This Row],[//]]-2)="","",INDEX([2]!NOTA[C],ATALI[[#This Row],[//]]-2)))</f>
        <v>2</v>
      </c>
      <c r="L184" s="70">
        <f ca="1">IF(ATALI[[#This Row],[//]]="","",INDEX([2]!NOTA[QTY],ATALI[[#This Row],[//]]-2))</f>
        <v>144</v>
      </c>
      <c r="M184" s="70" t="str">
        <f ca="1">IF(ATALI[[#This Row],[//]]="","",INDEX([2]!NOTA[STN],ATALI[[#This Row],[//]]-2))</f>
        <v>SET</v>
      </c>
      <c r="N184" s="72">
        <f ca="1">IF(ATALI[[#This Row],[//]]="","",INDEX([2]!NOTA[HARGA SATUAN],ATALI[[#This Row],[//]]-2))</f>
        <v>21200</v>
      </c>
      <c r="O184" s="73">
        <f ca="1">IF(ATALI[[#This Row],[//]]="","",INDEX([2]!NOTA[DISC 1],ATALI[[#This Row],[//]]-2))</f>
        <v>0.125</v>
      </c>
      <c r="P184" s="73">
        <f ca="1">IF(ATALI[[#This Row],[//]]="","",INDEX([2]!NOTA[DISC 2],ATALI[[#This Row],[//]]-2))</f>
        <v>0.05</v>
      </c>
      <c r="Q184" s="72">
        <f ca="1">IF(ATALI[[#This Row],[//]]="","",INDEX([2]!NOTA[TOTAL],ATALI[[#This Row],[//]]-2))</f>
        <v>2537640</v>
      </c>
      <c r="R184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4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4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s="69" t="str">
        <f ca="1">IF(ATALI[[#This Row],[//]]="","",INDEX([2]!NOTA[NAMA BARANG],ATALI[[#This Row],[//]]-2))</f>
        <v>COLOR PENCIL CP-24 PB JK</v>
      </c>
      <c r="V184" s="69" t="str">
        <f ca="1">LOWER(SUBSTITUTE(SUBSTITUTE(SUBSTITUTE(SUBSTITUTE(SUBSTITUTE(SUBSTITUTE(SUBSTITUTE(ATALI[[#This Row],[N.B.nota]]," ",""),"-",""),"(",""),")",""),".",""),",",""),"/",""))</f>
        <v>colorpencilcp24pbjk</v>
      </c>
      <c r="W184" s="69">
        <f ca="1">IF(ATALI[[#This Row],[concat]]="","",MATCH(ATALI[[#This Row],[concat]],[4]!db[NB NOTA_C],0)+1)</f>
        <v>479</v>
      </c>
      <c r="X184" s="69" t="str">
        <f ca="1">IF(ATALI[[#This Row],[N.B.nota]]="","",ADDRESS(ROW(ATALI[QB]),COLUMN(ATALI[QB]))&amp;":"&amp;ADDRESS(ROW(),COLUMN(ATALI[QB])))</f>
        <v>$D$3:$D$184</v>
      </c>
      <c r="Y184" s="75" t="str">
        <f ca="1">IF(ATALI[[#This Row],[//]]="","",HYPERLINK("[../DB.xlsx]DB!e"&amp;MATCH(ATALI[[#This Row],[concat]],[4]!db[NB NOTA_C],0)+1,"&gt;"))</f>
        <v>&gt;</v>
      </c>
    </row>
    <row r="185" spans="1:25" s="76" customFormat="1" x14ac:dyDescent="0.25">
      <c r="A185" s="69"/>
      <c r="B185" s="70" t="str">
        <f>IF(ATALI[[#This Row],[N_ID]]="","",INDEX(Table1[ID],MATCH(ATALI[[#This Row],[N_ID]],Table1[N_ID],0)))</f>
        <v/>
      </c>
      <c r="C185" s="70" t="str">
        <f>IF(ATALI[[#This Row],[ID NOTA]]="","",HYPERLINK("[NOTA_.xlsx]NOTA!e"&amp;INDEX([2]!PAJAK[//],MATCH(ATALI[[#This Row],[ID NOTA]],[2]!PAJAK[ID],0)),"&gt;") )</f>
        <v/>
      </c>
      <c r="D185" s="70" t="str">
        <f>IF(ATALI[[#This Row],[ID NOTA]]="","",INDEX(Table1[QB],MATCH(ATALI[[#This Row],[ID NOTA]],Table1[ID],0)))</f>
        <v/>
      </c>
      <c r="E18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813</v>
      </c>
      <c r="F185" s="70"/>
      <c r="G185" s="71" t="str">
        <f>IF(ATALI[[#This Row],[ID NOTA]]="","",INDEX([2]!NOTA[TGL_H],MATCH(ATALI[[#This Row],[ID NOTA]],[2]!NOTA[ID],0)))</f>
        <v/>
      </c>
      <c r="H185" s="71" t="str">
        <f>IF(ATALI[[#This Row],[ID NOTA]]="","",INDEX([2]!NOTA[TGL.NOTA],MATCH(ATALI[[#This Row],[ID NOTA]],[2]!NOTA[ID],0)))</f>
        <v/>
      </c>
      <c r="I185" s="69" t="str">
        <f>IF(ATALI[[#This Row],[ID NOTA]]="","",INDEX([2]!NOTA[NO.NOTA],MATCH(ATALI[[#This Row],[ID NOTA]],[2]!NOTA[ID],0)))</f>
        <v/>
      </c>
      <c r="J185" s="69" t="str">
        <f ca="1">IF(ATALI[[#This Row],[//]]="","",INDEX([4]!db[NB PAJAK],ATALI[[#This Row],[stt]]-1))</f>
        <v>PENSIL WARNA JOYKO CP-S12 MINI (PENDEK)</v>
      </c>
      <c r="K185" s="70">
        <f ca="1">IF(ATALI[[#This Row],[//]]="","",IF(INDEX([2]!NOTA[C],ATALI[[#This Row],[//]]-2)="","",INDEX([2]!NOTA[C],ATALI[[#This Row],[//]]-2)))</f>
        <v>1</v>
      </c>
      <c r="L185" s="70">
        <f ca="1">IF(ATALI[[#This Row],[//]]="","",INDEX([2]!NOTA[QTY],ATALI[[#This Row],[//]]-2))</f>
        <v>288</v>
      </c>
      <c r="M185" s="70" t="str">
        <f ca="1">IF(ATALI[[#This Row],[//]]="","",INDEX([2]!NOTA[STN],ATALI[[#This Row],[//]]-2))</f>
        <v>SET</v>
      </c>
      <c r="N185" s="72">
        <f ca="1">IF(ATALI[[#This Row],[//]]="","",INDEX([2]!NOTA[HARGA SATUAN],ATALI[[#This Row],[//]]-2))</f>
        <v>6700</v>
      </c>
      <c r="O185" s="73">
        <f ca="1">IF(ATALI[[#This Row],[//]]="","",INDEX([2]!NOTA[DISC 1],ATALI[[#This Row],[//]]-2))</f>
        <v>0.125</v>
      </c>
      <c r="P185" s="73">
        <f ca="1">IF(ATALI[[#This Row],[//]]="","",INDEX([2]!NOTA[DISC 2],ATALI[[#This Row],[//]]-2))</f>
        <v>0.05</v>
      </c>
      <c r="Q185" s="72">
        <f ca="1">IF(ATALI[[#This Row],[//]]="","",INDEX([2]!NOTA[TOTAL],ATALI[[#This Row],[//]]-2))</f>
        <v>1603980</v>
      </c>
      <c r="R185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5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5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s="69" t="str">
        <f ca="1">IF(ATALI[[#This Row],[//]]="","",INDEX([2]!NOTA[NAMA BARANG],ATALI[[#This Row],[//]]-2))</f>
        <v>COLOR PENCIL CP-S12 JK</v>
      </c>
      <c r="V185" s="69" t="str">
        <f ca="1">LOWER(SUBSTITUTE(SUBSTITUTE(SUBSTITUTE(SUBSTITUTE(SUBSTITUTE(SUBSTITUTE(SUBSTITUTE(ATALI[[#This Row],[N.B.nota]]," ",""),"-",""),"(",""),")",""),".",""),",",""),"/",""))</f>
        <v>colorpencilcps12jk</v>
      </c>
      <c r="W185" s="69">
        <f ca="1">IF(ATALI[[#This Row],[concat]]="","",MATCH(ATALI[[#This Row],[concat]],[4]!db[NB NOTA_C],0)+1)</f>
        <v>482</v>
      </c>
      <c r="X185" s="69" t="str">
        <f ca="1">IF(ATALI[[#This Row],[N.B.nota]]="","",ADDRESS(ROW(ATALI[QB]),COLUMN(ATALI[QB]))&amp;":"&amp;ADDRESS(ROW(),COLUMN(ATALI[QB])))</f>
        <v>$D$3:$D$185</v>
      </c>
      <c r="Y185" s="75" t="str">
        <f ca="1">IF(ATALI[[#This Row],[//]]="","",HYPERLINK("[../DB.xlsx]DB!e"&amp;MATCH(ATALI[[#This Row],[concat]],[4]!db[NB NOTA_C],0)+1,"&gt;"))</f>
        <v>&gt;</v>
      </c>
    </row>
    <row r="186" spans="1:25" s="76" customFormat="1" x14ac:dyDescent="0.25">
      <c r="A186" s="69"/>
      <c r="B186" s="70" t="str">
        <f>IF(ATALI[[#This Row],[N_ID]]="","",INDEX(Table1[ID],MATCH(ATALI[[#This Row],[N_ID]],Table1[N_ID],0)))</f>
        <v/>
      </c>
      <c r="C186" s="70" t="str">
        <f>IF(ATALI[[#This Row],[ID NOTA]]="","",HYPERLINK("[NOTA_.xlsx]NOTA!e"&amp;INDEX([2]!PAJAK[//],MATCH(ATALI[[#This Row],[ID NOTA]],[2]!PAJAK[ID],0)),"&gt;") )</f>
        <v/>
      </c>
      <c r="D186" s="70" t="str">
        <f>IF(ATALI[[#This Row],[ID NOTA]]="","",INDEX(Table1[QB],MATCH(ATALI[[#This Row],[ID NOTA]],Table1[ID],0)))</f>
        <v/>
      </c>
      <c r="E18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814</v>
      </c>
      <c r="F186" s="70"/>
      <c r="G186" s="71" t="str">
        <f>IF(ATALI[[#This Row],[ID NOTA]]="","",INDEX([2]!NOTA[TGL_H],MATCH(ATALI[[#This Row],[ID NOTA]],[2]!NOTA[ID],0)))</f>
        <v/>
      </c>
      <c r="H186" s="71" t="str">
        <f>IF(ATALI[[#This Row],[ID NOTA]]="","",INDEX([2]!NOTA[TGL.NOTA],MATCH(ATALI[[#This Row],[ID NOTA]],[2]!NOTA[ID],0)))</f>
        <v/>
      </c>
      <c r="I186" s="69" t="str">
        <f>IF(ATALI[[#This Row],[ID NOTA]]="","",INDEX([2]!NOTA[NO.NOTA],MATCH(ATALI[[#This Row],[ID NOTA]],[2]!NOTA[ID],0)))</f>
        <v/>
      </c>
      <c r="J186" s="69" t="str">
        <f ca="1">IF(ATALI[[#This Row],[//]]="","",INDEX([4]!db[NB PAJAK],ATALI[[#This Row],[stt]]-1))</f>
        <v>PENSIL JOYKO 2B P-88</v>
      </c>
      <c r="K186" s="70">
        <f ca="1">IF(ATALI[[#This Row],[//]]="","",IF(INDEX([2]!NOTA[C],ATALI[[#This Row],[//]]-2)="","",INDEX([2]!NOTA[C],ATALI[[#This Row],[//]]-2)))</f>
        <v>1</v>
      </c>
      <c r="L186" s="70">
        <f ca="1">IF(ATALI[[#This Row],[//]]="","",INDEX([2]!NOTA[QTY],ATALI[[#This Row],[//]]-2))</f>
        <v>30</v>
      </c>
      <c r="M186" s="70" t="str">
        <f ca="1">IF(ATALI[[#This Row],[//]]="","",INDEX([2]!NOTA[STN],ATALI[[#This Row],[//]]-2))</f>
        <v>GRS</v>
      </c>
      <c r="N186" s="72">
        <f ca="1">IF(ATALI[[#This Row],[//]]="","",INDEX([2]!NOTA[HARGA SATUAN],ATALI[[#This Row],[//]]-2))</f>
        <v>104400</v>
      </c>
      <c r="O186" s="73">
        <f ca="1">IF(ATALI[[#This Row],[//]]="","",INDEX([2]!NOTA[DISC 1],ATALI[[#This Row],[//]]-2))</f>
        <v>0.125</v>
      </c>
      <c r="P186" s="73">
        <f ca="1">IF(ATALI[[#This Row],[//]]="","",INDEX([2]!NOTA[DISC 2],ATALI[[#This Row],[//]]-2))</f>
        <v>0.05</v>
      </c>
      <c r="Q186" s="72">
        <f ca="1">IF(ATALI[[#This Row],[//]]="","",INDEX([2]!NOTA[TOTAL],ATALI[[#This Row],[//]]-2))</f>
        <v>2603475</v>
      </c>
      <c r="R186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6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6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s="69" t="str">
        <f ca="1">IF(ATALI[[#This Row],[//]]="","",INDEX([2]!NOTA[NAMA BARANG],ATALI[[#This Row],[//]]-2))</f>
        <v>PENCIL P-88 2B JK</v>
      </c>
      <c r="V186" s="69" t="str">
        <f ca="1">LOWER(SUBSTITUTE(SUBSTITUTE(SUBSTITUTE(SUBSTITUTE(SUBSTITUTE(SUBSTITUTE(SUBSTITUTE(ATALI[[#This Row],[N.B.nota]]," ",""),"-",""),"(",""),")",""),".",""),",",""),"/",""))</f>
        <v>pencilp882bjk</v>
      </c>
      <c r="W186" s="69">
        <f ca="1">IF(ATALI[[#This Row],[concat]]="","",MATCH(ATALI[[#This Row],[concat]],[4]!db[NB NOTA_C],0)+1)</f>
        <v>1684</v>
      </c>
      <c r="X186" s="69" t="str">
        <f ca="1">IF(ATALI[[#This Row],[N.B.nota]]="","",ADDRESS(ROW(ATALI[QB]),COLUMN(ATALI[QB]))&amp;":"&amp;ADDRESS(ROW(),COLUMN(ATALI[QB])))</f>
        <v>$D$3:$D$186</v>
      </c>
      <c r="Y186" s="75" t="str">
        <f ca="1">IF(ATALI[[#This Row],[//]]="","",HYPERLINK("[../DB.xlsx]DB!e"&amp;MATCH(ATALI[[#This Row],[concat]],[4]!db[NB NOTA_C],0)+1,"&gt;"))</f>
        <v>&gt;</v>
      </c>
    </row>
    <row r="187" spans="1:25" s="76" customFormat="1" x14ac:dyDescent="0.25">
      <c r="A187" s="69"/>
      <c r="B187" s="70" t="str">
        <f>IF(ATALI[[#This Row],[N_ID]]="","",INDEX(Table1[ID],MATCH(ATALI[[#This Row],[N_ID]],Table1[N_ID],0)))</f>
        <v/>
      </c>
      <c r="C187" s="70" t="str">
        <f>IF(ATALI[[#This Row],[ID NOTA]]="","",HYPERLINK("[NOTA_.xlsx]NOTA!e"&amp;INDEX([2]!PAJAK[//],MATCH(ATALI[[#This Row],[ID NOTA]],[2]!PAJAK[ID],0)),"&gt;") )</f>
        <v/>
      </c>
      <c r="D187" s="70" t="str">
        <f>IF(ATALI[[#This Row],[ID NOTA]]="","",INDEX(Table1[QB],MATCH(ATALI[[#This Row],[ID NOTA]],Table1[ID],0)))</f>
        <v/>
      </c>
      <c r="E18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815</v>
      </c>
      <c r="F187" s="70"/>
      <c r="G187" s="71" t="str">
        <f>IF(ATALI[[#This Row],[ID NOTA]]="","",INDEX([2]!NOTA[TGL_H],MATCH(ATALI[[#This Row],[ID NOTA]],[2]!NOTA[ID],0)))</f>
        <v/>
      </c>
      <c r="H187" s="71" t="str">
        <f>IF(ATALI[[#This Row],[ID NOTA]]="","",INDEX([2]!NOTA[TGL.NOTA],MATCH(ATALI[[#This Row],[ID NOTA]],[2]!NOTA[ID],0)))</f>
        <v/>
      </c>
      <c r="I187" s="69" t="str">
        <f>IF(ATALI[[#This Row],[ID NOTA]]="","",INDEX([2]!NOTA[NO.NOTA],MATCH(ATALI[[#This Row],[ID NOTA]],[2]!NOTA[ID],0)))</f>
        <v/>
      </c>
      <c r="J187" s="69" t="str">
        <f ca="1">IF(ATALI[[#This Row],[//]]="","",INDEX([4]!db[NB PAJAK],ATALI[[#This Row],[stt]]-1))</f>
        <v>PAPER CLIP WARNA JOYKO C-3100</v>
      </c>
      <c r="K187" s="70">
        <f ca="1">IF(ATALI[[#This Row],[//]]="","",IF(INDEX([2]!NOTA[C],ATALI[[#This Row],[//]]-2)="","",INDEX([2]!NOTA[C],ATALI[[#This Row],[//]]-2)))</f>
        <v>1</v>
      </c>
      <c r="L187" s="70">
        <f ca="1">IF(ATALI[[#This Row],[//]]="","",INDEX([2]!NOTA[QTY],ATALI[[#This Row],[//]]-2))</f>
        <v>288</v>
      </c>
      <c r="M187" s="70" t="str">
        <f ca="1">IF(ATALI[[#This Row],[//]]="","",INDEX([2]!NOTA[STN],ATALI[[#This Row],[//]]-2))</f>
        <v>CAD</v>
      </c>
      <c r="N187" s="72">
        <f ca="1">IF(ATALI[[#This Row],[//]]="","",INDEX([2]!NOTA[HARGA SATUAN],ATALI[[#This Row],[//]]-2))</f>
        <v>3100</v>
      </c>
      <c r="O187" s="73">
        <f ca="1">IF(ATALI[[#This Row],[//]]="","",INDEX([2]!NOTA[DISC 1],ATALI[[#This Row],[//]]-2))</f>
        <v>0.125</v>
      </c>
      <c r="P187" s="73">
        <f ca="1">IF(ATALI[[#This Row],[//]]="","",INDEX([2]!NOTA[DISC 2],ATALI[[#This Row],[//]]-2))</f>
        <v>0.05</v>
      </c>
      <c r="Q187" s="72">
        <f ca="1">IF(ATALI[[#This Row],[//]]="","",INDEX([2]!NOTA[TOTAL],ATALI[[#This Row],[//]]-2))</f>
        <v>742140</v>
      </c>
      <c r="R187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7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7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7" s="69" t="str">
        <f ca="1">IF(ATALI[[#This Row],[//]]="","",INDEX([2]!NOTA[NAMA BARANG],ATALI[[#This Row],[//]]-2))</f>
        <v>PAPER CLIP C-3100 JK</v>
      </c>
      <c r="V187" s="69" t="str">
        <f ca="1">LOWER(SUBSTITUTE(SUBSTITUTE(SUBSTITUTE(SUBSTITUTE(SUBSTITUTE(SUBSTITUTE(SUBSTITUTE(ATALI[[#This Row],[N.B.nota]]," ",""),"-",""),"(",""),")",""),".",""),",",""),"/",""))</f>
        <v>paperclipc3100jk</v>
      </c>
      <c r="W187" s="69">
        <f ca="1">IF(ATALI[[#This Row],[concat]]="","",MATCH(ATALI[[#This Row],[concat]],[4]!db[NB NOTA_C],0)+1)</f>
        <v>1557</v>
      </c>
      <c r="X187" s="69" t="str">
        <f ca="1">IF(ATALI[[#This Row],[N.B.nota]]="","",ADDRESS(ROW(ATALI[QB]),COLUMN(ATALI[QB]))&amp;":"&amp;ADDRESS(ROW(),COLUMN(ATALI[QB])))</f>
        <v>$D$3:$D$187</v>
      </c>
      <c r="Y187" s="75" t="str">
        <f ca="1">IF(ATALI[[#This Row],[//]]="","",HYPERLINK("[../DB.xlsx]DB!e"&amp;MATCH(ATALI[[#This Row],[concat]],[4]!db[NB NOTA_C],0)+1,"&gt;"))</f>
        <v>&gt;</v>
      </c>
    </row>
    <row r="188" spans="1:25" s="76" customFormat="1" x14ac:dyDescent="0.25">
      <c r="A188" s="69"/>
      <c r="B188" s="70" t="str">
        <f>IF(ATALI[[#This Row],[N_ID]]="","",INDEX(Table1[ID],MATCH(ATALI[[#This Row],[N_ID]],Table1[N_ID],0)))</f>
        <v/>
      </c>
      <c r="C188" s="70" t="str">
        <f>IF(ATALI[[#This Row],[ID NOTA]]="","",HYPERLINK("[NOTA_.xlsx]NOTA!e"&amp;INDEX([2]!PAJAK[//],MATCH(ATALI[[#This Row],[ID NOTA]],[2]!PAJAK[ID],0)),"&gt;") )</f>
        <v/>
      </c>
      <c r="D188" s="70" t="str">
        <f>IF(ATALI[[#This Row],[ID NOTA]]="","",INDEX(Table1[QB],MATCH(ATALI[[#This Row],[ID NOTA]],Table1[ID],0)))</f>
        <v/>
      </c>
      <c r="E18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816</v>
      </c>
      <c r="F188" s="70"/>
      <c r="G188" s="71" t="str">
        <f>IF(ATALI[[#This Row],[ID NOTA]]="","",INDEX([2]!NOTA[TGL_H],MATCH(ATALI[[#This Row],[ID NOTA]],[2]!NOTA[ID],0)))</f>
        <v/>
      </c>
      <c r="H188" s="71" t="str">
        <f>IF(ATALI[[#This Row],[ID NOTA]]="","",INDEX([2]!NOTA[TGL.NOTA],MATCH(ATALI[[#This Row],[ID NOTA]],[2]!NOTA[ID],0)))</f>
        <v/>
      </c>
      <c r="I188" s="69" t="str">
        <f>IF(ATALI[[#This Row],[ID NOTA]]="","",INDEX([2]!NOTA[NO.NOTA],MATCH(ATALI[[#This Row],[ID NOTA]],[2]!NOTA[ID],0)))</f>
        <v/>
      </c>
      <c r="J188" s="69" t="str">
        <f ca="1">IF(ATALI[[#This Row],[//]]="","",INDEX([4]!db[NB PAJAK],ATALI[[#This Row],[stt]]-1))</f>
        <v>CORRECTION FLUID JOYKO CF-S209</v>
      </c>
      <c r="K188" s="70">
        <f ca="1">IF(ATALI[[#This Row],[//]]="","",IF(INDEX([2]!NOTA[C],ATALI[[#This Row],[//]]-2)="","",INDEX([2]!NOTA[C],ATALI[[#This Row],[//]]-2)))</f>
        <v>2</v>
      </c>
      <c r="L188" s="70">
        <f ca="1">IF(ATALI[[#This Row],[//]]="","",INDEX([2]!NOTA[QTY],ATALI[[#This Row],[//]]-2))</f>
        <v>72</v>
      </c>
      <c r="M188" s="70" t="str">
        <f ca="1">IF(ATALI[[#This Row],[//]]="","",INDEX([2]!NOTA[STN],ATALI[[#This Row],[//]]-2))</f>
        <v>DZ</v>
      </c>
      <c r="N188" s="72">
        <f ca="1">IF(ATALI[[#This Row],[//]]="","",INDEX([2]!NOTA[HARGA SATUAN],ATALI[[#This Row],[//]]-2))</f>
        <v>41400</v>
      </c>
      <c r="O188" s="73">
        <f ca="1">IF(ATALI[[#This Row],[//]]="","",INDEX([2]!NOTA[DISC 1],ATALI[[#This Row],[//]]-2))</f>
        <v>0.125</v>
      </c>
      <c r="P188" s="73">
        <f ca="1">IF(ATALI[[#This Row],[//]]="","",INDEX([2]!NOTA[DISC 2],ATALI[[#This Row],[//]]-2))</f>
        <v>0.05</v>
      </c>
      <c r="Q188" s="72">
        <f ca="1">IF(ATALI[[#This Row],[//]]="","",INDEX([2]!NOTA[TOTAL],ATALI[[#This Row],[//]]-2))</f>
        <v>2477790</v>
      </c>
      <c r="R188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8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8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s="69" t="str">
        <f ca="1">IF(ATALI[[#This Row],[//]]="","",INDEX([2]!NOTA[NAMA BARANG],ATALI[[#This Row],[//]]-2))</f>
        <v>CORRECTION FLUID CF-S209 JK</v>
      </c>
      <c r="V188" s="69" t="str">
        <f ca="1">LOWER(SUBSTITUTE(SUBSTITUTE(SUBSTITUTE(SUBSTITUTE(SUBSTITUTE(SUBSTITUTE(SUBSTITUTE(ATALI[[#This Row],[N.B.nota]]," ",""),"-",""),"(",""),")",""),".",""),",",""),"/",""))</f>
        <v>correctionfluidcfs209jk</v>
      </c>
      <c r="W188" s="69">
        <f ca="1">IF(ATALI[[#This Row],[concat]]="","",MATCH(ATALI[[#This Row],[concat]],[4]!db[NB NOTA_C],0)+1)</f>
        <v>498</v>
      </c>
      <c r="X188" s="69" t="str">
        <f ca="1">IF(ATALI[[#This Row],[N.B.nota]]="","",ADDRESS(ROW(ATALI[QB]),COLUMN(ATALI[QB]))&amp;":"&amp;ADDRESS(ROW(),COLUMN(ATALI[QB])))</f>
        <v>$D$3:$D$188</v>
      </c>
      <c r="Y188" s="75" t="str">
        <f ca="1">IF(ATALI[[#This Row],[//]]="","",HYPERLINK("[../DB.xlsx]DB!e"&amp;MATCH(ATALI[[#This Row],[concat]],[4]!db[NB NOTA_C],0)+1,"&gt;"))</f>
        <v>&gt;</v>
      </c>
    </row>
    <row r="189" spans="1:25" s="76" customFormat="1" x14ac:dyDescent="0.25">
      <c r="A189" s="69"/>
      <c r="B189" s="70" t="str">
        <f>IF(ATALI[[#This Row],[N_ID]]="","",INDEX(Table1[ID],MATCH(ATALI[[#This Row],[N_ID]],Table1[N_ID],0)))</f>
        <v/>
      </c>
      <c r="C189" s="70" t="str">
        <f>IF(ATALI[[#This Row],[ID NOTA]]="","",HYPERLINK("[NOTA_.xlsx]NOTA!e"&amp;INDEX([2]!PAJAK[//],MATCH(ATALI[[#This Row],[ID NOTA]],[2]!PAJAK[ID],0)),"&gt;") )</f>
        <v/>
      </c>
      <c r="D189" s="70" t="str">
        <f>IF(ATALI[[#This Row],[ID NOTA]]="","",INDEX(Table1[QB],MATCH(ATALI[[#This Row],[ID NOTA]],Table1[ID],0)))</f>
        <v/>
      </c>
      <c r="E18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817</v>
      </c>
      <c r="F189" s="70"/>
      <c r="G189" s="71" t="str">
        <f>IF(ATALI[[#This Row],[ID NOTA]]="","",INDEX([2]!NOTA[TGL_H],MATCH(ATALI[[#This Row],[ID NOTA]],[2]!NOTA[ID],0)))</f>
        <v/>
      </c>
      <c r="H189" s="71" t="str">
        <f>IF(ATALI[[#This Row],[ID NOTA]]="","",INDEX([2]!NOTA[TGL.NOTA],MATCH(ATALI[[#This Row],[ID NOTA]],[2]!NOTA[ID],0)))</f>
        <v/>
      </c>
      <c r="I189" s="69" t="str">
        <f>IF(ATALI[[#This Row],[ID NOTA]]="","",INDEX([2]!NOTA[NO.NOTA],MATCH(ATALI[[#This Row],[ID NOTA]],[2]!NOTA[ID],0)))</f>
        <v/>
      </c>
      <c r="J189" s="69" t="str">
        <f ca="1">IF(ATALI[[#This Row],[//]]="","",INDEX([4]!db[NB PAJAK],ATALI[[#This Row],[stt]]-1))</f>
        <v>LOOSE LEAF JOYKO A5-7020 (100S)</v>
      </c>
      <c r="K189" s="70">
        <f ca="1">IF(ATALI[[#This Row],[//]]="","",IF(INDEX([2]!NOTA[C],ATALI[[#This Row],[//]]-2)="","",INDEX([2]!NOTA[C],ATALI[[#This Row],[//]]-2)))</f>
        <v>2</v>
      </c>
      <c r="L189" s="70">
        <f ca="1">IF(ATALI[[#This Row],[//]]="","",INDEX([2]!NOTA[QTY],ATALI[[#This Row],[//]]-2))</f>
        <v>192</v>
      </c>
      <c r="M189" s="70" t="str">
        <f ca="1">IF(ATALI[[#This Row],[//]]="","",INDEX([2]!NOTA[STN],ATALI[[#This Row],[//]]-2))</f>
        <v>PAK</v>
      </c>
      <c r="N189" s="72">
        <f ca="1">IF(ATALI[[#This Row],[//]]="","",INDEX([2]!NOTA[HARGA SATUAN],ATALI[[#This Row],[//]]-2))</f>
        <v>7000</v>
      </c>
      <c r="O189" s="73">
        <f ca="1">IF(ATALI[[#This Row],[//]]="","",INDEX([2]!NOTA[DISC 1],ATALI[[#This Row],[//]]-2))</f>
        <v>0.125</v>
      </c>
      <c r="P189" s="73">
        <f ca="1">IF(ATALI[[#This Row],[//]]="","",INDEX([2]!NOTA[DISC 2],ATALI[[#This Row],[//]]-2))</f>
        <v>0.05</v>
      </c>
      <c r="Q189" s="72">
        <f ca="1">IF(ATALI[[#This Row],[//]]="","",INDEX([2]!NOTA[TOTAL],ATALI[[#This Row],[//]]-2))</f>
        <v>1117200</v>
      </c>
      <c r="R189" s="72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89" s="72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12351045</v>
      </c>
      <c r="T189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s="69" t="str">
        <f ca="1">IF(ATALI[[#This Row],[//]]="","",INDEX([2]!NOTA[NAMA BARANG],ATALI[[#This Row],[//]]-2))</f>
        <v>L LEAF A5-7020 (100S) JK</v>
      </c>
      <c r="V189" s="69" t="str">
        <f ca="1">LOWER(SUBSTITUTE(SUBSTITUTE(SUBSTITUTE(SUBSTITUTE(SUBSTITUTE(SUBSTITUTE(SUBSTITUTE(ATALI[[#This Row],[N.B.nota]]," ",""),"-",""),"(",""),")",""),".",""),",",""),"/",""))</f>
        <v>lleafa57020100sjk</v>
      </c>
      <c r="W189" s="69">
        <f ca="1">IF(ATALI[[#This Row],[concat]]="","",MATCH(ATALI[[#This Row],[concat]],[4]!db[NB NOTA_C],0)+1)</f>
        <v>1292</v>
      </c>
      <c r="X189" s="69" t="str">
        <f ca="1">IF(ATALI[[#This Row],[N.B.nota]]="","",ADDRESS(ROW(ATALI[QB]),COLUMN(ATALI[QB]))&amp;":"&amp;ADDRESS(ROW(),COLUMN(ATALI[QB])))</f>
        <v>$D$3:$D$189</v>
      </c>
      <c r="Y189" s="75" t="str">
        <f ca="1">IF(ATALI[[#This Row],[//]]="","",HYPERLINK("[../DB.xlsx]DB!e"&amp;MATCH(ATALI[[#This Row],[concat]],[4]!db[NB NOTA_C],0)+1,"&gt;"))</f>
        <v>&gt;</v>
      </c>
    </row>
    <row r="190" spans="1:25" s="76" customFormat="1" x14ac:dyDescent="0.25">
      <c r="A190" s="69"/>
      <c r="B190" s="70" t="str">
        <f>IF(ATALI[[#This Row],[N_ID]]="","",INDEX(Table1[ID],MATCH(ATALI[[#This Row],[N_ID]],Table1[N_ID],0)))</f>
        <v/>
      </c>
      <c r="C190" s="70" t="str">
        <f>IF(ATALI[[#This Row],[ID NOTA]]="","",HYPERLINK("[NOTA_.xlsx]NOTA!e"&amp;INDEX([2]!PAJAK[//],MATCH(ATALI[[#This Row],[ID NOTA]],[2]!PAJAK[ID],0)),"&gt;") )</f>
        <v/>
      </c>
      <c r="D190" s="70" t="str">
        <f>IF(ATALI[[#This Row],[ID NOTA]]="","",INDEX(Table1[QB],MATCH(ATALI[[#This Row],[ID NOTA]],Table1[ID],0)))</f>
        <v/>
      </c>
      <c r="E1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0" s="70"/>
      <c r="G190" s="71" t="str">
        <f>IF(ATALI[[#This Row],[ID NOTA]]="","",INDEX([2]!NOTA[TGL_H],MATCH(ATALI[[#This Row],[ID NOTA]],[2]!NOTA[ID],0)))</f>
        <v/>
      </c>
      <c r="H190" s="71" t="str">
        <f>IF(ATALI[[#This Row],[ID NOTA]]="","",INDEX([2]!NOTA[TGL.NOTA],MATCH(ATALI[[#This Row],[ID NOTA]],[2]!NOTA[ID],0)))</f>
        <v/>
      </c>
      <c r="I190" s="69" t="str">
        <f>IF(ATALI[[#This Row],[ID NOTA]]="","",INDEX([2]!NOTA[NO.NOTA],MATCH(ATALI[[#This Row],[ID NOTA]],[2]!NOTA[ID],0)))</f>
        <v/>
      </c>
      <c r="J190" s="69" t="str">
        <f ca="1">IF(ATALI[[#This Row],[//]]="","",INDEX([4]!db[NB PAJAK],ATALI[[#This Row],[stt]]-1))</f>
        <v/>
      </c>
      <c r="K190" s="70" t="str">
        <f ca="1">IF(ATALI[[#This Row],[//]]="","",IF(INDEX([2]!NOTA[C],ATALI[[#This Row],[//]]-2)="","",INDEX([2]!NOTA[C],ATALI[[#This Row],[//]]-2)))</f>
        <v/>
      </c>
      <c r="L190" s="70" t="str">
        <f ca="1">IF(ATALI[[#This Row],[//]]="","",INDEX([2]!NOTA[QTY],ATALI[[#This Row],[//]]-2))</f>
        <v/>
      </c>
      <c r="M190" s="70" t="str">
        <f ca="1">IF(ATALI[[#This Row],[//]]="","",INDEX([2]!NOTA[STN],ATALI[[#This Row],[//]]-2))</f>
        <v/>
      </c>
      <c r="N190" s="72" t="str">
        <f ca="1">IF(ATALI[[#This Row],[//]]="","",INDEX([2]!NOTA[HARGA SATUAN],ATALI[[#This Row],[//]]-2))</f>
        <v/>
      </c>
      <c r="O190" s="73" t="str">
        <f ca="1">IF(ATALI[[#This Row],[//]]="","",INDEX([2]!NOTA[DISC 1],ATALI[[#This Row],[//]]-2))</f>
        <v/>
      </c>
      <c r="P190" s="73" t="str">
        <f ca="1">IF(ATALI[[#This Row],[//]]="","",INDEX([2]!NOTA[DISC 2],ATALI[[#This Row],[//]]-2))</f>
        <v/>
      </c>
      <c r="Q190" s="72" t="str">
        <f ca="1">IF(ATALI[[#This Row],[//]]="","",INDEX([2]!NOTA[TOTAL],ATALI[[#This Row],[//]]-2))</f>
        <v/>
      </c>
      <c r="R190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0" s="72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0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s="69" t="str">
        <f ca="1">IF(ATALI[[#This Row],[//]]="","",INDEX([2]!NOTA[NAMA BARANG],ATALI[[#This Row],[//]]-2))</f>
        <v/>
      </c>
      <c r="V190" s="69" t="str">
        <f ca="1">LOWER(SUBSTITUTE(SUBSTITUTE(SUBSTITUTE(SUBSTITUTE(SUBSTITUTE(SUBSTITUTE(SUBSTITUTE(ATALI[[#This Row],[N.B.nota]]," ",""),"-",""),"(",""),")",""),".",""),",",""),"/",""))</f>
        <v/>
      </c>
      <c r="W190" s="69" t="str">
        <f ca="1">IF(ATALI[[#This Row],[concat]]="","",MATCH(ATALI[[#This Row],[concat]],[4]!db[NB NOTA_C],0)+1)</f>
        <v/>
      </c>
      <c r="X190" s="69" t="str">
        <f ca="1">IF(ATALI[[#This Row],[N.B.nota]]="","",ADDRESS(ROW(ATALI[QB]),COLUMN(ATALI[QB]))&amp;":"&amp;ADDRESS(ROW(),COLUMN(ATALI[QB])))</f>
        <v/>
      </c>
      <c r="Y190" s="75" t="str">
        <f ca="1">IF(ATALI[[#This Row],[//]]="","",HYPERLINK("[../DB.xlsx]DB!e"&amp;MATCH(ATALI[[#This Row],[concat]],[4]!db[NB NOTA_C],0)+1,"&gt;"))</f>
        <v/>
      </c>
    </row>
    <row r="191" spans="1:25" s="76" customFormat="1" x14ac:dyDescent="0.25">
      <c r="A191" s="69" t="s">
        <v>135</v>
      </c>
      <c r="B191" s="70">
        <f ca="1">IF(ATALI[[#This Row],[N_ID]]="","",INDEX(Table1[ID],MATCH(ATALI[[#This Row],[N_ID]],Table1[N_ID],0)))</f>
        <v>145</v>
      </c>
      <c r="C191" s="70" t="str">
        <f ca="1">IF(ATALI[[#This Row],[ID NOTA]]="","",HYPERLINK("[NOTA_.xlsx]NOTA!e"&amp;INDEX([2]!PAJAK[//],MATCH(ATALI[[#This Row],[ID NOTA]],[2]!PAJAK[ID],0)),"&gt;") )</f>
        <v>&gt;</v>
      </c>
      <c r="D191" s="70">
        <f ca="1">IF(ATALI[[#This Row],[ID NOTA]]="","",INDEX(Table1[QB],MATCH(ATALI[[#This Row],[ID NOTA]],Table1[ID],0)))</f>
        <v>1</v>
      </c>
      <c r="E19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819</v>
      </c>
      <c r="F191" s="70"/>
      <c r="G191" s="71">
        <f ca="1">IF(ATALI[[#This Row],[ID NOTA]]="","",INDEX([2]!NOTA[TGL_H],MATCH(ATALI[[#This Row],[ID NOTA]],[2]!NOTA[ID],0)))</f>
        <v>44834</v>
      </c>
      <c r="H191" s="71">
        <f ca="1">IF(ATALI[[#This Row],[ID NOTA]]="","",INDEX([2]!NOTA[TGL.NOTA],MATCH(ATALI[[#This Row],[ID NOTA]],[2]!NOTA[ID],0)))</f>
        <v>44830</v>
      </c>
      <c r="I191" s="69" t="str">
        <f ca="1">IF(ATALI[[#This Row],[ID NOTA]]="","",INDEX([2]!NOTA[NO.NOTA],MATCH(ATALI[[#This Row],[ID NOTA]],[2]!NOTA[ID],0)))</f>
        <v>SA220915259</v>
      </c>
      <c r="J191" s="69" t="str">
        <f ca="1">IF(ATALI[[#This Row],[//]]="","",INDEX([4]!db[NB PAJAK],ATALI[[#This Row],[stt]]-1))</f>
        <v>CORRECTION TAPE JOYKO CT-522</v>
      </c>
      <c r="K191" s="70">
        <f ca="1">IF(ATALI[[#This Row],[//]]="","",IF(INDEX([2]!NOTA[C],ATALI[[#This Row],[//]]-2)="","",INDEX([2]!NOTA[C],ATALI[[#This Row],[//]]-2)))</f>
        <v>10</v>
      </c>
      <c r="L191" s="70">
        <f ca="1">IF(ATALI[[#This Row],[//]]="","",INDEX([2]!NOTA[QTY],ATALI[[#This Row],[//]]-2))</f>
        <v>7200</v>
      </c>
      <c r="M191" s="70" t="str">
        <f ca="1">IF(ATALI[[#This Row],[//]]="","",INDEX([2]!NOTA[STN],ATALI[[#This Row],[//]]-2))</f>
        <v>PCS</v>
      </c>
      <c r="N191" s="72">
        <f ca="1">IF(ATALI[[#This Row],[//]]="","",INDEX([2]!NOTA[HARGA SATUAN],ATALI[[#This Row],[//]]-2))</f>
        <v>4800</v>
      </c>
      <c r="O191" s="73">
        <f ca="1">IF(ATALI[[#This Row],[//]]="","",INDEX([2]!NOTA[DISC 1],ATALI[[#This Row],[//]]-2))</f>
        <v>0.125</v>
      </c>
      <c r="P191" s="73">
        <f ca="1">IF(ATALI[[#This Row],[//]]="","",INDEX([2]!NOTA[DISC 2],ATALI[[#This Row],[//]]-2))</f>
        <v>0.05</v>
      </c>
      <c r="Q191" s="72">
        <f ca="1">IF(ATALI[[#This Row],[//]]="","",INDEX([2]!NOTA[TOTAL],ATALI[[#This Row],[//]]-2))</f>
        <v>28728000</v>
      </c>
      <c r="R191" s="72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91" s="72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28728000</v>
      </c>
      <c r="T191" s="7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s="69" t="str">
        <f ca="1">IF(ATALI[[#This Row],[//]]="","",INDEX([2]!NOTA[NAMA BARANG],ATALI[[#This Row],[//]]-2))</f>
        <v>CORRECTION TAPE CT-522 JK</v>
      </c>
      <c r="V191" s="69" t="str">
        <f ca="1">LOWER(SUBSTITUTE(SUBSTITUTE(SUBSTITUTE(SUBSTITUTE(SUBSTITUTE(SUBSTITUTE(SUBSTITUTE(ATALI[[#This Row],[N.B.nota]]," ",""),"-",""),"(",""),")",""),".",""),",",""),"/",""))</f>
        <v>correctiontapect522jk</v>
      </c>
      <c r="W191" s="69">
        <f ca="1">IF(ATALI[[#This Row],[concat]]="","",MATCH(ATALI[[#This Row],[concat]],[4]!db[NB NOTA_C],0)+1)</f>
        <v>511</v>
      </c>
      <c r="X191" s="69" t="str">
        <f ca="1">IF(ATALI[[#This Row],[N.B.nota]]="","",ADDRESS(ROW(ATALI[QB]),COLUMN(ATALI[QB]))&amp;":"&amp;ADDRESS(ROW(),COLUMN(ATALI[QB])))</f>
        <v>$D$3:$D$191</v>
      </c>
      <c r="Y191" s="75" t="str">
        <f ca="1">IF(ATALI[[#This Row],[//]]="","",HYPERLINK("[../DB.xlsx]DB!e"&amp;MATCH(ATALI[[#This Row],[concat]],[4]!db[NB NOTA_C],0)+1,"&gt;"))</f>
        <v>&gt;</v>
      </c>
    </row>
    <row r="192" spans="1:25" x14ac:dyDescent="0.25">
      <c r="A192" s="4"/>
      <c r="B192" s="6" t="str">
        <f>IF(ATALI[[#This Row],[N_ID]]="","",INDEX(Table1[ID],MATCH(ATALI[[#This Row],[N_ID]],Table1[N_ID],0)))</f>
        <v/>
      </c>
      <c r="C192" s="6" t="str">
        <f>IF(ATALI[[#This Row],[ID NOTA]]="","",HYPERLINK("[NOTA_.xlsx]NOTA!e"&amp;INDEX([2]!PAJAK[//],MATCH(ATALI[[#This Row],[ID NOTA]],[2]!PAJAK[ID],0)),"&gt;") )</f>
        <v/>
      </c>
      <c r="D192" s="6" t="str">
        <f>IF(ATALI[[#This Row],[ID NOTA]]="","",INDEX(Table1[QB],MATCH(ATALI[[#This Row],[ID NOTA]],Table1[ID],0)))</f>
        <v/>
      </c>
      <c r="E1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2" s="6"/>
      <c r="G192" s="3" t="str">
        <f>IF(ATALI[[#This Row],[ID NOTA]]="","",INDEX([2]!NOTA[TGL_H],MATCH(ATALI[[#This Row],[ID NOTA]],[2]!NOTA[ID],0)))</f>
        <v/>
      </c>
      <c r="H192" s="3" t="str">
        <f>IF(ATALI[[#This Row],[ID NOTA]]="","",INDEX([2]!NOTA[TGL.NOTA],MATCH(ATALI[[#This Row],[ID NOTA]],[2]!NOTA[ID],0)))</f>
        <v/>
      </c>
      <c r="I192" s="4" t="str">
        <f>IF(ATALI[[#This Row],[ID NOTA]]="","",INDEX([2]!NOTA[NO.NOTA],MATCH(ATALI[[#This Row],[ID NOTA]],[2]!NOTA[ID],0)))</f>
        <v/>
      </c>
      <c r="J192" s="4" t="str">
        <f ca="1">IF(ATALI[[#This Row],[//]]="","",INDEX([4]!db[NB PAJAK],ATALI[[#This Row],[stt]]-1))</f>
        <v/>
      </c>
      <c r="K192" s="6" t="str">
        <f ca="1">IF(ATALI[[#This Row],[//]]="","",IF(INDEX([2]!NOTA[C],ATALI[[#This Row],[//]]-2)="","",INDEX([2]!NOTA[C],ATALI[[#This Row],[//]]-2)))</f>
        <v/>
      </c>
      <c r="L192" s="6" t="str">
        <f ca="1">IF(ATALI[[#This Row],[//]]="","",INDEX([2]!NOTA[QTY],ATALI[[#This Row],[//]]-2))</f>
        <v/>
      </c>
      <c r="M192" s="6" t="str">
        <f ca="1">IF(ATALI[[#This Row],[//]]="","",INDEX([2]!NOTA[STN],ATALI[[#This Row],[//]]-2))</f>
        <v/>
      </c>
      <c r="N192" s="5" t="str">
        <f ca="1">IF(ATALI[[#This Row],[//]]="","",INDEX([2]!NOTA[HARGA SATUAN],ATALI[[#This Row],[//]]-2))</f>
        <v/>
      </c>
      <c r="O192" s="7" t="str">
        <f ca="1">IF(ATALI[[#This Row],[//]]="","",INDEX([2]!NOTA[DISC 1],ATALI[[#This Row],[//]]-2))</f>
        <v/>
      </c>
      <c r="P192" s="7" t="str">
        <f ca="1">IF(ATALI[[#This Row],[//]]="","",INDEX([2]!NOTA[DISC 2],ATALI[[#This Row],[//]]-2))</f>
        <v/>
      </c>
      <c r="Q192" s="5" t="str">
        <f ca="1">IF(ATALI[[#This Row],[//]]="","",INDEX([2]!NOTA[TOTAL],ATALI[[#This Row],[//]]-2))</f>
        <v/>
      </c>
      <c r="R1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s="4" t="str">
        <f ca="1">IF(ATALI[[#This Row],[//]]="","",INDEX([2]!NOTA[NAMA BARANG],ATALI[[#This Row],[//]]-2))</f>
        <v/>
      </c>
      <c r="V192" s="4" t="str">
        <f ca="1">LOWER(SUBSTITUTE(SUBSTITUTE(SUBSTITUTE(SUBSTITUTE(SUBSTITUTE(SUBSTITUTE(SUBSTITUTE(ATALI[[#This Row],[N.B.nota]]," ",""),"-",""),"(",""),")",""),".",""),",",""),"/",""))</f>
        <v/>
      </c>
      <c r="W192" s="4" t="str">
        <f ca="1">IF(ATALI[[#This Row],[concat]]="","",MATCH(ATALI[[#This Row],[concat]],[4]!db[NB NOTA_C],0)+1)</f>
        <v/>
      </c>
      <c r="X192" s="4" t="str">
        <f ca="1">IF(ATALI[[#This Row],[N.B.nota]]="","",ADDRESS(ROW(ATALI[QB]),COLUMN(ATALI[QB]))&amp;":"&amp;ADDRESS(ROW(),COLUMN(ATALI[QB])))</f>
        <v/>
      </c>
      <c r="Y192" s="13" t="str">
        <f ca="1">IF(ATALI[[#This Row],[//]]="","",HYPERLINK("[../DB.xlsx]DB!e"&amp;MATCH(ATALI[[#This Row],[concat]],[4]!db[NB NOTA_C],0)+1,"&gt;"))</f>
        <v/>
      </c>
    </row>
    <row r="193" spans="1:25" x14ac:dyDescent="0.25">
      <c r="A193" s="4" t="s">
        <v>126</v>
      </c>
      <c r="B193" s="6">
        <f ca="1">IF(ATALI[[#This Row],[N_ID]]="","",INDEX(Table1[ID],MATCH(ATALI[[#This Row],[N_ID]],Table1[N_ID],0)))</f>
        <v>148</v>
      </c>
      <c r="C193" s="6" t="str">
        <f ca="1">IF(ATALI[[#This Row],[ID NOTA]]="","",HYPERLINK("[NOTA_.xlsx]NOTA!e"&amp;INDEX([2]!PAJAK[//],MATCH(ATALI[[#This Row],[ID NOTA]],[2]!PAJAK[ID],0)),"&gt;") )</f>
        <v>&gt;</v>
      </c>
      <c r="D193" s="6">
        <f ca="1">IF(ATALI[[#This Row],[ID NOTA]]="","",INDEX(Table1[QB],MATCH(ATALI[[#This Row],[ID NOTA]],Table1[ID],0)))</f>
        <v>1</v>
      </c>
      <c r="E19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830</v>
      </c>
      <c r="F193" s="6"/>
      <c r="G193" s="3">
        <f ca="1">IF(ATALI[[#This Row],[ID NOTA]]="","",INDEX([2]!NOTA[TGL_H],MATCH(ATALI[[#This Row],[ID NOTA]],[2]!NOTA[ID],0)))</f>
        <v>44835</v>
      </c>
      <c r="H193" s="3">
        <f ca="1">IF(ATALI[[#This Row],[ID NOTA]]="","",INDEX([2]!NOTA[TGL.NOTA],MATCH(ATALI[[#This Row],[ID NOTA]],[2]!NOTA[ID],0)))</f>
        <v>44831</v>
      </c>
      <c r="I193" s="4" t="str">
        <f ca="1">IF(ATALI[[#This Row],[ID NOTA]]="","",INDEX([2]!NOTA[NO.NOTA],MATCH(ATALI[[#This Row],[ID NOTA]],[2]!NOTA[ID],0)))</f>
        <v>SA220915312</v>
      </c>
      <c r="J193" s="4" t="str">
        <f ca="1">IF(ATALI[[#This Row],[//]]="","",INDEX([4]!db[NB PAJAK],ATALI[[#This Row],[stt]]-1))</f>
        <v>LEM LIQUID (CAIR) JOYKO GL-R35 (35 ML)</v>
      </c>
      <c r="K193" s="6">
        <f ca="1">IF(ATALI[[#This Row],[//]]="","",IF(INDEX([2]!NOTA[C],ATALI[[#This Row],[//]]-2)="","",INDEX([2]!NOTA[C],ATALI[[#This Row],[//]]-2)))</f>
        <v>10</v>
      </c>
      <c r="L193" s="6">
        <f ca="1">IF(ATALI[[#This Row],[//]]="","",INDEX([2]!NOTA[QTY],ATALI[[#This Row],[//]]-2))</f>
        <v>5760</v>
      </c>
      <c r="M193" s="6" t="str">
        <f ca="1">IF(ATALI[[#This Row],[//]]="","",INDEX([2]!NOTA[STN],ATALI[[#This Row],[//]]-2))</f>
        <v>PCS</v>
      </c>
      <c r="N193" s="5">
        <f ca="1">IF(ATALI[[#This Row],[//]]="","",INDEX([2]!NOTA[HARGA SATUAN],ATALI[[#This Row],[//]]-2))</f>
        <v>1550</v>
      </c>
      <c r="O193" s="7">
        <f ca="1">IF(ATALI[[#This Row],[//]]="","",INDEX([2]!NOTA[DISC 1],ATALI[[#This Row],[//]]-2))</f>
        <v>0.125</v>
      </c>
      <c r="P193" s="7">
        <f ca="1">IF(ATALI[[#This Row],[//]]="","",INDEX([2]!NOTA[DISC 2],ATALI[[#This Row],[//]]-2))</f>
        <v>0.05</v>
      </c>
      <c r="Q193" s="5">
        <f ca="1">IF(ATALI[[#This Row],[//]]="","",INDEX([2]!NOTA[TOTAL],ATALI[[#This Row],[//]]-2))</f>
        <v>7421400</v>
      </c>
      <c r="R19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9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7421400</v>
      </c>
      <c r="T1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s="4" t="str">
        <f ca="1">IF(ATALI[[#This Row],[//]]="","",INDEX([2]!NOTA[NAMA BARANG],ATALI[[#This Row],[//]]-2))</f>
        <v>GLUE GL-R35 JK</v>
      </c>
      <c r="V193" s="4" t="str">
        <f ca="1">LOWER(SUBSTITUTE(SUBSTITUTE(SUBSTITUTE(SUBSTITUTE(SUBSTITUTE(SUBSTITUTE(SUBSTITUTE(ATALI[[#This Row],[N.B.nota]]," ",""),"-",""),"(",""),")",""),".",""),",",""),"/",""))</f>
        <v>glueglr35jk</v>
      </c>
      <c r="W193" s="4">
        <f ca="1">IF(ATALI[[#This Row],[concat]]="","",MATCH(ATALI[[#This Row],[concat]],[4]!db[NB NOTA_C],0)+1)</f>
        <v>892</v>
      </c>
      <c r="X193" s="4" t="str">
        <f ca="1">IF(ATALI[[#This Row],[N.B.nota]]="","",ADDRESS(ROW(ATALI[QB]),COLUMN(ATALI[QB]))&amp;":"&amp;ADDRESS(ROW(),COLUMN(ATALI[QB])))</f>
        <v>$D$3:$D$193</v>
      </c>
      <c r="Y193" s="13" t="str">
        <f ca="1">IF(ATALI[[#This Row],[//]]="","",HYPERLINK("[../DB.xlsx]DB!e"&amp;MATCH(ATALI[[#This Row],[concat]],[4]!db[NB NOTA_C],0)+1,"&gt;"))</f>
        <v>&gt;</v>
      </c>
    </row>
    <row r="194" spans="1:25" x14ac:dyDescent="0.25">
      <c r="A194" s="4"/>
      <c r="B194" s="6" t="str">
        <f>IF(ATALI[[#This Row],[N_ID]]="","",INDEX(Table1[ID],MATCH(ATALI[[#This Row],[N_ID]],Table1[N_ID],0)))</f>
        <v/>
      </c>
      <c r="C194" s="6" t="str">
        <f>IF(ATALI[[#This Row],[ID NOTA]]="","",HYPERLINK("[NOTA_.xlsx]NOTA!e"&amp;INDEX([2]!PAJAK[//],MATCH(ATALI[[#This Row],[ID NOTA]],[2]!PAJAK[ID],0)),"&gt;") )</f>
        <v/>
      </c>
      <c r="D194" s="6" t="str">
        <f>IF(ATALI[[#This Row],[ID NOTA]]="","",INDEX(Table1[QB],MATCH(ATALI[[#This Row],[ID NOTA]],Table1[ID],0)))</f>
        <v/>
      </c>
      <c r="E1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4" s="6"/>
      <c r="G194" s="3" t="str">
        <f>IF(ATALI[[#This Row],[ID NOTA]]="","",INDEX([2]!NOTA[TGL_H],MATCH(ATALI[[#This Row],[ID NOTA]],[2]!NOTA[ID],0)))</f>
        <v/>
      </c>
      <c r="H194" s="3" t="str">
        <f>IF(ATALI[[#This Row],[ID NOTA]]="","",INDEX([2]!NOTA[TGL.NOTA],MATCH(ATALI[[#This Row],[ID NOTA]],[2]!NOTA[ID],0)))</f>
        <v/>
      </c>
      <c r="I194" s="4" t="str">
        <f>IF(ATALI[[#This Row],[ID NOTA]]="","",INDEX([2]!NOTA[NO.NOTA],MATCH(ATALI[[#This Row],[ID NOTA]],[2]!NOTA[ID],0)))</f>
        <v/>
      </c>
      <c r="J194" s="4" t="str">
        <f ca="1">IF(ATALI[[#This Row],[//]]="","",INDEX([4]!db[NB PAJAK],ATALI[[#This Row],[stt]]-1))</f>
        <v/>
      </c>
      <c r="K194" s="6" t="str">
        <f ca="1">IF(ATALI[[#This Row],[//]]="","",IF(INDEX([2]!NOTA[C],ATALI[[#This Row],[//]]-2)="","",INDEX([2]!NOTA[C],ATALI[[#This Row],[//]]-2)))</f>
        <v/>
      </c>
      <c r="L194" s="6" t="str">
        <f ca="1">IF(ATALI[[#This Row],[//]]="","",INDEX([2]!NOTA[QTY],ATALI[[#This Row],[//]]-2))</f>
        <v/>
      </c>
      <c r="M194" s="6" t="str">
        <f ca="1">IF(ATALI[[#This Row],[//]]="","",INDEX([2]!NOTA[STN],ATALI[[#This Row],[//]]-2))</f>
        <v/>
      </c>
      <c r="N194" s="5" t="str">
        <f ca="1">IF(ATALI[[#This Row],[//]]="","",INDEX([2]!NOTA[HARGA SATUAN],ATALI[[#This Row],[//]]-2))</f>
        <v/>
      </c>
      <c r="O194" s="7" t="str">
        <f ca="1">IF(ATALI[[#This Row],[//]]="","",INDEX([2]!NOTA[DISC 1],ATALI[[#This Row],[//]]-2))</f>
        <v/>
      </c>
      <c r="P194" s="7" t="str">
        <f ca="1">IF(ATALI[[#This Row],[//]]="","",INDEX([2]!NOTA[DISC 2],ATALI[[#This Row],[//]]-2))</f>
        <v/>
      </c>
      <c r="Q194" s="5" t="str">
        <f ca="1">IF(ATALI[[#This Row],[//]]="","",INDEX([2]!NOTA[TOTAL],ATALI[[#This Row],[//]]-2))</f>
        <v/>
      </c>
      <c r="R1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s="4" t="str">
        <f ca="1">IF(ATALI[[#This Row],[//]]="","",INDEX([2]!NOTA[NAMA BARANG],ATALI[[#This Row],[//]]-2))</f>
        <v/>
      </c>
      <c r="V194" s="4" t="str">
        <f ca="1">LOWER(SUBSTITUTE(SUBSTITUTE(SUBSTITUTE(SUBSTITUTE(SUBSTITUTE(SUBSTITUTE(SUBSTITUTE(ATALI[[#This Row],[N.B.nota]]," ",""),"-",""),"(",""),")",""),".",""),",",""),"/",""))</f>
        <v/>
      </c>
      <c r="W194" s="4" t="str">
        <f ca="1">IF(ATALI[[#This Row],[concat]]="","",MATCH(ATALI[[#This Row],[concat]],[4]!db[NB NOTA_C],0)+1)</f>
        <v/>
      </c>
      <c r="X194" s="4" t="str">
        <f ca="1">IF(ATALI[[#This Row],[N.B.nota]]="","",ADDRESS(ROW(ATALI[QB]),COLUMN(ATALI[QB]))&amp;":"&amp;ADDRESS(ROW(),COLUMN(ATALI[QB])))</f>
        <v/>
      </c>
      <c r="Y194" s="13" t="str">
        <f ca="1">IF(ATALI[[#This Row],[//]]="","",HYPERLINK("[../DB.xlsx]DB!e"&amp;MATCH(ATALI[[#This Row],[concat]],[4]!db[NB NOTA_C],0)+1,"&gt;"))</f>
        <v/>
      </c>
    </row>
    <row r="195" spans="1:25" x14ac:dyDescent="0.25">
      <c r="A195" s="4" t="s">
        <v>128</v>
      </c>
      <c r="B195" s="6">
        <f ca="1">IF(ATALI[[#This Row],[N_ID]]="","",INDEX(Table1[ID],MATCH(ATALI[[#This Row],[N_ID]],Table1[N_ID],0)))</f>
        <v>154</v>
      </c>
      <c r="C195" s="6" t="str">
        <f ca="1">IF(ATALI[[#This Row],[ID NOTA]]="","",HYPERLINK("[NOTA_.xlsx]NOTA!e"&amp;INDEX([2]!PAJAK[//],MATCH(ATALI[[#This Row],[ID NOTA]],[2]!PAJAK[ID],0)),"&gt;") )</f>
        <v>&gt;</v>
      </c>
      <c r="D195" s="6">
        <f ca="1">IF(ATALI[[#This Row],[ID NOTA]]="","",INDEX(Table1[QB],MATCH(ATALI[[#This Row],[ID NOTA]],Table1[ID],0)))</f>
        <v>10</v>
      </c>
      <c r="E19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851</v>
      </c>
      <c r="F195" s="6"/>
      <c r="G195" s="3">
        <f ca="1">IF(ATALI[[#This Row],[ID NOTA]]="","",INDEX([2]!NOTA[TGL_H],MATCH(ATALI[[#This Row],[ID NOTA]],[2]!NOTA[ID],0)))</f>
        <v>44837</v>
      </c>
      <c r="H195" s="3">
        <f ca="1">IF(ATALI[[#This Row],[ID NOTA]]="","",INDEX([2]!NOTA[TGL.NOTA],MATCH(ATALI[[#This Row],[ID NOTA]],[2]!NOTA[ID],0)))</f>
        <v>44832</v>
      </c>
      <c r="I195" s="4" t="str">
        <f ca="1">IF(ATALI[[#This Row],[ID NOTA]]="","",INDEX([2]!NOTA[NO.NOTA],MATCH(ATALI[[#This Row],[ID NOTA]],[2]!NOTA[ID],0)))</f>
        <v>SA220915369</v>
      </c>
      <c r="J195" s="4" t="str">
        <f ca="1">IF(ATALI[[#This Row],[//]]="","",INDEX([4]!db[NB PAJAK],ATALI[[#This Row],[stt]]-1))</f>
        <v>STAPLER HEAVY DUTY JOYKO HD-12N/13</v>
      </c>
      <c r="K195" s="6">
        <f ca="1">IF(ATALI[[#This Row],[//]]="","",IF(INDEX([2]!NOTA[C],ATALI[[#This Row],[//]]-2)="","",INDEX([2]!NOTA[C],ATALI[[#This Row],[//]]-2)))</f>
        <v>2</v>
      </c>
      <c r="L195" s="6">
        <f ca="1">IF(ATALI[[#This Row],[//]]="","",INDEX([2]!NOTA[QTY],ATALI[[#This Row],[//]]-2))</f>
        <v>24</v>
      </c>
      <c r="M195" s="6" t="str">
        <f ca="1">IF(ATALI[[#This Row],[//]]="","",INDEX([2]!NOTA[STN],ATALI[[#This Row],[//]]-2))</f>
        <v>PCS</v>
      </c>
      <c r="N195" s="5">
        <f ca="1">IF(ATALI[[#This Row],[//]]="","",INDEX([2]!NOTA[HARGA SATUAN],ATALI[[#This Row],[//]]-2))</f>
        <v>95000</v>
      </c>
      <c r="O195" s="7">
        <f ca="1">IF(ATALI[[#This Row],[//]]="","",INDEX([2]!NOTA[DISC 1],ATALI[[#This Row],[//]]-2))</f>
        <v>0.125</v>
      </c>
      <c r="P195" s="7">
        <f ca="1">IF(ATALI[[#This Row],[//]]="","",INDEX([2]!NOTA[DISC 2],ATALI[[#This Row],[//]]-2))</f>
        <v>0.05</v>
      </c>
      <c r="Q195" s="5">
        <f ca="1">IF(ATALI[[#This Row],[//]]="","",INDEX([2]!NOTA[TOTAL],ATALI[[#This Row],[//]]-2))</f>
        <v>1895250</v>
      </c>
      <c r="R1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s="4" t="str">
        <f ca="1">IF(ATALI[[#This Row],[//]]="","",INDEX([2]!NOTA[NAMA BARANG],ATALI[[#This Row],[//]]-2))</f>
        <v>HD STAPLER HD-12N/13 JK</v>
      </c>
      <c r="V195" s="4" t="str">
        <f ca="1">LOWER(SUBSTITUTE(SUBSTITUTE(SUBSTITUTE(SUBSTITUTE(SUBSTITUTE(SUBSTITUTE(SUBSTITUTE(ATALI[[#This Row],[N.B.nota]]," ",""),"-",""),"(",""),")",""),".",""),",",""),"/",""))</f>
        <v>hdstaplerhd12n13jk</v>
      </c>
      <c r="W195" s="4">
        <f ca="1">IF(ATALI[[#This Row],[concat]]="","",MATCH(ATALI[[#This Row],[concat]],[4]!db[NB NOTA_C],0)+1)</f>
        <v>935</v>
      </c>
      <c r="X195" s="4" t="str">
        <f ca="1">IF(ATALI[[#This Row],[N.B.nota]]="","",ADDRESS(ROW(ATALI[QB]),COLUMN(ATALI[QB]))&amp;":"&amp;ADDRESS(ROW(),COLUMN(ATALI[QB])))</f>
        <v>$D$3:$D$195</v>
      </c>
      <c r="Y195" s="13" t="str">
        <f ca="1">IF(ATALI[[#This Row],[//]]="","",HYPERLINK("[../DB.xlsx]DB!e"&amp;MATCH(ATALI[[#This Row],[concat]],[4]!db[NB NOTA_C],0)+1,"&gt;"))</f>
        <v>&gt;</v>
      </c>
    </row>
    <row r="196" spans="1:25" x14ac:dyDescent="0.25">
      <c r="A196" s="4"/>
      <c r="B196" s="6" t="str">
        <f>IF(ATALI[[#This Row],[N_ID]]="","",INDEX(Table1[ID],MATCH(ATALI[[#This Row],[N_ID]],Table1[N_ID],0)))</f>
        <v/>
      </c>
      <c r="C196" s="6" t="str">
        <f>IF(ATALI[[#This Row],[ID NOTA]]="","",HYPERLINK("[NOTA_.xlsx]NOTA!e"&amp;INDEX([2]!PAJAK[//],MATCH(ATALI[[#This Row],[ID NOTA]],[2]!PAJAK[ID],0)),"&gt;") )</f>
        <v/>
      </c>
      <c r="D196" s="6" t="str">
        <f>IF(ATALI[[#This Row],[ID NOTA]]="","",INDEX(Table1[QB],MATCH(ATALI[[#This Row],[ID NOTA]],Table1[ID],0)))</f>
        <v/>
      </c>
      <c r="E19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852</v>
      </c>
      <c r="F196" s="6"/>
      <c r="G196" s="3" t="str">
        <f>IF(ATALI[[#This Row],[ID NOTA]]="","",INDEX([2]!NOTA[TGL_H],MATCH(ATALI[[#This Row],[ID NOTA]],[2]!NOTA[ID],0)))</f>
        <v/>
      </c>
      <c r="H196" s="3" t="str">
        <f>IF(ATALI[[#This Row],[ID NOTA]]="","",INDEX([2]!NOTA[TGL.NOTA],MATCH(ATALI[[#This Row],[ID NOTA]],[2]!NOTA[ID],0)))</f>
        <v/>
      </c>
      <c r="I196" s="4" t="str">
        <f>IF(ATALI[[#This Row],[ID NOTA]]="","",INDEX([2]!NOTA[NO.NOTA],MATCH(ATALI[[#This Row],[ID NOTA]],[2]!NOTA[ID],0)))</f>
        <v/>
      </c>
      <c r="J196" s="4" t="str">
        <f ca="1">IF(ATALI[[#This Row],[//]]="","",INDEX([4]!db[NB PAJAK],ATALI[[#This Row],[stt]]-1))</f>
        <v>STAPLER HEAVY DUTY JOYKO HD-12N/24</v>
      </c>
      <c r="K196" s="6">
        <f ca="1">IF(ATALI[[#This Row],[//]]="","",IF(INDEX([2]!NOTA[C],ATALI[[#This Row],[//]]-2)="","",INDEX([2]!NOTA[C],ATALI[[#This Row],[//]]-2)))</f>
        <v>2</v>
      </c>
      <c r="L196" s="6">
        <f ca="1">IF(ATALI[[#This Row],[//]]="","",INDEX([2]!NOTA[QTY],ATALI[[#This Row],[//]]-2))</f>
        <v>12</v>
      </c>
      <c r="M196" s="6" t="str">
        <f ca="1">IF(ATALI[[#This Row],[//]]="","",INDEX([2]!NOTA[STN],ATALI[[#This Row],[//]]-2))</f>
        <v>PCS</v>
      </c>
      <c r="N196" s="5">
        <f ca="1">IF(ATALI[[#This Row],[//]]="","",INDEX([2]!NOTA[HARGA SATUAN],ATALI[[#This Row],[//]]-2))</f>
        <v>187000</v>
      </c>
      <c r="O196" s="7">
        <f ca="1">IF(ATALI[[#This Row],[//]]="","",INDEX([2]!NOTA[DISC 1],ATALI[[#This Row],[//]]-2))</f>
        <v>0.125</v>
      </c>
      <c r="P196" s="7">
        <f ca="1">IF(ATALI[[#This Row],[//]]="","",INDEX([2]!NOTA[DISC 2],ATALI[[#This Row],[//]]-2))</f>
        <v>0.05</v>
      </c>
      <c r="Q196" s="5">
        <f ca="1">IF(ATALI[[#This Row],[//]]="","",INDEX([2]!NOTA[TOTAL],ATALI[[#This Row],[//]]-2))</f>
        <v>1865325</v>
      </c>
      <c r="R1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s="4" t="str">
        <f ca="1">IF(ATALI[[#This Row],[//]]="","",INDEX([2]!NOTA[NAMA BARANG],ATALI[[#This Row],[//]]-2))</f>
        <v>STAPLER HD-12N/24 JK</v>
      </c>
      <c r="V196" s="4" t="str">
        <f ca="1">LOWER(SUBSTITUTE(SUBSTITUTE(SUBSTITUTE(SUBSTITUTE(SUBSTITUTE(SUBSTITUTE(SUBSTITUTE(ATALI[[#This Row],[N.B.nota]]," ",""),"-",""),"(",""),")",""),".",""),",",""),"/",""))</f>
        <v>staplerhd12n24jk</v>
      </c>
      <c r="W196" s="4">
        <f ca="1">IF(ATALI[[#This Row],[concat]]="","",MATCH(ATALI[[#This Row],[concat]],[4]!db[NB NOTA_C],0)+1)</f>
        <v>1891</v>
      </c>
      <c r="X196" s="4" t="str">
        <f ca="1">IF(ATALI[[#This Row],[N.B.nota]]="","",ADDRESS(ROW(ATALI[QB]),COLUMN(ATALI[QB]))&amp;":"&amp;ADDRESS(ROW(),COLUMN(ATALI[QB])))</f>
        <v>$D$3:$D$196</v>
      </c>
      <c r="Y196" s="13" t="str">
        <f ca="1">IF(ATALI[[#This Row],[//]]="","",HYPERLINK("[../DB.xlsx]DB!e"&amp;MATCH(ATALI[[#This Row],[concat]],[4]!db[NB NOTA_C],0)+1,"&gt;"))</f>
        <v>&gt;</v>
      </c>
    </row>
    <row r="197" spans="1:25" x14ac:dyDescent="0.25">
      <c r="A197" s="4"/>
      <c r="B197" s="6" t="str">
        <f>IF(ATALI[[#This Row],[N_ID]]="","",INDEX(Table1[ID],MATCH(ATALI[[#This Row],[N_ID]],Table1[N_ID],0)))</f>
        <v/>
      </c>
      <c r="C197" s="6" t="str">
        <f>IF(ATALI[[#This Row],[ID NOTA]]="","",HYPERLINK("[NOTA_.xlsx]NOTA!e"&amp;INDEX([2]!PAJAK[//],MATCH(ATALI[[#This Row],[ID NOTA]],[2]!PAJAK[ID],0)),"&gt;") )</f>
        <v/>
      </c>
      <c r="D197" s="6" t="str">
        <f>IF(ATALI[[#This Row],[ID NOTA]]="","",INDEX(Table1[QB],MATCH(ATALI[[#This Row],[ID NOTA]],Table1[ID],0)))</f>
        <v/>
      </c>
      <c r="E19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853</v>
      </c>
      <c r="F197" s="6"/>
      <c r="G197" s="3" t="str">
        <f>IF(ATALI[[#This Row],[ID NOTA]]="","",INDEX([2]!NOTA[TGL_H],MATCH(ATALI[[#This Row],[ID NOTA]],[2]!NOTA[ID],0)))</f>
        <v/>
      </c>
      <c r="H197" s="3" t="str">
        <f>IF(ATALI[[#This Row],[ID NOTA]]="","",INDEX([2]!NOTA[TGL.NOTA],MATCH(ATALI[[#This Row],[ID NOTA]],[2]!NOTA[ID],0)))</f>
        <v/>
      </c>
      <c r="I197" s="4" t="str">
        <f>IF(ATALI[[#This Row],[ID NOTA]]="","",INDEX([2]!NOTA[NO.NOTA],MATCH(ATALI[[#This Row],[ID NOTA]],[2]!NOTA[ID],0)))</f>
        <v/>
      </c>
      <c r="J197" s="4" t="str">
        <f ca="1">IF(ATALI[[#This Row],[//]]="","",INDEX([4]!db[NB PAJAK],ATALI[[#This Row],[stt]]-1))</f>
        <v>PENSIL WARNA JOYKO CP-12PB (PANJANG)</v>
      </c>
      <c r="K197" s="6">
        <f ca="1">IF(ATALI[[#This Row],[//]]="","",IF(INDEX([2]!NOTA[C],ATALI[[#This Row],[//]]-2)="","",INDEX([2]!NOTA[C],ATALI[[#This Row],[//]]-2)))</f>
        <v>7</v>
      </c>
      <c r="L197" s="6">
        <f ca="1">IF(ATALI[[#This Row],[//]]="","",INDEX([2]!NOTA[QTY],ATALI[[#This Row],[//]]-2))</f>
        <v>1008</v>
      </c>
      <c r="M197" s="6" t="str">
        <f ca="1">IF(ATALI[[#This Row],[//]]="","",INDEX([2]!NOTA[STN],ATALI[[#This Row],[//]]-2))</f>
        <v>SET</v>
      </c>
      <c r="N197" s="5">
        <f ca="1">IF(ATALI[[#This Row],[//]]="","",INDEX([2]!NOTA[HARGA SATUAN],ATALI[[#This Row],[//]]-2))</f>
        <v>10600</v>
      </c>
      <c r="O197" s="7">
        <f ca="1">IF(ATALI[[#This Row],[//]]="","",INDEX([2]!NOTA[DISC 1],ATALI[[#This Row],[//]]-2))</f>
        <v>0.125</v>
      </c>
      <c r="P197" s="7">
        <f ca="1">IF(ATALI[[#This Row],[//]]="","",INDEX([2]!NOTA[DISC 2],ATALI[[#This Row],[//]]-2))</f>
        <v>0.05</v>
      </c>
      <c r="Q197" s="5">
        <f ca="1">IF(ATALI[[#This Row],[//]]="","",INDEX([2]!NOTA[TOTAL],ATALI[[#This Row],[//]]-2))</f>
        <v>8881740</v>
      </c>
      <c r="R1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7" s="4" t="str">
        <f ca="1">IF(ATALI[[#This Row],[//]]="","",INDEX([2]!NOTA[NAMA BARANG],ATALI[[#This Row],[//]]-2))</f>
        <v>COLOR PENCIL CP-12PB JK</v>
      </c>
      <c r="V197" s="4" t="str">
        <f ca="1">LOWER(SUBSTITUTE(SUBSTITUTE(SUBSTITUTE(SUBSTITUTE(SUBSTITUTE(SUBSTITUTE(SUBSTITUTE(ATALI[[#This Row],[N.B.nota]]," ",""),"-",""),"(",""),")",""),".",""),",",""),"/",""))</f>
        <v>colorpencilcp12pbjk</v>
      </c>
      <c r="W197" s="4">
        <f ca="1">IF(ATALI[[#This Row],[concat]]="","",MATCH(ATALI[[#This Row],[concat]],[4]!db[NB NOTA_C],0)+1)</f>
        <v>477</v>
      </c>
      <c r="X197" s="4" t="str">
        <f ca="1">IF(ATALI[[#This Row],[N.B.nota]]="","",ADDRESS(ROW(ATALI[QB]),COLUMN(ATALI[QB]))&amp;":"&amp;ADDRESS(ROW(),COLUMN(ATALI[QB])))</f>
        <v>$D$3:$D$197</v>
      </c>
      <c r="Y197" s="13" t="str">
        <f ca="1">IF(ATALI[[#This Row],[//]]="","",HYPERLINK("[../DB.xlsx]DB!e"&amp;MATCH(ATALI[[#This Row],[concat]],[4]!db[NB NOTA_C],0)+1,"&gt;"))</f>
        <v>&gt;</v>
      </c>
    </row>
    <row r="198" spans="1:25" x14ac:dyDescent="0.25">
      <c r="A198" s="4"/>
      <c r="B198" s="6" t="str">
        <f>IF(ATALI[[#This Row],[N_ID]]="","",INDEX(Table1[ID],MATCH(ATALI[[#This Row],[N_ID]],Table1[N_ID],0)))</f>
        <v/>
      </c>
      <c r="C198" s="6" t="str">
        <f>IF(ATALI[[#This Row],[ID NOTA]]="","",HYPERLINK("[NOTA_.xlsx]NOTA!e"&amp;INDEX([2]!PAJAK[//],MATCH(ATALI[[#This Row],[ID NOTA]],[2]!PAJAK[ID],0)),"&gt;") )</f>
        <v/>
      </c>
      <c r="D198" s="6" t="str">
        <f>IF(ATALI[[#This Row],[ID NOTA]]="","",INDEX(Table1[QB],MATCH(ATALI[[#This Row],[ID NOTA]],Table1[ID],0)))</f>
        <v/>
      </c>
      <c r="E19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854</v>
      </c>
      <c r="F198" s="6"/>
      <c r="G198" s="3" t="str">
        <f>IF(ATALI[[#This Row],[ID NOTA]]="","",INDEX([2]!NOTA[TGL_H],MATCH(ATALI[[#This Row],[ID NOTA]],[2]!NOTA[ID],0)))</f>
        <v/>
      </c>
      <c r="H198" s="3" t="str">
        <f>IF(ATALI[[#This Row],[ID NOTA]]="","",INDEX([2]!NOTA[TGL.NOTA],MATCH(ATALI[[#This Row],[ID NOTA]],[2]!NOTA[ID],0)))</f>
        <v/>
      </c>
      <c r="I198" s="4" t="str">
        <f>IF(ATALI[[#This Row],[ID NOTA]]="","",INDEX([2]!NOTA[NO.NOTA],MATCH(ATALI[[#This Row],[ID NOTA]],[2]!NOTA[ID],0)))</f>
        <v/>
      </c>
      <c r="J198" s="4" t="str">
        <f ca="1">IF(ATALI[[#This Row],[//]]="","",INDEX([4]!db[NB PAJAK],ATALI[[#This Row],[stt]]-1))</f>
        <v>CORRECTION FLUID JOYKO CF-S209</v>
      </c>
      <c r="K198" s="6">
        <f ca="1">IF(ATALI[[#This Row],[//]]="","",IF(INDEX([2]!NOTA[C],ATALI[[#This Row],[//]]-2)="","",INDEX([2]!NOTA[C],ATALI[[#This Row],[//]]-2)))</f>
        <v>2</v>
      </c>
      <c r="L198" s="6">
        <f ca="1">IF(ATALI[[#This Row],[//]]="","",INDEX([2]!NOTA[QTY],ATALI[[#This Row],[//]]-2))</f>
        <v>72</v>
      </c>
      <c r="M198" s="6" t="str">
        <f ca="1">IF(ATALI[[#This Row],[//]]="","",INDEX([2]!NOTA[STN],ATALI[[#This Row],[//]]-2))</f>
        <v>DZ</v>
      </c>
      <c r="N198" s="5">
        <f ca="1">IF(ATALI[[#This Row],[//]]="","",INDEX([2]!NOTA[HARGA SATUAN],ATALI[[#This Row],[//]]-2))</f>
        <v>41400</v>
      </c>
      <c r="O198" s="7">
        <f ca="1">IF(ATALI[[#This Row],[//]]="","",INDEX([2]!NOTA[DISC 1],ATALI[[#This Row],[//]]-2))</f>
        <v>0.125</v>
      </c>
      <c r="P198" s="7">
        <f ca="1">IF(ATALI[[#This Row],[//]]="","",INDEX([2]!NOTA[DISC 2],ATALI[[#This Row],[//]]-2))</f>
        <v>0.05</v>
      </c>
      <c r="Q198" s="5">
        <f ca="1">IF(ATALI[[#This Row],[//]]="","",INDEX([2]!NOTA[TOTAL],ATALI[[#This Row],[//]]-2))</f>
        <v>2477790</v>
      </c>
      <c r="R1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s="4" t="str">
        <f ca="1">IF(ATALI[[#This Row],[//]]="","",INDEX([2]!NOTA[NAMA BARANG],ATALI[[#This Row],[//]]-2))</f>
        <v>CORRECTION FLUID CF-S209 JK</v>
      </c>
      <c r="V198" s="4" t="str">
        <f ca="1">LOWER(SUBSTITUTE(SUBSTITUTE(SUBSTITUTE(SUBSTITUTE(SUBSTITUTE(SUBSTITUTE(SUBSTITUTE(ATALI[[#This Row],[N.B.nota]]," ",""),"-",""),"(",""),")",""),".",""),",",""),"/",""))</f>
        <v>correctionfluidcfs209jk</v>
      </c>
      <c r="W198" s="4">
        <f ca="1">IF(ATALI[[#This Row],[concat]]="","",MATCH(ATALI[[#This Row],[concat]],[4]!db[NB NOTA_C],0)+1)</f>
        <v>498</v>
      </c>
      <c r="X198" s="4" t="str">
        <f ca="1">IF(ATALI[[#This Row],[N.B.nota]]="","",ADDRESS(ROW(ATALI[QB]),COLUMN(ATALI[QB]))&amp;":"&amp;ADDRESS(ROW(),COLUMN(ATALI[QB])))</f>
        <v>$D$3:$D$198</v>
      </c>
      <c r="Y198" s="13" t="str">
        <f ca="1">IF(ATALI[[#This Row],[//]]="","",HYPERLINK("[../DB.xlsx]DB!e"&amp;MATCH(ATALI[[#This Row],[concat]],[4]!db[NB NOTA_C],0)+1,"&gt;"))</f>
        <v>&gt;</v>
      </c>
    </row>
    <row r="199" spans="1:25" x14ac:dyDescent="0.25">
      <c r="A199" s="4"/>
      <c r="B199" s="6" t="str">
        <f>IF(ATALI[[#This Row],[N_ID]]="","",INDEX(Table1[ID],MATCH(ATALI[[#This Row],[N_ID]],Table1[N_ID],0)))</f>
        <v/>
      </c>
      <c r="C199" s="6" t="str">
        <f>IF(ATALI[[#This Row],[ID NOTA]]="","",HYPERLINK("[NOTA_.xlsx]NOTA!e"&amp;INDEX([2]!PAJAK[//],MATCH(ATALI[[#This Row],[ID NOTA]],[2]!PAJAK[ID],0)),"&gt;") )</f>
        <v/>
      </c>
      <c r="D199" s="6" t="str">
        <f>IF(ATALI[[#This Row],[ID NOTA]]="","",INDEX(Table1[QB],MATCH(ATALI[[#This Row],[ID NOTA]],Table1[ID],0)))</f>
        <v/>
      </c>
      <c r="E19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855</v>
      </c>
      <c r="F199" s="6"/>
      <c r="G199" s="3" t="str">
        <f>IF(ATALI[[#This Row],[ID NOTA]]="","",INDEX([2]!NOTA[TGL_H],MATCH(ATALI[[#This Row],[ID NOTA]],[2]!NOTA[ID],0)))</f>
        <v/>
      </c>
      <c r="H199" s="3" t="str">
        <f>IF(ATALI[[#This Row],[ID NOTA]]="","",INDEX([2]!NOTA[TGL.NOTA],MATCH(ATALI[[#This Row],[ID NOTA]],[2]!NOTA[ID],0)))</f>
        <v/>
      </c>
      <c r="I199" s="4" t="str">
        <f>IF(ATALI[[#This Row],[ID NOTA]]="","",INDEX([2]!NOTA[NO.NOTA],MATCH(ATALI[[#This Row],[ID NOTA]],[2]!NOTA[ID],0)))</f>
        <v/>
      </c>
      <c r="J199" s="4" t="str">
        <f ca="1">IF(ATALI[[#This Row],[//]]="","",INDEX([4]!db[NB PAJAK],ATALI[[#This Row],[stt]]-1))</f>
        <v>LAMINATING FILM JOYKO LF100-2234 (F4)</v>
      </c>
      <c r="K199" s="6">
        <f ca="1">IF(ATALI[[#This Row],[//]]="","",IF(INDEX([2]!NOTA[C],ATALI[[#This Row],[//]]-2)="","",INDEX([2]!NOTA[C],ATALI[[#This Row],[//]]-2)))</f>
        <v>2</v>
      </c>
      <c r="L199" s="6">
        <f ca="1">IF(ATALI[[#This Row],[//]]="","",INDEX([2]!NOTA[QTY],ATALI[[#This Row],[//]]-2))</f>
        <v>20</v>
      </c>
      <c r="M199" s="6" t="str">
        <f ca="1">IF(ATALI[[#This Row],[//]]="","",INDEX([2]!NOTA[STN],ATALI[[#This Row],[//]]-2))</f>
        <v>PAK</v>
      </c>
      <c r="N199" s="5">
        <f ca="1">IF(ATALI[[#This Row],[//]]="","",INDEX([2]!NOTA[HARGA SATUAN],ATALI[[#This Row],[//]]-2))</f>
        <v>104000</v>
      </c>
      <c r="O199" s="7">
        <f ca="1">IF(ATALI[[#This Row],[//]]="","",INDEX([2]!NOTA[DISC 1],ATALI[[#This Row],[//]]-2))</f>
        <v>0.125</v>
      </c>
      <c r="P199" s="7">
        <f ca="1">IF(ATALI[[#This Row],[//]]="","",INDEX([2]!NOTA[DISC 2],ATALI[[#This Row],[//]]-2))</f>
        <v>0.05</v>
      </c>
      <c r="Q199" s="5">
        <f ca="1">IF(ATALI[[#This Row],[//]]="","",INDEX([2]!NOTA[TOTAL],ATALI[[#This Row],[//]]-2))</f>
        <v>1729000</v>
      </c>
      <c r="R1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9" s="4" t="str">
        <f ca="1">IF(ATALI[[#This Row],[//]]="","",INDEX([2]!NOTA[NAMA BARANG],ATALI[[#This Row],[//]]-2))</f>
        <v>LAMINATING FILM LF100-2234 (F4) JK</v>
      </c>
      <c r="V199" s="4" t="str">
        <f ca="1">LOWER(SUBSTITUTE(SUBSTITUTE(SUBSTITUTE(SUBSTITUTE(SUBSTITUTE(SUBSTITUTE(SUBSTITUTE(ATALI[[#This Row],[N.B.nota]]," ",""),"-",""),"(",""),")",""),".",""),",",""),"/",""))</f>
        <v>laminatingfilmlf1002234f4jk</v>
      </c>
      <c r="W199" s="4">
        <f ca="1">IF(ATALI[[#This Row],[concat]]="","",MATCH(ATALI[[#This Row],[concat]],[4]!db[NB NOTA_C],0)+1)</f>
        <v>1308</v>
      </c>
      <c r="X199" s="4" t="str">
        <f ca="1">IF(ATALI[[#This Row],[N.B.nota]]="","",ADDRESS(ROW(ATALI[QB]),COLUMN(ATALI[QB]))&amp;":"&amp;ADDRESS(ROW(),COLUMN(ATALI[QB])))</f>
        <v>$D$3:$D$199</v>
      </c>
      <c r="Y199" s="13" t="str">
        <f ca="1">IF(ATALI[[#This Row],[//]]="","",HYPERLINK("[../DB.xlsx]DB!e"&amp;MATCH(ATALI[[#This Row],[concat]],[4]!db[NB NOTA_C],0)+1,"&gt;"))</f>
        <v>&gt;</v>
      </c>
    </row>
    <row r="200" spans="1:25" x14ac:dyDescent="0.25">
      <c r="A200" s="4"/>
      <c r="B200" s="6" t="str">
        <f>IF(ATALI[[#This Row],[N_ID]]="","",INDEX(Table1[ID],MATCH(ATALI[[#This Row],[N_ID]],Table1[N_ID],0)))</f>
        <v/>
      </c>
      <c r="C200" s="6" t="str">
        <f>IF(ATALI[[#This Row],[ID NOTA]]="","",HYPERLINK("[NOTA_.xlsx]NOTA!e"&amp;INDEX([2]!PAJAK[//],MATCH(ATALI[[#This Row],[ID NOTA]],[2]!PAJAK[ID],0)),"&gt;") )</f>
        <v/>
      </c>
      <c r="D200" s="6" t="str">
        <f>IF(ATALI[[#This Row],[ID NOTA]]="","",INDEX(Table1[QB],MATCH(ATALI[[#This Row],[ID NOTA]],Table1[ID],0)))</f>
        <v/>
      </c>
      <c r="E20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856</v>
      </c>
      <c r="F200" s="6"/>
      <c r="G200" s="3" t="str">
        <f>IF(ATALI[[#This Row],[ID NOTA]]="","",INDEX([2]!NOTA[TGL_H],MATCH(ATALI[[#This Row],[ID NOTA]],[2]!NOTA[ID],0)))</f>
        <v/>
      </c>
      <c r="H200" s="3" t="str">
        <f>IF(ATALI[[#This Row],[ID NOTA]]="","",INDEX([2]!NOTA[TGL.NOTA],MATCH(ATALI[[#This Row],[ID NOTA]],[2]!NOTA[ID],0)))</f>
        <v/>
      </c>
      <c r="I200" s="4" t="str">
        <f>IF(ATALI[[#This Row],[ID NOTA]]="","",INDEX([2]!NOTA[NO.NOTA],MATCH(ATALI[[#This Row],[ID NOTA]],[2]!NOTA[ID],0)))</f>
        <v/>
      </c>
      <c r="J200" s="4" t="str">
        <f ca="1">IF(ATALI[[#This Row],[//]]="","",INDEX([4]!db[NB PAJAK],ATALI[[#This Row],[stt]]-1))</f>
        <v>JANGKA (MATH SET) JOYKO MS-402</v>
      </c>
      <c r="K200" s="6">
        <f ca="1">IF(ATALI[[#This Row],[//]]="","",IF(INDEX([2]!NOTA[C],ATALI[[#This Row],[//]]-2)="","",INDEX([2]!NOTA[C],ATALI[[#This Row],[//]]-2)))</f>
        <v>1</v>
      </c>
      <c r="L200" s="6">
        <f ca="1">IF(ATALI[[#This Row],[//]]="","",INDEX([2]!NOTA[QTY],ATALI[[#This Row],[//]]-2))</f>
        <v>288</v>
      </c>
      <c r="M200" s="6" t="str">
        <f ca="1">IF(ATALI[[#This Row],[//]]="","",INDEX([2]!NOTA[STN],ATALI[[#This Row],[//]]-2))</f>
        <v>SET</v>
      </c>
      <c r="N200" s="5">
        <f ca="1">IF(ATALI[[#This Row],[//]]="","",INDEX([2]!NOTA[HARGA SATUAN],ATALI[[#This Row],[//]]-2))</f>
        <v>12000</v>
      </c>
      <c r="O200" s="7">
        <f ca="1">IF(ATALI[[#This Row],[//]]="","",INDEX([2]!NOTA[DISC 1],ATALI[[#This Row],[//]]-2))</f>
        <v>0.125</v>
      </c>
      <c r="P200" s="7">
        <f ca="1">IF(ATALI[[#This Row],[//]]="","",INDEX([2]!NOTA[DISC 2],ATALI[[#This Row],[//]]-2))</f>
        <v>0.05</v>
      </c>
      <c r="Q200" s="5">
        <f ca="1">IF(ATALI[[#This Row],[//]]="","",INDEX([2]!NOTA[TOTAL],ATALI[[#This Row],[//]]-2))</f>
        <v>2872800</v>
      </c>
      <c r="R2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s="4" t="str">
        <f ca="1">IF(ATALI[[#This Row],[//]]="","",INDEX([2]!NOTA[NAMA BARANG],ATALI[[#This Row],[//]]-2))</f>
        <v>MATH SET MS-402 JK</v>
      </c>
      <c r="V200" s="4" t="str">
        <f ca="1">LOWER(SUBSTITUTE(SUBSTITUTE(SUBSTITUTE(SUBSTITUTE(SUBSTITUTE(SUBSTITUTE(SUBSTITUTE(ATALI[[#This Row],[N.B.nota]]," ",""),"-",""),"(",""),")",""),".",""),",",""),"/",""))</f>
        <v>mathsetms402jk</v>
      </c>
      <c r="W200" s="4">
        <f ca="1">IF(ATALI[[#This Row],[concat]]="","",MATCH(ATALI[[#This Row],[concat]],[4]!db[NB NOTA_C],0)+1)</f>
        <v>1427</v>
      </c>
      <c r="X200" s="4" t="str">
        <f ca="1">IF(ATALI[[#This Row],[N.B.nota]]="","",ADDRESS(ROW(ATALI[QB]),COLUMN(ATALI[QB]))&amp;":"&amp;ADDRESS(ROW(),COLUMN(ATALI[QB])))</f>
        <v>$D$3:$D$200</v>
      </c>
      <c r="Y200" s="13" t="str">
        <f ca="1">IF(ATALI[[#This Row],[//]]="","",HYPERLINK("[../DB.xlsx]DB!e"&amp;MATCH(ATALI[[#This Row],[concat]],[4]!db[NB NOTA_C],0)+1,"&gt;"))</f>
        <v>&gt;</v>
      </c>
    </row>
    <row r="201" spans="1:25" x14ac:dyDescent="0.25">
      <c r="A201" s="4"/>
      <c r="B201" s="6" t="str">
        <f>IF(ATALI[[#This Row],[N_ID]]="","",INDEX(Table1[ID],MATCH(ATALI[[#This Row],[N_ID]],Table1[N_ID],0)))</f>
        <v/>
      </c>
      <c r="C201" s="6" t="str">
        <f>IF(ATALI[[#This Row],[ID NOTA]]="","",HYPERLINK("[NOTA_.xlsx]NOTA!e"&amp;INDEX([2]!PAJAK[//],MATCH(ATALI[[#This Row],[ID NOTA]],[2]!PAJAK[ID],0)),"&gt;") )</f>
        <v/>
      </c>
      <c r="D201" s="6" t="str">
        <f>IF(ATALI[[#This Row],[ID NOTA]]="","",INDEX(Table1[QB],MATCH(ATALI[[#This Row],[ID NOTA]],Table1[ID],0)))</f>
        <v/>
      </c>
      <c r="E20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857</v>
      </c>
      <c r="F201" s="6"/>
      <c r="G201" s="3" t="str">
        <f>IF(ATALI[[#This Row],[ID NOTA]]="","",INDEX([2]!NOTA[TGL_H],MATCH(ATALI[[#This Row],[ID NOTA]],[2]!NOTA[ID],0)))</f>
        <v/>
      </c>
      <c r="H201" s="3" t="str">
        <f>IF(ATALI[[#This Row],[ID NOTA]]="","",INDEX([2]!NOTA[TGL.NOTA],MATCH(ATALI[[#This Row],[ID NOTA]],[2]!NOTA[ID],0)))</f>
        <v/>
      </c>
      <c r="I201" s="4" t="str">
        <f>IF(ATALI[[#This Row],[ID NOTA]]="","",INDEX([2]!NOTA[NO.NOTA],MATCH(ATALI[[#This Row],[ID NOTA]],[2]!NOTA[ID],0)))</f>
        <v/>
      </c>
      <c r="J201" s="4" t="str">
        <f ca="1">IF(ATALI[[#This Row],[//]]="","",INDEX([4]!db[NB PAJAK],ATALI[[#This Row],[stt]]-1))</f>
        <v>PAPER TRIGONAL CLIP JOYKO NO. 1</v>
      </c>
      <c r="K201" s="6">
        <f ca="1">IF(ATALI[[#This Row],[//]]="","",IF(INDEX([2]!NOTA[C],ATALI[[#This Row],[//]]-2)="","",INDEX([2]!NOTA[C],ATALI[[#This Row],[//]]-2)))</f>
        <v>1</v>
      </c>
      <c r="L201" s="6">
        <f ca="1">IF(ATALI[[#This Row],[//]]="","",INDEX([2]!NOTA[QTY],ATALI[[#This Row],[//]]-2))</f>
        <v>500</v>
      </c>
      <c r="M201" s="6" t="str">
        <f ca="1">IF(ATALI[[#This Row],[//]]="","",INDEX([2]!NOTA[STN],ATALI[[#This Row],[//]]-2))</f>
        <v>BOX</v>
      </c>
      <c r="N201" s="5">
        <f ca="1">IF(ATALI[[#This Row],[//]]="","",INDEX([2]!NOTA[HARGA SATUAN],ATALI[[#This Row],[//]]-2))</f>
        <v>1850</v>
      </c>
      <c r="O201" s="7">
        <f ca="1">IF(ATALI[[#This Row],[//]]="","",INDEX([2]!NOTA[DISC 1],ATALI[[#This Row],[//]]-2))</f>
        <v>0.125</v>
      </c>
      <c r="P201" s="7">
        <f ca="1">IF(ATALI[[#This Row],[//]]="","",INDEX([2]!NOTA[DISC 2],ATALI[[#This Row],[//]]-2))</f>
        <v>0.05</v>
      </c>
      <c r="Q201" s="5">
        <f ca="1">IF(ATALI[[#This Row],[//]]="","",INDEX([2]!NOTA[TOTAL],ATALI[[#This Row],[//]]-2))</f>
        <v>768906.25</v>
      </c>
      <c r="R2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s="4" t="str">
        <f ca="1">IF(ATALI[[#This Row],[//]]="","",INDEX([2]!NOTA[NAMA BARANG],ATALI[[#This Row],[//]]-2))</f>
        <v>TRIGONAL CLIP NO.1 JK</v>
      </c>
      <c r="V201" s="4" t="str">
        <f ca="1">LOWER(SUBSTITUTE(SUBSTITUTE(SUBSTITUTE(SUBSTITUTE(SUBSTITUTE(SUBSTITUTE(SUBSTITUTE(ATALI[[#This Row],[N.B.nota]]," ",""),"-",""),"(",""),")",""),".",""),",",""),"/",""))</f>
        <v>trigonalclipno1jk</v>
      </c>
      <c r="W201" s="4">
        <f ca="1">IF(ATALI[[#This Row],[concat]]="","",MATCH(ATALI[[#This Row],[concat]],[4]!db[NB NOTA_C],0)+1)</f>
        <v>1986</v>
      </c>
      <c r="X201" s="4" t="str">
        <f ca="1">IF(ATALI[[#This Row],[N.B.nota]]="","",ADDRESS(ROW(ATALI[QB]),COLUMN(ATALI[QB]))&amp;":"&amp;ADDRESS(ROW(),COLUMN(ATALI[QB])))</f>
        <v>$D$3:$D$201</v>
      </c>
      <c r="Y201" s="13" t="str">
        <f ca="1">IF(ATALI[[#This Row],[//]]="","",HYPERLINK("[../DB.xlsx]DB!e"&amp;MATCH(ATALI[[#This Row],[concat]],[4]!db[NB NOTA_C],0)+1,"&gt;"))</f>
        <v>&gt;</v>
      </c>
    </row>
    <row r="202" spans="1:25" x14ac:dyDescent="0.25">
      <c r="A202" s="4"/>
      <c r="B202" s="6" t="str">
        <f>IF(ATALI[[#This Row],[N_ID]]="","",INDEX(Table1[ID],MATCH(ATALI[[#This Row],[N_ID]],Table1[N_ID],0)))</f>
        <v/>
      </c>
      <c r="C202" s="6" t="str">
        <f>IF(ATALI[[#This Row],[ID NOTA]]="","",HYPERLINK("[NOTA_.xlsx]NOTA!e"&amp;INDEX([2]!PAJAK[//],MATCH(ATALI[[#This Row],[ID NOTA]],[2]!PAJAK[ID],0)),"&gt;") )</f>
        <v/>
      </c>
      <c r="D202" s="6" t="str">
        <f>IF(ATALI[[#This Row],[ID NOTA]]="","",INDEX(Table1[QB],MATCH(ATALI[[#This Row],[ID NOTA]],Table1[ID],0)))</f>
        <v/>
      </c>
      <c r="E20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858</v>
      </c>
      <c r="F202" s="6"/>
      <c r="G202" s="3" t="str">
        <f>IF(ATALI[[#This Row],[ID NOTA]]="","",INDEX([2]!NOTA[TGL_H],MATCH(ATALI[[#This Row],[ID NOTA]],[2]!NOTA[ID],0)))</f>
        <v/>
      </c>
      <c r="H202" s="3" t="str">
        <f>IF(ATALI[[#This Row],[ID NOTA]]="","",INDEX([2]!NOTA[TGL.NOTA],MATCH(ATALI[[#This Row],[ID NOTA]],[2]!NOTA[ID],0)))</f>
        <v/>
      </c>
      <c r="I202" s="4" t="str">
        <f>IF(ATALI[[#This Row],[ID NOTA]]="","",INDEX([2]!NOTA[NO.NOTA],MATCH(ATALI[[#This Row],[ID NOTA]],[2]!NOTA[ID],0)))</f>
        <v/>
      </c>
      <c r="J202" s="4" t="str">
        <f ca="1">IF(ATALI[[#This Row],[//]]="","",INDEX([4]!db[NB PAJAK],ATALI[[#This Row],[stt]]-1))</f>
        <v>PAPER TRIGONAL CLIP JOYKO NO. 3</v>
      </c>
      <c r="K202" s="6">
        <f ca="1">IF(ATALI[[#This Row],[//]]="","",IF(INDEX([2]!NOTA[C],ATALI[[#This Row],[//]]-2)="","",INDEX([2]!NOTA[C],ATALI[[#This Row],[//]]-2)))</f>
        <v>2</v>
      </c>
      <c r="L202" s="6">
        <f ca="1">IF(ATALI[[#This Row],[//]]="","",INDEX([2]!NOTA[QTY],ATALI[[#This Row],[//]]-2))</f>
        <v>1000</v>
      </c>
      <c r="M202" s="6" t="str">
        <f ca="1">IF(ATALI[[#This Row],[//]]="","",INDEX([2]!NOTA[STN],ATALI[[#This Row],[//]]-2))</f>
        <v>BOX</v>
      </c>
      <c r="N202" s="5">
        <f ca="1">IF(ATALI[[#This Row],[//]]="","",INDEX([2]!NOTA[HARGA SATUAN],ATALI[[#This Row],[//]]-2))</f>
        <v>1625</v>
      </c>
      <c r="O202" s="7">
        <f ca="1">IF(ATALI[[#This Row],[//]]="","",INDEX([2]!NOTA[DISC 1],ATALI[[#This Row],[//]]-2))</f>
        <v>0.125</v>
      </c>
      <c r="P202" s="7">
        <f ca="1">IF(ATALI[[#This Row],[//]]="","",INDEX([2]!NOTA[DISC 2],ATALI[[#This Row],[//]]-2))</f>
        <v>0.05</v>
      </c>
      <c r="Q202" s="5">
        <f ca="1">IF(ATALI[[#This Row],[//]]="","",INDEX([2]!NOTA[TOTAL],ATALI[[#This Row],[//]]-2))</f>
        <v>1350781.25</v>
      </c>
      <c r="R2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s="4" t="str">
        <f ca="1">IF(ATALI[[#This Row],[//]]="","",INDEX([2]!NOTA[NAMA BARANG],ATALI[[#This Row],[//]]-2))</f>
        <v>TRIGONAL CLIP NO.3 JK</v>
      </c>
      <c r="V202" s="4" t="str">
        <f ca="1">LOWER(SUBSTITUTE(SUBSTITUTE(SUBSTITUTE(SUBSTITUTE(SUBSTITUTE(SUBSTITUTE(SUBSTITUTE(ATALI[[#This Row],[N.B.nota]]," ",""),"-",""),"(",""),")",""),".",""),",",""),"/",""))</f>
        <v>trigonalclipno3jk</v>
      </c>
      <c r="W202" s="4">
        <f ca="1">IF(ATALI[[#This Row],[concat]]="","",MATCH(ATALI[[#This Row],[concat]],[4]!db[NB NOTA_C],0)+1)</f>
        <v>1987</v>
      </c>
      <c r="X202" s="4" t="str">
        <f ca="1">IF(ATALI[[#This Row],[N.B.nota]]="","",ADDRESS(ROW(ATALI[QB]),COLUMN(ATALI[QB]))&amp;":"&amp;ADDRESS(ROW(),COLUMN(ATALI[QB])))</f>
        <v>$D$3:$D$202</v>
      </c>
      <c r="Y202" s="13" t="str">
        <f ca="1">IF(ATALI[[#This Row],[//]]="","",HYPERLINK("[../DB.xlsx]DB!e"&amp;MATCH(ATALI[[#This Row],[concat]],[4]!db[NB NOTA_C],0)+1,"&gt;"))</f>
        <v>&gt;</v>
      </c>
    </row>
    <row r="203" spans="1:25" x14ac:dyDescent="0.25">
      <c r="A203" s="4"/>
      <c r="B203" s="6" t="str">
        <f>IF(ATALI[[#This Row],[N_ID]]="","",INDEX(Table1[ID],MATCH(ATALI[[#This Row],[N_ID]],Table1[N_ID],0)))</f>
        <v/>
      </c>
      <c r="C203" s="6" t="str">
        <f>IF(ATALI[[#This Row],[ID NOTA]]="","",HYPERLINK("[NOTA_.xlsx]NOTA!e"&amp;INDEX([2]!PAJAK[//],MATCH(ATALI[[#This Row],[ID NOTA]],[2]!PAJAK[ID],0)),"&gt;") )</f>
        <v/>
      </c>
      <c r="D203" s="6" t="str">
        <f>IF(ATALI[[#This Row],[ID NOTA]]="","",INDEX(Table1[QB],MATCH(ATALI[[#This Row],[ID NOTA]],Table1[ID],0)))</f>
        <v/>
      </c>
      <c r="E20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859</v>
      </c>
      <c r="F203" s="6"/>
      <c r="G203" s="3" t="str">
        <f>IF(ATALI[[#This Row],[ID NOTA]]="","",INDEX([2]!NOTA[TGL_H],MATCH(ATALI[[#This Row],[ID NOTA]],[2]!NOTA[ID],0)))</f>
        <v/>
      </c>
      <c r="H203" s="3" t="str">
        <f>IF(ATALI[[#This Row],[ID NOTA]]="","",INDEX([2]!NOTA[TGL.NOTA],MATCH(ATALI[[#This Row],[ID NOTA]],[2]!NOTA[ID],0)))</f>
        <v/>
      </c>
      <c r="I203" s="4" t="str">
        <f>IF(ATALI[[#This Row],[ID NOTA]]="","",INDEX([2]!NOTA[NO.NOTA],MATCH(ATALI[[#This Row],[ID NOTA]],[2]!NOTA[ID],0)))</f>
        <v/>
      </c>
      <c r="J203" s="4" t="str">
        <f ca="1">IF(ATALI[[#This Row],[//]]="","",INDEX([4]!db[NB PAJAK],ATALI[[#This Row],[stt]]-1))</f>
        <v>PAPER JUMBO CLIP JOYKO NO. 5</v>
      </c>
      <c r="K203" s="6">
        <f ca="1">IF(ATALI[[#This Row],[//]]="","",IF(INDEX([2]!NOTA[C],ATALI[[#This Row],[//]]-2)="","",INDEX([2]!NOTA[C],ATALI[[#This Row],[//]]-2)))</f>
        <v>1</v>
      </c>
      <c r="L203" s="6">
        <f ca="1">IF(ATALI[[#This Row],[//]]="","",INDEX([2]!NOTA[QTY],ATALI[[#This Row],[//]]-2))</f>
        <v>200</v>
      </c>
      <c r="M203" s="6" t="str">
        <f ca="1">IF(ATALI[[#This Row],[//]]="","",INDEX([2]!NOTA[STN],ATALI[[#This Row],[//]]-2))</f>
        <v>BOX</v>
      </c>
      <c r="N203" s="5">
        <f ca="1">IF(ATALI[[#This Row],[//]]="","",INDEX([2]!NOTA[HARGA SATUAN],ATALI[[#This Row],[//]]-2))</f>
        <v>4400</v>
      </c>
      <c r="O203" s="7">
        <f ca="1">IF(ATALI[[#This Row],[//]]="","",INDEX([2]!NOTA[DISC 1],ATALI[[#This Row],[//]]-2))</f>
        <v>0.125</v>
      </c>
      <c r="P203" s="7">
        <f ca="1">IF(ATALI[[#This Row],[//]]="","",INDEX([2]!NOTA[DISC 2],ATALI[[#This Row],[//]]-2))</f>
        <v>0.05</v>
      </c>
      <c r="Q203" s="5">
        <f ca="1">IF(ATALI[[#This Row],[//]]="","",INDEX([2]!NOTA[TOTAL],ATALI[[#This Row],[//]]-2))</f>
        <v>731500</v>
      </c>
      <c r="R2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s="4" t="str">
        <f ca="1">IF(ATALI[[#This Row],[//]]="","",INDEX([2]!NOTA[NAMA BARANG],ATALI[[#This Row],[//]]-2))</f>
        <v>PAPER CLIP JUMBO NO.5 JK</v>
      </c>
      <c r="V203" s="4" t="str">
        <f ca="1">LOWER(SUBSTITUTE(SUBSTITUTE(SUBSTITUTE(SUBSTITUTE(SUBSTITUTE(SUBSTITUTE(SUBSTITUTE(ATALI[[#This Row],[N.B.nota]]," ",""),"-",""),"(",""),")",""),".",""),",",""),"/",""))</f>
        <v>paperclipjumbono5jk</v>
      </c>
      <c r="W203" s="4">
        <f ca="1">IF(ATALI[[#This Row],[concat]]="","",MATCH(ATALI[[#This Row],[concat]],[4]!db[NB NOTA_C],0)+1)</f>
        <v>1558</v>
      </c>
      <c r="X203" s="4" t="str">
        <f ca="1">IF(ATALI[[#This Row],[N.B.nota]]="","",ADDRESS(ROW(ATALI[QB]),COLUMN(ATALI[QB]))&amp;":"&amp;ADDRESS(ROW(),COLUMN(ATALI[QB])))</f>
        <v>$D$3:$D$203</v>
      </c>
      <c r="Y203" s="13" t="str">
        <f ca="1">IF(ATALI[[#This Row],[//]]="","",HYPERLINK("[../DB.xlsx]DB!e"&amp;MATCH(ATALI[[#This Row],[concat]],[4]!db[NB NOTA_C],0)+1,"&gt;"))</f>
        <v>&gt;</v>
      </c>
    </row>
    <row r="204" spans="1:25" x14ac:dyDescent="0.25">
      <c r="A204" s="4"/>
      <c r="B204" s="6" t="str">
        <f>IF(ATALI[[#This Row],[N_ID]]="","",INDEX(Table1[ID],MATCH(ATALI[[#This Row],[N_ID]],Table1[N_ID],0)))</f>
        <v/>
      </c>
      <c r="C204" s="6" t="str">
        <f>IF(ATALI[[#This Row],[ID NOTA]]="","",HYPERLINK("[NOTA_.xlsx]NOTA!e"&amp;INDEX([2]!PAJAK[//],MATCH(ATALI[[#This Row],[ID NOTA]],[2]!PAJAK[ID],0)),"&gt;") )</f>
        <v/>
      </c>
      <c r="D204" s="6" t="str">
        <f>IF(ATALI[[#This Row],[ID NOTA]]="","",INDEX(Table1[QB],MATCH(ATALI[[#This Row],[ID NOTA]],Table1[ID],0)))</f>
        <v/>
      </c>
      <c r="E20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860</v>
      </c>
      <c r="F204" s="6"/>
      <c r="G204" s="3" t="str">
        <f>IF(ATALI[[#This Row],[ID NOTA]]="","",INDEX([2]!NOTA[TGL_H],MATCH(ATALI[[#This Row],[ID NOTA]],[2]!NOTA[ID],0)))</f>
        <v/>
      </c>
      <c r="H204" s="3" t="str">
        <f>IF(ATALI[[#This Row],[ID NOTA]]="","",INDEX([2]!NOTA[TGL.NOTA],MATCH(ATALI[[#This Row],[ID NOTA]],[2]!NOTA[ID],0)))</f>
        <v/>
      </c>
      <c r="I204" s="4" t="str">
        <f>IF(ATALI[[#This Row],[ID NOTA]]="","",INDEX([2]!NOTA[NO.NOTA],MATCH(ATALI[[#This Row],[ID NOTA]],[2]!NOTA[ID],0)))</f>
        <v/>
      </c>
      <c r="J204" s="4" t="str">
        <f ca="1">IF(ATALI[[#This Row],[//]]="","",INDEX([4]!db[NB PAJAK],ATALI[[#This Row],[stt]]-1))</f>
        <v>LOOSE LEAF JOYKO A5-7020 (100S)</v>
      </c>
      <c r="K204" s="6">
        <f ca="1">IF(ATALI[[#This Row],[//]]="","",IF(INDEX([2]!NOTA[C],ATALI[[#This Row],[//]]-2)="","",INDEX([2]!NOTA[C],ATALI[[#This Row],[//]]-2)))</f>
        <v>2</v>
      </c>
      <c r="L204" s="6">
        <f ca="1">IF(ATALI[[#This Row],[//]]="","",INDEX([2]!NOTA[QTY],ATALI[[#This Row],[//]]-2))</f>
        <v>192</v>
      </c>
      <c r="M204" s="6" t="str">
        <f ca="1">IF(ATALI[[#This Row],[//]]="","",INDEX([2]!NOTA[STN],ATALI[[#This Row],[//]]-2))</f>
        <v>PAK</v>
      </c>
      <c r="N204" s="5">
        <f ca="1">IF(ATALI[[#This Row],[//]]="","",INDEX([2]!NOTA[HARGA SATUAN],ATALI[[#This Row],[//]]-2))</f>
        <v>7000</v>
      </c>
      <c r="O204" s="7">
        <f ca="1">IF(ATALI[[#This Row],[//]]="","",INDEX([2]!NOTA[DISC 1],ATALI[[#This Row],[//]]-2))</f>
        <v>0.125</v>
      </c>
      <c r="P204" s="7">
        <f ca="1">IF(ATALI[[#This Row],[//]]="","",INDEX([2]!NOTA[DISC 2],ATALI[[#This Row],[//]]-2))</f>
        <v>0.05</v>
      </c>
      <c r="Q204" s="5">
        <f ca="1">IF(ATALI[[#This Row],[//]]="","",INDEX([2]!NOTA[TOTAL],ATALI[[#This Row],[//]]-2))</f>
        <v>1117200</v>
      </c>
      <c r="R20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0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23690292.5</v>
      </c>
      <c r="T2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s="4" t="str">
        <f ca="1">IF(ATALI[[#This Row],[//]]="","",INDEX([2]!NOTA[NAMA BARANG],ATALI[[#This Row],[//]]-2))</f>
        <v>L LEAF A5-7020 (100S) JK</v>
      </c>
      <c r="V204" s="4" t="str">
        <f ca="1">LOWER(SUBSTITUTE(SUBSTITUTE(SUBSTITUTE(SUBSTITUTE(SUBSTITUTE(SUBSTITUTE(SUBSTITUTE(ATALI[[#This Row],[N.B.nota]]," ",""),"-",""),"(",""),")",""),".",""),",",""),"/",""))</f>
        <v>lleafa57020100sjk</v>
      </c>
      <c r="W204" s="4">
        <f ca="1">IF(ATALI[[#This Row],[concat]]="","",MATCH(ATALI[[#This Row],[concat]],[4]!db[NB NOTA_C],0)+1)</f>
        <v>1292</v>
      </c>
      <c r="X204" s="4" t="str">
        <f ca="1">IF(ATALI[[#This Row],[N.B.nota]]="","",ADDRESS(ROW(ATALI[QB]),COLUMN(ATALI[QB]))&amp;":"&amp;ADDRESS(ROW(),COLUMN(ATALI[QB])))</f>
        <v>$D$3:$D$204</v>
      </c>
      <c r="Y204" s="13" t="str">
        <f ca="1">IF(ATALI[[#This Row],[//]]="","",HYPERLINK("[../DB.xlsx]DB!e"&amp;MATCH(ATALI[[#This Row],[concat]],[4]!db[NB NOTA_C],0)+1,"&gt;"))</f>
        <v>&gt;</v>
      </c>
    </row>
    <row r="205" spans="1:25" x14ac:dyDescent="0.25">
      <c r="A205" s="4"/>
      <c r="B205" s="6" t="str">
        <f>IF(ATALI[[#This Row],[N_ID]]="","",INDEX(Table1[ID],MATCH(ATALI[[#This Row],[N_ID]],Table1[N_ID],0)))</f>
        <v/>
      </c>
      <c r="C205" s="6" t="str">
        <f>IF(ATALI[[#This Row],[ID NOTA]]="","",HYPERLINK("[NOTA_.xlsx]NOTA!e"&amp;INDEX([2]!PAJAK[//],MATCH(ATALI[[#This Row],[ID NOTA]],[2]!PAJAK[ID],0)),"&gt;") )</f>
        <v/>
      </c>
      <c r="D205" s="6" t="str">
        <f>IF(ATALI[[#This Row],[ID NOTA]]="","",INDEX(Table1[QB],MATCH(ATALI[[#This Row],[ID NOTA]],Table1[ID],0)))</f>
        <v/>
      </c>
      <c r="E2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5" s="6"/>
      <c r="G205" s="3" t="str">
        <f>IF(ATALI[[#This Row],[ID NOTA]]="","",INDEX([2]!NOTA[TGL_H],MATCH(ATALI[[#This Row],[ID NOTA]],[2]!NOTA[ID],0)))</f>
        <v/>
      </c>
      <c r="H205" s="3" t="str">
        <f>IF(ATALI[[#This Row],[ID NOTA]]="","",INDEX([2]!NOTA[TGL.NOTA],MATCH(ATALI[[#This Row],[ID NOTA]],[2]!NOTA[ID],0)))</f>
        <v/>
      </c>
      <c r="I205" s="4" t="str">
        <f>IF(ATALI[[#This Row],[ID NOTA]]="","",INDEX([2]!NOTA[NO.NOTA],MATCH(ATALI[[#This Row],[ID NOTA]],[2]!NOTA[ID],0)))</f>
        <v/>
      </c>
      <c r="J205" s="4" t="str">
        <f ca="1">IF(ATALI[[#This Row],[//]]="","",INDEX([4]!db[NB PAJAK],ATALI[[#This Row],[stt]]-1))</f>
        <v/>
      </c>
      <c r="K205" s="6" t="str">
        <f ca="1">IF(ATALI[[#This Row],[//]]="","",IF(INDEX([2]!NOTA[C],ATALI[[#This Row],[//]]-2)="","",INDEX([2]!NOTA[C],ATALI[[#This Row],[//]]-2)))</f>
        <v/>
      </c>
      <c r="L205" s="6" t="str">
        <f ca="1">IF(ATALI[[#This Row],[//]]="","",INDEX([2]!NOTA[QTY],ATALI[[#This Row],[//]]-2))</f>
        <v/>
      </c>
      <c r="M205" s="6" t="str">
        <f ca="1">IF(ATALI[[#This Row],[//]]="","",INDEX([2]!NOTA[STN],ATALI[[#This Row],[//]]-2))</f>
        <v/>
      </c>
      <c r="N205" s="5" t="str">
        <f ca="1">IF(ATALI[[#This Row],[//]]="","",INDEX([2]!NOTA[HARGA SATUAN],ATALI[[#This Row],[//]]-2))</f>
        <v/>
      </c>
      <c r="O205" s="7" t="str">
        <f ca="1">IF(ATALI[[#This Row],[//]]="","",INDEX([2]!NOTA[DISC 1],ATALI[[#This Row],[//]]-2))</f>
        <v/>
      </c>
      <c r="P205" s="7" t="str">
        <f ca="1">IF(ATALI[[#This Row],[//]]="","",INDEX([2]!NOTA[DISC 2],ATALI[[#This Row],[//]]-2))</f>
        <v/>
      </c>
      <c r="Q205" s="5" t="str">
        <f ca="1">IF(ATALI[[#This Row],[//]]="","",INDEX([2]!NOTA[TOTAL],ATALI[[#This Row],[//]]-2))</f>
        <v/>
      </c>
      <c r="R2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s="4" t="str">
        <f ca="1">IF(ATALI[[#This Row],[//]]="","",INDEX([2]!NOTA[NAMA BARANG],ATALI[[#This Row],[//]]-2))</f>
        <v/>
      </c>
      <c r="V205" s="4" t="str">
        <f ca="1">LOWER(SUBSTITUTE(SUBSTITUTE(SUBSTITUTE(SUBSTITUTE(SUBSTITUTE(SUBSTITUTE(SUBSTITUTE(ATALI[[#This Row],[N.B.nota]]," ",""),"-",""),"(",""),")",""),".",""),",",""),"/",""))</f>
        <v/>
      </c>
      <c r="W205" s="4" t="str">
        <f ca="1">IF(ATALI[[#This Row],[concat]]="","",MATCH(ATALI[[#This Row],[concat]],[4]!db[NB NOTA_C],0)+1)</f>
        <v/>
      </c>
      <c r="X205" s="4" t="str">
        <f ca="1">IF(ATALI[[#This Row],[N.B.nota]]="","",ADDRESS(ROW(ATALI[QB]),COLUMN(ATALI[QB]))&amp;":"&amp;ADDRESS(ROW(),COLUMN(ATALI[QB])))</f>
        <v/>
      </c>
      <c r="Y205" s="13" t="str">
        <f ca="1">IF(ATALI[[#This Row],[//]]="","",HYPERLINK("[../DB.xlsx]DB!e"&amp;MATCH(ATALI[[#This Row],[concat]],[4]!db[NB NOTA_C],0)+1,"&gt;"))</f>
        <v/>
      </c>
    </row>
    <row r="206" spans="1:25" x14ac:dyDescent="0.25">
      <c r="A206" s="4" t="s">
        <v>129</v>
      </c>
      <c r="B206" s="6">
        <f ca="1">IF(ATALI[[#This Row],[N_ID]]="","",INDEX(Table1[ID],MATCH(ATALI[[#This Row],[N_ID]],Table1[N_ID],0)))</f>
        <v>155</v>
      </c>
      <c r="C206" s="6" t="str">
        <f ca="1">IF(ATALI[[#This Row],[ID NOTA]]="","",HYPERLINK("[NOTA_.xlsx]NOTA!e"&amp;INDEX([2]!PAJAK[//],MATCH(ATALI[[#This Row],[ID NOTA]],[2]!PAJAK[ID],0)),"&gt;") )</f>
        <v>&gt;</v>
      </c>
      <c r="D206" s="6">
        <f ca="1">IF(ATALI[[#This Row],[ID NOTA]]="","",INDEX(Table1[QB],MATCH(ATALI[[#This Row],[ID NOTA]],Table1[ID],0)))</f>
        <v>11</v>
      </c>
      <c r="E20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862</v>
      </c>
      <c r="F206" s="6"/>
      <c r="G206" s="3">
        <f ca="1">IF(ATALI[[#This Row],[ID NOTA]]="","",INDEX([2]!NOTA[TGL_H],MATCH(ATALI[[#This Row],[ID NOTA]],[2]!NOTA[ID],0)))</f>
        <v>44837</v>
      </c>
      <c r="H206" s="3">
        <f ca="1">IF(ATALI[[#This Row],[ID NOTA]]="","",INDEX([2]!NOTA[TGL.NOTA],MATCH(ATALI[[#This Row],[ID NOTA]],[2]!NOTA[ID],0)))</f>
        <v>44832</v>
      </c>
      <c r="I206" s="4" t="str">
        <f ca="1">IF(ATALI[[#This Row],[ID NOTA]]="","",INDEX([2]!NOTA[NO.NOTA],MATCH(ATALI[[#This Row],[ID NOTA]],[2]!NOTA[ID],0)))</f>
        <v>SA220915370</v>
      </c>
      <c r="J206" s="4" t="str">
        <f ca="1">IF(ATALI[[#This Row],[//]]="","",INDEX([4]!db[NB PAJAK],ATALI[[#This Row],[stt]]-1))</f>
        <v>BINDER NOTE JOYKO A5-TSED-M477 (ACADEMY) - U</v>
      </c>
      <c r="K206" s="6">
        <f ca="1">IF(ATALI[[#This Row],[//]]="","",IF(INDEX([2]!NOTA[C],ATALI[[#This Row],[//]]-2)="","",INDEX([2]!NOTA[C],ATALI[[#This Row],[//]]-2)))</f>
        <v>1</v>
      </c>
      <c r="L206" s="6">
        <f ca="1">IF(ATALI[[#This Row],[//]]="","",INDEX([2]!NOTA[QTY],ATALI[[#This Row],[//]]-2))</f>
        <v>72</v>
      </c>
      <c r="M206" s="6" t="str">
        <f ca="1">IF(ATALI[[#This Row],[//]]="","",INDEX([2]!NOTA[STN],ATALI[[#This Row],[//]]-2))</f>
        <v>PCS</v>
      </c>
      <c r="N206" s="5">
        <f ca="1">IF(ATALI[[#This Row],[//]]="","",INDEX([2]!NOTA[HARGA SATUAN],ATALI[[#This Row],[//]]-2))</f>
        <v>15800</v>
      </c>
      <c r="O206" s="7">
        <f ca="1">IF(ATALI[[#This Row],[//]]="","",INDEX([2]!NOTA[DISC 1],ATALI[[#This Row],[//]]-2))</f>
        <v>0.125</v>
      </c>
      <c r="P206" s="7">
        <f ca="1">IF(ATALI[[#This Row],[//]]="","",INDEX([2]!NOTA[DISC 2],ATALI[[#This Row],[//]]-2))</f>
        <v>0.05</v>
      </c>
      <c r="Q206" s="5">
        <f ca="1">IF(ATALI[[#This Row],[//]]="","",INDEX([2]!NOTA[TOTAL],ATALI[[#This Row],[//]]-2))</f>
        <v>945630</v>
      </c>
      <c r="R2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s="4" t="str">
        <f ca="1">IF(ATALI[[#This Row],[//]]="","",INDEX([2]!NOTA[NAMA BARANG],ATALI[[#This Row],[//]]-2))</f>
        <v>BINDER A5-TSAC-M477 (ACADEMY) JK-U</v>
      </c>
      <c r="V206" s="4" t="str">
        <f ca="1">LOWER(SUBSTITUTE(SUBSTITUTE(SUBSTITUTE(SUBSTITUTE(SUBSTITUTE(SUBSTITUTE(SUBSTITUTE(ATALI[[#This Row],[N.B.nota]]," ",""),"-",""),"(",""),")",""),".",""),",",""),"/",""))</f>
        <v>bindera5tsacm477academyjku</v>
      </c>
      <c r="W206" s="4">
        <f ca="1">IF(ATALI[[#This Row],[concat]]="","",MATCH(ATALI[[#This Row],[concat]],[4]!db[NB NOTA_C],0)+1)</f>
        <v>137</v>
      </c>
      <c r="X206" s="4" t="str">
        <f ca="1">IF(ATALI[[#This Row],[N.B.nota]]="","",ADDRESS(ROW(ATALI[QB]),COLUMN(ATALI[QB]))&amp;":"&amp;ADDRESS(ROW(),COLUMN(ATALI[QB])))</f>
        <v>$D$3:$D$206</v>
      </c>
      <c r="Y206" s="13" t="str">
        <f ca="1">IF(ATALI[[#This Row],[//]]="","",HYPERLINK("[../DB.xlsx]DB!e"&amp;MATCH(ATALI[[#This Row],[concat]],[4]!db[NB NOTA_C],0)+1,"&gt;"))</f>
        <v>&gt;</v>
      </c>
    </row>
    <row r="207" spans="1:25" x14ac:dyDescent="0.25">
      <c r="A207" s="4"/>
      <c r="B207" s="6" t="str">
        <f>IF(ATALI[[#This Row],[N_ID]]="","",INDEX(Table1[ID],MATCH(ATALI[[#This Row],[N_ID]],Table1[N_ID],0)))</f>
        <v/>
      </c>
      <c r="C207" s="6" t="str">
        <f>IF(ATALI[[#This Row],[ID NOTA]]="","",HYPERLINK("[NOTA_.xlsx]NOTA!e"&amp;INDEX([2]!PAJAK[//],MATCH(ATALI[[#This Row],[ID NOTA]],[2]!PAJAK[ID],0)),"&gt;") )</f>
        <v/>
      </c>
      <c r="D207" s="6" t="str">
        <f>IF(ATALI[[#This Row],[ID NOTA]]="","",INDEX(Table1[QB],MATCH(ATALI[[#This Row],[ID NOTA]],Table1[ID],0)))</f>
        <v/>
      </c>
      <c r="E20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863</v>
      </c>
      <c r="F207" s="6"/>
      <c r="G207" s="3" t="str">
        <f>IF(ATALI[[#This Row],[ID NOTA]]="","",INDEX([2]!NOTA[TGL_H],MATCH(ATALI[[#This Row],[ID NOTA]],[2]!NOTA[ID],0)))</f>
        <v/>
      </c>
      <c r="H207" s="3" t="str">
        <f>IF(ATALI[[#This Row],[ID NOTA]]="","",INDEX([2]!NOTA[TGL.NOTA],MATCH(ATALI[[#This Row],[ID NOTA]],[2]!NOTA[ID],0)))</f>
        <v/>
      </c>
      <c r="I207" s="4" t="str">
        <f>IF(ATALI[[#This Row],[ID NOTA]]="","",INDEX([2]!NOTA[NO.NOTA],MATCH(ATALI[[#This Row],[ID NOTA]],[2]!NOTA[ID],0)))</f>
        <v/>
      </c>
      <c r="J207" s="4" t="str">
        <f ca="1">IF(ATALI[[#This Row],[//]]="","",INDEX([4]!db[NB PAJAK],ATALI[[#This Row],[stt]]-1))</f>
        <v>BINDER NOTE JOYKO A5-TSED-M476 (EDUCATION) - U</v>
      </c>
      <c r="K207" s="6">
        <f ca="1">IF(ATALI[[#This Row],[//]]="","",IF(INDEX([2]!NOTA[C],ATALI[[#This Row],[//]]-2)="","",INDEX([2]!NOTA[C],ATALI[[#This Row],[//]]-2)))</f>
        <v>1</v>
      </c>
      <c r="L207" s="6">
        <f ca="1">IF(ATALI[[#This Row],[//]]="","",INDEX([2]!NOTA[QTY],ATALI[[#This Row],[//]]-2))</f>
        <v>72</v>
      </c>
      <c r="M207" s="6" t="str">
        <f ca="1">IF(ATALI[[#This Row],[//]]="","",INDEX([2]!NOTA[STN],ATALI[[#This Row],[//]]-2))</f>
        <v>PCS</v>
      </c>
      <c r="N207" s="5">
        <f ca="1">IF(ATALI[[#This Row],[//]]="","",INDEX([2]!NOTA[HARGA SATUAN],ATALI[[#This Row],[//]]-2))</f>
        <v>15800</v>
      </c>
      <c r="O207" s="7">
        <f ca="1">IF(ATALI[[#This Row],[//]]="","",INDEX([2]!NOTA[DISC 1],ATALI[[#This Row],[//]]-2))</f>
        <v>0.125</v>
      </c>
      <c r="P207" s="7">
        <f ca="1">IF(ATALI[[#This Row],[//]]="","",INDEX([2]!NOTA[DISC 2],ATALI[[#This Row],[//]]-2))</f>
        <v>0.05</v>
      </c>
      <c r="Q207" s="5">
        <f ca="1">IF(ATALI[[#This Row],[//]]="","",INDEX([2]!NOTA[TOTAL],ATALI[[#This Row],[//]]-2))</f>
        <v>945630</v>
      </c>
      <c r="R2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s="4" t="str">
        <f ca="1">IF(ATALI[[#This Row],[//]]="","",INDEX([2]!NOTA[NAMA BARANG],ATALI[[#This Row],[//]]-2))</f>
        <v>BINDER A5-TSED-M476 (EDUCATION) JK-U</v>
      </c>
      <c r="V207" s="4" t="str">
        <f ca="1">LOWER(SUBSTITUTE(SUBSTITUTE(SUBSTITUTE(SUBSTITUTE(SUBSTITUTE(SUBSTITUTE(SUBSTITUTE(ATALI[[#This Row],[N.B.nota]]," ",""),"-",""),"(",""),")",""),".",""),",",""),"/",""))</f>
        <v>bindera5tsedm476educationjku</v>
      </c>
      <c r="W207" s="4">
        <f ca="1">IF(ATALI[[#This Row],[concat]]="","",MATCH(ATALI[[#This Row],[concat]],[4]!db[NB NOTA_C],0)+1)</f>
        <v>148</v>
      </c>
      <c r="X207" s="4" t="str">
        <f ca="1">IF(ATALI[[#This Row],[N.B.nota]]="","",ADDRESS(ROW(ATALI[QB]),COLUMN(ATALI[QB]))&amp;":"&amp;ADDRESS(ROW(),COLUMN(ATALI[QB])))</f>
        <v>$D$3:$D$207</v>
      </c>
      <c r="Y207" s="13" t="str">
        <f ca="1">IF(ATALI[[#This Row],[//]]="","",HYPERLINK("[../DB.xlsx]DB!e"&amp;MATCH(ATALI[[#This Row],[concat]],[4]!db[NB NOTA_C],0)+1,"&gt;"))</f>
        <v>&gt;</v>
      </c>
    </row>
    <row r="208" spans="1:25" x14ac:dyDescent="0.25">
      <c r="A208" s="4"/>
      <c r="B208" s="6" t="str">
        <f>IF(ATALI[[#This Row],[N_ID]]="","",INDEX(Table1[ID],MATCH(ATALI[[#This Row],[N_ID]],Table1[N_ID],0)))</f>
        <v/>
      </c>
      <c r="C208" s="6" t="str">
        <f>IF(ATALI[[#This Row],[ID NOTA]]="","",HYPERLINK("[NOTA_.xlsx]NOTA!e"&amp;INDEX([2]!PAJAK[//],MATCH(ATALI[[#This Row],[ID NOTA]],[2]!PAJAK[ID],0)),"&gt;") )</f>
        <v/>
      </c>
      <c r="D208" s="6" t="str">
        <f>IF(ATALI[[#This Row],[ID NOTA]]="","",INDEX(Table1[QB],MATCH(ATALI[[#This Row],[ID NOTA]],Table1[ID],0)))</f>
        <v/>
      </c>
      <c r="E20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864</v>
      </c>
      <c r="F208" s="6"/>
      <c r="G208" s="3" t="str">
        <f>IF(ATALI[[#This Row],[ID NOTA]]="","",INDEX([2]!NOTA[TGL_H],MATCH(ATALI[[#This Row],[ID NOTA]],[2]!NOTA[ID],0)))</f>
        <v/>
      </c>
      <c r="H208" s="3" t="str">
        <f>IF(ATALI[[#This Row],[ID NOTA]]="","",INDEX([2]!NOTA[TGL.NOTA],MATCH(ATALI[[#This Row],[ID NOTA]],[2]!NOTA[ID],0)))</f>
        <v/>
      </c>
      <c r="I208" s="4" t="str">
        <f>IF(ATALI[[#This Row],[ID NOTA]]="","",INDEX([2]!NOTA[NO.NOTA],MATCH(ATALI[[#This Row],[ID NOTA]],[2]!NOTA[ID],0)))</f>
        <v/>
      </c>
      <c r="J208" s="4" t="str">
        <f ca="1">IF(ATALI[[#This Row],[//]]="","",INDEX([4]!db[NB PAJAK],ATALI[[#This Row],[stt]]-1))</f>
        <v>BINDER NOTE JOYKO A5-TSFS-514 (FRIENDSHIP) - U</v>
      </c>
      <c r="K208" s="6">
        <f ca="1">IF(ATALI[[#This Row],[//]]="","",IF(INDEX([2]!NOTA[C],ATALI[[#This Row],[//]]-2)="","",INDEX([2]!NOTA[C],ATALI[[#This Row],[//]]-2)))</f>
        <v>1</v>
      </c>
      <c r="L208" s="6">
        <f ca="1">IF(ATALI[[#This Row],[//]]="","",INDEX([2]!NOTA[QTY],ATALI[[#This Row],[//]]-2))</f>
        <v>72</v>
      </c>
      <c r="M208" s="6" t="str">
        <f ca="1">IF(ATALI[[#This Row],[//]]="","",INDEX([2]!NOTA[STN],ATALI[[#This Row],[//]]-2))</f>
        <v>PCS</v>
      </c>
      <c r="N208" s="5">
        <f ca="1">IF(ATALI[[#This Row],[//]]="","",INDEX([2]!NOTA[HARGA SATUAN],ATALI[[#This Row],[//]]-2))</f>
        <v>15800</v>
      </c>
      <c r="O208" s="7">
        <f ca="1">IF(ATALI[[#This Row],[//]]="","",INDEX([2]!NOTA[DISC 1],ATALI[[#This Row],[//]]-2))</f>
        <v>0.125</v>
      </c>
      <c r="P208" s="7">
        <f ca="1">IF(ATALI[[#This Row],[//]]="","",INDEX([2]!NOTA[DISC 2],ATALI[[#This Row],[//]]-2))</f>
        <v>0.05</v>
      </c>
      <c r="Q208" s="5">
        <f ca="1">IF(ATALI[[#This Row],[//]]="","",INDEX([2]!NOTA[TOTAL],ATALI[[#This Row],[//]]-2))</f>
        <v>945630</v>
      </c>
      <c r="R2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s="4" t="str">
        <f ca="1">IF(ATALI[[#This Row],[//]]="","",INDEX([2]!NOTA[NAMA BARANG],ATALI[[#This Row],[//]]-2))</f>
        <v>BINDER A5-TSFS-514 (FRIENDSHIP) JK-U</v>
      </c>
      <c r="V208" s="4" t="str">
        <f ca="1">LOWER(SUBSTITUTE(SUBSTITUTE(SUBSTITUTE(SUBSTITUTE(SUBSTITUTE(SUBSTITUTE(SUBSTITUTE(ATALI[[#This Row],[N.B.nota]]," ",""),"-",""),"(",""),")",""),".",""),",",""),"/",""))</f>
        <v>bindera5tsfs514friendshipjku</v>
      </c>
      <c r="W208" s="4">
        <f ca="1">IF(ATALI[[#This Row],[concat]]="","",MATCH(ATALI[[#This Row],[concat]],[4]!db[NB NOTA_C],0)+1)</f>
        <v>153</v>
      </c>
      <c r="X208" s="4" t="str">
        <f ca="1">IF(ATALI[[#This Row],[N.B.nota]]="","",ADDRESS(ROW(ATALI[QB]),COLUMN(ATALI[QB]))&amp;":"&amp;ADDRESS(ROW(),COLUMN(ATALI[QB])))</f>
        <v>$D$3:$D$208</v>
      </c>
      <c r="Y208" s="13" t="str">
        <f ca="1">IF(ATALI[[#This Row],[//]]="","",HYPERLINK("[../DB.xlsx]DB!e"&amp;MATCH(ATALI[[#This Row],[concat]],[4]!db[NB NOTA_C],0)+1,"&gt;"))</f>
        <v>&gt;</v>
      </c>
    </row>
    <row r="209" spans="1:25" x14ac:dyDescent="0.25">
      <c r="A209" s="4"/>
      <c r="B209" s="6" t="str">
        <f>IF(ATALI[[#This Row],[N_ID]]="","",INDEX(Table1[ID],MATCH(ATALI[[#This Row],[N_ID]],Table1[N_ID],0)))</f>
        <v/>
      </c>
      <c r="C209" s="6" t="str">
        <f>IF(ATALI[[#This Row],[ID NOTA]]="","",HYPERLINK("[NOTA_.xlsx]NOTA!e"&amp;INDEX([2]!PAJAK[//],MATCH(ATALI[[#This Row],[ID NOTA]],[2]!PAJAK[ID],0)),"&gt;") )</f>
        <v/>
      </c>
      <c r="D209" s="6" t="str">
        <f>IF(ATALI[[#This Row],[ID NOTA]]="","",INDEX(Table1[QB],MATCH(ATALI[[#This Row],[ID NOTA]],Table1[ID],0)))</f>
        <v/>
      </c>
      <c r="E20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865</v>
      </c>
      <c r="F209" s="6"/>
      <c r="G209" s="3" t="str">
        <f>IF(ATALI[[#This Row],[ID NOTA]]="","",INDEX([2]!NOTA[TGL_H],MATCH(ATALI[[#This Row],[ID NOTA]],[2]!NOTA[ID],0)))</f>
        <v/>
      </c>
      <c r="H209" s="3" t="str">
        <f>IF(ATALI[[#This Row],[ID NOTA]]="","",INDEX([2]!NOTA[TGL.NOTA],MATCH(ATALI[[#This Row],[ID NOTA]],[2]!NOTA[ID],0)))</f>
        <v/>
      </c>
      <c r="I209" s="4" t="str">
        <f>IF(ATALI[[#This Row],[ID NOTA]]="","",INDEX([2]!NOTA[NO.NOTA],MATCH(ATALI[[#This Row],[ID NOTA]],[2]!NOTA[ID],0)))</f>
        <v/>
      </c>
      <c r="J209" s="4" t="str">
        <f ca="1">IF(ATALI[[#This Row],[//]]="","",INDEX([4]!db[NB PAJAK],ATALI[[#This Row],[stt]]-1))</f>
        <v>BINDER NOTE JOYKO A5-TSDS-M440 (DISCOVERY) - U</v>
      </c>
      <c r="K209" s="6">
        <f ca="1">IF(ATALI[[#This Row],[//]]="","",IF(INDEX([2]!NOTA[C],ATALI[[#This Row],[//]]-2)="","",INDEX([2]!NOTA[C],ATALI[[#This Row],[//]]-2)))</f>
        <v>1</v>
      </c>
      <c r="L209" s="6">
        <f ca="1">IF(ATALI[[#This Row],[//]]="","",INDEX([2]!NOTA[QTY],ATALI[[#This Row],[//]]-2))</f>
        <v>72</v>
      </c>
      <c r="M209" s="6" t="str">
        <f ca="1">IF(ATALI[[#This Row],[//]]="","",INDEX([2]!NOTA[STN],ATALI[[#This Row],[//]]-2))</f>
        <v>PCS</v>
      </c>
      <c r="N209" s="5">
        <f ca="1">IF(ATALI[[#This Row],[//]]="","",INDEX([2]!NOTA[HARGA SATUAN],ATALI[[#This Row],[//]]-2))</f>
        <v>15800</v>
      </c>
      <c r="O209" s="7">
        <f ca="1">IF(ATALI[[#This Row],[//]]="","",INDEX([2]!NOTA[DISC 1],ATALI[[#This Row],[//]]-2))</f>
        <v>0.125</v>
      </c>
      <c r="P209" s="7">
        <f ca="1">IF(ATALI[[#This Row],[//]]="","",INDEX([2]!NOTA[DISC 2],ATALI[[#This Row],[//]]-2))</f>
        <v>0.05</v>
      </c>
      <c r="Q209" s="5">
        <f ca="1">IF(ATALI[[#This Row],[//]]="","",INDEX([2]!NOTA[TOTAL],ATALI[[#This Row],[//]]-2))</f>
        <v>945630</v>
      </c>
      <c r="R2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s="4" t="str">
        <f ca="1">IF(ATALI[[#This Row],[//]]="","",INDEX([2]!NOTA[NAMA BARANG],ATALI[[#This Row],[//]]-2))</f>
        <v>BINDER A5-TSDS-M440 (DISCOVERY) JK-U</v>
      </c>
      <c r="V209" s="4" t="str">
        <f ca="1">LOWER(SUBSTITUTE(SUBSTITUTE(SUBSTITUTE(SUBSTITUTE(SUBSTITUTE(SUBSTITUTE(SUBSTITUTE(ATALI[[#This Row],[N.B.nota]]," ",""),"-",""),"(",""),")",""),".",""),",",""),"/",""))</f>
        <v>bindera5tsdsm440discoveryjku</v>
      </c>
      <c r="W209" s="4">
        <f ca="1">IF(ATALI[[#This Row],[concat]]="","",MATCH(ATALI[[#This Row],[concat]],[4]!db[NB NOTA_C],0)+1)</f>
        <v>147</v>
      </c>
      <c r="X209" s="4" t="str">
        <f ca="1">IF(ATALI[[#This Row],[N.B.nota]]="","",ADDRESS(ROW(ATALI[QB]),COLUMN(ATALI[QB]))&amp;":"&amp;ADDRESS(ROW(),COLUMN(ATALI[QB])))</f>
        <v>$D$3:$D$209</v>
      </c>
      <c r="Y209" s="13" t="str">
        <f ca="1">IF(ATALI[[#This Row],[//]]="","",HYPERLINK("[../DB.xlsx]DB!e"&amp;MATCH(ATALI[[#This Row],[concat]],[4]!db[NB NOTA_C],0)+1,"&gt;"))</f>
        <v>&gt;</v>
      </c>
    </row>
    <row r="210" spans="1:25" x14ac:dyDescent="0.25">
      <c r="A210" s="4"/>
      <c r="B210" s="6" t="str">
        <f>IF(ATALI[[#This Row],[N_ID]]="","",INDEX(Table1[ID],MATCH(ATALI[[#This Row],[N_ID]],Table1[N_ID],0)))</f>
        <v/>
      </c>
      <c r="C210" s="6" t="str">
        <f>IF(ATALI[[#This Row],[ID NOTA]]="","",HYPERLINK("[NOTA_.xlsx]NOTA!e"&amp;INDEX([2]!PAJAK[//],MATCH(ATALI[[#This Row],[ID NOTA]],[2]!PAJAK[ID],0)),"&gt;") )</f>
        <v/>
      </c>
      <c r="D210" s="6" t="str">
        <f>IF(ATALI[[#This Row],[ID NOTA]]="","",INDEX(Table1[QB],MATCH(ATALI[[#This Row],[ID NOTA]],Table1[ID],0)))</f>
        <v/>
      </c>
      <c r="E21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866</v>
      </c>
      <c r="F210" s="6"/>
      <c r="G210" s="3" t="str">
        <f>IF(ATALI[[#This Row],[ID NOTA]]="","",INDEX([2]!NOTA[TGL_H],MATCH(ATALI[[#This Row],[ID NOTA]],[2]!NOTA[ID],0)))</f>
        <v/>
      </c>
      <c r="H210" s="3" t="str">
        <f>IF(ATALI[[#This Row],[ID NOTA]]="","",INDEX([2]!NOTA[TGL.NOTA],MATCH(ATALI[[#This Row],[ID NOTA]],[2]!NOTA[ID],0)))</f>
        <v/>
      </c>
      <c r="I210" s="4" t="str">
        <f>IF(ATALI[[#This Row],[ID NOTA]]="","",INDEX([2]!NOTA[NO.NOTA],MATCH(ATALI[[#This Row],[ID NOTA]],[2]!NOTA[ID],0)))</f>
        <v/>
      </c>
      <c r="J210" s="4" t="str">
        <f ca="1">IF(ATALI[[#This Row],[//]]="","",INDEX([4]!db[NB PAJAK],ATALI[[#This Row],[stt]]-1))</f>
        <v>BINDER NOTE JOYKO A5-TSBS-M376  (BASIC) -U</v>
      </c>
      <c r="K210" s="6">
        <f ca="1">IF(ATALI[[#This Row],[//]]="","",IF(INDEX([2]!NOTA[C],ATALI[[#This Row],[//]]-2)="","",INDEX([2]!NOTA[C],ATALI[[#This Row],[//]]-2)))</f>
        <v>1</v>
      </c>
      <c r="L210" s="6">
        <f ca="1">IF(ATALI[[#This Row],[//]]="","",INDEX([2]!NOTA[QTY],ATALI[[#This Row],[//]]-2))</f>
        <v>72</v>
      </c>
      <c r="M210" s="6" t="str">
        <f ca="1">IF(ATALI[[#This Row],[//]]="","",INDEX([2]!NOTA[STN],ATALI[[#This Row],[//]]-2))</f>
        <v>PCS</v>
      </c>
      <c r="N210" s="5">
        <f ca="1">IF(ATALI[[#This Row],[//]]="","",INDEX([2]!NOTA[HARGA SATUAN],ATALI[[#This Row],[//]]-2))</f>
        <v>15800</v>
      </c>
      <c r="O210" s="7">
        <f ca="1">IF(ATALI[[#This Row],[//]]="","",INDEX([2]!NOTA[DISC 1],ATALI[[#This Row],[//]]-2))</f>
        <v>0.125</v>
      </c>
      <c r="P210" s="7">
        <f ca="1">IF(ATALI[[#This Row],[//]]="","",INDEX([2]!NOTA[DISC 2],ATALI[[#This Row],[//]]-2))</f>
        <v>0.05</v>
      </c>
      <c r="Q210" s="5">
        <f ca="1">IF(ATALI[[#This Row],[//]]="","",INDEX([2]!NOTA[TOTAL],ATALI[[#This Row],[//]]-2))</f>
        <v>945630</v>
      </c>
      <c r="R2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0" s="4" t="str">
        <f ca="1">IF(ATALI[[#This Row],[//]]="","",INDEX([2]!NOTA[NAMA BARANG],ATALI[[#This Row],[//]]-2))</f>
        <v>BINDER A5-TSBS-M376 (BASIC) JK-U</v>
      </c>
      <c r="V210" s="4" t="str">
        <f ca="1">LOWER(SUBSTITUTE(SUBSTITUTE(SUBSTITUTE(SUBSTITUTE(SUBSTITUTE(SUBSTITUTE(SUBSTITUTE(ATALI[[#This Row],[N.B.nota]]," ",""),"-",""),"(",""),")",""),".",""),",",""),"/",""))</f>
        <v>bindera5tsbsm376basicjku</v>
      </c>
      <c r="W210" s="4">
        <f ca="1">IF(ATALI[[#This Row],[concat]]="","",MATCH(ATALI[[#This Row],[concat]],[4]!db[NB NOTA_C],0)+1)</f>
        <v>141</v>
      </c>
      <c r="X210" s="4" t="str">
        <f ca="1">IF(ATALI[[#This Row],[N.B.nota]]="","",ADDRESS(ROW(ATALI[QB]),COLUMN(ATALI[QB]))&amp;":"&amp;ADDRESS(ROW(),COLUMN(ATALI[QB])))</f>
        <v>$D$3:$D$210</v>
      </c>
      <c r="Y210" s="13" t="str">
        <f ca="1">IF(ATALI[[#This Row],[//]]="","",HYPERLINK("[../DB.xlsx]DB!e"&amp;MATCH(ATALI[[#This Row],[concat]],[4]!db[NB NOTA_C],0)+1,"&gt;"))</f>
        <v>&gt;</v>
      </c>
    </row>
    <row r="211" spans="1:25" x14ac:dyDescent="0.25">
      <c r="A211" s="4"/>
      <c r="B211" s="6" t="str">
        <f>IF(ATALI[[#This Row],[N_ID]]="","",INDEX(Table1[ID],MATCH(ATALI[[#This Row],[N_ID]],Table1[N_ID],0)))</f>
        <v/>
      </c>
      <c r="C211" s="6" t="str">
        <f>IF(ATALI[[#This Row],[ID NOTA]]="","",HYPERLINK("[NOTA_.xlsx]NOTA!e"&amp;INDEX([2]!PAJAK[//],MATCH(ATALI[[#This Row],[ID NOTA]],[2]!PAJAK[ID],0)),"&gt;") )</f>
        <v/>
      </c>
      <c r="D211" s="6" t="str">
        <f>IF(ATALI[[#This Row],[ID NOTA]]="","",INDEX(Table1[QB],MATCH(ATALI[[#This Row],[ID NOTA]],Table1[ID],0)))</f>
        <v/>
      </c>
      <c r="E21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867</v>
      </c>
      <c r="F211" s="6"/>
      <c r="G211" s="3" t="str">
        <f>IF(ATALI[[#This Row],[ID NOTA]]="","",INDEX([2]!NOTA[TGL_H],MATCH(ATALI[[#This Row],[ID NOTA]],[2]!NOTA[ID],0)))</f>
        <v/>
      </c>
      <c r="H211" s="3" t="str">
        <f>IF(ATALI[[#This Row],[ID NOTA]]="","",INDEX([2]!NOTA[TGL.NOTA],MATCH(ATALI[[#This Row],[ID NOTA]],[2]!NOTA[ID],0)))</f>
        <v/>
      </c>
      <c r="I211" s="4" t="str">
        <f>IF(ATALI[[#This Row],[ID NOTA]]="","",INDEX([2]!NOTA[NO.NOTA],MATCH(ATALI[[#This Row],[ID NOTA]],[2]!NOTA[ID],0)))</f>
        <v/>
      </c>
      <c r="J211" s="4" t="str">
        <f ca="1">IF(ATALI[[#This Row],[//]]="","",INDEX([4]!db[NB PAJAK],ATALI[[#This Row],[stt]]-1))</f>
        <v>BINDER NOTE JOYKO A5-TSPL-M508 DARK GREY JK-U</v>
      </c>
      <c r="K211" s="6" t="str">
        <f ca="1">IF(ATALI[[#This Row],[//]]="","",IF(INDEX([2]!NOTA[C],ATALI[[#This Row],[//]]-2)="","",INDEX([2]!NOTA[C],ATALI[[#This Row],[//]]-2)))</f>
        <v/>
      </c>
      <c r="L211" s="6">
        <f ca="1">IF(ATALI[[#This Row],[//]]="","",INDEX([2]!NOTA[QTY],ATALI[[#This Row],[//]]-2))</f>
        <v>36</v>
      </c>
      <c r="M211" s="6" t="str">
        <f ca="1">IF(ATALI[[#This Row],[//]]="","",INDEX([2]!NOTA[STN],ATALI[[#This Row],[//]]-2))</f>
        <v>PCS</v>
      </c>
      <c r="N211" s="5">
        <f ca="1">IF(ATALI[[#This Row],[//]]="","",INDEX([2]!NOTA[HARGA SATUAN],ATALI[[#This Row],[//]]-2))</f>
        <v>15800</v>
      </c>
      <c r="O211" s="7">
        <f ca="1">IF(ATALI[[#This Row],[//]]="","",INDEX([2]!NOTA[DISC 1],ATALI[[#This Row],[//]]-2))</f>
        <v>0.125</v>
      </c>
      <c r="P211" s="7">
        <f ca="1">IF(ATALI[[#This Row],[//]]="","",INDEX([2]!NOTA[DISC 2],ATALI[[#This Row],[//]]-2))</f>
        <v>0.05</v>
      </c>
      <c r="Q211" s="5">
        <f ca="1">IF(ATALI[[#This Row],[//]]="","",INDEX([2]!NOTA[TOTAL],ATALI[[#This Row],[//]]-2))</f>
        <v>472815</v>
      </c>
      <c r="R2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s="4" t="str">
        <f ca="1">IF(ATALI[[#This Row],[//]]="","",INDEX([2]!NOTA[NAMA BARANG],ATALI[[#This Row],[//]]-2))</f>
        <v>BINDER A5-TSPL-M508 (DARK GREY) JK-U</v>
      </c>
      <c r="V211" s="4" t="str">
        <f ca="1">LOWER(SUBSTITUTE(SUBSTITUTE(SUBSTITUTE(SUBSTITUTE(SUBSTITUTE(SUBSTITUTE(SUBSTITUTE(ATALI[[#This Row],[N.B.nota]]," ",""),"-",""),"(",""),")",""),".",""),",",""),"/",""))</f>
        <v>bindera5tsplm508darkgreyjku</v>
      </c>
      <c r="W211" s="4">
        <f ca="1">IF(ATALI[[#This Row],[concat]]="","",MATCH(ATALI[[#This Row],[concat]],[4]!db[NB NOTA_C],0)+1)</f>
        <v>159</v>
      </c>
      <c r="X211" s="4" t="str">
        <f ca="1">IF(ATALI[[#This Row],[N.B.nota]]="","",ADDRESS(ROW(ATALI[QB]),COLUMN(ATALI[QB]))&amp;":"&amp;ADDRESS(ROW(),COLUMN(ATALI[QB])))</f>
        <v>$D$3:$D$211</v>
      </c>
      <c r="Y211" s="13" t="str">
        <f ca="1">IF(ATALI[[#This Row],[//]]="","",HYPERLINK("[../DB.xlsx]DB!e"&amp;MATCH(ATALI[[#This Row],[concat]],[4]!db[NB NOTA_C],0)+1,"&gt;"))</f>
        <v>&gt;</v>
      </c>
    </row>
    <row r="212" spans="1:25" x14ac:dyDescent="0.25">
      <c r="A212" s="4"/>
      <c r="B212" s="6" t="str">
        <f>IF(ATALI[[#This Row],[N_ID]]="","",INDEX(Table1[ID],MATCH(ATALI[[#This Row],[N_ID]],Table1[N_ID],0)))</f>
        <v/>
      </c>
      <c r="C212" s="6" t="str">
        <f>IF(ATALI[[#This Row],[ID NOTA]]="","",HYPERLINK("[NOTA_.xlsx]NOTA!e"&amp;INDEX([2]!PAJAK[//],MATCH(ATALI[[#This Row],[ID NOTA]],[2]!PAJAK[ID],0)),"&gt;") )</f>
        <v/>
      </c>
      <c r="D212" s="6" t="str">
        <f>IF(ATALI[[#This Row],[ID NOTA]]="","",INDEX(Table1[QB],MATCH(ATALI[[#This Row],[ID NOTA]],Table1[ID],0)))</f>
        <v/>
      </c>
      <c r="E21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868</v>
      </c>
      <c r="F212" s="6"/>
      <c r="G212" s="3" t="str">
        <f>IF(ATALI[[#This Row],[ID NOTA]]="","",INDEX([2]!NOTA[TGL_H],MATCH(ATALI[[#This Row],[ID NOTA]],[2]!NOTA[ID],0)))</f>
        <v/>
      </c>
      <c r="H212" s="3" t="str">
        <f>IF(ATALI[[#This Row],[ID NOTA]]="","",INDEX([2]!NOTA[TGL.NOTA],MATCH(ATALI[[#This Row],[ID NOTA]],[2]!NOTA[ID],0)))</f>
        <v/>
      </c>
      <c r="I212" s="4" t="str">
        <f>IF(ATALI[[#This Row],[ID NOTA]]="","",INDEX([2]!NOTA[NO.NOTA],MATCH(ATALI[[#This Row],[ID NOTA]],[2]!NOTA[ID],0)))</f>
        <v/>
      </c>
      <c r="J212" s="4" t="str">
        <f ca="1">IF(ATALI[[#This Row],[//]]="","",INDEX([4]!db[NB PAJAK],ATALI[[#This Row],[stt]]-1))</f>
        <v>BINDER NOTE JOYKO A5-TSPL-M508 PEARL DARK BROWN JK-U</v>
      </c>
      <c r="K212" s="6" t="str">
        <f ca="1">IF(ATALI[[#This Row],[//]]="","",IF(INDEX([2]!NOTA[C],ATALI[[#This Row],[//]]-2)="","",INDEX([2]!NOTA[C],ATALI[[#This Row],[//]]-2)))</f>
        <v/>
      </c>
      <c r="L212" s="6">
        <f ca="1">IF(ATALI[[#This Row],[//]]="","",INDEX([2]!NOTA[QTY],ATALI[[#This Row],[//]]-2))</f>
        <v>36</v>
      </c>
      <c r="M212" s="6" t="str">
        <f ca="1">IF(ATALI[[#This Row],[//]]="","",INDEX([2]!NOTA[STN],ATALI[[#This Row],[//]]-2))</f>
        <v>PCS</v>
      </c>
      <c r="N212" s="5">
        <f ca="1">IF(ATALI[[#This Row],[//]]="","",INDEX([2]!NOTA[HARGA SATUAN],ATALI[[#This Row],[//]]-2))</f>
        <v>15800</v>
      </c>
      <c r="O212" s="7">
        <f ca="1">IF(ATALI[[#This Row],[//]]="","",INDEX([2]!NOTA[DISC 1],ATALI[[#This Row],[//]]-2))</f>
        <v>0.125</v>
      </c>
      <c r="P212" s="7">
        <f ca="1">IF(ATALI[[#This Row],[//]]="","",INDEX([2]!NOTA[DISC 2],ATALI[[#This Row],[//]]-2))</f>
        <v>0.05</v>
      </c>
      <c r="Q212" s="5">
        <f ca="1">IF(ATALI[[#This Row],[//]]="","",INDEX([2]!NOTA[TOTAL],ATALI[[#This Row],[//]]-2))</f>
        <v>472815</v>
      </c>
      <c r="R2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s="4" t="str">
        <f ca="1">IF(ATALI[[#This Row],[//]]="","",INDEX([2]!NOTA[NAMA BARANG],ATALI[[#This Row],[//]]-2))</f>
        <v>BINDER A5-TSPL-M508 (PEARL DARK BROWN) JK-U</v>
      </c>
      <c r="V212" s="4" t="str">
        <f ca="1">LOWER(SUBSTITUTE(SUBSTITUTE(SUBSTITUTE(SUBSTITUTE(SUBSTITUTE(SUBSTITUTE(SUBSTITUTE(ATALI[[#This Row],[N.B.nota]]," ",""),"-",""),"(",""),")",""),".",""),",",""),"/",""))</f>
        <v>bindera5tsplm508pearldarkbrownjku</v>
      </c>
      <c r="W212" s="4">
        <f ca="1">IF(ATALI[[#This Row],[concat]]="","",MATCH(ATALI[[#This Row],[concat]],[4]!db[NB NOTA_C],0)+1)</f>
        <v>160</v>
      </c>
      <c r="X212" s="4" t="str">
        <f ca="1">IF(ATALI[[#This Row],[N.B.nota]]="","",ADDRESS(ROW(ATALI[QB]),COLUMN(ATALI[QB]))&amp;":"&amp;ADDRESS(ROW(),COLUMN(ATALI[QB])))</f>
        <v>$D$3:$D$212</v>
      </c>
      <c r="Y212" s="13" t="str">
        <f ca="1">IF(ATALI[[#This Row],[//]]="","",HYPERLINK("[../DB.xlsx]DB!e"&amp;MATCH(ATALI[[#This Row],[concat]],[4]!db[NB NOTA_C],0)+1,"&gt;"))</f>
        <v>&gt;</v>
      </c>
    </row>
    <row r="213" spans="1:25" x14ac:dyDescent="0.25">
      <c r="A213" s="4"/>
      <c r="B213" s="6" t="str">
        <f>IF(ATALI[[#This Row],[N_ID]]="","",INDEX(Table1[ID],MATCH(ATALI[[#This Row],[N_ID]],Table1[N_ID],0)))</f>
        <v/>
      </c>
      <c r="C213" s="6" t="str">
        <f>IF(ATALI[[#This Row],[ID NOTA]]="","",HYPERLINK("[NOTA_.xlsx]NOTA!e"&amp;INDEX([2]!PAJAK[//],MATCH(ATALI[[#This Row],[ID NOTA]],[2]!PAJAK[ID],0)),"&gt;") )</f>
        <v/>
      </c>
      <c r="D213" s="6" t="str">
        <f>IF(ATALI[[#This Row],[ID NOTA]]="","",INDEX(Table1[QB],MATCH(ATALI[[#This Row],[ID NOTA]],Table1[ID],0)))</f>
        <v/>
      </c>
      <c r="E21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869</v>
      </c>
      <c r="F213" s="6"/>
      <c r="G213" s="3" t="str">
        <f>IF(ATALI[[#This Row],[ID NOTA]]="","",INDEX([2]!NOTA[TGL_H],MATCH(ATALI[[#This Row],[ID NOTA]],[2]!NOTA[ID],0)))</f>
        <v/>
      </c>
      <c r="H213" s="3" t="str">
        <f>IF(ATALI[[#This Row],[ID NOTA]]="","",INDEX([2]!NOTA[TGL.NOTA],MATCH(ATALI[[#This Row],[ID NOTA]],[2]!NOTA[ID],0)))</f>
        <v/>
      </c>
      <c r="I213" s="4" t="str">
        <f>IF(ATALI[[#This Row],[ID NOTA]]="","",INDEX([2]!NOTA[NO.NOTA],MATCH(ATALI[[#This Row],[ID NOTA]],[2]!NOTA[ID],0)))</f>
        <v/>
      </c>
      <c r="J213" s="4" t="str">
        <f ca="1">IF(ATALI[[#This Row],[//]]="","",INDEX([4]!db[NB PAJAK],ATALI[[#This Row],[stt]]-1))</f>
        <v>BINDER NOTE JOYKO A5-TSPL-M508 PEARL LIGHT BROWN JK-U</v>
      </c>
      <c r="K213" s="6" t="str">
        <f ca="1">IF(ATALI[[#This Row],[//]]="","",IF(INDEX([2]!NOTA[C],ATALI[[#This Row],[//]]-2)="","",INDEX([2]!NOTA[C],ATALI[[#This Row],[//]]-2)))</f>
        <v/>
      </c>
      <c r="L213" s="6">
        <f ca="1">IF(ATALI[[#This Row],[//]]="","",INDEX([2]!NOTA[QTY],ATALI[[#This Row],[//]]-2))</f>
        <v>36</v>
      </c>
      <c r="M213" s="6" t="str">
        <f ca="1">IF(ATALI[[#This Row],[//]]="","",INDEX([2]!NOTA[STN],ATALI[[#This Row],[//]]-2))</f>
        <v>PCS</v>
      </c>
      <c r="N213" s="5">
        <f ca="1">IF(ATALI[[#This Row],[//]]="","",INDEX([2]!NOTA[HARGA SATUAN],ATALI[[#This Row],[//]]-2))</f>
        <v>15800</v>
      </c>
      <c r="O213" s="7">
        <f ca="1">IF(ATALI[[#This Row],[//]]="","",INDEX([2]!NOTA[DISC 1],ATALI[[#This Row],[//]]-2))</f>
        <v>0.125</v>
      </c>
      <c r="P213" s="7">
        <f ca="1">IF(ATALI[[#This Row],[//]]="","",INDEX([2]!NOTA[DISC 2],ATALI[[#This Row],[//]]-2))</f>
        <v>0.05</v>
      </c>
      <c r="Q213" s="5">
        <f ca="1">IF(ATALI[[#This Row],[//]]="","",INDEX([2]!NOTA[TOTAL],ATALI[[#This Row],[//]]-2))</f>
        <v>472815</v>
      </c>
      <c r="R2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s="4" t="str">
        <f ca="1">IF(ATALI[[#This Row],[//]]="","",INDEX([2]!NOTA[NAMA BARANG],ATALI[[#This Row],[//]]-2))</f>
        <v>BINDER A5-TSPL-M508 (PEARL LIGHT BROWN) JK-U</v>
      </c>
      <c r="V213" s="4" t="str">
        <f ca="1">LOWER(SUBSTITUTE(SUBSTITUTE(SUBSTITUTE(SUBSTITUTE(SUBSTITUTE(SUBSTITUTE(SUBSTITUTE(ATALI[[#This Row],[N.B.nota]]," ",""),"-",""),"(",""),")",""),".",""),",",""),"/",""))</f>
        <v>bindera5tsplm508pearllightbrownjku</v>
      </c>
      <c r="W213" s="4">
        <f ca="1">IF(ATALI[[#This Row],[concat]]="","",MATCH(ATALI[[#This Row],[concat]],[4]!db[NB NOTA_C],0)+1)</f>
        <v>161</v>
      </c>
      <c r="X213" s="4" t="str">
        <f ca="1">IF(ATALI[[#This Row],[N.B.nota]]="","",ADDRESS(ROW(ATALI[QB]),COLUMN(ATALI[QB]))&amp;":"&amp;ADDRESS(ROW(),COLUMN(ATALI[QB])))</f>
        <v>$D$3:$D$213</v>
      </c>
      <c r="Y213" s="13" t="str">
        <f ca="1">IF(ATALI[[#This Row],[//]]="","",HYPERLINK("[../DB.xlsx]DB!e"&amp;MATCH(ATALI[[#This Row],[concat]],[4]!db[NB NOTA_C],0)+1,"&gt;"))</f>
        <v>&gt;</v>
      </c>
    </row>
    <row r="214" spans="1:25" x14ac:dyDescent="0.25">
      <c r="A214" s="4"/>
      <c r="B214" s="6" t="str">
        <f>IF(ATALI[[#This Row],[N_ID]]="","",INDEX(Table1[ID],MATCH(ATALI[[#This Row],[N_ID]],Table1[N_ID],0)))</f>
        <v/>
      </c>
      <c r="C214" s="6" t="str">
        <f>IF(ATALI[[#This Row],[ID NOTA]]="","",HYPERLINK("[NOTA_.xlsx]NOTA!e"&amp;INDEX([2]!PAJAK[//],MATCH(ATALI[[#This Row],[ID NOTA]],[2]!PAJAK[ID],0)),"&gt;") )</f>
        <v/>
      </c>
      <c r="D214" s="6" t="str">
        <f>IF(ATALI[[#This Row],[ID NOTA]]="","",INDEX(Table1[QB],MATCH(ATALI[[#This Row],[ID NOTA]],Table1[ID],0)))</f>
        <v/>
      </c>
      <c r="E21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870</v>
      </c>
      <c r="F214" s="6"/>
      <c r="G214" s="3" t="str">
        <f>IF(ATALI[[#This Row],[ID NOTA]]="","",INDEX([2]!NOTA[TGL_H],MATCH(ATALI[[#This Row],[ID NOTA]],[2]!NOTA[ID],0)))</f>
        <v/>
      </c>
      <c r="H214" s="3" t="str">
        <f>IF(ATALI[[#This Row],[ID NOTA]]="","",INDEX([2]!NOTA[TGL.NOTA],MATCH(ATALI[[#This Row],[ID NOTA]],[2]!NOTA[ID],0)))</f>
        <v/>
      </c>
      <c r="I214" s="4" t="str">
        <f>IF(ATALI[[#This Row],[ID NOTA]]="","",INDEX([2]!NOTA[NO.NOTA],MATCH(ATALI[[#This Row],[ID NOTA]],[2]!NOTA[ID],0)))</f>
        <v/>
      </c>
      <c r="J214" s="4" t="str">
        <f ca="1">IF(ATALI[[#This Row],[//]]="","",INDEX([4]!db[NB PAJAK],ATALI[[#This Row],[stt]]-1))</f>
        <v>BINDER NOTE JOYKO A5-TSPL-M508 PEARL WHITE JK-U</v>
      </c>
      <c r="K214" s="6" t="str">
        <f ca="1">IF(ATALI[[#This Row],[//]]="","",IF(INDEX([2]!NOTA[C],ATALI[[#This Row],[//]]-2)="","",INDEX([2]!NOTA[C],ATALI[[#This Row],[//]]-2)))</f>
        <v/>
      </c>
      <c r="L214" s="6">
        <f ca="1">IF(ATALI[[#This Row],[//]]="","",INDEX([2]!NOTA[QTY],ATALI[[#This Row],[//]]-2))</f>
        <v>36</v>
      </c>
      <c r="M214" s="6" t="str">
        <f ca="1">IF(ATALI[[#This Row],[//]]="","",INDEX([2]!NOTA[STN],ATALI[[#This Row],[//]]-2))</f>
        <v>PCS</v>
      </c>
      <c r="N214" s="5">
        <f ca="1">IF(ATALI[[#This Row],[//]]="","",INDEX([2]!NOTA[HARGA SATUAN],ATALI[[#This Row],[//]]-2))</f>
        <v>15800</v>
      </c>
      <c r="O214" s="7">
        <f ca="1">IF(ATALI[[#This Row],[//]]="","",INDEX([2]!NOTA[DISC 1],ATALI[[#This Row],[//]]-2))</f>
        <v>0.125</v>
      </c>
      <c r="P214" s="7">
        <f ca="1">IF(ATALI[[#This Row],[//]]="","",INDEX([2]!NOTA[DISC 2],ATALI[[#This Row],[//]]-2))</f>
        <v>0.05</v>
      </c>
      <c r="Q214" s="5">
        <f ca="1">IF(ATALI[[#This Row],[//]]="","",INDEX([2]!NOTA[TOTAL],ATALI[[#This Row],[//]]-2))</f>
        <v>472815</v>
      </c>
      <c r="R2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s="4" t="str">
        <f ca="1">IF(ATALI[[#This Row],[//]]="","",INDEX([2]!NOTA[NAMA BARANG],ATALI[[#This Row],[//]]-2))</f>
        <v>BINDER A5-TSPL-M508 (PEARL WHITE) JK-U</v>
      </c>
      <c r="V214" s="4" t="str">
        <f ca="1">LOWER(SUBSTITUTE(SUBSTITUTE(SUBSTITUTE(SUBSTITUTE(SUBSTITUTE(SUBSTITUTE(SUBSTITUTE(ATALI[[#This Row],[N.B.nota]]," ",""),"-",""),"(",""),")",""),".",""),",",""),"/",""))</f>
        <v>bindera5tsplm508pearlwhitejku</v>
      </c>
      <c r="W214" s="4">
        <f ca="1">IF(ATALI[[#This Row],[concat]]="","",MATCH(ATALI[[#This Row],[concat]],[4]!db[NB NOTA_C],0)+1)</f>
        <v>162</v>
      </c>
      <c r="X214" s="4" t="str">
        <f ca="1">IF(ATALI[[#This Row],[N.B.nota]]="","",ADDRESS(ROW(ATALI[QB]),COLUMN(ATALI[QB]))&amp;":"&amp;ADDRESS(ROW(),COLUMN(ATALI[QB])))</f>
        <v>$D$3:$D$214</v>
      </c>
      <c r="Y214" s="13" t="str">
        <f ca="1">IF(ATALI[[#This Row],[//]]="","",HYPERLINK("[../DB.xlsx]DB!e"&amp;MATCH(ATALI[[#This Row],[concat]],[4]!db[NB NOTA_C],0)+1,"&gt;"))</f>
        <v>&gt;</v>
      </c>
    </row>
    <row r="215" spans="1:25" x14ac:dyDescent="0.25">
      <c r="A215" s="4"/>
      <c r="B215" s="6" t="str">
        <f>IF(ATALI[[#This Row],[N_ID]]="","",INDEX(Table1[ID],MATCH(ATALI[[#This Row],[N_ID]],Table1[N_ID],0)))</f>
        <v/>
      </c>
      <c r="C215" s="6" t="str">
        <f>IF(ATALI[[#This Row],[ID NOTA]]="","",HYPERLINK("[NOTA_.xlsx]NOTA!e"&amp;INDEX([2]!PAJAK[//],MATCH(ATALI[[#This Row],[ID NOTA]],[2]!PAJAK[ID],0)),"&gt;") )</f>
        <v/>
      </c>
      <c r="D215" s="6" t="str">
        <f>IF(ATALI[[#This Row],[ID NOTA]]="","",INDEX(Table1[QB],MATCH(ATALI[[#This Row],[ID NOTA]],Table1[ID],0)))</f>
        <v/>
      </c>
      <c r="E21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871</v>
      </c>
      <c r="F215" s="6"/>
      <c r="G215" s="3" t="str">
        <f>IF(ATALI[[#This Row],[ID NOTA]]="","",INDEX([2]!NOTA[TGL_H],MATCH(ATALI[[#This Row],[ID NOTA]],[2]!NOTA[ID],0)))</f>
        <v/>
      </c>
      <c r="H215" s="3" t="str">
        <f>IF(ATALI[[#This Row],[ID NOTA]]="","",INDEX([2]!NOTA[TGL.NOTA],MATCH(ATALI[[#This Row],[ID NOTA]],[2]!NOTA[ID],0)))</f>
        <v/>
      </c>
      <c r="I215" s="4" t="str">
        <f>IF(ATALI[[#This Row],[ID NOTA]]="","",INDEX([2]!NOTA[NO.NOTA],MATCH(ATALI[[#This Row],[ID NOTA]],[2]!NOTA[ID],0)))</f>
        <v/>
      </c>
      <c r="J215" s="4" t="str">
        <f ca="1">IF(ATALI[[#This Row],[//]]="","",INDEX([4]!db[NB PAJAK],ATALI[[#This Row],[stt]]-1))</f>
        <v>BINDER NOTE JOYKO B5-TSAF-F141 ANIMAL FACE JK-F</v>
      </c>
      <c r="K215" s="6">
        <f ca="1">IF(ATALI[[#This Row],[//]]="","",IF(INDEX([2]!NOTA[C],ATALI[[#This Row],[//]]-2)="","",INDEX([2]!NOTA[C],ATALI[[#This Row],[//]]-2)))</f>
        <v>2</v>
      </c>
      <c r="L215" s="6">
        <f ca="1">IF(ATALI[[#This Row],[//]]="","",INDEX([2]!NOTA[QTY],ATALI[[#This Row],[//]]-2))</f>
        <v>144</v>
      </c>
      <c r="M215" s="6" t="str">
        <f ca="1">IF(ATALI[[#This Row],[//]]="","",INDEX([2]!NOTA[STN],ATALI[[#This Row],[//]]-2))</f>
        <v>PCS</v>
      </c>
      <c r="N215" s="5">
        <f ca="1">IF(ATALI[[#This Row],[//]]="","",INDEX([2]!NOTA[HARGA SATUAN],ATALI[[#This Row],[//]]-2))</f>
        <v>20700</v>
      </c>
      <c r="O215" s="7">
        <f ca="1">IF(ATALI[[#This Row],[//]]="","",INDEX([2]!NOTA[DISC 1],ATALI[[#This Row],[//]]-2))</f>
        <v>0.125</v>
      </c>
      <c r="P215" s="7">
        <f ca="1">IF(ATALI[[#This Row],[//]]="","",INDEX([2]!NOTA[DISC 2],ATALI[[#This Row],[//]]-2))</f>
        <v>0.05</v>
      </c>
      <c r="Q215" s="5">
        <f ca="1">IF(ATALI[[#This Row],[//]]="","",INDEX([2]!NOTA[TOTAL],ATALI[[#This Row],[//]]-2))</f>
        <v>2477790</v>
      </c>
      <c r="R2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s="4" t="str">
        <f ca="1">IF(ATALI[[#This Row],[//]]="","",INDEX([2]!NOTA[NAMA BARANG],ATALI[[#This Row],[//]]-2))</f>
        <v>BINDER B5-TSAF-F141 (ANIMAL FACE) JK-F</v>
      </c>
      <c r="V215" s="4" t="str">
        <f ca="1">LOWER(SUBSTITUTE(SUBSTITUTE(SUBSTITUTE(SUBSTITUTE(SUBSTITUTE(SUBSTITUTE(SUBSTITUTE(ATALI[[#This Row],[N.B.nota]]," ",""),"-",""),"(",""),")",""),".",""),",",""),"/",""))</f>
        <v>binderb5tsaff141animalfacejkf</v>
      </c>
      <c r="W215" s="4">
        <f ca="1">IF(ATALI[[#This Row],[concat]]="","",MATCH(ATALI[[#This Row],[concat]],[4]!db[NB NOTA_C],0)+1)</f>
        <v>180</v>
      </c>
      <c r="X215" s="4" t="str">
        <f ca="1">IF(ATALI[[#This Row],[N.B.nota]]="","",ADDRESS(ROW(ATALI[QB]),COLUMN(ATALI[QB]))&amp;":"&amp;ADDRESS(ROW(),COLUMN(ATALI[QB])))</f>
        <v>$D$3:$D$215</v>
      </c>
      <c r="Y215" s="13" t="str">
        <f ca="1">IF(ATALI[[#This Row],[//]]="","",HYPERLINK("[../DB.xlsx]DB!e"&amp;MATCH(ATALI[[#This Row],[concat]],[4]!db[NB NOTA_C],0)+1,"&gt;"))</f>
        <v>&gt;</v>
      </c>
    </row>
    <row r="216" spans="1:25" x14ac:dyDescent="0.25">
      <c r="A216" s="4"/>
      <c r="B216" s="6" t="str">
        <f>IF(ATALI[[#This Row],[N_ID]]="","",INDEX(Table1[ID],MATCH(ATALI[[#This Row],[N_ID]],Table1[N_ID],0)))</f>
        <v/>
      </c>
      <c r="C216" s="6" t="str">
        <f>IF(ATALI[[#This Row],[ID NOTA]]="","",HYPERLINK("[NOTA_.xlsx]NOTA!e"&amp;INDEX([2]!PAJAK[//],MATCH(ATALI[[#This Row],[ID NOTA]],[2]!PAJAK[ID],0)),"&gt;") )</f>
        <v/>
      </c>
      <c r="D216" s="6" t="str">
        <f>IF(ATALI[[#This Row],[ID NOTA]]="","",INDEX(Table1[QB],MATCH(ATALI[[#This Row],[ID NOTA]],Table1[ID],0)))</f>
        <v/>
      </c>
      <c r="E21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872</v>
      </c>
      <c r="F216" s="6"/>
      <c r="G216" s="3" t="str">
        <f>IF(ATALI[[#This Row],[ID NOTA]]="","",INDEX([2]!NOTA[TGL_H],MATCH(ATALI[[#This Row],[ID NOTA]],[2]!NOTA[ID],0)))</f>
        <v/>
      </c>
      <c r="H216" s="3" t="str">
        <f>IF(ATALI[[#This Row],[ID NOTA]]="","",INDEX([2]!NOTA[TGL.NOTA],MATCH(ATALI[[#This Row],[ID NOTA]],[2]!NOTA[ID],0)))</f>
        <v/>
      </c>
      <c r="I216" s="4" t="str">
        <f>IF(ATALI[[#This Row],[ID NOTA]]="","",INDEX([2]!NOTA[NO.NOTA],MATCH(ATALI[[#This Row],[ID NOTA]],[2]!NOTA[ID],0)))</f>
        <v/>
      </c>
      <c r="J216" s="4" t="str">
        <f ca="1">IF(ATALI[[#This Row],[//]]="","",INDEX([4]!db[NB PAJAK],ATALI[[#This Row],[stt]]-1))</f>
        <v>BINDER NOTE JOYKO A5-TSAF-F511 (ANIMAL FACE) JK-F</v>
      </c>
      <c r="K216" s="6">
        <f ca="1">IF(ATALI[[#This Row],[//]]="","",IF(INDEX([2]!NOTA[C],ATALI[[#This Row],[//]]-2)="","",INDEX([2]!NOTA[C],ATALI[[#This Row],[//]]-2)))</f>
        <v>1</v>
      </c>
      <c r="L216" s="6">
        <f ca="1">IF(ATALI[[#This Row],[//]]="","",INDEX([2]!NOTA[QTY],ATALI[[#This Row],[//]]-2))</f>
        <v>72</v>
      </c>
      <c r="M216" s="6" t="str">
        <f ca="1">IF(ATALI[[#This Row],[//]]="","",INDEX([2]!NOTA[STN],ATALI[[#This Row],[//]]-2))</f>
        <v>PCS</v>
      </c>
      <c r="N216" s="5">
        <f ca="1">IF(ATALI[[#This Row],[//]]="","",INDEX([2]!NOTA[HARGA SATUAN],ATALI[[#This Row],[//]]-2))</f>
        <v>15800</v>
      </c>
      <c r="O216" s="7">
        <f ca="1">IF(ATALI[[#This Row],[//]]="","",INDEX([2]!NOTA[DISC 1],ATALI[[#This Row],[//]]-2))</f>
        <v>0.125</v>
      </c>
      <c r="P216" s="7">
        <f ca="1">IF(ATALI[[#This Row],[//]]="","",INDEX([2]!NOTA[DISC 2],ATALI[[#This Row],[//]]-2))</f>
        <v>0.05</v>
      </c>
      <c r="Q216" s="5">
        <f ca="1">IF(ATALI[[#This Row],[//]]="","",INDEX([2]!NOTA[TOTAL],ATALI[[#This Row],[//]]-2))</f>
        <v>945630</v>
      </c>
      <c r="R21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1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10042830</v>
      </c>
      <c r="T2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s="4" t="str">
        <f ca="1">IF(ATALI[[#This Row],[//]]="","",INDEX([2]!NOTA[NAMA BARANG],ATALI[[#This Row],[//]]-2))</f>
        <v>BINDER A5-TSAF-F511 (ANIMAL FACE) JK-F</v>
      </c>
      <c r="V216" s="4" t="str">
        <f ca="1">LOWER(SUBSTITUTE(SUBSTITUTE(SUBSTITUTE(SUBSTITUTE(SUBSTITUTE(SUBSTITUTE(SUBSTITUTE(ATALI[[#This Row],[N.B.nota]]," ",""),"-",""),"(",""),")",""),".",""),",",""),"/",""))</f>
        <v>bindera5tsaff511animalfacejkf</v>
      </c>
      <c r="W216" s="4">
        <f ca="1">IF(ATALI[[#This Row],[concat]]="","",MATCH(ATALI[[#This Row],[concat]],[4]!db[NB NOTA_C],0)+1)</f>
        <v>138</v>
      </c>
      <c r="X216" s="4" t="str">
        <f ca="1">IF(ATALI[[#This Row],[N.B.nota]]="","",ADDRESS(ROW(ATALI[QB]),COLUMN(ATALI[QB]))&amp;":"&amp;ADDRESS(ROW(),COLUMN(ATALI[QB])))</f>
        <v>$D$3:$D$216</v>
      </c>
      <c r="Y216" s="13" t="str">
        <f ca="1">IF(ATALI[[#This Row],[//]]="","",HYPERLINK("[../DB.xlsx]DB!e"&amp;MATCH(ATALI[[#This Row],[concat]],[4]!db[NB NOTA_C],0)+1,"&gt;"))</f>
        <v>&gt;</v>
      </c>
    </row>
    <row r="217" spans="1:25" x14ac:dyDescent="0.25">
      <c r="A217" s="4"/>
      <c r="B217" s="6" t="str">
        <f>IF(ATALI[[#This Row],[N_ID]]="","",INDEX(Table1[ID],MATCH(ATALI[[#This Row],[N_ID]],Table1[N_ID],0)))</f>
        <v/>
      </c>
      <c r="C217" s="6" t="str">
        <f>IF(ATALI[[#This Row],[ID NOTA]]="","",HYPERLINK("[NOTA_.xlsx]NOTA!e"&amp;INDEX([2]!PAJAK[//],MATCH(ATALI[[#This Row],[ID NOTA]],[2]!PAJAK[ID],0)),"&gt;") )</f>
        <v/>
      </c>
      <c r="D217" s="6" t="str">
        <f>IF(ATALI[[#This Row],[ID NOTA]]="","",INDEX(Table1[QB],MATCH(ATALI[[#This Row],[ID NOTA]],Table1[ID],0)))</f>
        <v/>
      </c>
      <c r="E2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7" s="6"/>
      <c r="G217" s="3" t="str">
        <f>IF(ATALI[[#This Row],[ID NOTA]]="","",INDEX([2]!NOTA[TGL_H],MATCH(ATALI[[#This Row],[ID NOTA]],[2]!NOTA[ID],0)))</f>
        <v/>
      </c>
      <c r="H217" s="3" t="str">
        <f>IF(ATALI[[#This Row],[ID NOTA]]="","",INDEX([2]!NOTA[TGL.NOTA],MATCH(ATALI[[#This Row],[ID NOTA]],[2]!NOTA[ID],0)))</f>
        <v/>
      </c>
      <c r="I217" s="4" t="str">
        <f>IF(ATALI[[#This Row],[ID NOTA]]="","",INDEX([2]!NOTA[NO.NOTA],MATCH(ATALI[[#This Row],[ID NOTA]],[2]!NOTA[ID],0)))</f>
        <v/>
      </c>
      <c r="J217" s="4" t="str">
        <f ca="1">IF(ATALI[[#This Row],[//]]="","",INDEX([4]!db[NB PAJAK],ATALI[[#This Row],[stt]]-1))</f>
        <v/>
      </c>
      <c r="K217" s="6" t="str">
        <f ca="1">IF(ATALI[[#This Row],[//]]="","",IF(INDEX([2]!NOTA[C],ATALI[[#This Row],[//]]-2)="","",INDEX([2]!NOTA[C],ATALI[[#This Row],[//]]-2)))</f>
        <v/>
      </c>
      <c r="L217" s="6" t="str">
        <f ca="1">IF(ATALI[[#This Row],[//]]="","",INDEX([2]!NOTA[QTY],ATALI[[#This Row],[//]]-2))</f>
        <v/>
      </c>
      <c r="M217" s="6" t="str">
        <f ca="1">IF(ATALI[[#This Row],[//]]="","",INDEX([2]!NOTA[STN],ATALI[[#This Row],[//]]-2))</f>
        <v/>
      </c>
      <c r="N217" s="5" t="str">
        <f ca="1">IF(ATALI[[#This Row],[//]]="","",INDEX([2]!NOTA[HARGA SATUAN],ATALI[[#This Row],[//]]-2))</f>
        <v/>
      </c>
      <c r="O217" s="7" t="str">
        <f ca="1">IF(ATALI[[#This Row],[//]]="","",INDEX([2]!NOTA[DISC 1],ATALI[[#This Row],[//]]-2))</f>
        <v/>
      </c>
      <c r="P217" s="7" t="str">
        <f ca="1">IF(ATALI[[#This Row],[//]]="","",INDEX([2]!NOTA[DISC 2],ATALI[[#This Row],[//]]-2))</f>
        <v/>
      </c>
      <c r="Q217" s="5" t="str">
        <f ca="1">IF(ATALI[[#This Row],[//]]="","",INDEX([2]!NOTA[TOTAL],ATALI[[#This Row],[//]]-2))</f>
        <v/>
      </c>
      <c r="R2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s="4" t="str">
        <f ca="1">IF(ATALI[[#This Row],[//]]="","",INDEX([2]!NOTA[NAMA BARANG],ATALI[[#This Row],[//]]-2))</f>
        <v/>
      </c>
      <c r="V217" s="4" t="str">
        <f ca="1">LOWER(SUBSTITUTE(SUBSTITUTE(SUBSTITUTE(SUBSTITUTE(SUBSTITUTE(SUBSTITUTE(SUBSTITUTE(ATALI[[#This Row],[N.B.nota]]," ",""),"-",""),"(",""),")",""),".",""),",",""),"/",""))</f>
        <v/>
      </c>
      <c r="W217" s="4" t="str">
        <f ca="1">IF(ATALI[[#This Row],[concat]]="","",MATCH(ATALI[[#This Row],[concat]],[4]!db[NB NOTA_C],0)+1)</f>
        <v/>
      </c>
      <c r="X217" s="4" t="str">
        <f ca="1">IF(ATALI[[#This Row],[N.B.nota]]="","",ADDRESS(ROW(ATALI[QB]),COLUMN(ATALI[QB]))&amp;":"&amp;ADDRESS(ROW(),COLUMN(ATALI[QB])))</f>
        <v/>
      </c>
      <c r="Y217" s="13" t="str">
        <f ca="1">IF(ATALI[[#This Row],[//]]="","",HYPERLINK("[../DB.xlsx]DB!e"&amp;MATCH(ATALI[[#This Row],[concat]],[4]!db[NB NOTA_C],0)+1,"&gt;"))</f>
        <v/>
      </c>
    </row>
    <row r="218" spans="1:25" x14ac:dyDescent="0.25">
      <c r="A218" s="4" t="s">
        <v>130</v>
      </c>
      <c r="B218" s="6">
        <f ca="1">IF(ATALI[[#This Row],[N_ID]]="","",INDEX(Table1[ID],MATCH(ATALI[[#This Row],[N_ID]],Table1[N_ID],0)))</f>
        <v>153</v>
      </c>
      <c r="C218" s="6" t="str">
        <f ca="1">IF(ATALI[[#This Row],[ID NOTA]]="","",HYPERLINK("[NOTA_.xlsx]NOTA!e"&amp;INDEX([2]!PAJAK[//],MATCH(ATALI[[#This Row],[ID NOTA]],[2]!PAJAK[ID],0)),"&gt;") )</f>
        <v>&gt;</v>
      </c>
      <c r="D218" s="6">
        <f ca="1">IF(ATALI[[#This Row],[ID NOTA]]="","",INDEX(Table1[QB],MATCH(ATALI[[#This Row],[ID NOTA]],Table1[ID],0)))</f>
        <v>6</v>
      </c>
      <c r="E21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844</v>
      </c>
      <c r="F218" s="6"/>
      <c r="G218" s="3">
        <f ca="1">IF(ATALI[[#This Row],[ID NOTA]]="","",INDEX([2]!NOTA[TGL_H],MATCH(ATALI[[#This Row],[ID NOTA]],[2]!NOTA[ID],0)))</f>
        <v>44837</v>
      </c>
      <c r="H218" s="3">
        <f ca="1">IF(ATALI[[#This Row],[ID NOTA]]="","",INDEX([2]!NOTA[TGL.NOTA],MATCH(ATALI[[#This Row],[ID NOTA]],[2]!NOTA[ID],0)))</f>
        <v>44832</v>
      </c>
      <c r="I218" s="4" t="str">
        <f ca="1">IF(ATALI[[#This Row],[ID NOTA]]="","",INDEX([2]!NOTA[NO.NOTA],MATCH(ATALI[[#This Row],[ID NOTA]],[2]!NOTA[ID],0)))</f>
        <v>SA220915371</v>
      </c>
      <c r="J218" s="4" t="str">
        <f ca="1">IF(ATALI[[#This Row],[//]]="","",INDEX([4]!db[NB PAJAK],ATALI[[#This Row],[stt]]-1))</f>
        <v>CUTTER 18 MM JOYKO L-500 + ISI (BESAR)</v>
      </c>
      <c r="K218" s="6">
        <f ca="1">IF(ATALI[[#This Row],[//]]="","",IF(INDEX([2]!NOTA[C],ATALI[[#This Row],[//]]-2)="","",INDEX([2]!NOTA[C],ATALI[[#This Row],[//]]-2)))</f>
        <v>2</v>
      </c>
      <c r="L218" s="6">
        <f ca="1">IF(ATALI[[#This Row],[//]]="","",INDEX([2]!NOTA[QTY],ATALI[[#This Row],[//]]-2))</f>
        <v>48</v>
      </c>
      <c r="M218" s="6" t="str">
        <f ca="1">IF(ATALI[[#This Row],[//]]="","",INDEX([2]!NOTA[STN],ATALI[[#This Row],[//]]-2))</f>
        <v>DZ</v>
      </c>
      <c r="N218" s="5">
        <f ca="1">IF(ATALI[[#This Row],[//]]="","",INDEX([2]!NOTA[HARGA SATUAN],ATALI[[#This Row],[//]]-2))</f>
        <v>162000</v>
      </c>
      <c r="O218" s="7">
        <f ca="1">IF(ATALI[[#This Row],[//]]="","",INDEX([2]!NOTA[DISC 1],ATALI[[#This Row],[//]]-2))</f>
        <v>0.125</v>
      </c>
      <c r="P218" s="7">
        <f ca="1">IF(ATALI[[#This Row],[//]]="","",INDEX([2]!NOTA[DISC 2],ATALI[[#This Row],[//]]-2))</f>
        <v>0.05</v>
      </c>
      <c r="Q218" s="5">
        <f ca="1">IF(ATALI[[#This Row],[//]]="","",INDEX([2]!NOTA[TOTAL],ATALI[[#This Row],[//]]-2))</f>
        <v>6463800</v>
      </c>
      <c r="R2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s="4" t="str">
        <f ca="1">IF(ATALI[[#This Row],[//]]="","",INDEX([2]!NOTA[NAMA BARANG],ATALI[[#This Row],[//]]-2))</f>
        <v>CUTTER L-500 JK</v>
      </c>
      <c r="V218" s="4" t="str">
        <f ca="1">LOWER(SUBSTITUTE(SUBSTITUTE(SUBSTITUTE(SUBSTITUTE(SUBSTITUTE(SUBSTITUTE(SUBSTITUTE(ATALI[[#This Row],[N.B.nota]]," ",""),"-",""),"(",""),")",""),".",""),",",""),"/",""))</f>
        <v>cutterl500jk</v>
      </c>
      <c r="W218" s="4">
        <f ca="1">IF(ATALI[[#This Row],[concat]]="","",MATCH(ATALI[[#This Row],[concat]],[4]!db[NB NOTA_C],0)+1)</f>
        <v>557</v>
      </c>
      <c r="X218" s="4" t="str">
        <f ca="1">IF(ATALI[[#This Row],[N.B.nota]]="","",ADDRESS(ROW(ATALI[QB]),COLUMN(ATALI[QB]))&amp;":"&amp;ADDRESS(ROW(),COLUMN(ATALI[QB])))</f>
        <v>$D$3:$D$218</v>
      </c>
      <c r="Y218" s="13" t="str">
        <f ca="1">IF(ATALI[[#This Row],[//]]="","",HYPERLINK("[../DB.xlsx]DB!e"&amp;MATCH(ATALI[[#This Row],[concat]],[4]!db[NB NOTA_C],0)+1,"&gt;"))</f>
        <v>&gt;</v>
      </c>
    </row>
    <row r="219" spans="1:25" x14ac:dyDescent="0.25">
      <c r="A219" s="4"/>
      <c r="B219" s="6" t="str">
        <f>IF(ATALI[[#This Row],[N_ID]]="","",INDEX(Table1[ID],MATCH(ATALI[[#This Row],[N_ID]],Table1[N_ID],0)))</f>
        <v/>
      </c>
      <c r="C219" s="6" t="str">
        <f>IF(ATALI[[#This Row],[ID NOTA]]="","",HYPERLINK("[NOTA_.xlsx]NOTA!e"&amp;INDEX([2]!PAJAK[//],MATCH(ATALI[[#This Row],[ID NOTA]],[2]!PAJAK[ID],0)),"&gt;") )</f>
        <v/>
      </c>
      <c r="D219" s="6" t="str">
        <f>IF(ATALI[[#This Row],[ID NOTA]]="","",INDEX(Table1[QB],MATCH(ATALI[[#This Row],[ID NOTA]],Table1[ID],0)))</f>
        <v/>
      </c>
      <c r="E21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845</v>
      </c>
      <c r="F219" s="6"/>
      <c r="G219" s="3" t="str">
        <f>IF(ATALI[[#This Row],[ID NOTA]]="","",INDEX([2]!NOTA[TGL_H],MATCH(ATALI[[#This Row],[ID NOTA]],[2]!NOTA[ID],0)))</f>
        <v/>
      </c>
      <c r="H219" s="3" t="str">
        <f>IF(ATALI[[#This Row],[ID NOTA]]="","",INDEX([2]!NOTA[TGL.NOTA],MATCH(ATALI[[#This Row],[ID NOTA]],[2]!NOTA[ID],0)))</f>
        <v/>
      </c>
      <c r="I219" s="4" t="str">
        <f>IF(ATALI[[#This Row],[ID NOTA]]="","",INDEX([2]!NOTA[NO.NOTA],MATCH(ATALI[[#This Row],[ID NOTA]],[2]!NOTA[ID],0)))</f>
        <v/>
      </c>
      <c r="J219" s="4" t="str">
        <f ca="1">IF(ATALI[[#This Row],[//]]="","",INDEX([4]!db[NB PAJAK],ATALI[[#This Row],[stt]]-1))</f>
        <v>ISI CUTTER 18 MM JOYKO L-150 MH (BESAR)</v>
      </c>
      <c r="K219" s="6" t="str">
        <f ca="1">IF(ATALI[[#This Row],[//]]="","",IF(INDEX([2]!NOTA[C],ATALI[[#This Row],[//]]-2)="","",INDEX([2]!NOTA[C],ATALI[[#This Row],[//]]-2)))</f>
        <v/>
      </c>
      <c r="L219" s="6">
        <f ca="1">IF(ATALI[[#This Row],[//]]="","",INDEX([2]!NOTA[QTY],ATALI[[#This Row],[//]]-2))</f>
        <v>48</v>
      </c>
      <c r="M219" s="6" t="str">
        <f ca="1">IF(ATALI[[#This Row],[//]]="","",INDEX([2]!NOTA[STN],ATALI[[#This Row],[//]]-2))</f>
        <v>DZ</v>
      </c>
      <c r="N219" s="5">
        <f ca="1">IF(ATALI[[#This Row],[//]]="","",INDEX([2]!NOTA[HARGA SATUAN],ATALI[[#This Row],[//]]-2))</f>
        <v>0</v>
      </c>
      <c r="O219" s="7">
        <f ca="1">IF(ATALI[[#This Row],[//]]="","",INDEX([2]!NOTA[DISC 1],ATALI[[#This Row],[//]]-2))</f>
        <v>0</v>
      </c>
      <c r="P219" s="7">
        <f ca="1">IF(ATALI[[#This Row],[//]]="","",INDEX([2]!NOTA[DISC 2],ATALI[[#This Row],[//]]-2))</f>
        <v>0</v>
      </c>
      <c r="Q219" s="5" t="str">
        <f ca="1">IF(ATALI[[#This Row],[//]]="","",INDEX([2]!NOTA[TOTAL],ATALI[[#This Row],[//]]-2))</f>
        <v/>
      </c>
      <c r="R2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9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</v>
      </c>
      <c r="U219" s="4" t="str">
        <f ca="1">IF(ATALI[[#This Row],[//]]="","",INDEX([2]!NOTA[NAMA BARANG],ATALI[[#This Row],[//]]-2))</f>
        <v>CUTTER BLADE L-150M (MH) JK</v>
      </c>
      <c r="V219" s="4" t="str">
        <f ca="1">LOWER(SUBSTITUTE(SUBSTITUTE(SUBSTITUTE(SUBSTITUTE(SUBSTITUTE(SUBSTITUTE(SUBSTITUTE(ATALI[[#This Row],[N.B.nota]]," ",""),"-",""),"(",""),")",""),".",""),",",""),"/",""))</f>
        <v>cutterbladel150mmhjk</v>
      </c>
      <c r="W219" s="4">
        <f ca="1">IF(ATALI[[#This Row],[concat]]="","",MATCH(ATALI[[#This Row],[concat]],[4]!db[NB NOTA_C],0)+1)</f>
        <v>551</v>
      </c>
      <c r="X219" s="4" t="str">
        <f ca="1">IF(ATALI[[#This Row],[N.B.nota]]="","",ADDRESS(ROW(ATALI[QB]),COLUMN(ATALI[QB]))&amp;":"&amp;ADDRESS(ROW(),COLUMN(ATALI[QB])))</f>
        <v>$D$3:$D$219</v>
      </c>
      <c r="Y219" s="13" t="str">
        <f ca="1">IF(ATALI[[#This Row],[//]]="","",HYPERLINK("[../DB.xlsx]DB!e"&amp;MATCH(ATALI[[#This Row],[concat]],[4]!db[NB NOTA_C],0)+1,"&gt;"))</f>
        <v>&gt;</v>
      </c>
    </row>
    <row r="220" spans="1:25" x14ac:dyDescent="0.25">
      <c r="A220" s="4"/>
      <c r="B220" s="6" t="str">
        <f>IF(ATALI[[#This Row],[N_ID]]="","",INDEX(Table1[ID],MATCH(ATALI[[#This Row],[N_ID]],Table1[N_ID],0)))</f>
        <v/>
      </c>
      <c r="C220" s="6" t="str">
        <f>IF(ATALI[[#This Row],[ID NOTA]]="","",HYPERLINK("[NOTA_.xlsx]NOTA!e"&amp;INDEX([2]!PAJAK[//],MATCH(ATALI[[#This Row],[ID NOTA]],[2]!PAJAK[ID],0)),"&gt;") )</f>
        <v/>
      </c>
      <c r="D220" s="6" t="str">
        <f>IF(ATALI[[#This Row],[ID NOTA]]="","",INDEX(Table1[QB],MATCH(ATALI[[#This Row],[ID NOTA]],Table1[ID],0)))</f>
        <v/>
      </c>
      <c r="E22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846</v>
      </c>
      <c r="F220" s="6"/>
      <c r="G220" s="3" t="str">
        <f>IF(ATALI[[#This Row],[ID NOTA]]="","",INDEX([2]!NOTA[TGL_H],MATCH(ATALI[[#This Row],[ID NOTA]],[2]!NOTA[ID],0)))</f>
        <v/>
      </c>
      <c r="H220" s="3" t="str">
        <f>IF(ATALI[[#This Row],[ID NOTA]]="","",INDEX([2]!NOTA[TGL.NOTA],MATCH(ATALI[[#This Row],[ID NOTA]],[2]!NOTA[ID],0)))</f>
        <v/>
      </c>
      <c r="I220" s="4" t="str">
        <f>IF(ATALI[[#This Row],[ID NOTA]]="","",INDEX([2]!NOTA[NO.NOTA],MATCH(ATALI[[#This Row],[ID NOTA]],[2]!NOTA[ID],0)))</f>
        <v/>
      </c>
      <c r="J220" s="4" t="str">
        <f ca="1">IF(ATALI[[#This Row],[//]]="","",INDEX([4]!db[NB PAJAK],ATALI[[#This Row],[stt]]-1))</f>
        <v>MESIN LABEL HARGA JOYKO MX-5500M (8 DIGITS, 1 LINE)</v>
      </c>
      <c r="K220" s="6">
        <f ca="1">IF(ATALI[[#This Row],[//]]="","",IF(INDEX([2]!NOTA[C],ATALI[[#This Row],[//]]-2)="","",INDEX([2]!NOTA[C],ATALI[[#This Row],[//]]-2)))</f>
        <v>2</v>
      </c>
      <c r="L220" s="6">
        <f ca="1">IF(ATALI[[#This Row],[//]]="","",INDEX([2]!NOTA[QTY],ATALI[[#This Row],[//]]-2))</f>
        <v>40</v>
      </c>
      <c r="M220" s="6" t="str">
        <f ca="1">IF(ATALI[[#This Row],[//]]="","",INDEX([2]!NOTA[STN],ATALI[[#This Row],[//]]-2))</f>
        <v>PCS</v>
      </c>
      <c r="N220" s="5">
        <f ca="1">IF(ATALI[[#This Row],[//]]="","",INDEX([2]!NOTA[HARGA SATUAN],ATALI[[#This Row],[//]]-2))</f>
        <v>40500</v>
      </c>
      <c r="O220" s="7">
        <f ca="1">IF(ATALI[[#This Row],[//]]="","",INDEX([2]!NOTA[DISC 1],ATALI[[#This Row],[//]]-2))</f>
        <v>0.125</v>
      </c>
      <c r="P220" s="7">
        <f ca="1">IF(ATALI[[#This Row],[//]]="","",INDEX([2]!NOTA[DISC 2],ATALI[[#This Row],[//]]-2))</f>
        <v>0.05</v>
      </c>
      <c r="Q220" s="5">
        <f ca="1">IF(ATALI[[#This Row],[//]]="","",INDEX([2]!NOTA[TOTAL],ATALI[[#This Row],[//]]-2))</f>
        <v>1346625</v>
      </c>
      <c r="R2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s="4" t="str">
        <f ca="1">IF(ATALI[[#This Row],[//]]="","",INDEX([2]!NOTA[NAMA BARANG],ATALI[[#This Row],[//]]-2))</f>
        <v>LABELLER MX-5500M (8 DIGITS) JK</v>
      </c>
      <c r="V220" s="4" t="str">
        <f ca="1">LOWER(SUBSTITUTE(SUBSTITUTE(SUBSTITUTE(SUBSTITUTE(SUBSTITUTE(SUBSTITUTE(SUBSTITUTE(ATALI[[#This Row],[N.B.nota]]," ",""),"-",""),"(",""),")",""),".",""),",",""),"/",""))</f>
        <v>labellermx5500m8digitsjk</v>
      </c>
      <c r="W220" s="4">
        <f ca="1">IF(ATALI[[#This Row],[concat]]="","",MATCH(ATALI[[#This Row],[concat]],[4]!db[NB NOTA_C],0)+1)</f>
        <v>1303</v>
      </c>
      <c r="X220" s="4" t="str">
        <f ca="1">IF(ATALI[[#This Row],[N.B.nota]]="","",ADDRESS(ROW(ATALI[QB]),COLUMN(ATALI[QB]))&amp;":"&amp;ADDRESS(ROW(),COLUMN(ATALI[QB])))</f>
        <v>$D$3:$D$220</v>
      </c>
      <c r="Y220" s="13" t="str">
        <f ca="1">IF(ATALI[[#This Row],[//]]="","",HYPERLINK("[../DB.xlsx]DB!e"&amp;MATCH(ATALI[[#This Row],[concat]],[4]!db[NB NOTA_C],0)+1,"&gt;"))</f>
        <v>&gt;</v>
      </c>
    </row>
    <row r="221" spans="1:25" x14ac:dyDescent="0.25">
      <c r="A221" s="4"/>
      <c r="B221" s="6" t="str">
        <f>IF(ATALI[[#This Row],[N_ID]]="","",INDEX(Table1[ID],MATCH(ATALI[[#This Row],[N_ID]],Table1[N_ID],0)))</f>
        <v/>
      </c>
      <c r="C221" s="6" t="str">
        <f>IF(ATALI[[#This Row],[ID NOTA]]="","",HYPERLINK("[NOTA_.xlsx]NOTA!e"&amp;INDEX([2]!PAJAK[//],MATCH(ATALI[[#This Row],[ID NOTA]],[2]!PAJAK[ID],0)),"&gt;") )</f>
        <v/>
      </c>
      <c r="D221" s="6" t="str">
        <f>IF(ATALI[[#This Row],[ID NOTA]]="","",INDEX(Table1[QB],MATCH(ATALI[[#This Row],[ID NOTA]],Table1[ID],0)))</f>
        <v/>
      </c>
      <c r="E22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847</v>
      </c>
      <c r="F221" s="6"/>
      <c r="G221" s="3" t="str">
        <f>IF(ATALI[[#This Row],[ID NOTA]]="","",INDEX([2]!NOTA[TGL_H],MATCH(ATALI[[#This Row],[ID NOTA]],[2]!NOTA[ID],0)))</f>
        <v/>
      </c>
      <c r="H221" s="3" t="str">
        <f>IF(ATALI[[#This Row],[ID NOTA]]="","",INDEX([2]!NOTA[TGL.NOTA],MATCH(ATALI[[#This Row],[ID NOTA]],[2]!NOTA[ID],0)))</f>
        <v/>
      </c>
      <c r="I221" s="4" t="str">
        <f>IF(ATALI[[#This Row],[ID NOTA]]="","",INDEX([2]!NOTA[NO.NOTA],MATCH(ATALI[[#This Row],[ID NOTA]],[2]!NOTA[ID],0)))</f>
        <v/>
      </c>
      <c r="J221" s="4" t="str">
        <f ca="1">IF(ATALI[[#This Row],[//]]="","",INDEX([4]!db[NB PAJAK],ATALI[[#This Row],[stt]]-1))</f>
        <v>PENCIL CASE JOYKO PC-0719AC-36A/F (Animal Calender)</v>
      </c>
      <c r="K221" s="6">
        <f ca="1">IF(ATALI[[#This Row],[//]]="","",IF(INDEX([2]!NOTA[C],ATALI[[#This Row],[//]]-2)="","",INDEX([2]!NOTA[C],ATALI[[#This Row],[//]]-2)))</f>
        <v>2</v>
      </c>
      <c r="L221" s="6">
        <f ca="1">IF(ATALI[[#This Row],[//]]="","",INDEX([2]!NOTA[QTY],ATALI[[#This Row],[//]]-2))</f>
        <v>576</v>
      </c>
      <c r="M221" s="6" t="str">
        <f ca="1">IF(ATALI[[#This Row],[//]]="","",INDEX([2]!NOTA[STN],ATALI[[#This Row],[//]]-2))</f>
        <v>PCS</v>
      </c>
      <c r="N221" s="5">
        <f ca="1">IF(ATALI[[#This Row],[//]]="","",INDEX([2]!NOTA[HARGA SATUAN],ATALI[[#This Row],[//]]-2))</f>
        <v>4800</v>
      </c>
      <c r="O221" s="7">
        <f ca="1">IF(ATALI[[#This Row],[//]]="","",INDEX([2]!NOTA[DISC 1],ATALI[[#This Row],[//]]-2))</f>
        <v>0.125</v>
      </c>
      <c r="P221" s="7">
        <f ca="1">IF(ATALI[[#This Row],[//]]="","",INDEX([2]!NOTA[DISC 2],ATALI[[#This Row],[//]]-2))</f>
        <v>0.05</v>
      </c>
      <c r="Q221" s="5">
        <f ca="1">IF(ATALI[[#This Row],[//]]="","",INDEX([2]!NOTA[TOTAL],ATALI[[#This Row],[//]]-2))</f>
        <v>2298240</v>
      </c>
      <c r="R2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s="4" t="str">
        <f ca="1">IF(ATALI[[#This Row],[//]]="","",INDEX([2]!NOTA[NAMA BARANG],ATALI[[#This Row],[//]]-2))</f>
        <v>PENCIL CASE PC-0719AC-36A/F (ANIMAL CALENDER) JK</v>
      </c>
      <c r="V221" s="4" t="str">
        <f ca="1">LOWER(SUBSTITUTE(SUBSTITUTE(SUBSTITUTE(SUBSTITUTE(SUBSTITUTE(SUBSTITUTE(SUBSTITUTE(ATALI[[#This Row],[N.B.nota]]," ",""),"-",""),"(",""),")",""),".",""),",",""),"/",""))</f>
        <v>pencilcasepc0719ac36afanimalcalenderjk</v>
      </c>
      <c r="W221" s="4">
        <f ca="1">IF(ATALI[[#This Row],[concat]]="","",MATCH(ATALI[[#This Row],[concat]],[4]!db[NB NOTA_C],0)+1)</f>
        <v>1662</v>
      </c>
      <c r="X221" s="4" t="str">
        <f ca="1">IF(ATALI[[#This Row],[N.B.nota]]="","",ADDRESS(ROW(ATALI[QB]),COLUMN(ATALI[QB]))&amp;":"&amp;ADDRESS(ROW(),COLUMN(ATALI[QB])))</f>
        <v>$D$3:$D$221</v>
      </c>
      <c r="Y221" s="13" t="str">
        <f ca="1">IF(ATALI[[#This Row],[//]]="","",HYPERLINK("[../DB.xlsx]DB!e"&amp;MATCH(ATALI[[#This Row],[concat]],[4]!db[NB NOTA_C],0)+1,"&gt;"))</f>
        <v>&gt;</v>
      </c>
    </row>
    <row r="222" spans="1:25" x14ac:dyDescent="0.25">
      <c r="A222" s="4"/>
      <c r="B222" s="6" t="str">
        <f>IF(ATALI[[#This Row],[N_ID]]="","",INDEX(Table1[ID],MATCH(ATALI[[#This Row],[N_ID]],Table1[N_ID],0)))</f>
        <v/>
      </c>
      <c r="C222" s="6" t="str">
        <f>IF(ATALI[[#This Row],[ID NOTA]]="","",HYPERLINK("[NOTA_.xlsx]NOTA!e"&amp;INDEX([2]!PAJAK[//],MATCH(ATALI[[#This Row],[ID NOTA]],[2]!PAJAK[ID],0)),"&gt;") )</f>
        <v/>
      </c>
      <c r="D222" s="6" t="str">
        <f>IF(ATALI[[#This Row],[ID NOTA]]="","",INDEX(Table1[QB],MATCH(ATALI[[#This Row],[ID NOTA]],Table1[ID],0)))</f>
        <v/>
      </c>
      <c r="E22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848</v>
      </c>
      <c r="F222" s="6"/>
      <c r="G222" s="3" t="str">
        <f>IF(ATALI[[#This Row],[ID NOTA]]="","",INDEX([2]!NOTA[TGL_H],MATCH(ATALI[[#This Row],[ID NOTA]],[2]!NOTA[ID],0)))</f>
        <v/>
      </c>
      <c r="H222" s="3" t="str">
        <f>IF(ATALI[[#This Row],[ID NOTA]]="","",INDEX([2]!NOTA[TGL.NOTA],MATCH(ATALI[[#This Row],[ID NOTA]],[2]!NOTA[ID],0)))</f>
        <v/>
      </c>
      <c r="I222" s="4" t="str">
        <f>IF(ATALI[[#This Row],[ID NOTA]]="","",INDEX([2]!NOTA[NO.NOTA],MATCH(ATALI[[#This Row],[ID NOTA]],[2]!NOTA[ID],0)))</f>
        <v/>
      </c>
      <c r="J222" s="4" t="str">
        <f ca="1">IF(ATALI[[#This Row],[//]]="","",INDEX([4]!db[NB PAJAK],ATALI[[#This Row],[stt]]-1))</f>
        <v>LEM LIQUID (CAIR) JOYKO GL-R50 (50 ML)</v>
      </c>
      <c r="K222" s="6">
        <f ca="1">IF(ATALI[[#This Row],[//]]="","",IF(INDEX([2]!NOTA[C],ATALI[[#This Row],[//]]-2)="","",INDEX([2]!NOTA[C],ATALI[[#This Row],[//]]-2)))</f>
        <v>2</v>
      </c>
      <c r="L222" s="6">
        <f ca="1">IF(ATALI[[#This Row],[//]]="","",INDEX([2]!NOTA[QTY],ATALI[[#This Row],[//]]-2))</f>
        <v>576</v>
      </c>
      <c r="M222" s="6" t="str">
        <f ca="1">IF(ATALI[[#This Row],[//]]="","",INDEX([2]!NOTA[STN],ATALI[[#This Row],[//]]-2))</f>
        <v>PCS</v>
      </c>
      <c r="N222" s="5">
        <f ca="1">IF(ATALI[[#This Row],[//]]="","",INDEX([2]!NOTA[HARGA SATUAN],ATALI[[#This Row],[//]]-2))</f>
        <v>2150</v>
      </c>
      <c r="O222" s="7">
        <f ca="1">IF(ATALI[[#This Row],[//]]="","",INDEX([2]!NOTA[DISC 1],ATALI[[#This Row],[//]]-2))</f>
        <v>0.125</v>
      </c>
      <c r="P222" s="7">
        <f ca="1">IF(ATALI[[#This Row],[//]]="","",INDEX([2]!NOTA[DISC 2],ATALI[[#This Row],[//]]-2))</f>
        <v>0.05</v>
      </c>
      <c r="Q222" s="5">
        <f ca="1">IF(ATALI[[#This Row],[//]]="","",INDEX([2]!NOTA[TOTAL],ATALI[[#This Row],[//]]-2))</f>
        <v>1029420</v>
      </c>
      <c r="R2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s="4" t="str">
        <f ca="1">IF(ATALI[[#This Row],[//]]="","",INDEX([2]!NOTA[NAMA BARANG],ATALI[[#This Row],[//]]-2))</f>
        <v>GLUE GL-R50 JK</v>
      </c>
      <c r="V222" s="4" t="str">
        <f ca="1">LOWER(SUBSTITUTE(SUBSTITUTE(SUBSTITUTE(SUBSTITUTE(SUBSTITUTE(SUBSTITUTE(SUBSTITUTE(ATALI[[#This Row],[N.B.nota]]," ",""),"-",""),"(",""),")",""),".",""),",",""),"/",""))</f>
        <v>glueglr50jk</v>
      </c>
      <c r="W222" s="4">
        <f ca="1">IF(ATALI[[#This Row],[concat]]="","",MATCH(ATALI[[#This Row],[concat]],[4]!db[NB NOTA_C],0)+1)</f>
        <v>893</v>
      </c>
      <c r="X222" s="4" t="str">
        <f ca="1">IF(ATALI[[#This Row],[N.B.nota]]="","",ADDRESS(ROW(ATALI[QB]),COLUMN(ATALI[QB]))&amp;":"&amp;ADDRESS(ROW(),COLUMN(ATALI[QB])))</f>
        <v>$D$3:$D$222</v>
      </c>
      <c r="Y222" s="13" t="str">
        <f ca="1">IF(ATALI[[#This Row],[//]]="","",HYPERLINK("[../DB.xlsx]DB!e"&amp;MATCH(ATALI[[#This Row],[concat]],[4]!db[NB NOTA_C],0)+1,"&gt;"))</f>
        <v>&gt;</v>
      </c>
    </row>
    <row r="223" spans="1:25" x14ac:dyDescent="0.25">
      <c r="A223" s="4"/>
      <c r="B223" s="6" t="str">
        <f>IF(ATALI[[#This Row],[N_ID]]="","",INDEX(Table1[ID],MATCH(ATALI[[#This Row],[N_ID]],Table1[N_ID],0)))</f>
        <v/>
      </c>
      <c r="C223" s="6" t="str">
        <f>IF(ATALI[[#This Row],[ID NOTA]]="","",HYPERLINK("[NOTA_.xlsx]NOTA!e"&amp;INDEX([2]!PAJAK[//],MATCH(ATALI[[#This Row],[ID NOTA]],[2]!PAJAK[ID],0)),"&gt;") )</f>
        <v/>
      </c>
      <c r="D223" s="6" t="str">
        <f>IF(ATALI[[#This Row],[ID NOTA]]="","",INDEX(Table1[QB],MATCH(ATALI[[#This Row],[ID NOTA]],Table1[ID],0)))</f>
        <v/>
      </c>
      <c r="E22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849</v>
      </c>
      <c r="F223" s="6"/>
      <c r="G223" s="3" t="str">
        <f>IF(ATALI[[#This Row],[ID NOTA]]="","",INDEX([2]!NOTA[TGL_H],MATCH(ATALI[[#This Row],[ID NOTA]],[2]!NOTA[ID],0)))</f>
        <v/>
      </c>
      <c r="H223" s="3" t="str">
        <f>IF(ATALI[[#This Row],[ID NOTA]]="","",INDEX([2]!NOTA[TGL.NOTA],MATCH(ATALI[[#This Row],[ID NOTA]],[2]!NOTA[ID],0)))</f>
        <v/>
      </c>
      <c r="I223" s="4" t="str">
        <f>IF(ATALI[[#This Row],[ID NOTA]]="","",INDEX([2]!NOTA[NO.NOTA],MATCH(ATALI[[#This Row],[ID NOTA]],[2]!NOTA[ID],0)))</f>
        <v/>
      </c>
      <c r="J223" s="4" t="str">
        <f ca="1">IF(ATALI[[#This Row],[//]]="","",INDEX([4]!db[NB PAJAK],ATALI[[#This Row],[stt]]-1))</f>
        <v>LEM LIQUID (CAIR) JOYKO GL-R35 (35 ML)</v>
      </c>
      <c r="K223" s="6">
        <f ca="1">IF(ATALI[[#This Row],[//]]="","",IF(INDEX([2]!NOTA[C],ATALI[[#This Row],[//]]-2)="","",INDEX([2]!NOTA[C],ATALI[[#This Row],[//]]-2)))</f>
        <v>12</v>
      </c>
      <c r="L223" s="6">
        <f ca="1">IF(ATALI[[#This Row],[//]]="","",INDEX([2]!NOTA[QTY],ATALI[[#This Row],[//]]-2))</f>
        <v>6912</v>
      </c>
      <c r="M223" s="6" t="str">
        <f ca="1">IF(ATALI[[#This Row],[//]]="","",INDEX([2]!NOTA[STN],ATALI[[#This Row],[//]]-2))</f>
        <v>PCS</v>
      </c>
      <c r="N223" s="5">
        <f ca="1">IF(ATALI[[#This Row],[//]]="","",INDEX([2]!NOTA[HARGA SATUAN],ATALI[[#This Row],[//]]-2))</f>
        <v>1550</v>
      </c>
      <c r="O223" s="7">
        <f ca="1">IF(ATALI[[#This Row],[//]]="","",INDEX([2]!NOTA[DISC 1],ATALI[[#This Row],[//]]-2))</f>
        <v>0.125</v>
      </c>
      <c r="P223" s="7">
        <f ca="1">IF(ATALI[[#This Row],[//]]="","",INDEX([2]!NOTA[DISC 2],ATALI[[#This Row],[//]]-2))</f>
        <v>0.05</v>
      </c>
      <c r="Q223" s="5">
        <f ca="1">IF(ATALI[[#This Row],[//]]="","",INDEX([2]!NOTA[TOTAL],ATALI[[#This Row],[//]]-2))</f>
        <v>8905680</v>
      </c>
      <c r="R22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2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20043765</v>
      </c>
      <c r="T2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s="4" t="str">
        <f ca="1">IF(ATALI[[#This Row],[//]]="","",INDEX([2]!NOTA[NAMA BARANG],ATALI[[#This Row],[//]]-2))</f>
        <v>GLUE GL-R35 JK</v>
      </c>
      <c r="V223" s="4" t="str">
        <f ca="1">LOWER(SUBSTITUTE(SUBSTITUTE(SUBSTITUTE(SUBSTITUTE(SUBSTITUTE(SUBSTITUTE(SUBSTITUTE(ATALI[[#This Row],[N.B.nota]]," ",""),"-",""),"(",""),")",""),".",""),",",""),"/",""))</f>
        <v>glueglr35jk</v>
      </c>
      <c r="W223" s="4">
        <f ca="1">IF(ATALI[[#This Row],[concat]]="","",MATCH(ATALI[[#This Row],[concat]],[4]!db[NB NOTA_C],0)+1)</f>
        <v>892</v>
      </c>
      <c r="X223" s="4" t="str">
        <f ca="1">IF(ATALI[[#This Row],[N.B.nota]]="","",ADDRESS(ROW(ATALI[QB]),COLUMN(ATALI[QB]))&amp;":"&amp;ADDRESS(ROW(),COLUMN(ATALI[QB])))</f>
        <v>$D$3:$D$223</v>
      </c>
      <c r="Y223" s="13" t="str">
        <f ca="1">IF(ATALI[[#This Row],[//]]="","",HYPERLINK("[../DB.xlsx]DB!e"&amp;MATCH(ATALI[[#This Row],[concat]],[4]!db[NB NOTA_C],0)+1,"&gt;"))</f>
        <v>&gt;</v>
      </c>
    </row>
    <row r="224" spans="1:25" x14ac:dyDescent="0.25">
      <c r="A224" s="4"/>
      <c r="B224" s="6" t="str">
        <f>IF(ATALI[[#This Row],[N_ID]]="","",INDEX(Table1[ID],MATCH(ATALI[[#This Row],[N_ID]],Table1[N_ID],0)))</f>
        <v/>
      </c>
      <c r="C224" s="6" t="str">
        <f>IF(ATALI[[#This Row],[ID NOTA]]="","",HYPERLINK("[NOTA_.xlsx]NOTA!e"&amp;INDEX([2]!PAJAK[//],MATCH(ATALI[[#This Row],[ID NOTA]],[2]!PAJAK[ID],0)),"&gt;") )</f>
        <v/>
      </c>
      <c r="D224" s="6" t="str">
        <f>IF(ATALI[[#This Row],[ID NOTA]]="","",INDEX(Table1[QB],MATCH(ATALI[[#This Row],[ID NOTA]],Table1[ID],0)))</f>
        <v/>
      </c>
      <c r="E2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4" s="6"/>
      <c r="G224" s="3" t="str">
        <f>IF(ATALI[[#This Row],[ID NOTA]]="","",INDEX([2]!NOTA[TGL_H],MATCH(ATALI[[#This Row],[ID NOTA]],[2]!NOTA[ID],0)))</f>
        <v/>
      </c>
      <c r="H224" s="3" t="str">
        <f>IF(ATALI[[#This Row],[ID NOTA]]="","",INDEX([2]!NOTA[TGL.NOTA],MATCH(ATALI[[#This Row],[ID NOTA]],[2]!NOTA[ID],0)))</f>
        <v/>
      </c>
      <c r="I224" s="4" t="str">
        <f>IF(ATALI[[#This Row],[ID NOTA]]="","",INDEX([2]!NOTA[NO.NOTA],MATCH(ATALI[[#This Row],[ID NOTA]],[2]!NOTA[ID],0)))</f>
        <v/>
      </c>
      <c r="J224" s="4" t="str">
        <f ca="1">IF(ATALI[[#This Row],[//]]="","",INDEX([4]!db[NB PAJAK],ATALI[[#This Row],[stt]]-1))</f>
        <v/>
      </c>
      <c r="K224" s="6" t="str">
        <f ca="1">IF(ATALI[[#This Row],[//]]="","",IF(INDEX([2]!NOTA[C],ATALI[[#This Row],[//]]-2)="","",INDEX([2]!NOTA[C],ATALI[[#This Row],[//]]-2)))</f>
        <v/>
      </c>
      <c r="L224" s="6" t="str">
        <f ca="1">IF(ATALI[[#This Row],[//]]="","",INDEX([2]!NOTA[QTY],ATALI[[#This Row],[//]]-2))</f>
        <v/>
      </c>
      <c r="M224" s="6" t="str">
        <f ca="1">IF(ATALI[[#This Row],[//]]="","",INDEX([2]!NOTA[STN],ATALI[[#This Row],[//]]-2))</f>
        <v/>
      </c>
      <c r="N224" s="5" t="str">
        <f ca="1">IF(ATALI[[#This Row],[//]]="","",INDEX([2]!NOTA[HARGA SATUAN],ATALI[[#This Row],[//]]-2))</f>
        <v/>
      </c>
      <c r="O224" s="7" t="str">
        <f ca="1">IF(ATALI[[#This Row],[//]]="","",INDEX([2]!NOTA[DISC 1],ATALI[[#This Row],[//]]-2))</f>
        <v/>
      </c>
      <c r="P224" s="7" t="str">
        <f ca="1">IF(ATALI[[#This Row],[//]]="","",INDEX([2]!NOTA[DISC 2],ATALI[[#This Row],[//]]-2))</f>
        <v/>
      </c>
      <c r="Q224" s="5" t="str">
        <f ca="1">IF(ATALI[[#This Row],[//]]="","",INDEX([2]!NOTA[TOTAL],ATALI[[#This Row],[//]]-2))</f>
        <v/>
      </c>
      <c r="R2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s="4" t="str">
        <f ca="1">IF(ATALI[[#This Row],[//]]="","",INDEX([2]!NOTA[NAMA BARANG],ATALI[[#This Row],[//]]-2))</f>
        <v/>
      </c>
      <c r="V224" s="4" t="str">
        <f ca="1">LOWER(SUBSTITUTE(SUBSTITUTE(SUBSTITUTE(SUBSTITUTE(SUBSTITUTE(SUBSTITUTE(SUBSTITUTE(ATALI[[#This Row],[N.B.nota]]," ",""),"-",""),"(",""),")",""),".",""),",",""),"/",""))</f>
        <v/>
      </c>
      <c r="W224" s="4" t="str">
        <f ca="1">IF(ATALI[[#This Row],[concat]]="","",MATCH(ATALI[[#This Row],[concat]],[4]!db[NB NOTA_C],0)+1)</f>
        <v/>
      </c>
      <c r="X224" s="4" t="str">
        <f ca="1">IF(ATALI[[#This Row],[N.B.nota]]="","",ADDRESS(ROW(ATALI[QB]),COLUMN(ATALI[QB]))&amp;":"&amp;ADDRESS(ROW(),COLUMN(ATALI[QB])))</f>
        <v/>
      </c>
      <c r="Y224" s="13" t="str">
        <f ca="1">IF(ATALI[[#This Row],[//]]="","",HYPERLINK("[../DB.xlsx]DB!e"&amp;MATCH(ATALI[[#This Row],[concat]],[4]!db[NB NOTA_C],0)+1,"&gt;"))</f>
        <v/>
      </c>
    </row>
    <row r="225" spans="1:25" x14ac:dyDescent="0.25">
      <c r="A225" s="4" t="s">
        <v>132</v>
      </c>
      <c r="B225" s="6">
        <f ca="1">IF(ATALI[[#This Row],[N_ID]]="","",INDEX(Table1[ID],MATCH(ATALI[[#This Row],[N_ID]],Table1[N_ID],0)))</f>
        <v>159</v>
      </c>
      <c r="C225" s="6" t="str">
        <f ca="1">IF(ATALI[[#This Row],[ID NOTA]]="","",HYPERLINK("[NOTA_.xlsx]NOTA!e"&amp;INDEX([2]!PAJAK[//],MATCH(ATALI[[#This Row],[ID NOTA]],[2]!PAJAK[ID],0)),"&gt;") )</f>
        <v>&gt;</v>
      </c>
      <c r="D225" s="6">
        <f ca="1">IF(ATALI[[#This Row],[ID NOTA]]="","",INDEX(Table1[QB],MATCH(ATALI[[#This Row],[ID NOTA]],Table1[ID],0)))</f>
        <v>1</v>
      </c>
      <c r="E22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886</v>
      </c>
      <c r="F225" s="6"/>
      <c r="G225" s="3">
        <f ca="1">IF(ATALI[[#This Row],[ID NOTA]]="","",INDEX([2]!NOTA[TGL_H],MATCH(ATALI[[#This Row],[ID NOTA]],[2]!NOTA[ID],0)))</f>
        <v>44838</v>
      </c>
      <c r="H225" s="3">
        <f ca="1">IF(ATALI[[#This Row],[ID NOTA]]="","",INDEX([2]!NOTA[TGL.NOTA],MATCH(ATALI[[#This Row],[ID NOTA]],[2]!NOTA[ID],0)))</f>
        <v>44834</v>
      </c>
      <c r="I225" s="4" t="str">
        <f ca="1">IF(ATALI[[#This Row],[ID NOTA]]="","",INDEX([2]!NOTA[NO.NOTA],MATCH(ATALI[[#This Row],[ID NOTA]],[2]!NOTA[ID],0)))</f>
        <v>SA220915519</v>
      </c>
      <c r="J225" s="4" t="str">
        <f ca="1">IF(ATALI[[#This Row],[//]]="","",INDEX([4]!db[NB PAJAK],ATALI[[#This Row],[stt]]-1))</f>
        <v>CRAYON / OIL PASTEL JOYKO OP-12CR ROUND (MINI)</v>
      </c>
      <c r="K225" s="6">
        <f ca="1">IF(ATALI[[#This Row],[//]]="","",IF(INDEX([2]!NOTA[C],ATALI[[#This Row],[//]]-2)="","",INDEX([2]!NOTA[C],ATALI[[#This Row],[//]]-2)))</f>
        <v>7</v>
      </c>
      <c r="L225" s="6">
        <f ca="1">IF(ATALI[[#This Row],[//]]="","",INDEX([2]!NOTA[QTY],ATALI[[#This Row],[//]]-2))</f>
        <v>1008</v>
      </c>
      <c r="M225" s="6" t="str">
        <f ca="1">IF(ATALI[[#This Row],[//]]="","",INDEX([2]!NOTA[STN],ATALI[[#This Row],[//]]-2))</f>
        <v>SET</v>
      </c>
      <c r="N225" s="5">
        <f ca="1">IF(ATALI[[#This Row],[//]]="","",INDEX([2]!NOTA[HARGA SATUAN],ATALI[[#This Row],[//]]-2))</f>
        <v>9000</v>
      </c>
      <c r="O225" s="7">
        <f ca="1">IF(ATALI[[#This Row],[//]]="","",INDEX([2]!NOTA[DISC 1],ATALI[[#This Row],[//]]-2))</f>
        <v>0.125</v>
      </c>
      <c r="P225" s="7">
        <f ca="1">IF(ATALI[[#This Row],[//]]="","",INDEX([2]!NOTA[DISC 2],ATALI[[#This Row],[//]]-2))</f>
        <v>0.05</v>
      </c>
      <c r="Q225" s="5">
        <f ca="1">IF(ATALI[[#This Row],[//]]="","",INDEX([2]!NOTA[TOTAL],ATALI[[#This Row],[//]]-2))</f>
        <v>7541100</v>
      </c>
      <c r="R22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2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7541100</v>
      </c>
      <c r="T2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s="4" t="str">
        <f ca="1">IF(ATALI[[#This Row],[//]]="","",INDEX([2]!NOTA[NAMA BARANG],ATALI[[#This Row],[//]]-2))</f>
        <v>OIL PASTEL OP-12CR ROUND JK</v>
      </c>
      <c r="V225" s="4" t="str">
        <f ca="1">LOWER(SUBSTITUTE(SUBSTITUTE(SUBSTITUTE(SUBSTITUTE(SUBSTITUTE(SUBSTITUTE(SUBSTITUTE(ATALI[[#This Row],[N.B.nota]]," ",""),"-",""),"(",""),")",""),".",""),",",""),"/",""))</f>
        <v>oilpastelop12crroundjk</v>
      </c>
      <c r="W225" s="4">
        <f ca="1">IF(ATALI[[#This Row],[concat]]="","",MATCH(ATALI[[#This Row],[concat]],[4]!db[NB NOTA_C],0)+1)</f>
        <v>1499</v>
      </c>
      <c r="X225" s="4" t="str">
        <f ca="1">IF(ATALI[[#This Row],[N.B.nota]]="","",ADDRESS(ROW(ATALI[QB]),COLUMN(ATALI[QB]))&amp;":"&amp;ADDRESS(ROW(),COLUMN(ATALI[QB])))</f>
        <v>$D$3:$D$225</v>
      </c>
      <c r="Y225" s="13" t="str">
        <f ca="1">IF(ATALI[[#This Row],[//]]="","",HYPERLINK("[../DB.xlsx]DB!e"&amp;MATCH(ATALI[[#This Row],[concat]],[4]!db[NB NOTA_C],0)+1,"&gt;"))</f>
        <v>&gt;</v>
      </c>
    </row>
    <row r="226" spans="1:25" x14ac:dyDescent="0.25">
      <c r="A226" s="4"/>
      <c r="B226" s="6" t="str">
        <f>IF(ATALI[[#This Row],[N_ID]]="","",INDEX(Table1[ID],MATCH(ATALI[[#This Row],[N_ID]],Table1[N_ID],0)))</f>
        <v/>
      </c>
      <c r="C226" s="6" t="str">
        <f>IF(ATALI[[#This Row],[ID NOTA]]="","",HYPERLINK("[NOTA_.xlsx]NOTA!e"&amp;INDEX([2]!PAJAK[//],MATCH(ATALI[[#This Row],[ID NOTA]],[2]!PAJAK[ID],0)),"&gt;") )</f>
        <v/>
      </c>
      <c r="D226" s="6" t="str">
        <f>IF(ATALI[[#This Row],[ID NOTA]]="","",INDEX(Table1[QB],MATCH(ATALI[[#This Row],[ID NOTA]],Table1[ID],0)))</f>
        <v/>
      </c>
      <c r="E2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6" s="6"/>
      <c r="G226" s="3" t="str">
        <f>IF(ATALI[[#This Row],[ID NOTA]]="","",INDEX([2]!NOTA[TGL_H],MATCH(ATALI[[#This Row],[ID NOTA]],[2]!NOTA[ID],0)))</f>
        <v/>
      </c>
      <c r="H226" s="3" t="str">
        <f>IF(ATALI[[#This Row],[ID NOTA]]="","",INDEX([2]!NOTA[TGL.NOTA],MATCH(ATALI[[#This Row],[ID NOTA]],[2]!NOTA[ID],0)))</f>
        <v/>
      </c>
      <c r="I226" s="4" t="str">
        <f>IF(ATALI[[#This Row],[ID NOTA]]="","",INDEX([2]!NOTA[NO.NOTA],MATCH(ATALI[[#This Row],[ID NOTA]],[2]!NOTA[ID],0)))</f>
        <v/>
      </c>
      <c r="J226" s="4" t="str">
        <f ca="1">IF(ATALI[[#This Row],[//]]="","",INDEX([4]!db[NB PAJAK],ATALI[[#This Row],[stt]]-1))</f>
        <v/>
      </c>
      <c r="K226" s="6" t="str">
        <f ca="1">IF(ATALI[[#This Row],[//]]="","",IF(INDEX([2]!NOTA[C],ATALI[[#This Row],[//]]-2)="","",INDEX([2]!NOTA[C],ATALI[[#This Row],[//]]-2)))</f>
        <v/>
      </c>
      <c r="L226" s="6" t="str">
        <f ca="1">IF(ATALI[[#This Row],[//]]="","",INDEX([2]!NOTA[QTY],ATALI[[#This Row],[//]]-2))</f>
        <v/>
      </c>
      <c r="M226" s="6" t="str">
        <f ca="1">IF(ATALI[[#This Row],[//]]="","",INDEX([2]!NOTA[STN],ATALI[[#This Row],[//]]-2))</f>
        <v/>
      </c>
      <c r="N226" s="5" t="str">
        <f ca="1">IF(ATALI[[#This Row],[//]]="","",INDEX([2]!NOTA[HARGA SATUAN],ATALI[[#This Row],[//]]-2))</f>
        <v/>
      </c>
      <c r="O226" s="7" t="str">
        <f ca="1">IF(ATALI[[#This Row],[//]]="","",INDEX([2]!NOTA[DISC 1],ATALI[[#This Row],[//]]-2))</f>
        <v/>
      </c>
      <c r="P226" s="7" t="str">
        <f ca="1">IF(ATALI[[#This Row],[//]]="","",INDEX([2]!NOTA[DISC 2],ATALI[[#This Row],[//]]-2))</f>
        <v/>
      </c>
      <c r="Q226" s="5" t="str">
        <f ca="1">IF(ATALI[[#This Row],[//]]="","",INDEX([2]!NOTA[TOTAL],ATALI[[#This Row],[//]]-2))</f>
        <v/>
      </c>
      <c r="R2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s="4" t="str">
        <f ca="1">IF(ATALI[[#This Row],[//]]="","",INDEX([2]!NOTA[NAMA BARANG],ATALI[[#This Row],[//]]-2))</f>
        <v/>
      </c>
      <c r="V226" s="4" t="str">
        <f ca="1">LOWER(SUBSTITUTE(SUBSTITUTE(SUBSTITUTE(SUBSTITUTE(SUBSTITUTE(SUBSTITUTE(SUBSTITUTE(ATALI[[#This Row],[N.B.nota]]," ",""),"-",""),"(",""),")",""),".",""),",",""),"/",""))</f>
        <v/>
      </c>
      <c r="W226" s="4" t="str">
        <f ca="1">IF(ATALI[[#This Row],[concat]]="","",MATCH(ATALI[[#This Row],[concat]],[4]!db[NB NOTA_C],0)+1)</f>
        <v/>
      </c>
      <c r="X226" s="4" t="str">
        <f ca="1">IF(ATALI[[#This Row],[N.B.nota]]="","",ADDRESS(ROW(ATALI[QB]),COLUMN(ATALI[QB]))&amp;":"&amp;ADDRESS(ROW(),COLUMN(ATALI[QB])))</f>
        <v/>
      </c>
      <c r="Y226" s="13" t="str">
        <f ca="1">IF(ATALI[[#This Row],[//]]="","",HYPERLINK("[../DB.xlsx]DB!e"&amp;MATCH(ATALI[[#This Row],[concat]],[4]!db[NB NOTA_C],0)+1,"&gt;"))</f>
        <v/>
      </c>
    </row>
    <row r="227" spans="1:25" x14ac:dyDescent="0.25">
      <c r="A227" s="4"/>
      <c r="B227" s="6" t="str">
        <f>IF(ATALI[[#This Row],[N_ID]]="","",INDEX(Table1[ID],MATCH(ATALI[[#This Row],[N_ID]],Table1[N_ID],0)))</f>
        <v/>
      </c>
      <c r="C227" s="6" t="str">
        <f>IF(ATALI[[#This Row],[ID NOTA]]="","",HYPERLINK("[NOTA_.xlsx]NOTA!e"&amp;INDEX([2]!PAJAK[//],MATCH(ATALI[[#This Row],[ID NOTA]],[2]!PAJAK[ID],0)),"&gt;") )</f>
        <v/>
      </c>
      <c r="D227" s="6" t="str">
        <f>IF(ATALI[[#This Row],[ID NOTA]]="","",INDEX(Table1[QB],MATCH(ATALI[[#This Row],[ID NOTA]],Table1[ID],0)))</f>
        <v/>
      </c>
      <c r="E2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7" s="6"/>
      <c r="G227" s="3" t="str">
        <f>IF(ATALI[[#This Row],[ID NOTA]]="","",INDEX([2]!NOTA[TGL_H],MATCH(ATALI[[#This Row],[ID NOTA]],[2]!NOTA[ID],0)))</f>
        <v/>
      </c>
      <c r="H227" s="3" t="str">
        <f>IF(ATALI[[#This Row],[ID NOTA]]="","",INDEX([2]!NOTA[TGL.NOTA],MATCH(ATALI[[#This Row],[ID NOTA]],[2]!NOTA[ID],0)))</f>
        <v/>
      </c>
      <c r="I227" s="4" t="str">
        <f>IF(ATALI[[#This Row],[ID NOTA]]="","",INDEX([2]!NOTA[NO.NOTA],MATCH(ATALI[[#This Row],[ID NOTA]],[2]!NOTA[ID],0)))</f>
        <v/>
      </c>
      <c r="J227" s="4" t="str">
        <f ca="1">IF(ATALI[[#This Row],[//]]="","",INDEX([4]!db[NB PAJAK],ATALI[[#This Row],[stt]]-1))</f>
        <v/>
      </c>
      <c r="K227" s="6" t="str">
        <f ca="1">IF(ATALI[[#This Row],[//]]="","",IF(INDEX([2]!NOTA[C],ATALI[[#This Row],[//]]-2)="","",INDEX([2]!NOTA[C],ATALI[[#This Row],[//]]-2)))</f>
        <v/>
      </c>
      <c r="L227" s="6" t="str">
        <f ca="1">IF(ATALI[[#This Row],[//]]="","",INDEX([2]!NOTA[QTY],ATALI[[#This Row],[//]]-2))</f>
        <v/>
      </c>
      <c r="M227" s="6" t="str">
        <f ca="1">IF(ATALI[[#This Row],[//]]="","",INDEX([2]!NOTA[STN],ATALI[[#This Row],[//]]-2))</f>
        <v/>
      </c>
      <c r="N227" s="5" t="str">
        <f ca="1">IF(ATALI[[#This Row],[//]]="","",INDEX([2]!NOTA[HARGA SATUAN],ATALI[[#This Row],[//]]-2))</f>
        <v/>
      </c>
      <c r="O227" s="7" t="str">
        <f ca="1">IF(ATALI[[#This Row],[//]]="","",INDEX([2]!NOTA[DISC 1],ATALI[[#This Row],[//]]-2))</f>
        <v/>
      </c>
      <c r="P227" s="7" t="str">
        <f ca="1">IF(ATALI[[#This Row],[//]]="","",INDEX([2]!NOTA[DISC 2],ATALI[[#This Row],[//]]-2))</f>
        <v/>
      </c>
      <c r="Q227" s="5" t="str">
        <f ca="1">IF(ATALI[[#This Row],[//]]="","",INDEX([2]!NOTA[TOTAL],ATALI[[#This Row],[//]]-2))</f>
        <v/>
      </c>
      <c r="R2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s="4" t="str">
        <f ca="1">IF(ATALI[[#This Row],[//]]="","",INDEX([2]!NOTA[NAMA BARANG],ATALI[[#This Row],[//]]-2))</f>
        <v/>
      </c>
      <c r="V227" s="4" t="str">
        <f ca="1">LOWER(SUBSTITUTE(SUBSTITUTE(SUBSTITUTE(SUBSTITUTE(SUBSTITUTE(SUBSTITUTE(SUBSTITUTE(ATALI[[#This Row],[N.B.nota]]," ",""),"-",""),"(",""),")",""),".",""),",",""),"/",""))</f>
        <v/>
      </c>
      <c r="W227" s="4" t="str">
        <f ca="1">IF(ATALI[[#This Row],[concat]]="","",MATCH(ATALI[[#This Row],[concat]],[4]!db[NB NOTA_C],0)+1)</f>
        <v/>
      </c>
      <c r="X227" s="4" t="str">
        <f ca="1">IF(ATALI[[#This Row],[N.B.nota]]="","",ADDRESS(ROW(ATALI[QB]),COLUMN(ATALI[QB]))&amp;":"&amp;ADDRESS(ROW(),COLUMN(ATALI[QB])))</f>
        <v/>
      </c>
      <c r="Y227" s="13" t="str">
        <f ca="1">IF(ATALI[[#This Row],[//]]="","",HYPERLINK("[../DB.xlsx]DB!e"&amp;MATCH(ATALI[[#This Row],[concat]],[4]!db[NB NOTA_C],0)+1,"&gt;"))</f>
        <v/>
      </c>
    </row>
    <row r="228" spans="1:25" x14ac:dyDescent="0.25">
      <c r="A228" s="4"/>
      <c r="B228" s="6" t="str">
        <f>IF(ATALI[[#This Row],[N_ID]]="","",INDEX(Table1[ID],MATCH(ATALI[[#This Row],[N_ID]],Table1[N_ID],0)))</f>
        <v/>
      </c>
      <c r="C228" s="6" t="str">
        <f>IF(ATALI[[#This Row],[ID NOTA]]="","",HYPERLINK("[NOTA_.xlsx]NOTA!e"&amp;INDEX([2]!PAJAK[//],MATCH(ATALI[[#This Row],[ID NOTA]],[2]!PAJAK[ID],0)),"&gt;") )</f>
        <v/>
      </c>
      <c r="D228" s="6" t="str">
        <f>IF(ATALI[[#This Row],[ID NOTA]]="","",INDEX(Table1[QB],MATCH(ATALI[[#This Row],[ID NOTA]],Table1[ID],0)))</f>
        <v/>
      </c>
      <c r="E2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8" s="6"/>
      <c r="G228" s="3" t="str">
        <f>IF(ATALI[[#This Row],[ID NOTA]]="","",INDEX([2]!NOTA[TGL_H],MATCH(ATALI[[#This Row],[ID NOTA]],[2]!NOTA[ID],0)))</f>
        <v/>
      </c>
      <c r="H228" s="3" t="str">
        <f>IF(ATALI[[#This Row],[ID NOTA]]="","",INDEX([2]!NOTA[TGL.NOTA],MATCH(ATALI[[#This Row],[ID NOTA]],[2]!NOTA[ID],0)))</f>
        <v/>
      </c>
      <c r="I228" s="4" t="str">
        <f>IF(ATALI[[#This Row],[ID NOTA]]="","",INDEX([2]!NOTA[NO.NOTA],MATCH(ATALI[[#This Row],[ID NOTA]],[2]!NOTA[ID],0)))</f>
        <v/>
      </c>
      <c r="J228" s="4" t="str">
        <f ca="1">IF(ATALI[[#This Row],[//]]="","",INDEX([4]!db[NB PAJAK],ATALI[[#This Row],[stt]]-1))</f>
        <v/>
      </c>
      <c r="K228" s="6" t="str">
        <f ca="1">IF(ATALI[[#This Row],[//]]="","",IF(INDEX([2]!NOTA[C],ATALI[[#This Row],[//]]-2)="","",INDEX([2]!NOTA[C],ATALI[[#This Row],[//]]-2)))</f>
        <v/>
      </c>
      <c r="L228" s="6" t="str">
        <f ca="1">IF(ATALI[[#This Row],[//]]="","",INDEX([2]!NOTA[QTY],ATALI[[#This Row],[//]]-2))</f>
        <v/>
      </c>
      <c r="M228" s="6" t="str">
        <f ca="1">IF(ATALI[[#This Row],[//]]="","",INDEX([2]!NOTA[STN],ATALI[[#This Row],[//]]-2))</f>
        <v/>
      </c>
      <c r="N228" s="5" t="str">
        <f ca="1">IF(ATALI[[#This Row],[//]]="","",INDEX([2]!NOTA[HARGA SATUAN],ATALI[[#This Row],[//]]-2))</f>
        <v/>
      </c>
      <c r="O228" s="7" t="str">
        <f ca="1">IF(ATALI[[#This Row],[//]]="","",INDEX([2]!NOTA[DISC 1],ATALI[[#This Row],[//]]-2))</f>
        <v/>
      </c>
      <c r="P228" s="7" t="str">
        <f ca="1">IF(ATALI[[#This Row],[//]]="","",INDEX([2]!NOTA[DISC 2],ATALI[[#This Row],[//]]-2))</f>
        <v/>
      </c>
      <c r="Q228" s="5" t="str">
        <f ca="1">IF(ATALI[[#This Row],[//]]="","",INDEX([2]!NOTA[TOTAL],ATALI[[#This Row],[//]]-2))</f>
        <v/>
      </c>
      <c r="R2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s="4" t="str">
        <f ca="1">IF(ATALI[[#This Row],[//]]="","",INDEX([2]!NOTA[NAMA BARANG],ATALI[[#This Row],[//]]-2))</f>
        <v/>
      </c>
      <c r="V228" s="4" t="str">
        <f ca="1">LOWER(SUBSTITUTE(SUBSTITUTE(SUBSTITUTE(SUBSTITUTE(SUBSTITUTE(SUBSTITUTE(SUBSTITUTE(ATALI[[#This Row],[N.B.nota]]," ",""),"-",""),"(",""),")",""),".",""),",",""),"/",""))</f>
        <v/>
      </c>
      <c r="W228" s="4" t="str">
        <f ca="1">IF(ATALI[[#This Row],[concat]]="","",MATCH(ATALI[[#This Row],[concat]],[4]!db[NB NOTA_C],0)+1)</f>
        <v/>
      </c>
      <c r="X228" s="4" t="str">
        <f ca="1">IF(ATALI[[#This Row],[N.B.nota]]="","",ADDRESS(ROW(ATALI[QB]),COLUMN(ATALI[QB]))&amp;":"&amp;ADDRESS(ROW(),COLUMN(ATALI[QB])))</f>
        <v/>
      </c>
      <c r="Y228" s="13" t="str">
        <f ca="1">IF(ATALI[[#This Row],[//]]="","",HYPERLINK("[../DB.xlsx]DB!e"&amp;MATCH(ATALI[[#This Row],[concat]],[4]!db[NB NOTA_C],0)+1,"&gt;"))</f>
        <v/>
      </c>
    </row>
    <row r="229" spans="1:25" x14ac:dyDescent="0.25">
      <c r="A229" s="4"/>
      <c r="B229" s="6" t="str">
        <f>IF(ATALI[[#This Row],[N_ID]]="","",INDEX(Table1[ID],MATCH(ATALI[[#This Row],[N_ID]],Table1[N_ID],0)))</f>
        <v/>
      </c>
      <c r="C229" s="6" t="str">
        <f>IF(ATALI[[#This Row],[ID NOTA]]="","",HYPERLINK("[NOTA_.xlsx]NOTA!e"&amp;INDEX([2]!PAJAK[//],MATCH(ATALI[[#This Row],[ID NOTA]],[2]!PAJAK[ID],0)),"&gt;") )</f>
        <v/>
      </c>
      <c r="D229" s="6" t="str">
        <f>IF(ATALI[[#This Row],[ID NOTA]]="","",INDEX(Table1[QB],MATCH(ATALI[[#This Row],[ID NOTA]],Table1[ID],0)))</f>
        <v/>
      </c>
      <c r="E2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9" s="6"/>
      <c r="G229" s="3" t="str">
        <f>IF(ATALI[[#This Row],[ID NOTA]]="","",INDEX([2]!NOTA[TGL_H],MATCH(ATALI[[#This Row],[ID NOTA]],[2]!NOTA[ID],0)))</f>
        <v/>
      </c>
      <c r="H229" s="3" t="str">
        <f>IF(ATALI[[#This Row],[ID NOTA]]="","",INDEX([2]!NOTA[TGL.NOTA],MATCH(ATALI[[#This Row],[ID NOTA]],[2]!NOTA[ID],0)))</f>
        <v/>
      </c>
      <c r="I229" s="4" t="str">
        <f>IF(ATALI[[#This Row],[ID NOTA]]="","",INDEX([2]!NOTA[NO.NOTA],MATCH(ATALI[[#This Row],[ID NOTA]],[2]!NOTA[ID],0)))</f>
        <v/>
      </c>
      <c r="J229" s="4" t="str">
        <f ca="1">IF(ATALI[[#This Row],[//]]="","",INDEX([4]!db[NB PAJAK],ATALI[[#This Row],[stt]]-1))</f>
        <v/>
      </c>
      <c r="K229" s="6" t="str">
        <f ca="1">IF(ATALI[[#This Row],[//]]="","",IF(INDEX([2]!NOTA[C],ATALI[[#This Row],[//]]-2)="","",INDEX([2]!NOTA[C],ATALI[[#This Row],[//]]-2)))</f>
        <v/>
      </c>
      <c r="L229" s="6" t="str">
        <f ca="1">IF(ATALI[[#This Row],[//]]="","",INDEX([2]!NOTA[QTY],ATALI[[#This Row],[//]]-2))</f>
        <v/>
      </c>
      <c r="M229" s="6" t="str">
        <f ca="1">IF(ATALI[[#This Row],[//]]="","",INDEX([2]!NOTA[STN],ATALI[[#This Row],[//]]-2))</f>
        <v/>
      </c>
      <c r="N229" s="5" t="str">
        <f ca="1">IF(ATALI[[#This Row],[//]]="","",INDEX([2]!NOTA[HARGA SATUAN],ATALI[[#This Row],[//]]-2))</f>
        <v/>
      </c>
      <c r="O229" s="7" t="str">
        <f ca="1">IF(ATALI[[#This Row],[//]]="","",INDEX([2]!NOTA[DISC 1],ATALI[[#This Row],[//]]-2))</f>
        <v/>
      </c>
      <c r="P229" s="7" t="str">
        <f ca="1">IF(ATALI[[#This Row],[//]]="","",INDEX([2]!NOTA[DISC 2],ATALI[[#This Row],[//]]-2))</f>
        <v/>
      </c>
      <c r="Q229" s="5" t="str">
        <f ca="1">IF(ATALI[[#This Row],[//]]="","",INDEX([2]!NOTA[TOTAL],ATALI[[#This Row],[//]]-2))</f>
        <v/>
      </c>
      <c r="R2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s="4" t="str">
        <f ca="1">IF(ATALI[[#This Row],[//]]="","",INDEX([2]!NOTA[NAMA BARANG],ATALI[[#This Row],[//]]-2))</f>
        <v/>
      </c>
      <c r="V229" s="4" t="str">
        <f ca="1">LOWER(SUBSTITUTE(SUBSTITUTE(SUBSTITUTE(SUBSTITUTE(SUBSTITUTE(SUBSTITUTE(SUBSTITUTE(ATALI[[#This Row],[N.B.nota]]," ",""),"-",""),"(",""),")",""),".",""),",",""),"/",""))</f>
        <v/>
      </c>
      <c r="W229" s="4" t="str">
        <f ca="1">IF(ATALI[[#This Row],[concat]]="","",MATCH(ATALI[[#This Row],[concat]],[4]!db[NB NOTA_C],0)+1)</f>
        <v/>
      </c>
      <c r="X229" s="4" t="str">
        <f ca="1">IF(ATALI[[#This Row],[N.B.nota]]="","",ADDRESS(ROW(ATALI[QB]),COLUMN(ATALI[QB]))&amp;":"&amp;ADDRESS(ROW(),COLUMN(ATALI[QB])))</f>
        <v/>
      </c>
      <c r="Y229" s="13" t="str">
        <f ca="1">IF(ATALI[[#This Row],[//]]="","",HYPERLINK("[../DB.xlsx]DB!e"&amp;MATCH(ATALI[[#This Row],[concat]],[4]!db[NB NOTA_C],0)+1,"&gt;"))</f>
        <v/>
      </c>
    </row>
    <row r="230" spans="1:25" x14ac:dyDescent="0.25">
      <c r="A230" s="4"/>
      <c r="B230" s="6" t="str">
        <f>IF(ATALI[[#This Row],[N_ID]]="","",INDEX(Table1[ID],MATCH(ATALI[[#This Row],[N_ID]],Table1[N_ID],0)))</f>
        <v/>
      </c>
      <c r="C230" s="6" t="str">
        <f>IF(ATALI[[#This Row],[ID NOTA]]="","",HYPERLINK("[NOTA_.xlsx]NOTA!e"&amp;INDEX([2]!PAJAK[//],MATCH(ATALI[[#This Row],[ID NOTA]],[2]!PAJAK[ID],0)),"&gt;") )</f>
        <v/>
      </c>
      <c r="D230" s="6" t="str">
        <f>IF(ATALI[[#This Row],[ID NOTA]]="","",INDEX(Table1[QB],MATCH(ATALI[[#This Row],[ID NOTA]],Table1[ID],0)))</f>
        <v/>
      </c>
      <c r="E2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0" s="6"/>
      <c r="G230" s="3" t="str">
        <f>IF(ATALI[[#This Row],[ID NOTA]]="","",INDEX([2]!NOTA[TGL_H],MATCH(ATALI[[#This Row],[ID NOTA]],[2]!NOTA[ID],0)))</f>
        <v/>
      </c>
      <c r="H230" s="3" t="str">
        <f>IF(ATALI[[#This Row],[ID NOTA]]="","",INDEX([2]!NOTA[TGL.NOTA],MATCH(ATALI[[#This Row],[ID NOTA]],[2]!NOTA[ID],0)))</f>
        <v/>
      </c>
      <c r="I230" s="4" t="str">
        <f>IF(ATALI[[#This Row],[ID NOTA]]="","",INDEX([2]!NOTA[NO.NOTA],MATCH(ATALI[[#This Row],[ID NOTA]],[2]!NOTA[ID],0)))</f>
        <v/>
      </c>
      <c r="J230" s="4" t="str">
        <f ca="1">IF(ATALI[[#This Row],[//]]="","",INDEX([4]!db[NB PAJAK],ATALI[[#This Row],[stt]]-1))</f>
        <v/>
      </c>
      <c r="K230" s="6" t="str">
        <f ca="1">IF(ATALI[[#This Row],[//]]="","",IF(INDEX([2]!NOTA[C],ATALI[[#This Row],[//]]-2)="","",INDEX([2]!NOTA[C],ATALI[[#This Row],[//]]-2)))</f>
        <v/>
      </c>
      <c r="L230" s="6" t="str">
        <f ca="1">IF(ATALI[[#This Row],[//]]="","",INDEX([2]!NOTA[QTY],ATALI[[#This Row],[//]]-2))</f>
        <v/>
      </c>
      <c r="M230" s="6" t="str">
        <f ca="1">IF(ATALI[[#This Row],[//]]="","",INDEX([2]!NOTA[STN],ATALI[[#This Row],[//]]-2))</f>
        <v/>
      </c>
      <c r="N230" s="5" t="str">
        <f ca="1">IF(ATALI[[#This Row],[//]]="","",INDEX([2]!NOTA[HARGA SATUAN],ATALI[[#This Row],[//]]-2))</f>
        <v/>
      </c>
      <c r="O230" s="7" t="str">
        <f ca="1">IF(ATALI[[#This Row],[//]]="","",INDEX([2]!NOTA[DISC 1],ATALI[[#This Row],[//]]-2))</f>
        <v/>
      </c>
      <c r="P230" s="7" t="str">
        <f ca="1">IF(ATALI[[#This Row],[//]]="","",INDEX([2]!NOTA[DISC 2],ATALI[[#This Row],[//]]-2))</f>
        <v/>
      </c>
      <c r="Q230" s="5" t="str">
        <f ca="1">IF(ATALI[[#This Row],[//]]="","",INDEX([2]!NOTA[TOTAL],ATALI[[#This Row],[//]]-2))</f>
        <v/>
      </c>
      <c r="R2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s="4" t="str">
        <f ca="1">IF(ATALI[[#This Row],[//]]="","",INDEX([2]!NOTA[NAMA BARANG],ATALI[[#This Row],[//]]-2))</f>
        <v/>
      </c>
      <c r="V230" s="4" t="str">
        <f ca="1">LOWER(SUBSTITUTE(SUBSTITUTE(SUBSTITUTE(SUBSTITUTE(SUBSTITUTE(SUBSTITUTE(SUBSTITUTE(ATALI[[#This Row],[N.B.nota]]," ",""),"-",""),"(",""),")",""),".",""),",",""),"/",""))</f>
        <v/>
      </c>
      <c r="W230" s="4" t="str">
        <f ca="1">IF(ATALI[[#This Row],[concat]]="","",MATCH(ATALI[[#This Row],[concat]],[4]!db[NB NOTA_C],0)+1)</f>
        <v/>
      </c>
      <c r="X230" s="4" t="str">
        <f ca="1">IF(ATALI[[#This Row],[N.B.nota]]="","",ADDRESS(ROW(ATALI[QB]),COLUMN(ATALI[QB]))&amp;":"&amp;ADDRESS(ROW(),COLUMN(ATALI[QB])))</f>
        <v/>
      </c>
      <c r="Y230" s="13" t="str">
        <f ca="1">IF(ATALI[[#This Row],[//]]="","",HYPERLINK("[../DB.xlsx]DB!e"&amp;MATCH(ATALI[[#This Row],[concat]],[4]!db[NB NOTA_C],0)+1,"&gt;"))</f>
        <v/>
      </c>
    </row>
    <row r="231" spans="1:25" x14ac:dyDescent="0.25">
      <c r="A231" s="4"/>
      <c r="B231" s="6" t="str">
        <f>IF(ATALI[[#This Row],[N_ID]]="","",INDEX(Table1[ID],MATCH(ATALI[[#This Row],[N_ID]],Table1[N_ID],0)))</f>
        <v/>
      </c>
      <c r="C231" s="6" t="str">
        <f>IF(ATALI[[#This Row],[ID NOTA]]="","",HYPERLINK("[NOTA_.xlsx]NOTA!e"&amp;INDEX([2]!PAJAK[//],MATCH(ATALI[[#This Row],[ID NOTA]],[2]!PAJAK[ID],0)),"&gt;") )</f>
        <v/>
      </c>
      <c r="D231" s="6" t="str">
        <f>IF(ATALI[[#This Row],[ID NOTA]]="","",INDEX(Table1[QB],MATCH(ATALI[[#This Row],[ID NOTA]],Table1[ID],0)))</f>
        <v/>
      </c>
      <c r="E2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1" s="6"/>
      <c r="G231" s="3" t="str">
        <f>IF(ATALI[[#This Row],[ID NOTA]]="","",INDEX([2]!NOTA[TGL_H],MATCH(ATALI[[#This Row],[ID NOTA]],[2]!NOTA[ID],0)))</f>
        <v/>
      </c>
      <c r="H231" s="3" t="str">
        <f>IF(ATALI[[#This Row],[ID NOTA]]="","",INDEX([2]!NOTA[TGL.NOTA],MATCH(ATALI[[#This Row],[ID NOTA]],[2]!NOTA[ID],0)))</f>
        <v/>
      </c>
      <c r="I231" s="4" t="str">
        <f>IF(ATALI[[#This Row],[ID NOTA]]="","",INDEX([2]!NOTA[NO.NOTA],MATCH(ATALI[[#This Row],[ID NOTA]],[2]!NOTA[ID],0)))</f>
        <v/>
      </c>
      <c r="J231" s="4" t="str">
        <f ca="1">IF(ATALI[[#This Row],[//]]="","",INDEX([4]!db[NB PAJAK],ATALI[[#This Row],[stt]]-1))</f>
        <v/>
      </c>
      <c r="K231" s="6" t="str">
        <f ca="1">IF(ATALI[[#This Row],[//]]="","",IF(INDEX([2]!NOTA[C],ATALI[[#This Row],[//]]-2)="","",INDEX([2]!NOTA[C],ATALI[[#This Row],[//]]-2)))</f>
        <v/>
      </c>
      <c r="L231" s="6" t="str">
        <f ca="1">IF(ATALI[[#This Row],[//]]="","",INDEX([2]!NOTA[QTY],ATALI[[#This Row],[//]]-2))</f>
        <v/>
      </c>
      <c r="M231" s="6" t="str">
        <f ca="1">IF(ATALI[[#This Row],[//]]="","",INDEX([2]!NOTA[STN],ATALI[[#This Row],[//]]-2))</f>
        <v/>
      </c>
      <c r="N231" s="5" t="str">
        <f ca="1">IF(ATALI[[#This Row],[//]]="","",INDEX([2]!NOTA[HARGA SATUAN],ATALI[[#This Row],[//]]-2))</f>
        <v/>
      </c>
      <c r="O231" s="7" t="str">
        <f ca="1">IF(ATALI[[#This Row],[//]]="","",INDEX([2]!NOTA[DISC 1],ATALI[[#This Row],[//]]-2))</f>
        <v/>
      </c>
      <c r="P231" s="7" t="str">
        <f ca="1">IF(ATALI[[#This Row],[//]]="","",INDEX([2]!NOTA[DISC 2],ATALI[[#This Row],[//]]-2))</f>
        <v/>
      </c>
      <c r="Q231" s="5" t="str">
        <f ca="1">IF(ATALI[[#This Row],[//]]="","",INDEX([2]!NOTA[TOTAL],ATALI[[#This Row],[//]]-2))</f>
        <v/>
      </c>
      <c r="R2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1" s="4" t="str">
        <f ca="1">IF(ATALI[[#This Row],[//]]="","",INDEX([2]!NOTA[NAMA BARANG],ATALI[[#This Row],[//]]-2))</f>
        <v/>
      </c>
      <c r="V231" s="4" t="str">
        <f ca="1">LOWER(SUBSTITUTE(SUBSTITUTE(SUBSTITUTE(SUBSTITUTE(SUBSTITUTE(SUBSTITUTE(SUBSTITUTE(ATALI[[#This Row],[N.B.nota]]," ",""),"-",""),"(",""),")",""),".",""),",",""),"/",""))</f>
        <v/>
      </c>
      <c r="W231" s="4" t="str">
        <f ca="1">IF(ATALI[[#This Row],[concat]]="","",MATCH(ATALI[[#This Row],[concat]],[4]!db[NB NOTA_C],0)+1)</f>
        <v/>
      </c>
      <c r="X231" s="4" t="str">
        <f ca="1">IF(ATALI[[#This Row],[N.B.nota]]="","",ADDRESS(ROW(ATALI[QB]),COLUMN(ATALI[QB]))&amp;":"&amp;ADDRESS(ROW(),COLUMN(ATALI[QB])))</f>
        <v/>
      </c>
      <c r="Y231" s="13" t="str">
        <f ca="1">IF(ATALI[[#This Row],[//]]="","",HYPERLINK("[../DB.xlsx]DB!e"&amp;MATCH(ATALI[[#This Row],[concat]],[4]!db[NB NOTA_C],0)+1,"&gt;"))</f>
        <v/>
      </c>
    </row>
    <row r="232" spans="1:25" x14ac:dyDescent="0.25">
      <c r="A232" s="4"/>
      <c r="B232" s="6" t="str">
        <f>IF(ATALI[[#This Row],[N_ID]]="","",INDEX(Table1[ID],MATCH(ATALI[[#This Row],[N_ID]],Table1[N_ID],0)))</f>
        <v/>
      </c>
      <c r="C232" s="6" t="str">
        <f>IF(ATALI[[#This Row],[ID NOTA]]="","",HYPERLINK("[NOTA_.xlsx]NOTA!e"&amp;INDEX([2]!PAJAK[//],MATCH(ATALI[[#This Row],[ID NOTA]],[2]!PAJAK[ID],0)),"&gt;") )</f>
        <v/>
      </c>
      <c r="D232" s="6" t="str">
        <f>IF(ATALI[[#This Row],[ID NOTA]]="","",INDEX(Table1[QB],MATCH(ATALI[[#This Row],[ID NOTA]],Table1[ID],0)))</f>
        <v/>
      </c>
      <c r="E2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2" s="6"/>
      <c r="G232" s="3" t="str">
        <f>IF(ATALI[[#This Row],[ID NOTA]]="","",INDEX([2]!NOTA[TGL_H],MATCH(ATALI[[#This Row],[ID NOTA]],[2]!NOTA[ID],0)))</f>
        <v/>
      </c>
      <c r="H232" s="3" t="str">
        <f>IF(ATALI[[#This Row],[ID NOTA]]="","",INDEX([2]!NOTA[TGL.NOTA],MATCH(ATALI[[#This Row],[ID NOTA]],[2]!NOTA[ID],0)))</f>
        <v/>
      </c>
      <c r="I232" s="4" t="str">
        <f>IF(ATALI[[#This Row],[ID NOTA]]="","",INDEX([2]!NOTA[NO.NOTA],MATCH(ATALI[[#This Row],[ID NOTA]],[2]!NOTA[ID],0)))</f>
        <v/>
      </c>
      <c r="J232" s="4" t="str">
        <f ca="1">IF(ATALI[[#This Row],[//]]="","",INDEX([4]!db[NB PAJAK],ATALI[[#This Row],[stt]]-1))</f>
        <v/>
      </c>
      <c r="K232" s="6" t="str">
        <f ca="1">IF(ATALI[[#This Row],[//]]="","",IF(INDEX([2]!NOTA[C],ATALI[[#This Row],[//]]-2)="","",INDEX([2]!NOTA[C],ATALI[[#This Row],[//]]-2)))</f>
        <v/>
      </c>
      <c r="L232" s="6" t="str">
        <f ca="1">IF(ATALI[[#This Row],[//]]="","",INDEX([2]!NOTA[QTY],ATALI[[#This Row],[//]]-2))</f>
        <v/>
      </c>
      <c r="M232" s="6" t="str">
        <f ca="1">IF(ATALI[[#This Row],[//]]="","",INDEX([2]!NOTA[STN],ATALI[[#This Row],[//]]-2))</f>
        <v/>
      </c>
      <c r="N232" s="5" t="str">
        <f ca="1">IF(ATALI[[#This Row],[//]]="","",INDEX([2]!NOTA[HARGA SATUAN],ATALI[[#This Row],[//]]-2))</f>
        <v/>
      </c>
      <c r="O232" s="7" t="str">
        <f ca="1">IF(ATALI[[#This Row],[//]]="","",INDEX([2]!NOTA[DISC 1],ATALI[[#This Row],[//]]-2))</f>
        <v/>
      </c>
      <c r="P232" s="7" t="str">
        <f ca="1">IF(ATALI[[#This Row],[//]]="","",INDEX([2]!NOTA[DISC 2],ATALI[[#This Row],[//]]-2))</f>
        <v/>
      </c>
      <c r="Q232" s="5" t="str">
        <f ca="1">IF(ATALI[[#This Row],[//]]="","",INDEX([2]!NOTA[TOTAL],ATALI[[#This Row],[//]]-2))</f>
        <v/>
      </c>
      <c r="R2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s="4" t="str">
        <f ca="1">IF(ATALI[[#This Row],[//]]="","",INDEX([2]!NOTA[NAMA BARANG],ATALI[[#This Row],[//]]-2))</f>
        <v/>
      </c>
      <c r="V232" s="4" t="str">
        <f ca="1">LOWER(SUBSTITUTE(SUBSTITUTE(SUBSTITUTE(SUBSTITUTE(SUBSTITUTE(SUBSTITUTE(SUBSTITUTE(ATALI[[#This Row],[N.B.nota]]," ",""),"-",""),"(",""),")",""),".",""),",",""),"/",""))</f>
        <v/>
      </c>
      <c r="W232" s="4" t="str">
        <f ca="1">IF(ATALI[[#This Row],[concat]]="","",MATCH(ATALI[[#This Row],[concat]],[4]!db[NB NOTA_C],0)+1)</f>
        <v/>
      </c>
      <c r="X232" s="4" t="str">
        <f ca="1">IF(ATALI[[#This Row],[N.B.nota]]="","",ADDRESS(ROW(ATALI[QB]),COLUMN(ATALI[QB]))&amp;":"&amp;ADDRESS(ROW(),COLUMN(ATALI[QB])))</f>
        <v/>
      </c>
      <c r="Y232" s="13" t="str">
        <f ca="1">IF(ATALI[[#This Row],[//]]="","",HYPERLINK("[../DB.xlsx]DB!e"&amp;MATCH(ATALI[[#This Row],[concat]],[4]!db[NB NOTA_C],0)+1,"&gt;"))</f>
        <v/>
      </c>
    </row>
    <row r="233" spans="1:25" x14ac:dyDescent="0.25">
      <c r="A233" s="4"/>
      <c r="B233" s="6" t="str">
        <f>IF(ATALI[[#This Row],[N_ID]]="","",INDEX(Table1[ID],MATCH(ATALI[[#This Row],[N_ID]],Table1[N_ID],0)))</f>
        <v/>
      </c>
      <c r="C233" s="6" t="str">
        <f>IF(ATALI[[#This Row],[ID NOTA]]="","",HYPERLINK("[NOTA_.xlsx]NOTA!e"&amp;INDEX([2]!PAJAK[//],MATCH(ATALI[[#This Row],[ID NOTA]],[2]!PAJAK[ID],0)),"&gt;") )</f>
        <v/>
      </c>
      <c r="D233" s="6" t="str">
        <f>IF(ATALI[[#This Row],[ID NOTA]]="","",INDEX(Table1[QB],MATCH(ATALI[[#This Row],[ID NOTA]],Table1[ID],0)))</f>
        <v/>
      </c>
      <c r="E2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3" s="6"/>
      <c r="G233" s="3" t="str">
        <f>IF(ATALI[[#This Row],[ID NOTA]]="","",INDEX([2]!NOTA[TGL_H],MATCH(ATALI[[#This Row],[ID NOTA]],[2]!NOTA[ID],0)))</f>
        <v/>
      </c>
      <c r="H233" s="3" t="str">
        <f>IF(ATALI[[#This Row],[ID NOTA]]="","",INDEX([2]!NOTA[TGL.NOTA],MATCH(ATALI[[#This Row],[ID NOTA]],[2]!NOTA[ID],0)))</f>
        <v/>
      </c>
      <c r="I233" s="4" t="str">
        <f>IF(ATALI[[#This Row],[ID NOTA]]="","",INDEX([2]!NOTA[NO.NOTA],MATCH(ATALI[[#This Row],[ID NOTA]],[2]!NOTA[ID],0)))</f>
        <v/>
      </c>
      <c r="J233" s="4" t="str">
        <f ca="1">IF(ATALI[[#This Row],[//]]="","",INDEX([4]!db[NB PAJAK],ATALI[[#This Row],[stt]]-1))</f>
        <v/>
      </c>
      <c r="K233" s="6" t="str">
        <f ca="1">IF(ATALI[[#This Row],[//]]="","",IF(INDEX([2]!NOTA[C],ATALI[[#This Row],[//]]-2)="","",INDEX([2]!NOTA[C],ATALI[[#This Row],[//]]-2)))</f>
        <v/>
      </c>
      <c r="L233" s="6" t="str">
        <f ca="1">IF(ATALI[[#This Row],[//]]="","",INDEX([2]!NOTA[QTY],ATALI[[#This Row],[//]]-2))</f>
        <v/>
      </c>
      <c r="M233" s="6" t="str">
        <f ca="1">IF(ATALI[[#This Row],[//]]="","",INDEX([2]!NOTA[STN],ATALI[[#This Row],[//]]-2))</f>
        <v/>
      </c>
      <c r="N233" s="5" t="str">
        <f ca="1">IF(ATALI[[#This Row],[//]]="","",INDEX([2]!NOTA[HARGA SATUAN],ATALI[[#This Row],[//]]-2))</f>
        <v/>
      </c>
      <c r="O233" s="7" t="str">
        <f ca="1">IF(ATALI[[#This Row],[//]]="","",INDEX([2]!NOTA[DISC 1],ATALI[[#This Row],[//]]-2))</f>
        <v/>
      </c>
      <c r="P233" s="7" t="str">
        <f ca="1">IF(ATALI[[#This Row],[//]]="","",INDEX([2]!NOTA[DISC 2],ATALI[[#This Row],[//]]-2))</f>
        <v/>
      </c>
      <c r="Q233" s="5" t="str">
        <f ca="1">IF(ATALI[[#This Row],[//]]="","",INDEX([2]!NOTA[TOTAL],ATALI[[#This Row],[//]]-2))</f>
        <v/>
      </c>
      <c r="R2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3" s="4" t="str">
        <f ca="1">IF(ATALI[[#This Row],[//]]="","",INDEX([2]!NOTA[NAMA BARANG],ATALI[[#This Row],[//]]-2))</f>
        <v/>
      </c>
      <c r="V233" s="4" t="str">
        <f ca="1">LOWER(SUBSTITUTE(SUBSTITUTE(SUBSTITUTE(SUBSTITUTE(SUBSTITUTE(SUBSTITUTE(SUBSTITUTE(ATALI[[#This Row],[N.B.nota]]," ",""),"-",""),"(",""),")",""),".",""),",",""),"/",""))</f>
        <v/>
      </c>
      <c r="W233" s="4" t="str">
        <f ca="1">IF(ATALI[[#This Row],[concat]]="","",MATCH(ATALI[[#This Row],[concat]],[4]!db[NB NOTA_C],0)+1)</f>
        <v/>
      </c>
      <c r="X233" s="4" t="str">
        <f ca="1">IF(ATALI[[#This Row],[N.B.nota]]="","",ADDRESS(ROW(ATALI[QB]),COLUMN(ATALI[QB]))&amp;":"&amp;ADDRESS(ROW(),COLUMN(ATALI[QB])))</f>
        <v/>
      </c>
      <c r="Y233" s="13" t="str">
        <f ca="1">IF(ATALI[[#This Row],[//]]="","",HYPERLINK("[../DB.xlsx]DB!e"&amp;MATCH(ATALI[[#This Row],[concat]],[4]!db[NB NOTA_C],0)+1,"&gt;"))</f>
        <v/>
      </c>
    </row>
    <row r="234" spans="1:25" x14ac:dyDescent="0.25">
      <c r="A234" s="4"/>
      <c r="B234" s="6" t="str">
        <f>IF(ATALI[[#This Row],[N_ID]]="","",INDEX(Table1[ID],MATCH(ATALI[[#This Row],[N_ID]],Table1[N_ID],0)))</f>
        <v/>
      </c>
      <c r="C234" s="6" t="str">
        <f>IF(ATALI[[#This Row],[ID NOTA]]="","",HYPERLINK("[NOTA_.xlsx]NOTA!e"&amp;INDEX([2]!PAJAK[//],MATCH(ATALI[[#This Row],[ID NOTA]],[2]!PAJAK[ID],0)),"&gt;") )</f>
        <v/>
      </c>
      <c r="D234" s="6" t="str">
        <f>IF(ATALI[[#This Row],[ID NOTA]]="","",INDEX(Table1[QB],MATCH(ATALI[[#This Row],[ID NOTA]],Table1[ID],0)))</f>
        <v/>
      </c>
      <c r="E2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4" s="6"/>
      <c r="G234" s="3" t="str">
        <f>IF(ATALI[[#This Row],[ID NOTA]]="","",INDEX([2]!NOTA[TGL_H],MATCH(ATALI[[#This Row],[ID NOTA]],[2]!NOTA[ID],0)))</f>
        <v/>
      </c>
      <c r="H234" s="3" t="str">
        <f>IF(ATALI[[#This Row],[ID NOTA]]="","",INDEX([2]!NOTA[TGL.NOTA],MATCH(ATALI[[#This Row],[ID NOTA]],[2]!NOTA[ID],0)))</f>
        <v/>
      </c>
      <c r="I234" s="4" t="str">
        <f>IF(ATALI[[#This Row],[ID NOTA]]="","",INDEX([2]!NOTA[NO.NOTA],MATCH(ATALI[[#This Row],[ID NOTA]],[2]!NOTA[ID],0)))</f>
        <v/>
      </c>
      <c r="J234" s="4" t="str">
        <f ca="1">IF(ATALI[[#This Row],[//]]="","",INDEX([4]!db[NB PAJAK],ATALI[[#This Row],[stt]]-1))</f>
        <v/>
      </c>
      <c r="K234" s="6" t="str">
        <f ca="1">IF(ATALI[[#This Row],[//]]="","",IF(INDEX([2]!NOTA[C],ATALI[[#This Row],[//]]-2)="","",INDEX([2]!NOTA[C],ATALI[[#This Row],[//]]-2)))</f>
        <v/>
      </c>
      <c r="L234" s="6" t="str">
        <f ca="1">IF(ATALI[[#This Row],[//]]="","",INDEX([2]!NOTA[QTY],ATALI[[#This Row],[//]]-2))</f>
        <v/>
      </c>
      <c r="M234" s="6" t="str">
        <f ca="1">IF(ATALI[[#This Row],[//]]="","",INDEX([2]!NOTA[STN],ATALI[[#This Row],[//]]-2))</f>
        <v/>
      </c>
      <c r="N234" s="5" t="str">
        <f ca="1">IF(ATALI[[#This Row],[//]]="","",INDEX([2]!NOTA[HARGA SATUAN],ATALI[[#This Row],[//]]-2))</f>
        <v/>
      </c>
      <c r="O234" s="7" t="str">
        <f ca="1">IF(ATALI[[#This Row],[//]]="","",INDEX([2]!NOTA[DISC 1],ATALI[[#This Row],[//]]-2))</f>
        <v/>
      </c>
      <c r="P234" s="7" t="str">
        <f ca="1">IF(ATALI[[#This Row],[//]]="","",INDEX([2]!NOTA[DISC 2],ATALI[[#This Row],[//]]-2))</f>
        <v/>
      </c>
      <c r="Q234" s="5" t="str">
        <f ca="1">IF(ATALI[[#This Row],[//]]="","",INDEX([2]!NOTA[TOTAL],ATALI[[#This Row],[//]]-2))</f>
        <v/>
      </c>
      <c r="R2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s="4" t="str">
        <f ca="1">IF(ATALI[[#This Row],[//]]="","",INDEX([2]!NOTA[NAMA BARANG],ATALI[[#This Row],[//]]-2))</f>
        <v/>
      </c>
      <c r="V234" s="4" t="str">
        <f ca="1">LOWER(SUBSTITUTE(SUBSTITUTE(SUBSTITUTE(SUBSTITUTE(SUBSTITUTE(SUBSTITUTE(SUBSTITUTE(ATALI[[#This Row],[N.B.nota]]," ",""),"-",""),"(",""),")",""),".",""),",",""),"/",""))</f>
        <v/>
      </c>
      <c r="W234" s="4" t="str">
        <f ca="1">IF(ATALI[[#This Row],[concat]]="","",MATCH(ATALI[[#This Row],[concat]],[4]!db[NB NOTA_C],0)+1)</f>
        <v/>
      </c>
      <c r="X234" s="4" t="str">
        <f ca="1">IF(ATALI[[#This Row],[N.B.nota]]="","",ADDRESS(ROW(ATALI[QB]),COLUMN(ATALI[QB]))&amp;":"&amp;ADDRESS(ROW(),COLUMN(ATALI[QB])))</f>
        <v/>
      </c>
      <c r="Y234" s="13" t="str">
        <f ca="1">IF(ATALI[[#This Row],[//]]="","",HYPERLINK("[../DB.xlsx]DB!e"&amp;MATCH(ATALI[[#This Row],[concat]],[4]!db[NB NOTA_C],0)+1,"&gt;"))</f>
        <v/>
      </c>
    </row>
    <row r="235" spans="1:25" x14ac:dyDescent="0.25">
      <c r="A235" s="4"/>
      <c r="B235" s="6" t="str">
        <f>IF(ATALI[[#This Row],[N_ID]]="","",INDEX(Table1[ID],MATCH(ATALI[[#This Row],[N_ID]],Table1[N_ID],0)))</f>
        <v/>
      </c>
      <c r="C235" s="6" t="str">
        <f>IF(ATALI[[#This Row],[ID NOTA]]="","",HYPERLINK("[NOTA_.xlsx]NOTA!e"&amp;INDEX([2]!PAJAK[//],MATCH(ATALI[[#This Row],[ID NOTA]],[2]!PAJAK[ID],0)),"&gt;") )</f>
        <v/>
      </c>
      <c r="D235" s="6" t="str">
        <f>IF(ATALI[[#This Row],[ID NOTA]]="","",INDEX(Table1[QB],MATCH(ATALI[[#This Row],[ID NOTA]],Table1[ID],0)))</f>
        <v/>
      </c>
      <c r="E2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5" s="6"/>
      <c r="G235" s="3" t="str">
        <f>IF(ATALI[[#This Row],[ID NOTA]]="","",INDEX([2]!NOTA[TGL_H],MATCH(ATALI[[#This Row],[ID NOTA]],[2]!NOTA[ID],0)))</f>
        <v/>
      </c>
      <c r="H235" s="3" t="str">
        <f>IF(ATALI[[#This Row],[ID NOTA]]="","",INDEX([2]!NOTA[TGL.NOTA],MATCH(ATALI[[#This Row],[ID NOTA]],[2]!NOTA[ID],0)))</f>
        <v/>
      </c>
      <c r="I235" s="4" t="str">
        <f>IF(ATALI[[#This Row],[ID NOTA]]="","",INDEX([2]!NOTA[NO.NOTA],MATCH(ATALI[[#This Row],[ID NOTA]],[2]!NOTA[ID],0)))</f>
        <v/>
      </c>
      <c r="J235" s="4" t="str">
        <f ca="1">IF(ATALI[[#This Row],[//]]="","",INDEX([4]!db[NB PAJAK],ATALI[[#This Row],[stt]]-1))</f>
        <v/>
      </c>
      <c r="K235" s="6" t="str">
        <f ca="1">IF(ATALI[[#This Row],[//]]="","",IF(INDEX([2]!NOTA[C],ATALI[[#This Row],[//]]-2)="","",INDEX([2]!NOTA[C],ATALI[[#This Row],[//]]-2)))</f>
        <v/>
      </c>
      <c r="L235" s="6" t="str">
        <f ca="1">IF(ATALI[[#This Row],[//]]="","",INDEX([2]!NOTA[QTY],ATALI[[#This Row],[//]]-2))</f>
        <v/>
      </c>
      <c r="M235" s="6" t="str">
        <f ca="1">IF(ATALI[[#This Row],[//]]="","",INDEX([2]!NOTA[STN],ATALI[[#This Row],[//]]-2))</f>
        <v/>
      </c>
      <c r="N235" s="5" t="str">
        <f ca="1">IF(ATALI[[#This Row],[//]]="","",INDEX([2]!NOTA[HARGA SATUAN],ATALI[[#This Row],[//]]-2))</f>
        <v/>
      </c>
      <c r="O235" s="7" t="str">
        <f ca="1">IF(ATALI[[#This Row],[//]]="","",INDEX([2]!NOTA[DISC 1],ATALI[[#This Row],[//]]-2))</f>
        <v/>
      </c>
      <c r="P235" s="7" t="str">
        <f ca="1">IF(ATALI[[#This Row],[//]]="","",INDEX([2]!NOTA[DISC 2],ATALI[[#This Row],[//]]-2))</f>
        <v/>
      </c>
      <c r="Q235" s="5" t="str">
        <f ca="1">IF(ATALI[[#This Row],[//]]="","",INDEX([2]!NOTA[TOTAL],ATALI[[#This Row],[//]]-2))</f>
        <v/>
      </c>
      <c r="R2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s="4" t="str">
        <f ca="1">IF(ATALI[[#This Row],[//]]="","",INDEX([2]!NOTA[NAMA BARANG],ATALI[[#This Row],[//]]-2))</f>
        <v/>
      </c>
      <c r="V235" s="4" t="str">
        <f ca="1">LOWER(SUBSTITUTE(SUBSTITUTE(SUBSTITUTE(SUBSTITUTE(SUBSTITUTE(SUBSTITUTE(SUBSTITUTE(ATALI[[#This Row],[N.B.nota]]," ",""),"-",""),"(",""),")",""),".",""),",",""),"/",""))</f>
        <v/>
      </c>
      <c r="W235" s="4" t="str">
        <f ca="1">IF(ATALI[[#This Row],[concat]]="","",MATCH(ATALI[[#This Row],[concat]],[4]!db[NB NOTA_C],0)+1)</f>
        <v/>
      </c>
      <c r="X235" s="4" t="str">
        <f ca="1">IF(ATALI[[#This Row],[N.B.nota]]="","",ADDRESS(ROW(ATALI[QB]),COLUMN(ATALI[QB]))&amp;":"&amp;ADDRESS(ROW(),COLUMN(ATALI[QB])))</f>
        <v/>
      </c>
      <c r="Y235" s="13" t="str">
        <f ca="1">IF(ATALI[[#This Row],[//]]="","",HYPERLINK("[../DB.xlsx]DB!e"&amp;MATCH(ATALI[[#This Row],[concat]],[4]!db[NB NOTA_C],0)+1,"&gt;"))</f>
        <v/>
      </c>
    </row>
    <row r="236" spans="1:25" x14ac:dyDescent="0.25">
      <c r="A236" s="4"/>
      <c r="B236" s="6" t="str">
        <f>IF(ATALI[[#This Row],[N_ID]]="","",INDEX(Table1[ID],MATCH(ATALI[[#This Row],[N_ID]],Table1[N_ID],0)))</f>
        <v/>
      </c>
      <c r="C236" s="6" t="str">
        <f>IF(ATALI[[#This Row],[ID NOTA]]="","",HYPERLINK("[NOTA_.xlsx]NOTA!e"&amp;INDEX([2]!PAJAK[//],MATCH(ATALI[[#This Row],[ID NOTA]],[2]!PAJAK[ID],0)),"&gt;") )</f>
        <v/>
      </c>
      <c r="D236" s="6" t="str">
        <f>IF(ATALI[[#This Row],[ID NOTA]]="","",INDEX(Table1[QB],MATCH(ATALI[[#This Row],[ID NOTA]],Table1[ID],0)))</f>
        <v/>
      </c>
      <c r="E2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6" s="6"/>
      <c r="G236" s="3" t="str">
        <f>IF(ATALI[[#This Row],[ID NOTA]]="","",INDEX([2]!NOTA[TGL_H],MATCH(ATALI[[#This Row],[ID NOTA]],[2]!NOTA[ID],0)))</f>
        <v/>
      </c>
      <c r="H236" s="3" t="str">
        <f>IF(ATALI[[#This Row],[ID NOTA]]="","",INDEX([2]!NOTA[TGL.NOTA],MATCH(ATALI[[#This Row],[ID NOTA]],[2]!NOTA[ID],0)))</f>
        <v/>
      </c>
      <c r="I236" s="4" t="str">
        <f>IF(ATALI[[#This Row],[ID NOTA]]="","",INDEX([2]!NOTA[NO.NOTA],MATCH(ATALI[[#This Row],[ID NOTA]],[2]!NOTA[ID],0)))</f>
        <v/>
      </c>
      <c r="J236" s="4" t="str">
        <f ca="1">IF(ATALI[[#This Row],[//]]="","",INDEX([4]!db[NB PAJAK],ATALI[[#This Row],[stt]]-1))</f>
        <v/>
      </c>
      <c r="K236" s="6" t="str">
        <f ca="1">IF(ATALI[[#This Row],[//]]="","",IF(INDEX([2]!NOTA[C],ATALI[[#This Row],[//]]-2)="","",INDEX([2]!NOTA[C],ATALI[[#This Row],[//]]-2)))</f>
        <v/>
      </c>
      <c r="L236" s="6" t="str">
        <f ca="1">IF(ATALI[[#This Row],[//]]="","",INDEX([2]!NOTA[QTY],ATALI[[#This Row],[//]]-2))</f>
        <v/>
      </c>
      <c r="M236" s="6" t="str">
        <f ca="1">IF(ATALI[[#This Row],[//]]="","",INDEX([2]!NOTA[STN],ATALI[[#This Row],[//]]-2))</f>
        <v/>
      </c>
      <c r="N236" s="5" t="str">
        <f ca="1">IF(ATALI[[#This Row],[//]]="","",INDEX([2]!NOTA[HARGA SATUAN],ATALI[[#This Row],[//]]-2))</f>
        <v/>
      </c>
      <c r="O236" s="7" t="str">
        <f ca="1">IF(ATALI[[#This Row],[//]]="","",INDEX([2]!NOTA[DISC 1],ATALI[[#This Row],[//]]-2))</f>
        <v/>
      </c>
      <c r="P236" s="7" t="str">
        <f ca="1">IF(ATALI[[#This Row],[//]]="","",INDEX([2]!NOTA[DISC 2],ATALI[[#This Row],[//]]-2))</f>
        <v/>
      </c>
      <c r="Q236" s="5" t="str">
        <f ca="1">IF(ATALI[[#This Row],[//]]="","",INDEX([2]!NOTA[TOTAL],ATALI[[#This Row],[//]]-2))</f>
        <v/>
      </c>
      <c r="R2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s="4" t="str">
        <f ca="1">IF(ATALI[[#This Row],[//]]="","",INDEX([2]!NOTA[NAMA BARANG],ATALI[[#This Row],[//]]-2))</f>
        <v/>
      </c>
      <c r="V236" s="4" t="str">
        <f ca="1">LOWER(SUBSTITUTE(SUBSTITUTE(SUBSTITUTE(SUBSTITUTE(SUBSTITUTE(SUBSTITUTE(SUBSTITUTE(ATALI[[#This Row],[N.B.nota]]," ",""),"-",""),"(",""),")",""),".",""),",",""),"/",""))</f>
        <v/>
      </c>
      <c r="W236" s="4" t="str">
        <f ca="1">IF(ATALI[[#This Row],[concat]]="","",MATCH(ATALI[[#This Row],[concat]],[4]!db[NB NOTA_C],0)+1)</f>
        <v/>
      </c>
      <c r="X236" s="4" t="str">
        <f ca="1">IF(ATALI[[#This Row],[N.B.nota]]="","",ADDRESS(ROW(ATALI[QB]),COLUMN(ATALI[QB]))&amp;":"&amp;ADDRESS(ROW(),COLUMN(ATALI[QB])))</f>
        <v/>
      </c>
      <c r="Y236" s="13" t="str">
        <f ca="1">IF(ATALI[[#This Row],[//]]="","",HYPERLINK("[../DB.xlsx]DB!e"&amp;MATCH(ATALI[[#This Row],[concat]],[4]!db[NB NOTA_C],0)+1,"&gt;"))</f>
        <v/>
      </c>
    </row>
    <row r="237" spans="1:25" x14ac:dyDescent="0.25">
      <c r="A237" s="4"/>
      <c r="B237" s="6" t="str">
        <f>IF(ATALI[[#This Row],[N_ID]]="","",INDEX(Table1[ID],MATCH(ATALI[[#This Row],[N_ID]],Table1[N_ID],0)))</f>
        <v/>
      </c>
      <c r="C237" s="6" t="str">
        <f>IF(ATALI[[#This Row],[ID NOTA]]="","",HYPERLINK("[NOTA_.xlsx]NOTA!e"&amp;INDEX([2]!PAJAK[//],MATCH(ATALI[[#This Row],[ID NOTA]],[2]!PAJAK[ID],0)),"&gt;") )</f>
        <v/>
      </c>
      <c r="D237" s="6" t="str">
        <f>IF(ATALI[[#This Row],[ID NOTA]]="","",INDEX(Table1[QB],MATCH(ATALI[[#This Row],[ID NOTA]],Table1[ID],0)))</f>
        <v/>
      </c>
      <c r="E2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7" s="6"/>
      <c r="G237" s="3" t="str">
        <f>IF(ATALI[[#This Row],[ID NOTA]]="","",INDEX([2]!NOTA[TGL_H],MATCH(ATALI[[#This Row],[ID NOTA]],[2]!NOTA[ID],0)))</f>
        <v/>
      </c>
      <c r="H237" s="3" t="str">
        <f>IF(ATALI[[#This Row],[ID NOTA]]="","",INDEX([2]!NOTA[TGL.NOTA],MATCH(ATALI[[#This Row],[ID NOTA]],[2]!NOTA[ID],0)))</f>
        <v/>
      </c>
      <c r="I237" s="4" t="str">
        <f>IF(ATALI[[#This Row],[ID NOTA]]="","",INDEX([2]!NOTA[NO.NOTA],MATCH(ATALI[[#This Row],[ID NOTA]],[2]!NOTA[ID],0)))</f>
        <v/>
      </c>
      <c r="J237" s="4" t="str">
        <f ca="1">IF(ATALI[[#This Row],[//]]="","",INDEX([4]!db[NB PAJAK],ATALI[[#This Row],[stt]]-1))</f>
        <v/>
      </c>
      <c r="K237" s="6" t="str">
        <f ca="1">IF(ATALI[[#This Row],[//]]="","",IF(INDEX([2]!NOTA[C],ATALI[[#This Row],[//]]-2)="","",INDEX([2]!NOTA[C],ATALI[[#This Row],[//]]-2)))</f>
        <v/>
      </c>
      <c r="L237" s="6" t="str">
        <f ca="1">IF(ATALI[[#This Row],[//]]="","",INDEX([2]!NOTA[QTY],ATALI[[#This Row],[//]]-2))</f>
        <v/>
      </c>
      <c r="M237" s="6" t="str">
        <f ca="1">IF(ATALI[[#This Row],[//]]="","",INDEX([2]!NOTA[STN],ATALI[[#This Row],[//]]-2))</f>
        <v/>
      </c>
      <c r="N237" s="5" t="str">
        <f ca="1">IF(ATALI[[#This Row],[//]]="","",INDEX([2]!NOTA[HARGA SATUAN],ATALI[[#This Row],[//]]-2))</f>
        <v/>
      </c>
      <c r="O237" s="7" t="str">
        <f ca="1">IF(ATALI[[#This Row],[//]]="","",INDEX([2]!NOTA[DISC 1],ATALI[[#This Row],[//]]-2))</f>
        <v/>
      </c>
      <c r="P237" s="7" t="str">
        <f ca="1">IF(ATALI[[#This Row],[//]]="","",INDEX([2]!NOTA[DISC 2],ATALI[[#This Row],[//]]-2))</f>
        <v/>
      </c>
      <c r="Q237" s="5" t="str">
        <f ca="1">IF(ATALI[[#This Row],[//]]="","",INDEX([2]!NOTA[TOTAL],ATALI[[#This Row],[//]]-2))</f>
        <v/>
      </c>
      <c r="R2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s="4" t="str">
        <f ca="1">IF(ATALI[[#This Row],[//]]="","",INDEX([2]!NOTA[NAMA BARANG],ATALI[[#This Row],[//]]-2))</f>
        <v/>
      </c>
      <c r="V237" s="4" t="str">
        <f ca="1">LOWER(SUBSTITUTE(SUBSTITUTE(SUBSTITUTE(SUBSTITUTE(SUBSTITUTE(SUBSTITUTE(SUBSTITUTE(ATALI[[#This Row],[N.B.nota]]," ",""),"-",""),"(",""),")",""),".",""),",",""),"/",""))</f>
        <v/>
      </c>
      <c r="W237" s="4" t="str">
        <f ca="1">IF(ATALI[[#This Row],[concat]]="","",MATCH(ATALI[[#This Row],[concat]],[4]!db[NB NOTA_C],0)+1)</f>
        <v/>
      </c>
      <c r="X237" s="4" t="str">
        <f ca="1">IF(ATALI[[#This Row],[N.B.nota]]="","",ADDRESS(ROW(ATALI[QB]),COLUMN(ATALI[QB]))&amp;":"&amp;ADDRESS(ROW(),COLUMN(ATALI[QB])))</f>
        <v/>
      </c>
      <c r="Y237" s="13" t="str">
        <f ca="1">IF(ATALI[[#This Row],[//]]="","",HYPERLINK("[../DB.xlsx]DB!e"&amp;MATCH(ATALI[[#This Row],[concat]],[4]!db[NB NOTA_C],0)+1,"&gt;"))</f>
        <v/>
      </c>
    </row>
    <row r="238" spans="1:25" x14ac:dyDescent="0.25">
      <c r="A238" s="4"/>
      <c r="B238" s="6" t="str">
        <f>IF(ATALI[[#This Row],[N_ID]]="","",INDEX(Table1[ID],MATCH(ATALI[[#This Row],[N_ID]],Table1[N_ID],0)))</f>
        <v/>
      </c>
      <c r="C238" s="6" t="str">
        <f>IF(ATALI[[#This Row],[ID NOTA]]="","",HYPERLINK("[NOTA_.xlsx]NOTA!e"&amp;INDEX([2]!PAJAK[//],MATCH(ATALI[[#This Row],[ID NOTA]],[2]!PAJAK[ID],0)),"&gt;") )</f>
        <v/>
      </c>
      <c r="D238" s="6" t="str">
        <f>IF(ATALI[[#This Row],[ID NOTA]]="","",INDEX(Table1[QB],MATCH(ATALI[[#This Row],[ID NOTA]],Table1[ID],0)))</f>
        <v/>
      </c>
      <c r="E2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8" s="6"/>
      <c r="G238" s="3" t="str">
        <f>IF(ATALI[[#This Row],[ID NOTA]]="","",INDEX([2]!NOTA[TGL_H],MATCH(ATALI[[#This Row],[ID NOTA]],[2]!NOTA[ID],0)))</f>
        <v/>
      </c>
      <c r="H238" s="3" t="str">
        <f>IF(ATALI[[#This Row],[ID NOTA]]="","",INDEX([2]!NOTA[TGL.NOTA],MATCH(ATALI[[#This Row],[ID NOTA]],[2]!NOTA[ID],0)))</f>
        <v/>
      </c>
      <c r="I238" s="4" t="str">
        <f>IF(ATALI[[#This Row],[ID NOTA]]="","",INDEX([2]!NOTA[NO.NOTA],MATCH(ATALI[[#This Row],[ID NOTA]],[2]!NOTA[ID],0)))</f>
        <v/>
      </c>
      <c r="J238" s="4" t="str">
        <f ca="1">IF(ATALI[[#This Row],[//]]="","",INDEX([4]!db[NB PAJAK],ATALI[[#This Row],[stt]]-1))</f>
        <v/>
      </c>
      <c r="K238" s="6" t="str">
        <f ca="1">IF(ATALI[[#This Row],[//]]="","",IF(INDEX([2]!NOTA[C],ATALI[[#This Row],[//]]-2)="","",INDEX([2]!NOTA[C],ATALI[[#This Row],[//]]-2)))</f>
        <v/>
      </c>
      <c r="L238" s="6" t="str">
        <f ca="1">IF(ATALI[[#This Row],[//]]="","",INDEX([2]!NOTA[QTY],ATALI[[#This Row],[//]]-2))</f>
        <v/>
      </c>
      <c r="M238" s="6" t="str">
        <f ca="1">IF(ATALI[[#This Row],[//]]="","",INDEX([2]!NOTA[STN],ATALI[[#This Row],[//]]-2))</f>
        <v/>
      </c>
      <c r="N238" s="5" t="str">
        <f ca="1">IF(ATALI[[#This Row],[//]]="","",INDEX([2]!NOTA[HARGA SATUAN],ATALI[[#This Row],[//]]-2))</f>
        <v/>
      </c>
      <c r="O238" s="7" t="str">
        <f ca="1">IF(ATALI[[#This Row],[//]]="","",INDEX([2]!NOTA[DISC 1],ATALI[[#This Row],[//]]-2))</f>
        <v/>
      </c>
      <c r="P238" s="7" t="str">
        <f ca="1">IF(ATALI[[#This Row],[//]]="","",INDEX([2]!NOTA[DISC 2],ATALI[[#This Row],[//]]-2))</f>
        <v/>
      </c>
      <c r="Q238" s="5" t="str">
        <f ca="1">IF(ATALI[[#This Row],[//]]="","",INDEX([2]!NOTA[TOTAL],ATALI[[#This Row],[//]]-2))</f>
        <v/>
      </c>
      <c r="R2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s="4" t="str">
        <f ca="1">IF(ATALI[[#This Row],[//]]="","",INDEX([2]!NOTA[NAMA BARANG],ATALI[[#This Row],[//]]-2))</f>
        <v/>
      </c>
      <c r="V238" s="4" t="str">
        <f ca="1">LOWER(SUBSTITUTE(SUBSTITUTE(SUBSTITUTE(SUBSTITUTE(SUBSTITUTE(SUBSTITUTE(SUBSTITUTE(ATALI[[#This Row],[N.B.nota]]," ",""),"-",""),"(",""),")",""),".",""),",",""),"/",""))</f>
        <v/>
      </c>
      <c r="W238" s="4" t="str">
        <f ca="1">IF(ATALI[[#This Row],[concat]]="","",MATCH(ATALI[[#This Row],[concat]],[4]!db[NB NOTA_C],0)+1)</f>
        <v/>
      </c>
      <c r="X238" s="4" t="str">
        <f ca="1">IF(ATALI[[#This Row],[N.B.nota]]="","",ADDRESS(ROW(ATALI[QB]),COLUMN(ATALI[QB]))&amp;":"&amp;ADDRESS(ROW(),COLUMN(ATALI[QB])))</f>
        <v/>
      </c>
      <c r="Y238" s="13" t="str">
        <f ca="1">IF(ATALI[[#This Row],[//]]="","",HYPERLINK("[../DB.xlsx]DB!e"&amp;MATCH(ATALI[[#This Row],[concat]],[4]!db[NB NOTA_C],0)+1,"&gt;"))</f>
        <v/>
      </c>
    </row>
    <row r="239" spans="1:25" x14ac:dyDescent="0.25">
      <c r="A239" s="4"/>
      <c r="B239" s="6" t="str">
        <f>IF(ATALI[[#This Row],[N_ID]]="","",INDEX(Table1[ID],MATCH(ATALI[[#This Row],[N_ID]],Table1[N_ID],0)))</f>
        <v/>
      </c>
      <c r="C239" s="6" t="str">
        <f>IF(ATALI[[#This Row],[ID NOTA]]="","",HYPERLINK("[NOTA_.xlsx]NOTA!e"&amp;INDEX([2]!PAJAK[//],MATCH(ATALI[[#This Row],[ID NOTA]],[2]!PAJAK[ID],0)),"&gt;") )</f>
        <v/>
      </c>
      <c r="D239" s="6" t="str">
        <f>IF(ATALI[[#This Row],[ID NOTA]]="","",INDEX(Table1[QB],MATCH(ATALI[[#This Row],[ID NOTA]],Table1[ID],0)))</f>
        <v/>
      </c>
      <c r="E2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9" s="6"/>
      <c r="G239" s="3" t="str">
        <f>IF(ATALI[[#This Row],[ID NOTA]]="","",INDEX([2]!NOTA[TGL_H],MATCH(ATALI[[#This Row],[ID NOTA]],[2]!NOTA[ID],0)))</f>
        <v/>
      </c>
      <c r="H239" s="3" t="str">
        <f>IF(ATALI[[#This Row],[ID NOTA]]="","",INDEX([2]!NOTA[TGL.NOTA],MATCH(ATALI[[#This Row],[ID NOTA]],[2]!NOTA[ID],0)))</f>
        <v/>
      </c>
      <c r="I239" s="4" t="str">
        <f>IF(ATALI[[#This Row],[ID NOTA]]="","",INDEX([2]!NOTA[NO.NOTA],MATCH(ATALI[[#This Row],[ID NOTA]],[2]!NOTA[ID],0)))</f>
        <v/>
      </c>
      <c r="J239" s="4" t="str">
        <f ca="1">IF(ATALI[[#This Row],[//]]="","",INDEX([4]!db[NB PAJAK],ATALI[[#This Row],[stt]]-1))</f>
        <v/>
      </c>
      <c r="K239" s="6" t="str">
        <f ca="1">IF(ATALI[[#This Row],[//]]="","",IF(INDEX([2]!NOTA[C],ATALI[[#This Row],[//]]-2)="","",INDEX([2]!NOTA[C],ATALI[[#This Row],[//]]-2)))</f>
        <v/>
      </c>
      <c r="L239" s="6" t="str">
        <f ca="1">IF(ATALI[[#This Row],[//]]="","",INDEX([2]!NOTA[QTY],ATALI[[#This Row],[//]]-2))</f>
        <v/>
      </c>
      <c r="M239" s="6" t="str">
        <f ca="1">IF(ATALI[[#This Row],[//]]="","",INDEX([2]!NOTA[STN],ATALI[[#This Row],[//]]-2))</f>
        <v/>
      </c>
      <c r="N239" s="5" t="str">
        <f ca="1">IF(ATALI[[#This Row],[//]]="","",INDEX([2]!NOTA[HARGA SATUAN],ATALI[[#This Row],[//]]-2))</f>
        <v/>
      </c>
      <c r="O239" s="7" t="str">
        <f ca="1">IF(ATALI[[#This Row],[//]]="","",INDEX([2]!NOTA[DISC 1],ATALI[[#This Row],[//]]-2))</f>
        <v/>
      </c>
      <c r="P239" s="7" t="str">
        <f ca="1">IF(ATALI[[#This Row],[//]]="","",INDEX([2]!NOTA[DISC 2],ATALI[[#This Row],[//]]-2))</f>
        <v/>
      </c>
      <c r="Q239" s="5" t="str">
        <f ca="1">IF(ATALI[[#This Row],[//]]="","",INDEX([2]!NOTA[TOTAL],ATALI[[#This Row],[//]]-2))</f>
        <v/>
      </c>
      <c r="R2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s="4" t="str">
        <f ca="1">IF(ATALI[[#This Row],[//]]="","",INDEX([2]!NOTA[NAMA BARANG],ATALI[[#This Row],[//]]-2))</f>
        <v/>
      </c>
      <c r="V239" s="4" t="str">
        <f ca="1">LOWER(SUBSTITUTE(SUBSTITUTE(SUBSTITUTE(SUBSTITUTE(SUBSTITUTE(SUBSTITUTE(SUBSTITUTE(ATALI[[#This Row],[N.B.nota]]," ",""),"-",""),"(",""),")",""),".",""),",",""),"/",""))</f>
        <v/>
      </c>
      <c r="W239" s="4" t="str">
        <f ca="1">IF(ATALI[[#This Row],[concat]]="","",MATCH(ATALI[[#This Row],[concat]],[4]!db[NB NOTA_C],0)+1)</f>
        <v/>
      </c>
      <c r="X239" s="4" t="str">
        <f ca="1">IF(ATALI[[#This Row],[N.B.nota]]="","",ADDRESS(ROW(ATALI[QB]),COLUMN(ATALI[QB]))&amp;":"&amp;ADDRESS(ROW(),COLUMN(ATALI[QB])))</f>
        <v/>
      </c>
      <c r="Y239" s="13" t="str">
        <f ca="1">IF(ATALI[[#This Row],[//]]="","",HYPERLINK("[../DB.xlsx]DB!e"&amp;MATCH(ATALI[[#This Row],[concat]],[4]!db[NB NOTA_C],0)+1,"&gt;"))</f>
        <v/>
      </c>
    </row>
    <row r="240" spans="1:25" x14ac:dyDescent="0.25">
      <c r="A240" s="4"/>
      <c r="B240" s="6" t="str">
        <f>IF(ATALI[[#This Row],[N_ID]]="","",INDEX(Table1[ID],MATCH(ATALI[[#This Row],[N_ID]],Table1[N_ID],0)))</f>
        <v/>
      </c>
      <c r="C240" s="6" t="str">
        <f>IF(ATALI[[#This Row],[ID NOTA]]="","",HYPERLINK("[NOTA_.xlsx]NOTA!e"&amp;INDEX([2]!PAJAK[//],MATCH(ATALI[[#This Row],[ID NOTA]],[2]!PAJAK[ID],0)),"&gt;") )</f>
        <v/>
      </c>
      <c r="D240" s="6" t="str">
        <f>IF(ATALI[[#This Row],[ID NOTA]]="","",INDEX(Table1[QB],MATCH(ATALI[[#This Row],[ID NOTA]],Table1[ID],0)))</f>
        <v/>
      </c>
      <c r="E2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0" s="6"/>
      <c r="G240" s="3" t="str">
        <f>IF(ATALI[[#This Row],[ID NOTA]]="","",INDEX([2]!NOTA[TGL_H],MATCH(ATALI[[#This Row],[ID NOTA]],[2]!NOTA[ID],0)))</f>
        <v/>
      </c>
      <c r="H240" s="3" t="str">
        <f>IF(ATALI[[#This Row],[ID NOTA]]="","",INDEX([2]!NOTA[TGL.NOTA],MATCH(ATALI[[#This Row],[ID NOTA]],[2]!NOTA[ID],0)))</f>
        <v/>
      </c>
      <c r="I240" s="4" t="str">
        <f>IF(ATALI[[#This Row],[ID NOTA]]="","",INDEX([2]!NOTA[NO.NOTA],MATCH(ATALI[[#This Row],[ID NOTA]],[2]!NOTA[ID],0)))</f>
        <v/>
      </c>
      <c r="J240" s="4" t="str">
        <f ca="1">IF(ATALI[[#This Row],[//]]="","",INDEX([4]!db[NB PAJAK],ATALI[[#This Row],[stt]]-1))</f>
        <v/>
      </c>
      <c r="K240" s="6" t="str">
        <f ca="1">IF(ATALI[[#This Row],[//]]="","",IF(INDEX([2]!NOTA[C],ATALI[[#This Row],[//]]-2)="","",INDEX([2]!NOTA[C],ATALI[[#This Row],[//]]-2)))</f>
        <v/>
      </c>
      <c r="L240" s="6" t="str">
        <f ca="1">IF(ATALI[[#This Row],[//]]="","",INDEX([2]!NOTA[QTY],ATALI[[#This Row],[//]]-2))</f>
        <v/>
      </c>
      <c r="M240" s="6" t="str">
        <f ca="1">IF(ATALI[[#This Row],[//]]="","",INDEX([2]!NOTA[STN],ATALI[[#This Row],[//]]-2))</f>
        <v/>
      </c>
      <c r="N240" s="5" t="str">
        <f ca="1">IF(ATALI[[#This Row],[//]]="","",INDEX([2]!NOTA[HARGA SATUAN],ATALI[[#This Row],[//]]-2))</f>
        <v/>
      </c>
      <c r="O240" s="7" t="str">
        <f ca="1">IF(ATALI[[#This Row],[//]]="","",INDEX([2]!NOTA[DISC 1],ATALI[[#This Row],[//]]-2))</f>
        <v/>
      </c>
      <c r="P240" s="7" t="str">
        <f ca="1">IF(ATALI[[#This Row],[//]]="","",INDEX([2]!NOTA[DISC 2],ATALI[[#This Row],[//]]-2))</f>
        <v/>
      </c>
      <c r="Q240" s="5" t="str">
        <f ca="1">IF(ATALI[[#This Row],[//]]="","",INDEX([2]!NOTA[TOTAL],ATALI[[#This Row],[//]]-2))</f>
        <v/>
      </c>
      <c r="R2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s="4" t="str">
        <f ca="1">IF(ATALI[[#This Row],[//]]="","",INDEX([2]!NOTA[NAMA BARANG],ATALI[[#This Row],[//]]-2))</f>
        <v/>
      </c>
      <c r="V240" s="4" t="str">
        <f ca="1">LOWER(SUBSTITUTE(SUBSTITUTE(SUBSTITUTE(SUBSTITUTE(SUBSTITUTE(SUBSTITUTE(SUBSTITUTE(ATALI[[#This Row],[N.B.nota]]," ",""),"-",""),"(",""),")",""),".",""),",",""),"/",""))</f>
        <v/>
      </c>
      <c r="W240" s="4" t="str">
        <f ca="1">IF(ATALI[[#This Row],[concat]]="","",MATCH(ATALI[[#This Row],[concat]],[4]!db[NB NOTA_C],0)+1)</f>
        <v/>
      </c>
      <c r="X240" s="4" t="str">
        <f ca="1">IF(ATALI[[#This Row],[N.B.nota]]="","",ADDRESS(ROW(ATALI[QB]),COLUMN(ATALI[QB]))&amp;":"&amp;ADDRESS(ROW(),COLUMN(ATALI[QB])))</f>
        <v/>
      </c>
      <c r="Y240" s="13" t="str">
        <f ca="1">IF(ATALI[[#This Row],[//]]="","",HYPERLINK("[../DB.xlsx]DB!e"&amp;MATCH(ATALI[[#This Row],[concat]],[4]!db[NB NOTA_C],0)+1,"&gt;"))</f>
        <v/>
      </c>
    </row>
    <row r="241" spans="1:25" x14ac:dyDescent="0.25">
      <c r="A241" s="4"/>
      <c r="B241" s="6" t="str">
        <f>IF(ATALI[[#This Row],[N_ID]]="","",INDEX(Table1[ID],MATCH(ATALI[[#This Row],[N_ID]],Table1[N_ID],0)))</f>
        <v/>
      </c>
      <c r="C241" s="6" t="str">
        <f>IF(ATALI[[#This Row],[ID NOTA]]="","",HYPERLINK("[NOTA_.xlsx]NOTA!e"&amp;INDEX([2]!PAJAK[//],MATCH(ATALI[[#This Row],[ID NOTA]],[2]!PAJAK[ID],0)),"&gt;") )</f>
        <v/>
      </c>
      <c r="D241" s="6" t="str">
        <f>IF(ATALI[[#This Row],[ID NOTA]]="","",INDEX(Table1[QB],MATCH(ATALI[[#This Row],[ID NOTA]],Table1[ID],0)))</f>
        <v/>
      </c>
      <c r="E2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1" s="6"/>
      <c r="G241" s="3" t="str">
        <f>IF(ATALI[[#This Row],[ID NOTA]]="","",INDEX([2]!NOTA[TGL_H],MATCH(ATALI[[#This Row],[ID NOTA]],[2]!NOTA[ID],0)))</f>
        <v/>
      </c>
      <c r="H241" s="3" t="str">
        <f>IF(ATALI[[#This Row],[ID NOTA]]="","",INDEX([2]!NOTA[TGL.NOTA],MATCH(ATALI[[#This Row],[ID NOTA]],[2]!NOTA[ID],0)))</f>
        <v/>
      </c>
      <c r="I241" s="4" t="str">
        <f>IF(ATALI[[#This Row],[ID NOTA]]="","",INDEX([2]!NOTA[NO.NOTA],MATCH(ATALI[[#This Row],[ID NOTA]],[2]!NOTA[ID],0)))</f>
        <v/>
      </c>
      <c r="J241" s="4" t="str">
        <f ca="1">IF(ATALI[[#This Row],[//]]="","",INDEX([4]!db[NB PAJAK],ATALI[[#This Row],[stt]]-1))</f>
        <v/>
      </c>
      <c r="K241" s="6" t="str">
        <f ca="1">IF(ATALI[[#This Row],[//]]="","",IF(INDEX([2]!NOTA[C],ATALI[[#This Row],[//]]-2)="","",INDEX([2]!NOTA[C],ATALI[[#This Row],[//]]-2)))</f>
        <v/>
      </c>
      <c r="L241" s="6" t="str">
        <f ca="1">IF(ATALI[[#This Row],[//]]="","",INDEX([2]!NOTA[QTY],ATALI[[#This Row],[//]]-2))</f>
        <v/>
      </c>
      <c r="M241" s="6" t="str">
        <f ca="1">IF(ATALI[[#This Row],[//]]="","",INDEX([2]!NOTA[STN],ATALI[[#This Row],[//]]-2))</f>
        <v/>
      </c>
      <c r="N241" s="5" t="str">
        <f ca="1">IF(ATALI[[#This Row],[//]]="","",INDEX([2]!NOTA[HARGA SATUAN],ATALI[[#This Row],[//]]-2))</f>
        <v/>
      </c>
      <c r="O241" s="7" t="str">
        <f ca="1">IF(ATALI[[#This Row],[//]]="","",INDEX([2]!NOTA[DISC 1],ATALI[[#This Row],[//]]-2))</f>
        <v/>
      </c>
      <c r="P241" s="7" t="str">
        <f ca="1">IF(ATALI[[#This Row],[//]]="","",INDEX([2]!NOTA[DISC 2],ATALI[[#This Row],[//]]-2))</f>
        <v/>
      </c>
      <c r="Q241" s="5" t="str">
        <f ca="1">IF(ATALI[[#This Row],[//]]="","",INDEX([2]!NOTA[TOTAL],ATALI[[#This Row],[//]]-2))</f>
        <v/>
      </c>
      <c r="R2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1" s="4" t="str">
        <f ca="1">IF(ATALI[[#This Row],[//]]="","",INDEX([2]!NOTA[NAMA BARANG],ATALI[[#This Row],[//]]-2))</f>
        <v/>
      </c>
      <c r="V241" s="4" t="str">
        <f ca="1">LOWER(SUBSTITUTE(SUBSTITUTE(SUBSTITUTE(SUBSTITUTE(SUBSTITUTE(SUBSTITUTE(SUBSTITUTE(ATALI[[#This Row],[N.B.nota]]," ",""),"-",""),"(",""),")",""),".",""),",",""),"/",""))</f>
        <v/>
      </c>
      <c r="W241" s="4" t="str">
        <f ca="1">IF(ATALI[[#This Row],[concat]]="","",MATCH(ATALI[[#This Row],[concat]],[4]!db[NB NOTA_C],0)+1)</f>
        <v/>
      </c>
      <c r="X241" s="4" t="str">
        <f ca="1">IF(ATALI[[#This Row],[N.B.nota]]="","",ADDRESS(ROW(ATALI[QB]),COLUMN(ATALI[QB]))&amp;":"&amp;ADDRESS(ROW(),COLUMN(ATALI[QB])))</f>
        <v/>
      </c>
      <c r="Y241" s="13" t="str">
        <f ca="1">IF(ATALI[[#This Row],[//]]="","",HYPERLINK("[../DB.xlsx]DB!e"&amp;MATCH(ATALI[[#This Row],[concat]],[4]!db[NB NOTA_C],0)+1,"&gt;"))</f>
        <v/>
      </c>
    </row>
    <row r="242" spans="1:25" x14ac:dyDescent="0.25">
      <c r="A242" s="4"/>
      <c r="B242" s="6" t="str">
        <f>IF(ATALI[[#This Row],[N_ID]]="","",INDEX(Table1[ID],MATCH(ATALI[[#This Row],[N_ID]],Table1[N_ID],0)))</f>
        <v/>
      </c>
      <c r="C242" s="6" t="str">
        <f>IF(ATALI[[#This Row],[ID NOTA]]="","",HYPERLINK("[NOTA_.xlsx]NOTA!e"&amp;INDEX([2]!PAJAK[//],MATCH(ATALI[[#This Row],[ID NOTA]],[2]!PAJAK[ID],0)),"&gt;") )</f>
        <v/>
      </c>
      <c r="D242" s="6" t="str">
        <f>IF(ATALI[[#This Row],[ID NOTA]]="","",INDEX(Table1[QB],MATCH(ATALI[[#This Row],[ID NOTA]],Table1[ID],0)))</f>
        <v/>
      </c>
      <c r="E2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2" s="6"/>
      <c r="G242" s="3" t="str">
        <f>IF(ATALI[[#This Row],[ID NOTA]]="","",INDEX([2]!NOTA[TGL_H],MATCH(ATALI[[#This Row],[ID NOTA]],[2]!NOTA[ID],0)))</f>
        <v/>
      </c>
      <c r="H242" s="3" t="str">
        <f>IF(ATALI[[#This Row],[ID NOTA]]="","",INDEX([2]!NOTA[TGL.NOTA],MATCH(ATALI[[#This Row],[ID NOTA]],[2]!NOTA[ID],0)))</f>
        <v/>
      </c>
      <c r="I242" s="4" t="str">
        <f>IF(ATALI[[#This Row],[ID NOTA]]="","",INDEX([2]!NOTA[NO.NOTA],MATCH(ATALI[[#This Row],[ID NOTA]],[2]!NOTA[ID],0)))</f>
        <v/>
      </c>
      <c r="J242" s="4" t="str">
        <f ca="1">IF(ATALI[[#This Row],[//]]="","",INDEX([4]!db[NB PAJAK],ATALI[[#This Row],[stt]]-1))</f>
        <v/>
      </c>
      <c r="K242" s="6" t="str">
        <f ca="1">IF(ATALI[[#This Row],[//]]="","",IF(INDEX([2]!NOTA[C],ATALI[[#This Row],[//]]-2)="","",INDEX([2]!NOTA[C],ATALI[[#This Row],[//]]-2)))</f>
        <v/>
      </c>
      <c r="L242" s="6" t="str">
        <f ca="1">IF(ATALI[[#This Row],[//]]="","",INDEX([2]!NOTA[QTY],ATALI[[#This Row],[//]]-2))</f>
        <v/>
      </c>
      <c r="M242" s="6" t="str">
        <f ca="1">IF(ATALI[[#This Row],[//]]="","",INDEX([2]!NOTA[STN],ATALI[[#This Row],[//]]-2))</f>
        <v/>
      </c>
      <c r="N242" s="5" t="str">
        <f ca="1">IF(ATALI[[#This Row],[//]]="","",INDEX([2]!NOTA[HARGA SATUAN],ATALI[[#This Row],[//]]-2))</f>
        <v/>
      </c>
      <c r="O242" s="7" t="str">
        <f ca="1">IF(ATALI[[#This Row],[//]]="","",INDEX([2]!NOTA[DISC 1],ATALI[[#This Row],[//]]-2))</f>
        <v/>
      </c>
      <c r="P242" s="7" t="str">
        <f ca="1">IF(ATALI[[#This Row],[//]]="","",INDEX([2]!NOTA[DISC 2],ATALI[[#This Row],[//]]-2))</f>
        <v/>
      </c>
      <c r="Q242" s="5" t="str">
        <f ca="1">IF(ATALI[[#This Row],[//]]="","",INDEX([2]!NOTA[TOTAL],ATALI[[#This Row],[//]]-2))</f>
        <v/>
      </c>
      <c r="R2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s="4" t="str">
        <f ca="1">IF(ATALI[[#This Row],[//]]="","",INDEX([2]!NOTA[NAMA BARANG],ATALI[[#This Row],[//]]-2))</f>
        <v/>
      </c>
      <c r="V242" s="4" t="str">
        <f ca="1">LOWER(SUBSTITUTE(SUBSTITUTE(SUBSTITUTE(SUBSTITUTE(SUBSTITUTE(SUBSTITUTE(SUBSTITUTE(ATALI[[#This Row],[N.B.nota]]," ",""),"-",""),"(",""),")",""),".",""),",",""),"/",""))</f>
        <v/>
      </c>
      <c r="W242" s="4" t="str">
        <f ca="1">IF(ATALI[[#This Row],[concat]]="","",MATCH(ATALI[[#This Row],[concat]],[4]!db[NB NOTA_C],0)+1)</f>
        <v/>
      </c>
      <c r="X242" s="4" t="str">
        <f ca="1">IF(ATALI[[#This Row],[N.B.nota]]="","",ADDRESS(ROW(ATALI[QB]),COLUMN(ATALI[QB]))&amp;":"&amp;ADDRESS(ROW(),COLUMN(ATALI[QB])))</f>
        <v/>
      </c>
      <c r="Y242" s="13" t="str">
        <f ca="1">IF(ATALI[[#This Row],[//]]="","",HYPERLINK("[../DB.xlsx]DB!e"&amp;MATCH(ATALI[[#This Row],[concat]],[4]!db[NB NOTA_C],0)+1,"&gt;"))</f>
        <v/>
      </c>
    </row>
    <row r="243" spans="1:25" x14ac:dyDescent="0.25">
      <c r="A243" s="4"/>
      <c r="B243" s="6" t="str">
        <f>IF(ATALI[[#This Row],[N_ID]]="","",INDEX(Table1[ID],MATCH(ATALI[[#This Row],[N_ID]],Table1[N_ID],0)))</f>
        <v/>
      </c>
      <c r="C243" s="6" t="str">
        <f>IF(ATALI[[#This Row],[ID NOTA]]="","",HYPERLINK("[NOTA_.xlsx]NOTA!e"&amp;INDEX([2]!PAJAK[//],MATCH(ATALI[[#This Row],[ID NOTA]],[2]!PAJAK[ID],0)),"&gt;") )</f>
        <v/>
      </c>
      <c r="D243" s="6" t="str">
        <f>IF(ATALI[[#This Row],[ID NOTA]]="","",INDEX(Table1[QB],MATCH(ATALI[[#This Row],[ID NOTA]],Table1[ID],0)))</f>
        <v/>
      </c>
      <c r="E2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3" s="6"/>
      <c r="G243" s="3" t="str">
        <f>IF(ATALI[[#This Row],[ID NOTA]]="","",INDEX([2]!NOTA[TGL_H],MATCH(ATALI[[#This Row],[ID NOTA]],[2]!NOTA[ID],0)))</f>
        <v/>
      </c>
      <c r="H243" s="3" t="str">
        <f>IF(ATALI[[#This Row],[ID NOTA]]="","",INDEX([2]!NOTA[TGL.NOTA],MATCH(ATALI[[#This Row],[ID NOTA]],[2]!NOTA[ID],0)))</f>
        <v/>
      </c>
      <c r="I243" s="4" t="str">
        <f>IF(ATALI[[#This Row],[ID NOTA]]="","",INDEX([2]!NOTA[NO.NOTA],MATCH(ATALI[[#This Row],[ID NOTA]],[2]!NOTA[ID],0)))</f>
        <v/>
      </c>
      <c r="J243" s="4" t="str">
        <f ca="1">IF(ATALI[[#This Row],[//]]="","",INDEX([4]!db[NB PAJAK],ATALI[[#This Row],[stt]]-1))</f>
        <v/>
      </c>
      <c r="K243" s="6" t="str">
        <f ca="1">IF(ATALI[[#This Row],[//]]="","",IF(INDEX([2]!NOTA[C],ATALI[[#This Row],[//]]-2)="","",INDEX([2]!NOTA[C],ATALI[[#This Row],[//]]-2)))</f>
        <v/>
      </c>
      <c r="L243" s="6" t="str">
        <f ca="1">IF(ATALI[[#This Row],[//]]="","",INDEX([2]!NOTA[QTY],ATALI[[#This Row],[//]]-2))</f>
        <v/>
      </c>
      <c r="M243" s="6" t="str">
        <f ca="1">IF(ATALI[[#This Row],[//]]="","",INDEX([2]!NOTA[STN],ATALI[[#This Row],[//]]-2))</f>
        <v/>
      </c>
      <c r="N243" s="5" t="str">
        <f ca="1">IF(ATALI[[#This Row],[//]]="","",INDEX([2]!NOTA[HARGA SATUAN],ATALI[[#This Row],[//]]-2))</f>
        <v/>
      </c>
      <c r="O243" s="7" t="str">
        <f ca="1">IF(ATALI[[#This Row],[//]]="","",INDEX([2]!NOTA[DISC 1],ATALI[[#This Row],[//]]-2))</f>
        <v/>
      </c>
      <c r="P243" s="7" t="str">
        <f ca="1">IF(ATALI[[#This Row],[//]]="","",INDEX([2]!NOTA[DISC 2],ATALI[[#This Row],[//]]-2))</f>
        <v/>
      </c>
      <c r="Q243" s="5" t="str">
        <f ca="1">IF(ATALI[[#This Row],[//]]="","",INDEX([2]!NOTA[TOTAL],ATALI[[#This Row],[//]]-2))</f>
        <v/>
      </c>
      <c r="R2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s="4" t="str">
        <f ca="1">IF(ATALI[[#This Row],[//]]="","",INDEX([2]!NOTA[NAMA BARANG],ATALI[[#This Row],[//]]-2))</f>
        <v/>
      </c>
      <c r="V243" s="4" t="str">
        <f ca="1">LOWER(SUBSTITUTE(SUBSTITUTE(SUBSTITUTE(SUBSTITUTE(SUBSTITUTE(SUBSTITUTE(SUBSTITUTE(ATALI[[#This Row],[N.B.nota]]," ",""),"-",""),"(",""),")",""),".",""),",",""),"/",""))</f>
        <v/>
      </c>
      <c r="W243" s="4" t="str">
        <f ca="1">IF(ATALI[[#This Row],[concat]]="","",MATCH(ATALI[[#This Row],[concat]],[4]!db[NB NOTA_C],0)+1)</f>
        <v/>
      </c>
      <c r="X243" s="4" t="str">
        <f ca="1">IF(ATALI[[#This Row],[N.B.nota]]="","",ADDRESS(ROW(ATALI[QB]),COLUMN(ATALI[QB]))&amp;":"&amp;ADDRESS(ROW(),COLUMN(ATALI[QB])))</f>
        <v/>
      </c>
      <c r="Y243" s="13" t="str">
        <f ca="1">IF(ATALI[[#This Row],[//]]="","",HYPERLINK("[../DB.xlsx]DB!e"&amp;MATCH(ATALI[[#This Row],[concat]],[4]!db[NB NOTA_C],0)+1,"&gt;"))</f>
        <v/>
      </c>
    </row>
    <row r="244" spans="1:25" x14ac:dyDescent="0.25">
      <c r="A244" s="4"/>
      <c r="B244" s="6" t="str">
        <f>IF(ATALI[[#This Row],[N_ID]]="","",INDEX(Table1[ID],MATCH(ATALI[[#This Row],[N_ID]],Table1[N_ID],0)))</f>
        <v/>
      </c>
      <c r="C244" s="6" t="str">
        <f>IF(ATALI[[#This Row],[ID NOTA]]="","",HYPERLINK("[NOTA_.xlsx]NOTA!e"&amp;INDEX([2]!PAJAK[//],MATCH(ATALI[[#This Row],[ID NOTA]],[2]!PAJAK[ID],0)),"&gt;") )</f>
        <v/>
      </c>
      <c r="D244" s="6" t="str">
        <f>IF(ATALI[[#This Row],[ID NOTA]]="","",INDEX(Table1[QB],MATCH(ATALI[[#This Row],[ID NOTA]],Table1[ID],0)))</f>
        <v/>
      </c>
      <c r="E2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4" s="6"/>
      <c r="G244" s="3" t="str">
        <f>IF(ATALI[[#This Row],[ID NOTA]]="","",INDEX([2]!NOTA[TGL_H],MATCH(ATALI[[#This Row],[ID NOTA]],[2]!NOTA[ID],0)))</f>
        <v/>
      </c>
      <c r="H244" s="3" t="str">
        <f>IF(ATALI[[#This Row],[ID NOTA]]="","",INDEX([2]!NOTA[TGL.NOTA],MATCH(ATALI[[#This Row],[ID NOTA]],[2]!NOTA[ID],0)))</f>
        <v/>
      </c>
      <c r="I244" s="4" t="str">
        <f>IF(ATALI[[#This Row],[ID NOTA]]="","",INDEX([2]!NOTA[NO.NOTA],MATCH(ATALI[[#This Row],[ID NOTA]],[2]!NOTA[ID],0)))</f>
        <v/>
      </c>
      <c r="J244" s="4" t="str">
        <f ca="1">IF(ATALI[[#This Row],[//]]="","",INDEX([4]!db[NB PAJAK],ATALI[[#This Row],[stt]]-1))</f>
        <v/>
      </c>
      <c r="K244" s="6" t="str">
        <f ca="1">IF(ATALI[[#This Row],[//]]="","",IF(INDEX([2]!NOTA[C],ATALI[[#This Row],[//]]-2)="","",INDEX([2]!NOTA[C],ATALI[[#This Row],[//]]-2)))</f>
        <v/>
      </c>
      <c r="L244" s="6" t="str">
        <f ca="1">IF(ATALI[[#This Row],[//]]="","",INDEX([2]!NOTA[QTY],ATALI[[#This Row],[//]]-2))</f>
        <v/>
      </c>
      <c r="M244" s="6" t="str">
        <f ca="1">IF(ATALI[[#This Row],[//]]="","",INDEX([2]!NOTA[STN],ATALI[[#This Row],[//]]-2))</f>
        <v/>
      </c>
      <c r="N244" s="5" t="str">
        <f ca="1">IF(ATALI[[#This Row],[//]]="","",INDEX([2]!NOTA[HARGA SATUAN],ATALI[[#This Row],[//]]-2))</f>
        <v/>
      </c>
      <c r="O244" s="7" t="str">
        <f ca="1">IF(ATALI[[#This Row],[//]]="","",INDEX([2]!NOTA[DISC 1],ATALI[[#This Row],[//]]-2))</f>
        <v/>
      </c>
      <c r="P244" s="7" t="str">
        <f ca="1">IF(ATALI[[#This Row],[//]]="","",INDEX([2]!NOTA[DISC 2],ATALI[[#This Row],[//]]-2))</f>
        <v/>
      </c>
      <c r="Q244" s="5" t="str">
        <f ca="1">IF(ATALI[[#This Row],[//]]="","",INDEX([2]!NOTA[TOTAL],ATALI[[#This Row],[//]]-2))</f>
        <v/>
      </c>
      <c r="R2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s="4" t="str">
        <f ca="1">IF(ATALI[[#This Row],[//]]="","",INDEX([2]!NOTA[NAMA BARANG],ATALI[[#This Row],[//]]-2))</f>
        <v/>
      </c>
      <c r="V244" s="4" t="str">
        <f ca="1">LOWER(SUBSTITUTE(SUBSTITUTE(SUBSTITUTE(SUBSTITUTE(SUBSTITUTE(SUBSTITUTE(SUBSTITUTE(ATALI[[#This Row],[N.B.nota]]," ",""),"-",""),"(",""),")",""),".",""),",",""),"/",""))</f>
        <v/>
      </c>
      <c r="W244" s="4" t="str">
        <f ca="1">IF(ATALI[[#This Row],[concat]]="","",MATCH(ATALI[[#This Row],[concat]],[4]!db[NB NOTA_C],0)+1)</f>
        <v/>
      </c>
      <c r="X244" s="4" t="str">
        <f ca="1">IF(ATALI[[#This Row],[N.B.nota]]="","",ADDRESS(ROW(ATALI[QB]),COLUMN(ATALI[QB]))&amp;":"&amp;ADDRESS(ROW(),COLUMN(ATALI[QB])))</f>
        <v/>
      </c>
      <c r="Y244" s="13" t="str">
        <f ca="1">IF(ATALI[[#This Row],[//]]="","",HYPERLINK("[../DB.xlsx]DB!e"&amp;MATCH(ATALI[[#This Row],[concat]],[4]!db[NB NOTA_C],0)+1,"&gt;"))</f>
        <v/>
      </c>
    </row>
    <row r="245" spans="1:25" x14ac:dyDescent="0.25">
      <c r="A245" s="4"/>
      <c r="B245" s="6" t="str">
        <f>IF(ATALI[[#This Row],[N_ID]]="","",INDEX(Table1[ID],MATCH(ATALI[[#This Row],[N_ID]],Table1[N_ID],0)))</f>
        <v/>
      </c>
      <c r="C245" s="6" t="str">
        <f>IF(ATALI[[#This Row],[ID NOTA]]="","",HYPERLINK("[NOTA_.xlsx]NOTA!e"&amp;INDEX([2]!PAJAK[//],MATCH(ATALI[[#This Row],[ID NOTA]],[2]!PAJAK[ID],0)),"&gt;") )</f>
        <v/>
      </c>
      <c r="D245" s="6" t="str">
        <f>IF(ATALI[[#This Row],[ID NOTA]]="","",INDEX(Table1[QB],MATCH(ATALI[[#This Row],[ID NOTA]],Table1[ID],0)))</f>
        <v/>
      </c>
      <c r="E2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5" s="6"/>
      <c r="G245" s="3" t="str">
        <f>IF(ATALI[[#This Row],[ID NOTA]]="","",INDEX([2]!NOTA[TGL_H],MATCH(ATALI[[#This Row],[ID NOTA]],[2]!NOTA[ID],0)))</f>
        <v/>
      </c>
      <c r="H245" s="3" t="str">
        <f>IF(ATALI[[#This Row],[ID NOTA]]="","",INDEX([2]!NOTA[TGL.NOTA],MATCH(ATALI[[#This Row],[ID NOTA]],[2]!NOTA[ID],0)))</f>
        <v/>
      </c>
      <c r="I245" s="4" t="str">
        <f>IF(ATALI[[#This Row],[ID NOTA]]="","",INDEX([2]!NOTA[NO.NOTA],MATCH(ATALI[[#This Row],[ID NOTA]],[2]!NOTA[ID],0)))</f>
        <v/>
      </c>
      <c r="J245" s="4" t="str">
        <f ca="1">IF(ATALI[[#This Row],[//]]="","",INDEX([4]!db[NB PAJAK],ATALI[[#This Row],[stt]]-1))</f>
        <v/>
      </c>
      <c r="K245" s="6" t="str">
        <f ca="1">IF(ATALI[[#This Row],[//]]="","",IF(INDEX([2]!NOTA[C],ATALI[[#This Row],[//]]-2)="","",INDEX([2]!NOTA[C],ATALI[[#This Row],[//]]-2)))</f>
        <v/>
      </c>
      <c r="L245" s="6" t="str">
        <f ca="1">IF(ATALI[[#This Row],[//]]="","",INDEX([2]!NOTA[QTY],ATALI[[#This Row],[//]]-2))</f>
        <v/>
      </c>
      <c r="M245" s="6" t="str">
        <f ca="1">IF(ATALI[[#This Row],[//]]="","",INDEX([2]!NOTA[STN],ATALI[[#This Row],[//]]-2))</f>
        <v/>
      </c>
      <c r="N245" s="5" t="str">
        <f ca="1">IF(ATALI[[#This Row],[//]]="","",INDEX([2]!NOTA[HARGA SATUAN],ATALI[[#This Row],[//]]-2))</f>
        <v/>
      </c>
      <c r="O245" s="7" t="str">
        <f ca="1">IF(ATALI[[#This Row],[//]]="","",INDEX([2]!NOTA[DISC 1],ATALI[[#This Row],[//]]-2))</f>
        <v/>
      </c>
      <c r="P245" s="7" t="str">
        <f ca="1">IF(ATALI[[#This Row],[//]]="","",INDEX([2]!NOTA[DISC 2],ATALI[[#This Row],[//]]-2))</f>
        <v/>
      </c>
      <c r="Q245" s="5" t="str">
        <f ca="1">IF(ATALI[[#This Row],[//]]="","",INDEX([2]!NOTA[TOTAL],ATALI[[#This Row],[//]]-2))</f>
        <v/>
      </c>
      <c r="R2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s="4" t="str">
        <f ca="1">IF(ATALI[[#This Row],[//]]="","",INDEX([2]!NOTA[NAMA BARANG],ATALI[[#This Row],[//]]-2))</f>
        <v/>
      </c>
      <c r="V245" s="4" t="str">
        <f ca="1">LOWER(SUBSTITUTE(SUBSTITUTE(SUBSTITUTE(SUBSTITUTE(SUBSTITUTE(SUBSTITUTE(SUBSTITUTE(ATALI[[#This Row],[N.B.nota]]," ",""),"-",""),"(",""),")",""),".",""),",",""),"/",""))</f>
        <v/>
      </c>
      <c r="W245" s="4" t="str">
        <f ca="1">IF(ATALI[[#This Row],[concat]]="","",MATCH(ATALI[[#This Row],[concat]],[4]!db[NB NOTA_C],0)+1)</f>
        <v/>
      </c>
      <c r="X245" s="4" t="str">
        <f ca="1">IF(ATALI[[#This Row],[N.B.nota]]="","",ADDRESS(ROW(ATALI[QB]),COLUMN(ATALI[QB]))&amp;":"&amp;ADDRESS(ROW(),COLUMN(ATALI[QB])))</f>
        <v/>
      </c>
      <c r="Y245" s="13" t="str">
        <f ca="1">IF(ATALI[[#This Row],[//]]="","",HYPERLINK("[../DB.xlsx]DB!e"&amp;MATCH(ATALI[[#This Row],[concat]],[4]!db[NB NOTA_C],0)+1,"&gt;"))</f>
        <v/>
      </c>
    </row>
    <row r="246" spans="1:25" x14ac:dyDescent="0.25">
      <c r="A246" s="4"/>
      <c r="B246" s="6" t="str">
        <f>IF(ATALI[[#This Row],[N_ID]]="","",INDEX(Table1[ID],MATCH(ATALI[[#This Row],[N_ID]],Table1[N_ID],0)))</f>
        <v/>
      </c>
      <c r="C246" s="6" t="str">
        <f>IF(ATALI[[#This Row],[ID NOTA]]="","",HYPERLINK("[NOTA_.xlsx]NOTA!e"&amp;INDEX([2]!PAJAK[//],MATCH(ATALI[[#This Row],[ID NOTA]],[2]!PAJAK[ID],0)),"&gt;") )</f>
        <v/>
      </c>
      <c r="D246" s="6" t="str">
        <f>IF(ATALI[[#This Row],[ID NOTA]]="","",INDEX(Table1[QB],MATCH(ATALI[[#This Row],[ID NOTA]],Table1[ID],0)))</f>
        <v/>
      </c>
      <c r="E2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6" s="6"/>
      <c r="G246" s="3" t="str">
        <f>IF(ATALI[[#This Row],[ID NOTA]]="","",INDEX([2]!NOTA[TGL_H],MATCH(ATALI[[#This Row],[ID NOTA]],[2]!NOTA[ID],0)))</f>
        <v/>
      </c>
      <c r="H246" s="3" t="str">
        <f>IF(ATALI[[#This Row],[ID NOTA]]="","",INDEX([2]!NOTA[TGL.NOTA],MATCH(ATALI[[#This Row],[ID NOTA]],[2]!NOTA[ID],0)))</f>
        <v/>
      </c>
      <c r="I246" s="4" t="str">
        <f>IF(ATALI[[#This Row],[ID NOTA]]="","",INDEX([2]!NOTA[NO.NOTA],MATCH(ATALI[[#This Row],[ID NOTA]],[2]!NOTA[ID],0)))</f>
        <v/>
      </c>
      <c r="J246" s="4" t="str">
        <f ca="1">IF(ATALI[[#This Row],[//]]="","",INDEX([4]!db[NB PAJAK],ATALI[[#This Row],[stt]]-1))</f>
        <v/>
      </c>
      <c r="K246" s="6" t="str">
        <f ca="1">IF(ATALI[[#This Row],[//]]="","",IF(INDEX([2]!NOTA[C],ATALI[[#This Row],[//]]-2)="","",INDEX([2]!NOTA[C],ATALI[[#This Row],[//]]-2)))</f>
        <v/>
      </c>
      <c r="L246" s="6" t="str">
        <f ca="1">IF(ATALI[[#This Row],[//]]="","",INDEX([2]!NOTA[QTY],ATALI[[#This Row],[//]]-2))</f>
        <v/>
      </c>
      <c r="M246" s="6" t="str">
        <f ca="1">IF(ATALI[[#This Row],[//]]="","",INDEX([2]!NOTA[STN],ATALI[[#This Row],[//]]-2))</f>
        <v/>
      </c>
      <c r="N246" s="5" t="str">
        <f ca="1">IF(ATALI[[#This Row],[//]]="","",INDEX([2]!NOTA[HARGA SATUAN],ATALI[[#This Row],[//]]-2))</f>
        <v/>
      </c>
      <c r="O246" s="7" t="str">
        <f ca="1">IF(ATALI[[#This Row],[//]]="","",INDEX([2]!NOTA[DISC 1],ATALI[[#This Row],[//]]-2))</f>
        <v/>
      </c>
      <c r="P246" s="7" t="str">
        <f ca="1">IF(ATALI[[#This Row],[//]]="","",INDEX([2]!NOTA[DISC 2],ATALI[[#This Row],[//]]-2))</f>
        <v/>
      </c>
      <c r="Q246" s="5" t="str">
        <f ca="1">IF(ATALI[[#This Row],[//]]="","",INDEX([2]!NOTA[TOTAL],ATALI[[#This Row],[//]]-2))</f>
        <v/>
      </c>
      <c r="R2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s="4" t="str">
        <f ca="1">IF(ATALI[[#This Row],[//]]="","",INDEX([2]!NOTA[NAMA BARANG],ATALI[[#This Row],[//]]-2))</f>
        <v/>
      </c>
      <c r="V246" s="4" t="str">
        <f ca="1">LOWER(SUBSTITUTE(SUBSTITUTE(SUBSTITUTE(SUBSTITUTE(SUBSTITUTE(SUBSTITUTE(SUBSTITUTE(ATALI[[#This Row],[N.B.nota]]," ",""),"-",""),"(",""),")",""),".",""),",",""),"/",""))</f>
        <v/>
      </c>
      <c r="W246" s="4" t="str">
        <f ca="1">IF(ATALI[[#This Row],[concat]]="","",MATCH(ATALI[[#This Row],[concat]],[4]!db[NB NOTA_C],0)+1)</f>
        <v/>
      </c>
      <c r="X246" s="4" t="str">
        <f ca="1">IF(ATALI[[#This Row],[N.B.nota]]="","",ADDRESS(ROW(ATALI[QB]),COLUMN(ATALI[QB]))&amp;":"&amp;ADDRESS(ROW(),COLUMN(ATALI[QB])))</f>
        <v/>
      </c>
      <c r="Y246" s="13" t="str">
        <f ca="1">IF(ATALI[[#This Row],[//]]="","",HYPERLINK("[../DB.xlsx]DB!e"&amp;MATCH(ATALI[[#This Row],[concat]],[4]!db[NB NOTA_C],0)+1,"&gt;"))</f>
        <v/>
      </c>
    </row>
    <row r="247" spans="1:25" x14ac:dyDescent="0.25">
      <c r="A247" s="4"/>
      <c r="B247" s="6" t="str">
        <f>IF(ATALI[[#This Row],[N_ID]]="","",INDEX(Table1[ID],MATCH(ATALI[[#This Row],[N_ID]],Table1[N_ID],0)))</f>
        <v/>
      </c>
      <c r="C247" s="6" t="str">
        <f>IF(ATALI[[#This Row],[ID NOTA]]="","",HYPERLINK("[NOTA_.xlsx]NOTA!e"&amp;INDEX([2]!PAJAK[//],MATCH(ATALI[[#This Row],[ID NOTA]],[2]!PAJAK[ID],0)),"&gt;") )</f>
        <v/>
      </c>
      <c r="D247" s="6" t="str">
        <f>IF(ATALI[[#This Row],[ID NOTA]]="","",INDEX(Table1[QB],MATCH(ATALI[[#This Row],[ID NOTA]],Table1[ID],0)))</f>
        <v/>
      </c>
      <c r="E2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7" s="6"/>
      <c r="G247" s="3" t="str">
        <f>IF(ATALI[[#This Row],[ID NOTA]]="","",INDEX([2]!NOTA[TGL_H],MATCH(ATALI[[#This Row],[ID NOTA]],[2]!NOTA[ID],0)))</f>
        <v/>
      </c>
      <c r="H247" s="3" t="str">
        <f>IF(ATALI[[#This Row],[ID NOTA]]="","",INDEX([2]!NOTA[TGL.NOTA],MATCH(ATALI[[#This Row],[ID NOTA]],[2]!NOTA[ID],0)))</f>
        <v/>
      </c>
      <c r="I247" s="4" t="str">
        <f>IF(ATALI[[#This Row],[ID NOTA]]="","",INDEX([2]!NOTA[NO.NOTA],MATCH(ATALI[[#This Row],[ID NOTA]],[2]!NOTA[ID],0)))</f>
        <v/>
      </c>
      <c r="J247" s="4" t="str">
        <f ca="1">IF(ATALI[[#This Row],[//]]="","",INDEX([4]!db[NB PAJAK],ATALI[[#This Row],[stt]]-1))</f>
        <v/>
      </c>
      <c r="K247" s="6" t="str">
        <f ca="1">IF(ATALI[[#This Row],[//]]="","",IF(INDEX([2]!NOTA[C],ATALI[[#This Row],[//]]-2)="","",INDEX([2]!NOTA[C],ATALI[[#This Row],[//]]-2)))</f>
        <v/>
      </c>
      <c r="L247" s="6" t="str">
        <f ca="1">IF(ATALI[[#This Row],[//]]="","",INDEX([2]!NOTA[QTY],ATALI[[#This Row],[//]]-2))</f>
        <v/>
      </c>
      <c r="M247" s="6" t="str">
        <f ca="1">IF(ATALI[[#This Row],[//]]="","",INDEX([2]!NOTA[STN],ATALI[[#This Row],[//]]-2))</f>
        <v/>
      </c>
      <c r="N247" s="5" t="str">
        <f ca="1">IF(ATALI[[#This Row],[//]]="","",INDEX([2]!NOTA[HARGA SATUAN],ATALI[[#This Row],[//]]-2))</f>
        <v/>
      </c>
      <c r="O247" s="7" t="str">
        <f ca="1">IF(ATALI[[#This Row],[//]]="","",INDEX([2]!NOTA[DISC 1],ATALI[[#This Row],[//]]-2))</f>
        <v/>
      </c>
      <c r="P247" s="7" t="str">
        <f ca="1">IF(ATALI[[#This Row],[//]]="","",INDEX([2]!NOTA[DISC 2],ATALI[[#This Row],[//]]-2))</f>
        <v/>
      </c>
      <c r="Q247" s="5" t="str">
        <f ca="1">IF(ATALI[[#This Row],[//]]="","",INDEX([2]!NOTA[TOTAL],ATALI[[#This Row],[//]]-2))</f>
        <v/>
      </c>
      <c r="R2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s="4" t="str">
        <f ca="1">IF(ATALI[[#This Row],[//]]="","",INDEX([2]!NOTA[NAMA BARANG],ATALI[[#This Row],[//]]-2))</f>
        <v/>
      </c>
      <c r="V247" s="4" t="str">
        <f ca="1">LOWER(SUBSTITUTE(SUBSTITUTE(SUBSTITUTE(SUBSTITUTE(SUBSTITUTE(SUBSTITUTE(SUBSTITUTE(ATALI[[#This Row],[N.B.nota]]," ",""),"-",""),"(",""),")",""),".",""),",",""),"/",""))</f>
        <v/>
      </c>
      <c r="W247" s="4" t="str">
        <f ca="1">IF(ATALI[[#This Row],[concat]]="","",MATCH(ATALI[[#This Row],[concat]],[4]!db[NB NOTA_C],0)+1)</f>
        <v/>
      </c>
      <c r="X247" s="4" t="str">
        <f ca="1">IF(ATALI[[#This Row],[N.B.nota]]="","",ADDRESS(ROW(ATALI[QB]),COLUMN(ATALI[QB]))&amp;":"&amp;ADDRESS(ROW(),COLUMN(ATALI[QB])))</f>
        <v/>
      </c>
      <c r="Y247" s="13" t="str">
        <f ca="1">IF(ATALI[[#This Row],[//]]="","",HYPERLINK("[../DB.xlsx]DB!e"&amp;MATCH(ATALI[[#This Row],[concat]],[4]!db[NB NOTA_C],0)+1,"&gt;"))</f>
        <v/>
      </c>
    </row>
    <row r="248" spans="1:25" x14ac:dyDescent="0.25">
      <c r="A248" s="4"/>
      <c r="B248" s="6" t="str">
        <f>IF(ATALI[[#This Row],[N_ID]]="","",INDEX(Table1[ID],MATCH(ATALI[[#This Row],[N_ID]],Table1[N_ID],0)))</f>
        <v/>
      </c>
      <c r="C248" s="6" t="str">
        <f>IF(ATALI[[#This Row],[ID NOTA]]="","",HYPERLINK("[NOTA_.xlsx]NOTA!e"&amp;INDEX([2]!PAJAK[//],MATCH(ATALI[[#This Row],[ID NOTA]],[2]!PAJAK[ID],0)),"&gt;") )</f>
        <v/>
      </c>
      <c r="D248" s="6" t="str">
        <f>IF(ATALI[[#This Row],[ID NOTA]]="","",INDEX(Table1[QB],MATCH(ATALI[[#This Row],[ID NOTA]],Table1[ID],0)))</f>
        <v/>
      </c>
      <c r="E2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8" s="6"/>
      <c r="G248" s="3" t="str">
        <f>IF(ATALI[[#This Row],[ID NOTA]]="","",INDEX([2]!NOTA[TGL_H],MATCH(ATALI[[#This Row],[ID NOTA]],[2]!NOTA[ID],0)))</f>
        <v/>
      </c>
      <c r="H248" s="3" t="str">
        <f>IF(ATALI[[#This Row],[ID NOTA]]="","",INDEX([2]!NOTA[TGL.NOTA],MATCH(ATALI[[#This Row],[ID NOTA]],[2]!NOTA[ID],0)))</f>
        <v/>
      </c>
      <c r="I248" s="4" t="str">
        <f>IF(ATALI[[#This Row],[ID NOTA]]="","",INDEX([2]!NOTA[NO.NOTA],MATCH(ATALI[[#This Row],[ID NOTA]],[2]!NOTA[ID],0)))</f>
        <v/>
      </c>
      <c r="J248" s="4" t="str">
        <f ca="1">IF(ATALI[[#This Row],[//]]="","",INDEX([4]!db[NB PAJAK],ATALI[[#This Row],[stt]]-1))</f>
        <v/>
      </c>
      <c r="K248" s="6" t="str">
        <f ca="1">IF(ATALI[[#This Row],[//]]="","",IF(INDEX([2]!NOTA[C],ATALI[[#This Row],[//]]-2)="","",INDEX([2]!NOTA[C],ATALI[[#This Row],[//]]-2)))</f>
        <v/>
      </c>
      <c r="L248" s="6" t="str">
        <f ca="1">IF(ATALI[[#This Row],[//]]="","",INDEX([2]!NOTA[QTY],ATALI[[#This Row],[//]]-2))</f>
        <v/>
      </c>
      <c r="M248" s="6" t="str">
        <f ca="1">IF(ATALI[[#This Row],[//]]="","",INDEX([2]!NOTA[STN],ATALI[[#This Row],[//]]-2))</f>
        <v/>
      </c>
      <c r="N248" s="5" t="str">
        <f ca="1">IF(ATALI[[#This Row],[//]]="","",INDEX([2]!NOTA[HARGA SATUAN],ATALI[[#This Row],[//]]-2))</f>
        <v/>
      </c>
      <c r="O248" s="7" t="str">
        <f ca="1">IF(ATALI[[#This Row],[//]]="","",INDEX([2]!NOTA[DISC 1],ATALI[[#This Row],[//]]-2))</f>
        <v/>
      </c>
      <c r="P248" s="7" t="str">
        <f ca="1">IF(ATALI[[#This Row],[//]]="","",INDEX([2]!NOTA[DISC 2],ATALI[[#This Row],[//]]-2))</f>
        <v/>
      </c>
      <c r="Q248" s="5" t="str">
        <f ca="1">IF(ATALI[[#This Row],[//]]="","",INDEX([2]!NOTA[TOTAL],ATALI[[#This Row],[//]]-2))</f>
        <v/>
      </c>
      <c r="R2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s="4" t="str">
        <f ca="1">IF(ATALI[[#This Row],[//]]="","",INDEX([2]!NOTA[NAMA BARANG],ATALI[[#This Row],[//]]-2))</f>
        <v/>
      </c>
      <c r="V248" s="4" t="str">
        <f ca="1">LOWER(SUBSTITUTE(SUBSTITUTE(SUBSTITUTE(SUBSTITUTE(SUBSTITUTE(SUBSTITUTE(SUBSTITUTE(ATALI[[#This Row],[N.B.nota]]," ",""),"-",""),"(",""),")",""),".",""),",",""),"/",""))</f>
        <v/>
      </c>
      <c r="W248" s="4" t="str">
        <f ca="1">IF(ATALI[[#This Row],[concat]]="","",MATCH(ATALI[[#This Row],[concat]],[4]!db[NB NOTA_C],0)+1)</f>
        <v/>
      </c>
      <c r="X248" s="4" t="str">
        <f ca="1">IF(ATALI[[#This Row],[N.B.nota]]="","",ADDRESS(ROW(ATALI[QB]),COLUMN(ATALI[QB]))&amp;":"&amp;ADDRESS(ROW(),COLUMN(ATALI[QB])))</f>
        <v/>
      </c>
      <c r="Y248" s="13" t="str">
        <f ca="1">IF(ATALI[[#This Row],[//]]="","",HYPERLINK("[../DB.xlsx]DB!e"&amp;MATCH(ATALI[[#This Row],[concat]],[4]!db[NB NOTA_C],0)+1,"&gt;"))</f>
        <v/>
      </c>
    </row>
    <row r="249" spans="1:25" x14ac:dyDescent="0.25">
      <c r="A249" s="4"/>
      <c r="B249" s="6" t="str">
        <f>IF(ATALI[[#This Row],[N_ID]]="","",INDEX(Table1[ID],MATCH(ATALI[[#This Row],[N_ID]],Table1[N_ID],0)))</f>
        <v/>
      </c>
      <c r="C249" s="6" t="str">
        <f>IF(ATALI[[#This Row],[ID NOTA]]="","",HYPERLINK("[NOTA_.xlsx]NOTA!e"&amp;INDEX([2]!PAJAK[//],MATCH(ATALI[[#This Row],[ID NOTA]],[2]!PAJAK[ID],0)),"&gt;") )</f>
        <v/>
      </c>
      <c r="D249" s="6" t="str">
        <f>IF(ATALI[[#This Row],[ID NOTA]]="","",INDEX(Table1[QB],MATCH(ATALI[[#This Row],[ID NOTA]],Table1[ID],0)))</f>
        <v/>
      </c>
      <c r="E2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9" s="6"/>
      <c r="G249" s="3" t="str">
        <f>IF(ATALI[[#This Row],[ID NOTA]]="","",INDEX([2]!NOTA[TGL_H],MATCH(ATALI[[#This Row],[ID NOTA]],[2]!NOTA[ID],0)))</f>
        <v/>
      </c>
      <c r="H249" s="3" t="str">
        <f>IF(ATALI[[#This Row],[ID NOTA]]="","",INDEX([2]!NOTA[TGL.NOTA],MATCH(ATALI[[#This Row],[ID NOTA]],[2]!NOTA[ID],0)))</f>
        <v/>
      </c>
      <c r="I249" s="4" t="str">
        <f>IF(ATALI[[#This Row],[ID NOTA]]="","",INDEX([2]!NOTA[NO.NOTA],MATCH(ATALI[[#This Row],[ID NOTA]],[2]!NOTA[ID],0)))</f>
        <v/>
      </c>
      <c r="J249" s="4" t="str">
        <f ca="1">IF(ATALI[[#This Row],[//]]="","",INDEX([4]!db[NB PAJAK],ATALI[[#This Row],[stt]]-1))</f>
        <v/>
      </c>
      <c r="K249" s="6" t="str">
        <f ca="1">IF(ATALI[[#This Row],[//]]="","",IF(INDEX([2]!NOTA[C],ATALI[[#This Row],[//]]-2)="","",INDEX([2]!NOTA[C],ATALI[[#This Row],[//]]-2)))</f>
        <v/>
      </c>
      <c r="L249" s="6" t="str">
        <f ca="1">IF(ATALI[[#This Row],[//]]="","",INDEX([2]!NOTA[QTY],ATALI[[#This Row],[//]]-2))</f>
        <v/>
      </c>
      <c r="M249" s="6" t="str">
        <f ca="1">IF(ATALI[[#This Row],[//]]="","",INDEX([2]!NOTA[STN],ATALI[[#This Row],[//]]-2))</f>
        <v/>
      </c>
      <c r="N249" s="5" t="str">
        <f ca="1">IF(ATALI[[#This Row],[//]]="","",INDEX([2]!NOTA[HARGA SATUAN],ATALI[[#This Row],[//]]-2))</f>
        <v/>
      </c>
      <c r="O249" s="7" t="str">
        <f ca="1">IF(ATALI[[#This Row],[//]]="","",INDEX([2]!NOTA[DISC 1],ATALI[[#This Row],[//]]-2))</f>
        <v/>
      </c>
      <c r="P249" s="7" t="str">
        <f ca="1">IF(ATALI[[#This Row],[//]]="","",INDEX([2]!NOTA[DISC 2],ATALI[[#This Row],[//]]-2))</f>
        <v/>
      </c>
      <c r="Q249" s="5" t="str">
        <f ca="1">IF(ATALI[[#This Row],[//]]="","",INDEX([2]!NOTA[TOTAL],ATALI[[#This Row],[//]]-2))</f>
        <v/>
      </c>
      <c r="R2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9" s="4" t="str">
        <f ca="1">IF(ATALI[[#This Row],[//]]="","",INDEX([2]!NOTA[NAMA BARANG],ATALI[[#This Row],[//]]-2))</f>
        <v/>
      </c>
      <c r="V249" s="4" t="str">
        <f ca="1">LOWER(SUBSTITUTE(SUBSTITUTE(SUBSTITUTE(SUBSTITUTE(SUBSTITUTE(SUBSTITUTE(SUBSTITUTE(ATALI[[#This Row],[N.B.nota]]," ",""),"-",""),"(",""),")",""),".",""),",",""),"/",""))</f>
        <v/>
      </c>
      <c r="W249" s="4" t="str">
        <f ca="1">IF(ATALI[[#This Row],[concat]]="","",MATCH(ATALI[[#This Row],[concat]],[4]!db[NB NOTA_C],0)+1)</f>
        <v/>
      </c>
      <c r="X249" s="4" t="str">
        <f ca="1">IF(ATALI[[#This Row],[N.B.nota]]="","",ADDRESS(ROW(ATALI[QB]),COLUMN(ATALI[QB]))&amp;":"&amp;ADDRESS(ROW(),COLUMN(ATALI[QB])))</f>
        <v/>
      </c>
      <c r="Y249" s="13" t="str">
        <f ca="1">IF(ATALI[[#This Row],[//]]="","",HYPERLINK("[../DB.xlsx]DB!e"&amp;MATCH(ATALI[[#This Row],[concat]],[4]!db[NB NOTA_C],0)+1,"&gt;"))</f>
        <v/>
      </c>
    </row>
    <row r="250" spans="1:25" x14ac:dyDescent="0.25">
      <c r="A250" s="4"/>
      <c r="B250" s="6" t="str">
        <f>IF(ATALI[[#This Row],[N_ID]]="","",INDEX(Table1[ID],MATCH(ATALI[[#This Row],[N_ID]],Table1[N_ID],0)))</f>
        <v/>
      </c>
      <c r="C250" s="6" t="str">
        <f>IF(ATALI[[#This Row],[ID NOTA]]="","",HYPERLINK("[NOTA_.xlsx]NOTA!e"&amp;INDEX([2]!PAJAK[//],MATCH(ATALI[[#This Row],[ID NOTA]],[2]!PAJAK[ID],0)),"&gt;") )</f>
        <v/>
      </c>
      <c r="D250" s="6" t="str">
        <f>IF(ATALI[[#This Row],[ID NOTA]]="","",INDEX(Table1[QB],MATCH(ATALI[[#This Row],[ID NOTA]],Table1[ID],0)))</f>
        <v/>
      </c>
      <c r="E2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0" s="6"/>
      <c r="G250" s="3" t="str">
        <f>IF(ATALI[[#This Row],[ID NOTA]]="","",INDEX([2]!NOTA[TGL_H],MATCH(ATALI[[#This Row],[ID NOTA]],[2]!NOTA[ID],0)))</f>
        <v/>
      </c>
      <c r="H250" s="3" t="str">
        <f>IF(ATALI[[#This Row],[ID NOTA]]="","",INDEX([2]!NOTA[TGL.NOTA],MATCH(ATALI[[#This Row],[ID NOTA]],[2]!NOTA[ID],0)))</f>
        <v/>
      </c>
      <c r="I250" s="4" t="str">
        <f>IF(ATALI[[#This Row],[ID NOTA]]="","",INDEX([2]!NOTA[NO.NOTA],MATCH(ATALI[[#This Row],[ID NOTA]],[2]!NOTA[ID],0)))</f>
        <v/>
      </c>
      <c r="J250" s="4" t="str">
        <f ca="1">IF(ATALI[[#This Row],[//]]="","",INDEX([4]!db[NB PAJAK],ATALI[[#This Row],[stt]]-1))</f>
        <v/>
      </c>
      <c r="K250" s="6" t="str">
        <f ca="1">IF(ATALI[[#This Row],[//]]="","",IF(INDEX([2]!NOTA[C],ATALI[[#This Row],[//]]-2)="","",INDEX([2]!NOTA[C],ATALI[[#This Row],[//]]-2)))</f>
        <v/>
      </c>
      <c r="L250" s="6" t="str">
        <f ca="1">IF(ATALI[[#This Row],[//]]="","",INDEX([2]!NOTA[QTY],ATALI[[#This Row],[//]]-2))</f>
        <v/>
      </c>
      <c r="M250" s="6" t="str">
        <f ca="1">IF(ATALI[[#This Row],[//]]="","",INDEX([2]!NOTA[STN],ATALI[[#This Row],[//]]-2))</f>
        <v/>
      </c>
      <c r="N250" s="5" t="str">
        <f ca="1">IF(ATALI[[#This Row],[//]]="","",INDEX([2]!NOTA[HARGA SATUAN],ATALI[[#This Row],[//]]-2))</f>
        <v/>
      </c>
      <c r="O250" s="7" t="str">
        <f ca="1">IF(ATALI[[#This Row],[//]]="","",INDEX([2]!NOTA[DISC 1],ATALI[[#This Row],[//]]-2))</f>
        <v/>
      </c>
      <c r="P250" s="7" t="str">
        <f ca="1">IF(ATALI[[#This Row],[//]]="","",INDEX([2]!NOTA[DISC 2],ATALI[[#This Row],[//]]-2))</f>
        <v/>
      </c>
      <c r="Q250" s="5" t="str">
        <f ca="1">IF(ATALI[[#This Row],[//]]="","",INDEX([2]!NOTA[TOTAL],ATALI[[#This Row],[//]]-2))</f>
        <v/>
      </c>
      <c r="R2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s="4" t="str">
        <f ca="1">IF(ATALI[[#This Row],[//]]="","",INDEX([2]!NOTA[NAMA BARANG],ATALI[[#This Row],[//]]-2))</f>
        <v/>
      </c>
      <c r="V250" s="4" t="str">
        <f ca="1">LOWER(SUBSTITUTE(SUBSTITUTE(SUBSTITUTE(SUBSTITUTE(SUBSTITUTE(SUBSTITUTE(SUBSTITUTE(ATALI[[#This Row],[N.B.nota]]," ",""),"-",""),"(",""),")",""),".",""),",",""),"/",""))</f>
        <v/>
      </c>
      <c r="W250" s="4" t="str">
        <f ca="1">IF(ATALI[[#This Row],[concat]]="","",MATCH(ATALI[[#This Row],[concat]],[4]!db[NB NOTA_C],0)+1)</f>
        <v/>
      </c>
      <c r="X250" s="4" t="str">
        <f ca="1">IF(ATALI[[#This Row],[N.B.nota]]="","",ADDRESS(ROW(ATALI[QB]),COLUMN(ATALI[QB]))&amp;":"&amp;ADDRESS(ROW(),COLUMN(ATALI[QB])))</f>
        <v/>
      </c>
      <c r="Y250" s="13" t="str">
        <f ca="1">IF(ATALI[[#This Row],[//]]="","",HYPERLINK("[../DB.xlsx]DB!e"&amp;MATCH(ATALI[[#This Row],[concat]],[4]!db[NB NOTA_C],0)+1,"&gt;"))</f>
        <v/>
      </c>
    </row>
    <row r="251" spans="1:25" x14ac:dyDescent="0.25">
      <c r="A251" s="4"/>
      <c r="B251" s="6" t="str">
        <f>IF(ATALI[[#This Row],[N_ID]]="","",INDEX(Table1[ID],MATCH(ATALI[[#This Row],[N_ID]],Table1[N_ID],0)))</f>
        <v/>
      </c>
      <c r="C251" s="6" t="str">
        <f>IF(ATALI[[#This Row],[ID NOTA]]="","",HYPERLINK("[NOTA_.xlsx]NOTA!e"&amp;INDEX([2]!PAJAK[//],MATCH(ATALI[[#This Row],[ID NOTA]],[2]!PAJAK[ID],0)),"&gt;") )</f>
        <v/>
      </c>
      <c r="D251" s="6" t="str">
        <f>IF(ATALI[[#This Row],[ID NOTA]]="","",INDEX(Table1[QB],MATCH(ATALI[[#This Row],[ID NOTA]],Table1[ID],0)))</f>
        <v/>
      </c>
      <c r="E2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1" s="6"/>
      <c r="G251" s="3" t="str">
        <f>IF(ATALI[[#This Row],[ID NOTA]]="","",INDEX([2]!NOTA[TGL_H],MATCH(ATALI[[#This Row],[ID NOTA]],[2]!NOTA[ID],0)))</f>
        <v/>
      </c>
      <c r="H251" s="3" t="str">
        <f>IF(ATALI[[#This Row],[ID NOTA]]="","",INDEX([2]!NOTA[TGL.NOTA],MATCH(ATALI[[#This Row],[ID NOTA]],[2]!NOTA[ID],0)))</f>
        <v/>
      </c>
      <c r="I251" s="4" t="str">
        <f>IF(ATALI[[#This Row],[ID NOTA]]="","",INDEX([2]!NOTA[NO.NOTA],MATCH(ATALI[[#This Row],[ID NOTA]],[2]!NOTA[ID],0)))</f>
        <v/>
      </c>
      <c r="J251" s="4" t="str">
        <f ca="1">IF(ATALI[[#This Row],[//]]="","",INDEX([4]!db[NB PAJAK],ATALI[[#This Row],[stt]]-1))</f>
        <v/>
      </c>
      <c r="K251" s="6" t="str">
        <f ca="1">IF(ATALI[[#This Row],[//]]="","",IF(INDEX([2]!NOTA[C],ATALI[[#This Row],[//]]-2)="","",INDEX([2]!NOTA[C],ATALI[[#This Row],[//]]-2)))</f>
        <v/>
      </c>
      <c r="L251" s="6" t="str">
        <f ca="1">IF(ATALI[[#This Row],[//]]="","",INDEX([2]!NOTA[QTY],ATALI[[#This Row],[//]]-2))</f>
        <v/>
      </c>
      <c r="M251" s="6" t="str">
        <f ca="1">IF(ATALI[[#This Row],[//]]="","",INDEX([2]!NOTA[STN],ATALI[[#This Row],[//]]-2))</f>
        <v/>
      </c>
      <c r="N251" s="5" t="str">
        <f ca="1">IF(ATALI[[#This Row],[//]]="","",INDEX([2]!NOTA[HARGA SATUAN],ATALI[[#This Row],[//]]-2))</f>
        <v/>
      </c>
      <c r="O251" s="7" t="str">
        <f ca="1">IF(ATALI[[#This Row],[//]]="","",INDEX([2]!NOTA[DISC 1],ATALI[[#This Row],[//]]-2))</f>
        <v/>
      </c>
      <c r="P251" s="7" t="str">
        <f ca="1">IF(ATALI[[#This Row],[//]]="","",INDEX([2]!NOTA[DISC 2],ATALI[[#This Row],[//]]-2))</f>
        <v/>
      </c>
      <c r="Q251" s="5" t="str">
        <f ca="1">IF(ATALI[[#This Row],[//]]="","",INDEX([2]!NOTA[TOTAL],ATALI[[#This Row],[//]]-2))</f>
        <v/>
      </c>
      <c r="R2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s="4" t="str">
        <f ca="1">IF(ATALI[[#This Row],[//]]="","",INDEX([2]!NOTA[NAMA BARANG],ATALI[[#This Row],[//]]-2))</f>
        <v/>
      </c>
      <c r="V251" s="4" t="str">
        <f ca="1">LOWER(SUBSTITUTE(SUBSTITUTE(SUBSTITUTE(SUBSTITUTE(SUBSTITUTE(SUBSTITUTE(SUBSTITUTE(ATALI[[#This Row],[N.B.nota]]," ",""),"-",""),"(",""),")",""),".",""),",",""),"/",""))</f>
        <v/>
      </c>
      <c r="W251" s="4" t="str">
        <f ca="1">IF(ATALI[[#This Row],[concat]]="","",MATCH(ATALI[[#This Row],[concat]],[4]!db[NB NOTA_C],0)+1)</f>
        <v/>
      </c>
      <c r="X251" s="4" t="str">
        <f ca="1">IF(ATALI[[#This Row],[N.B.nota]]="","",ADDRESS(ROW(ATALI[QB]),COLUMN(ATALI[QB]))&amp;":"&amp;ADDRESS(ROW(),COLUMN(ATALI[QB])))</f>
        <v/>
      </c>
      <c r="Y251" s="13" t="str">
        <f ca="1">IF(ATALI[[#This Row],[//]]="","",HYPERLINK("[../DB.xlsx]DB!e"&amp;MATCH(ATALI[[#This Row],[concat]],[4]!db[NB NOTA_C],0)+1,"&gt;"))</f>
        <v/>
      </c>
    </row>
    <row r="252" spans="1:25" x14ac:dyDescent="0.25">
      <c r="A252" s="4"/>
      <c r="B252" s="6" t="str">
        <f>IF(ATALI[[#This Row],[N_ID]]="","",INDEX(Table1[ID],MATCH(ATALI[[#This Row],[N_ID]],Table1[N_ID],0)))</f>
        <v/>
      </c>
      <c r="C252" s="6" t="str">
        <f>IF(ATALI[[#This Row],[ID NOTA]]="","",HYPERLINK("[NOTA_.xlsx]NOTA!e"&amp;INDEX([2]!PAJAK[//],MATCH(ATALI[[#This Row],[ID NOTA]],[2]!PAJAK[ID],0)),"&gt;") )</f>
        <v/>
      </c>
      <c r="D252" s="6" t="str">
        <f>IF(ATALI[[#This Row],[ID NOTA]]="","",INDEX(Table1[QB],MATCH(ATALI[[#This Row],[ID NOTA]],Table1[ID],0)))</f>
        <v/>
      </c>
      <c r="E2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2" s="6"/>
      <c r="G252" s="3" t="str">
        <f>IF(ATALI[[#This Row],[ID NOTA]]="","",INDEX([2]!NOTA[TGL_H],MATCH(ATALI[[#This Row],[ID NOTA]],[2]!NOTA[ID],0)))</f>
        <v/>
      </c>
      <c r="H252" s="3" t="str">
        <f>IF(ATALI[[#This Row],[ID NOTA]]="","",INDEX([2]!NOTA[TGL.NOTA],MATCH(ATALI[[#This Row],[ID NOTA]],[2]!NOTA[ID],0)))</f>
        <v/>
      </c>
      <c r="I252" s="4" t="str">
        <f>IF(ATALI[[#This Row],[ID NOTA]]="","",INDEX([2]!NOTA[NO.NOTA],MATCH(ATALI[[#This Row],[ID NOTA]],[2]!NOTA[ID],0)))</f>
        <v/>
      </c>
      <c r="J252" s="4" t="str">
        <f ca="1">IF(ATALI[[#This Row],[//]]="","",INDEX([4]!db[NB PAJAK],ATALI[[#This Row],[stt]]-1))</f>
        <v/>
      </c>
      <c r="K252" s="6" t="str">
        <f ca="1">IF(ATALI[[#This Row],[//]]="","",IF(INDEX([2]!NOTA[C],ATALI[[#This Row],[//]]-2)="","",INDEX([2]!NOTA[C],ATALI[[#This Row],[//]]-2)))</f>
        <v/>
      </c>
      <c r="L252" s="6" t="str">
        <f ca="1">IF(ATALI[[#This Row],[//]]="","",INDEX([2]!NOTA[QTY],ATALI[[#This Row],[//]]-2))</f>
        <v/>
      </c>
      <c r="M252" s="6" t="str">
        <f ca="1">IF(ATALI[[#This Row],[//]]="","",INDEX([2]!NOTA[STN],ATALI[[#This Row],[//]]-2))</f>
        <v/>
      </c>
      <c r="N252" s="5" t="str">
        <f ca="1">IF(ATALI[[#This Row],[//]]="","",INDEX([2]!NOTA[HARGA SATUAN],ATALI[[#This Row],[//]]-2))</f>
        <v/>
      </c>
      <c r="O252" s="7" t="str">
        <f ca="1">IF(ATALI[[#This Row],[//]]="","",INDEX([2]!NOTA[DISC 1],ATALI[[#This Row],[//]]-2))</f>
        <v/>
      </c>
      <c r="P252" s="7" t="str">
        <f ca="1">IF(ATALI[[#This Row],[//]]="","",INDEX([2]!NOTA[DISC 2],ATALI[[#This Row],[//]]-2))</f>
        <v/>
      </c>
      <c r="Q252" s="5" t="str">
        <f ca="1">IF(ATALI[[#This Row],[//]]="","",INDEX([2]!NOTA[TOTAL],ATALI[[#This Row],[//]]-2))</f>
        <v/>
      </c>
      <c r="R2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s="4" t="str">
        <f ca="1">IF(ATALI[[#This Row],[//]]="","",INDEX([2]!NOTA[NAMA BARANG],ATALI[[#This Row],[//]]-2))</f>
        <v/>
      </c>
      <c r="V252" s="4" t="str">
        <f ca="1">LOWER(SUBSTITUTE(SUBSTITUTE(SUBSTITUTE(SUBSTITUTE(SUBSTITUTE(SUBSTITUTE(SUBSTITUTE(ATALI[[#This Row],[N.B.nota]]," ",""),"-",""),"(",""),")",""),".",""),",",""),"/",""))</f>
        <v/>
      </c>
      <c r="W252" s="4" t="str">
        <f ca="1">IF(ATALI[[#This Row],[concat]]="","",MATCH(ATALI[[#This Row],[concat]],[4]!db[NB NOTA_C],0)+1)</f>
        <v/>
      </c>
      <c r="X252" s="4" t="str">
        <f ca="1">IF(ATALI[[#This Row],[N.B.nota]]="","",ADDRESS(ROW(ATALI[QB]),COLUMN(ATALI[QB]))&amp;":"&amp;ADDRESS(ROW(),COLUMN(ATALI[QB])))</f>
        <v/>
      </c>
      <c r="Y252" s="13" t="str">
        <f ca="1">IF(ATALI[[#This Row],[//]]="","",HYPERLINK("[../DB.xlsx]DB!e"&amp;MATCH(ATALI[[#This Row],[concat]],[4]!db[NB NOTA_C],0)+1,"&gt;"))</f>
        <v/>
      </c>
    </row>
    <row r="253" spans="1:25" x14ac:dyDescent="0.25">
      <c r="A253" s="4"/>
      <c r="B253" s="6" t="str">
        <f>IF(ATALI[[#This Row],[N_ID]]="","",INDEX(Table1[ID],MATCH(ATALI[[#This Row],[N_ID]],Table1[N_ID],0)))</f>
        <v/>
      </c>
      <c r="C253" s="6" t="str">
        <f>IF(ATALI[[#This Row],[ID NOTA]]="","",HYPERLINK("[NOTA_.xlsx]NOTA!e"&amp;INDEX([2]!PAJAK[//],MATCH(ATALI[[#This Row],[ID NOTA]],[2]!PAJAK[ID],0)),"&gt;") )</f>
        <v/>
      </c>
      <c r="D253" s="6" t="str">
        <f>IF(ATALI[[#This Row],[ID NOTA]]="","",INDEX(Table1[QB],MATCH(ATALI[[#This Row],[ID NOTA]],Table1[ID],0)))</f>
        <v/>
      </c>
      <c r="E2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3" s="6"/>
      <c r="G253" s="3" t="str">
        <f>IF(ATALI[[#This Row],[ID NOTA]]="","",INDEX([2]!NOTA[TGL_H],MATCH(ATALI[[#This Row],[ID NOTA]],[2]!NOTA[ID],0)))</f>
        <v/>
      </c>
      <c r="H253" s="3" t="str">
        <f>IF(ATALI[[#This Row],[ID NOTA]]="","",INDEX([2]!NOTA[TGL.NOTA],MATCH(ATALI[[#This Row],[ID NOTA]],[2]!NOTA[ID],0)))</f>
        <v/>
      </c>
      <c r="I253" s="4" t="str">
        <f>IF(ATALI[[#This Row],[ID NOTA]]="","",INDEX([2]!NOTA[NO.NOTA],MATCH(ATALI[[#This Row],[ID NOTA]],[2]!NOTA[ID],0)))</f>
        <v/>
      </c>
      <c r="J253" s="4" t="str">
        <f ca="1">IF(ATALI[[#This Row],[//]]="","",INDEX([4]!db[NB PAJAK],ATALI[[#This Row],[stt]]-1))</f>
        <v/>
      </c>
      <c r="K253" s="6" t="str">
        <f ca="1">IF(ATALI[[#This Row],[//]]="","",IF(INDEX([2]!NOTA[C],ATALI[[#This Row],[//]]-2)="","",INDEX([2]!NOTA[C],ATALI[[#This Row],[//]]-2)))</f>
        <v/>
      </c>
      <c r="L253" s="6" t="str">
        <f ca="1">IF(ATALI[[#This Row],[//]]="","",INDEX([2]!NOTA[QTY],ATALI[[#This Row],[//]]-2))</f>
        <v/>
      </c>
      <c r="M253" s="6" t="str">
        <f ca="1">IF(ATALI[[#This Row],[//]]="","",INDEX([2]!NOTA[STN],ATALI[[#This Row],[//]]-2))</f>
        <v/>
      </c>
      <c r="N253" s="5" t="str">
        <f ca="1">IF(ATALI[[#This Row],[//]]="","",INDEX([2]!NOTA[HARGA SATUAN],ATALI[[#This Row],[//]]-2))</f>
        <v/>
      </c>
      <c r="O253" s="7" t="str">
        <f ca="1">IF(ATALI[[#This Row],[//]]="","",INDEX([2]!NOTA[DISC 1],ATALI[[#This Row],[//]]-2))</f>
        <v/>
      </c>
      <c r="P253" s="7" t="str">
        <f ca="1">IF(ATALI[[#This Row],[//]]="","",INDEX([2]!NOTA[DISC 2],ATALI[[#This Row],[//]]-2))</f>
        <v/>
      </c>
      <c r="Q253" s="5" t="str">
        <f ca="1">IF(ATALI[[#This Row],[//]]="","",INDEX([2]!NOTA[TOTAL],ATALI[[#This Row],[//]]-2))</f>
        <v/>
      </c>
      <c r="R2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s="4" t="str">
        <f ca="1">IF(ATALI[[#This Row],[//]]="","",INDEX([2]!NOTA[NAMA BARANG],ATALI[[#This Row],[//]]-2))</f>
        <v/>
      </c>
      <c r="V253" s="4" t="str">
        <f ca="1">LOWER(SUBSTITUTE(SUBSTITUTE(SUBSTITUTE(SUBSTITUTE(SUBSTITUTE(SUBSTITUTE(SUBSTITUTE(ATALI[[#This Row],[N.B.nota]]," ",""),"-",""),"(",""),")",""),".",""),",",""),"/",""))</f>
        <v/>
      </c>
      <c r="W253" s="4" t="str">
        <f ca="1">IF(ATALI[[#This Row],[concat]]="","",MATCH(ATALI[[#This Row],[concat]],[4]!db[NB NOTA_C],0)+1)</f>
        <v/>
      </c>
      <c r="X253" s="4" t="str">
        <f ca="1">IF(ATALI[[#This Row],[N.B.nota]]="","",ADDRESS(ROW(ATALI[QB]),COLUMN(ATALI[QB]))&amp;":"&amp;ADDRESS(ROW(),COLUMN(ATALI[QB])))</f>
        <v/>
      </c>
      <c r="Y253" s="13" t="str">
        <f ca="1">IF(ATALI[[#This Row],[//]]="","",HYPERLINK("[../DB.xlsx]DB!e"&amp;MATCH(ATALI[[#This Row],[concat]],[4]!db[NB NOTA_C],0)+1,"&gt;"))</f>
        <v/>
      </c>
    </row>
    <row r="254" spans="1:25" x14ac:dyDescent="0.25">
      <c r="A254" s="4"/>
      <c r="B254" s="6" t="str">
        <f>IF(ATALI[[#This Row],[N_ID]]="","",INDEX(Table1[ID],MATCH(ATALI[[#This Row],[N_ID]],Table1[N_ID],0)))</f>
        <v/>
      </c>
      <c r="C254" s="6" t="str">
        <f>IF(ATALI[[#This Row],[ID NOTA]]="","",HYPERLINK("[NOTA_.xlsx]NOTA!e"&amp;INDEX([2]!PAJAK[//],MATCH(ATALI[[#This Row],[ID NOTA]],[2]!PAJAK[ID],0)),"&gt;") )</f>
        <v/>
      </c>
      <c r="D254" s="6" t="str">
        <f>IF(ATALI[[#This Row],[ID NOTA]]="","",INDEX(Table1[QB],MATCH(ATALI[[#This Row],[ID NOTA]],Table1[ID],0)))</f>
        <v/>
      </c>
      <c r="E2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4" s="6"/>
      <c r="G254" s="3" t="str">
        <f>IF(ATALI[[#This Row],[ID NOTA]]="","",INDEX([2]!NOTA[TGL_H],MATCH(ATALI[[#This Row],[ID NOTA]],[2]!NOTA[ID],0)))</f>
        <v/>
      </c>
      <c r="H254" s="3" t="str">
        <f>IF(ATALI[[#This Row],[ID NOTA]]="","",INDEX([2]!NOTA[TGL.NOTA],MATCH(ATALI[[#This Row],[ID NOTA]],[2]!NOTA[ID],0)))</f>
        <v/>
      </c>
      <c r="I254" s="4" t="str">
        <f>IF(ATALI[[#This Row],[ID NOTA]]="","",INDEX([2]!NOTA[NO.NOTA],MATCH(ATALI[[#This Row],[ID NOTA]],[2]!NOTA[ID],0)))</f>
        <v/>
      </c>
      <c r="J254" s="4" t="str">
        <f ca="1">IF(ATALI[[#This Row],[//]]="","",INDEX([4]!db[NB PAJAK],ATALI[[#This Row],[stt]]-1))</f>
        <v/>
      </c>
      <c r="K254" s="6" t="str">
        <f ca="1">IF(ATALI[[#This Row],[//]]="","",IF(INDEX([2]!NOTA[C],ATALI[[#This Row],[//]]-2)="","",INDEX([2]!NOTA[C],ATALI[[#This Row],[//]]-2)))</f>
        <v/>
      </c>
      <c r="L254" s="6" t="str">
        <f ca="1">IF(ATALI[[#This Row],[//]]="","",INDEX([2]!NOTA[QTY],ATALI[[#This Row],[//]]-2))</f>
        <v/>
      </c>
      <c r="M254" s="6" t="str">
        <f ca="1">IF(ATALI[[#This Row],[//]]="","",INDEX([2]!NOTA[STN],ATALI[[#This Row],[//]]-2))</f>
        <v/>
      </c>
      <c r="N254" s="5" t="str">
        <f ca="1">IF(ATALI[[#This Row],[//]]="","",INDEX([2]!NOTA[HARGA SATUAN],ATALI[[#This Row],[//]]-2))</f>
        <v/>
      </c>
      <c r="O254" s="7" t="str">
        <f ca="1">IF(ATALI[[#This Row],[//]]="","",INDEX([2]!NOTA[DISC 1],ATALI[[#This Row],[//]]-2))</f>
        <v/>
      </c>
      <c r="P254" s="7" t="str">
        <f ca="1">IF(ATALI[[#This Row],[//]]="","",INDEX([2]!NOTA[DISC 2],ATALI[[#This Row],[//]]-2))</f>
        <v/>
      </c>
      <c r="Q254" s="5" t="str">
        <f ca="1">IF(ATALI[[#This Row],[//]]="","",INDEX([2]!NOTA[TOTAL],ATALI[[#This Row],[//]]-2))</f>
        <v/>
      </c>
      <c r="R2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4" s="4" t="str">
        <f ca="1">IF(ATALI[[#This Row],[//]]="","",INDEX([2]!NOTA[NAMA BARANG],ATALI[[#This Row],[//]]-2))</f>
        <v/>
      </c>
      <c r="V254" s="4" t="str">
        <f ca="1">LOWER(SUBSTITUTE(SUBSTITUTE(SUBSTITUTE(SUBSTITUTE(SUBSTITUTE(SUBSTITUTE(SUBSTITUTE(ATALI[[#This Row],[N.B.nota]]," ",""),"-",""),"(",""),")",""),".",""),",",""),"/",""))</f>
        <v/>
      </c>
      <c r="W254" s="4" t="str">
        <f ca="1">IF(ATALI[[#This Row],[concat]]="","",MATCH(ATALI[[#This Row],[concat]],[4]!db[NB NOTA_C],0)+1)</f>
        <v/>
      </c>
      <c r="X254" s="4" t="str">
        <f ca="1">IF(ATALI[[#This Row],[N.B.nota]]="","",ADDRESS(ROW(ATALI[QB]),COLUMN(ATALI[QB]))&amp;":"&amp;ADDRESS(ROW(),COLUMN(ATALI[QB])))</f>
        <v/>
      </c>
      <c r="Y254" s="13" t="str">
        <f ca="1">IF(ATALI[[#This Row],[//]]="","",HYPERLINK("[../DB.xlsx]DB!e"&amp;MATCH(ATALI[[#This Row],[concat]],[4]!db[NB NOTA_C],0)+1,"&gt;"))</f>
        <v/>
      </c>
    </row>
    <row r="255" spans="1:25" x14ac:dyDescent="0.25">
      <c r="A255" s="4"/>
      <c r="B255" s="6" t="str">
        <f>IF(ATALI[[#This Row],[N_ID]]="","",INDEX(Table1[ID],MATCH(ATALI[[#This Row],[N_ID]],Table1[N_ID],0)))</f>
        <v/>
      </c>
      <c r="C255" s="6" t="str">
        <f>IF(ATALI[[#This Row],[ID NOTA]]="","",HYPERLINK("[NOTA_.xlsx]NOTA!e"&amp;INDEX([2]!PAJAK[//],MATCH(ATALI[[#This Row],[ID NOTA]],[2]!PAJAK[ID],0)),"&gt;") )</f>
        <v/>
      </c>
      <c r="D255" s="6" t="str">
        <f>IF(ATALI[[#This Row],[ID NOTA]]="","",INDEX(Table1[QB],MATCH(ATALI[[#This Row],[ID NOTA]],Table1[ID],0)))</f>
        <v/>
      </c>
      <c r="E2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5" s="6"/>
      <c r="G255" s="3" t="str">
        <f>IF(ATALI[[#This Row],[ID NOTA]]="","",INDEX([2]!NOTA[TGL_H],MATCH(ATALI[[#This Row],[ID NOTA]],[2]!NOTA[ID],0)))</f>
        <v/>
      </c>
      <c r="H255" s="3" t="str">
        <f>IF(ATALI[[#This Row],[ID NOTA]]="","",INDEX([2]!NOTA[TGL.NOTA],MATCH(ATALI[[#This Row],[ID NOTA]],[2]!NOTA[ID],0)))</f>
        <v/>
      </c>
      <c r="I255" s="4" t="str">
        <f>IF(ATALI[[#This Row],[ID NOTA]]="","",INDEX([2]!NOTA[NO.NOTA],MATCH(ATALI[[#This Row],[ID NOTA]],[2]!NOTA[ID],0)))</f>
        <v/>
      </c>
      <c r="J255" s="4" t="str">
        <f ca="1">IF(ATALI[[#This Row],[//]]="","",INDEX([4]!db[NB PAJAK],ATALI[[#This Row],[stt]]-1))</f>
        <v/>
      </c>
      <c r="K255" s="6" t="str">
        <f ca="1">IF(ATALI[[#This Row],[//]]="","",IF(INDEX([2]!NOTA[C],ATALI[[#This Row],[//]]-2)="","",INDEX([2]!NOTA[C],ATALI[[#This Row],[//]]-2)))</f>
        <v/>
      </c>
      <c r="L255" s="6" t="str">
        <f ca="1">IF(ATALI[[#This Row],[//]]="","",INDEX([2]!NOTA[QTY],ATALI[[#This Row],[//]]-2))</f>
        <v/>
      </c>
      <c r="M255" s="6" t="str">
        <f ca="1">IF(ATALI[[#This Row],[//]]="","",INDEX([2]!NOTA[STN],ATALI[[#This Row],[//]]-2))</f>
        <v/>
      </c>
      <c r="N255" s="5" t="str">
        <f ca="1">IF(ATALI[[#This Row],[//]]="","",INDEX([2]!NOTA[HARGA SATUAN],ATALI[[#This Row],[//]]-2))</f>
        <v/>
      </c>
      <c r="O255" s="7" t="str">
        <f ca="1">IF(ATALI[[#This Row],[//]]="","",INDEX([2]!NOTA[DISC 1],ATALI[[#This Row],[//]]-2))</f>
        <v/>
      </c>
      <c r="P255" s="7" t="str">
        <f ca="1">IF(ATALI[[#This Row],[//]]="","",INDEX([2]!NOTA[DISC 2],ATALI[[#This Row],[//]]-2))</f>
        <v/>
      </c>
      <c r="Q255" s="5" t="str">
        <f ca="1">IF(ATALI[[#This Row],[//]]="","",INDEX([2]!NOTA[TOTAL],ATALI[[#This Row],[//]]-2))</f>
        <v/>
      </c>
      <c r="R2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s="4" t="str">
        <f ca="1">IF(ATALI[[#This Row],[//]]="","",INDEX([2]!NOTA[NAMA BARANG],ATALI[[#This Row],[//]]-2))</f>
        <v/>
      </c>
      <c r="V255" s="4" t="str">
        <f ca="1">LOWER(SUBSTITUTE(SUBSTITUTE(SUBSTITUTE(SUBSTITUTE(SUBSTITUTE(SUBSTITUTE(SUBSTITUTE(ATALI[[#This Row],[N.B.nota]]," ",""),"-",""),"(",""),")",""),".",""),",",""),"/",""))</f>
        <v/>
      </c>
      <c r="W255" s="4" t="str">
        <f ca="1">IF(ATALI[[#This Row],[concat]]="","",MATCH(ATALI[[#This Row],[concat]],[4]!db[NB NOTA_C],0)+1)</f>
        <v/>
      </c>
      <c r="X255" s="4" t="str">
        <f ca="1">IF(ATALI[[#This Row],[N.B.nota]]="","",ADDRESS(ROW(ATALI[QB]),COLUMN(ATALI[QB]))&amp;":"&amp;ADDRESS(ROW(),COLUMN(ATALI[QB])))</f>
        <v/>
      </c>
      <c r="Y255" s="13" t="str">
        <f ca="1">IF(ATALI[[#This Row],[//]]="","",HYPERLINK("[../DB.xlsx]DB!e"&amp;MATCH(ATALI[[#This Row],[concat]],[4]!db[NB NOTA_C],0)+1,"&gt;"))</f>
        <v/>
      </c>
    </row>
    <row r="256" spans="1:25" x14ac:dyDescent="0.25">
      <c r="A256" s="4"/>
      <c r="B256" s="6" t="str">
        <f>IF(ATALI[[#This Row],[N_ID]]="","",INDEX(Table1[ID],MATCH(ATALI[[#This Row],[N_ID]],Table1[N_ID],0)))</f>
        <v/>
      </c>
      <c r="C256" s="6" t="str">
        <f>IF(ATALI[[#This Row],[ID NOTA]]="","",HYPERLINK("[NOTA_.xlsx]NOTA!e"&amp;INDEX([2]!PAJAK[//],MATCH(ATALI[[#This Row],[ID NOTA]],[2]!PAJAK[ID],0)),"&gt;") )</f>
        <v/>
      </c>
      <c r="D256" s="6" t="str">
        <f>IF(ATALI[[#This Row],[ID NOTA]]="","",INDEX(Table1[QB],MATCH(ATALI[[#This Row],[ID NOTA]],Table1[ID],0)))</f>
        <v/>
      </c>
      <c r="E2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6" s="6"/>
      <c r="G256" s="3" t="str">
        <f>IF(ATALI[[#This Row],[ID NOTA]]="","",INDEX([2]!NOTA[TGL_H],MATCH(ATALI[[#This Row],[ID NOTA]],[2]!NOTA[ID],0)))</f>
        <v/>
      </c>
      <c r="H256" s="3" t="str">
        <f>IF(ATALI[[#This Row],[ID NOTA]]="","",INDEX([2]!NOTA[TGL.NOTA],MATCH(ATALI[[#This Row],[ID NOTA]],[2]!NOTA[ID],0)))</f>
        <v/>
      </c>
      <c r="I256" s="4" t="str">
        <f>IF(ATALI[[#This Row],[ID NOTA]]="","",INDEX([2]!NOTA[NO.NOTA],MATCH(ATALI[[#This Row],[ID NOTA]],[2]!NOTA[ID],0)))</f>
        <v/>
      </c>
      <c r="J256" s="4" t="str">
        <f ca="1">IF(ATALI[[#This Row],[//]]="","",INDEX([4]!db[NB PAJAK],ATALI[[#This Row],[stt]]-1))</f>
        <v/>
      </c>
      <c r="K256" s="6" t="str">
        <f ca="1">IF(ATALI[[#This Row],[//]]="","",IF(INDEX([2]!NOTA[C],ATALI[[#This Row],[//]]-2)="","",INDEX([2]!NOTA[C],ATALI[[#This Row],[//]]-2)))</f>
        <v/>
      </c>
      <c r="L256" s="6" t="str">
        <f ca="1">IF(ATALI[[#This Row],[//]]="","",INDEX([2]!NOTA[QTY],ATALI[[#This Row],[//]]-2))</f>
        <v/>
      </c>
      <c r="M256" s="6" t="str">
        <f ca="1">IF(ATALI[[#This Row],[//]]="","",INDEX([2]!NOTA[STN],ATALI[[#This Row],[//]]-2))</f>
        <v/>
      </c>
      <c r="N256" s="5" t="str">
        <f ca="1">IF(ATALI[[#This Row],[//]]="","",INDEX([2]!NOTA[HARGA SATUAN],ATALI[[#This Row],[//]]-2))</f>
        <v/>
      </c>
      <c r="O256" s="7" t="str">
        <f ca="1">IF(ATALI[[#This Row],[//]]="","",INDEX([2]!NOTA[DISC 1],ATALI[[#This Row],[//]]-2))</f>
        <v/>
      </c>
      <c r="P256" s="7" t="str">
        <f ca="1">IF(ATALI[[#This Row],[//]]="","",INDEX([2]!NOTA[DISC 2],ATALI[[#This Row],[//]]-2))</f>
        <v/>
      </c>
      <c r="Q256" s="5" t="str">
        <f ca="1">IF(ATALI[[#This Row],[//]]="","",INDEX([2]!NOTA[TOTAL],ATALI[[#This Row],[//]]-2))</f>
        <v/>
      </c>
      <c r="R2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s="4" t="str">
        <f ca="1">IF(ATALI[[#This Row],[//]]="","",INDEX([2]!NOTA[NAMA BARANG],ATALI[[#This Row],[//]]-2))</f>
        <v/>
      </c>
      <c r="V256" s="4" t="str">
        <f ca="1">LOWER(SUBSTITUTE(SUBSTITUTE(SUBSTITUTE(SUBSTITUTE(SUBSTITUTE(SUBSTITUTE(SUBSTITUTE(ATALI[[#This Row],[N.B.nota]]," ",""),"-",""),"(",""),")",""),".",""),",",""),"/",""))</f>
        <v/>
      </c>
      <c r="W256" s="4" t="str">
        <f ca="1">IF(ATALI[[#This Row],[concat]]="","",MATCH(ATALI[[#This Row],[concat]],[4]!db[NB NOTA_C],0)+1)</f>
        <v/>
      </c>
      <c r="X256" s="4" t="str">
        <f ca="1">IF(ATALI[[#This Row],[N.B.nota]]="","",ADDRESS(ROW(ATALI[QB]),COLUMN(ATALI[QB]))&amp;":"&amp;ADDRESS(ROW(),COLUMN(ATALI[QB])))</f>
        <v/>
      </c>
      <c r="Y256" s="13" t="str">
        <f ca="1">IF(ATALI[[#This Row],[//]]="","",HYPERLINK("[../DB.xlsx]DB!e"&amp;MATCH(ATALI[[#This Row],[concat]],[4]!db[NB NOTA_C],0)+1,"&gt;"))</f>
        <v/>
      </c>
    </row>
    <row r="257" spans="1:25" x14ac:dyDescent="0.25">
      <c r="A257" s="4"/>
      <c r="B257" s="6" t="str">
        <f>IF(ATALI[[#This Row],[N_ID]]="","",INDEX(Table1[ID],MATCH(ATALI[[#This Row],[N_ID]],Table1[N_ID],0)))</f>
        <v/>
      </c>
      <c r="C257" s="6" t="str">
        <f>IF(ATALI[[#This Row],[ID NOTA]]="","",HYPERLINK("[NOTA_.xlsx]NOTA!e"&amp;INDEX([2]!PAJAK[//],MATCH(ATALI[[#This Row],[ID NOTA]],[2]!PAJAK[ID],0)),"&gt;") )</f>
        <v/>
      </c>
      <c r="D257" s="6" t="str">
        <f>IF(ATALI[[#This Row],[ID NOTA]]="","",INDEX(Table1[QB],MATCH(ATALI[[#This Row],[ID NOTA]],Table1[ID],0)))</f>
        <v/>
      </c>
      <c r="E2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7" s="6"/>
      <c r="G257" s="3" t="str">
        <f>IF(ATALI[[#This Row],[ID NOTA]]="","",INDEX([2]!NOTA[TGL_H],MATCH(ATALI[[#This Row],[ID NOTA]],[2]!NOTA[ID],0)))</f>
        <v/>
      </c>
      <c r="H257" s="3" t="str">
        <f>IF(ATALI[[#This Row],[ID NOTA]]="","",INDEX([2]!NOTA[TGL.NOTA],MATCH(ATALI[[#This Row],[ID NOTA]],[2]!NOTA[ID],0)))</f>
        <v/>
      </c>
      <c r="I257" s="4" t="str">
        <f>IF(ATALI[[#This Row],[ID NOTA]]="","",INDEX([2]!NOTA[NO.NOTA],MATCH(ATALI[[#This Row],[ID NOTA]],[2]!NOTA[ID],0)))</f>
        <v/>
      </c>
      <c r="J257" s="4" t="str">
        <f ca="1">IF(ATALI[[#This Row],[//]]="","",INDEX([4]!db[NB PAJAK],ATALI[[#This Row],[stt]]-1))</f>
        <v/>
      </c>
      <c r="K257" s="6" t="str">
        <f ca="1">IF(ATALI[[#This Row],[//]]="","",IF(INDEX([2]!NOTA[C],ATALI[[#This Row],[//]]-2)="","",INDEX([2]!NOTA[C],ATALI[[#This Row],[//]]-2)))</f>
        <v/>
      </c>
      <c r="L257" s="6" t="str">
        <f ca="1">IF(ATALI[[#This Row],[//]]="","",INDEX([2]!NOTA[QTY],ATALI[[#This Row],[//]]-2))</f>
        <v/>
      </c>
      <c r="M257" s="6" t="str">
        <f ca="1">IF(ATALI[[#This Row],[//]]="","",INDEX([2]!NOTA[STN],ATALI[[#This Row],[//]]-2))</f>
        <v/>
      </c>
      <c r="N257" s="5" t="str">
        <f ca="1">IF(ATALI[[#This Row],[//]]="","",INDEX([2]!NOTA[HARGA SATUAN],ATALI[[#This Row],[//]]-2))</f>
        <v/>
      </c>
      <c r="O257" s="7" t="str">
        <f ca="1">IF(ATALI[[#This Row],[//]]="","",INDEX([2]!NOTA[DISC 1],ATALI[[#This Row],[//]]-2))</f>
        <v/>
      </c>
      <c r="P257" s="7" t="str">
        <f ca="1">IF(ATALI[[#This Row],[//]]="","",INDEX([2]!NOTA[DISC 2],ATALI[[#This Row],[//]]-2))</f>
        <v/>
      </c>
      <c r="Q257" s="5" t="str">
        <f ca="1">IF(ATALI[[#This Row],[//]]="","",INDEX([2]!NOTA[TOTAL],ATALI[[#This Row],[//]]-2))</f>
        <v/>
      </c>
      <c r="R2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s="4" t="str">
        <f ca="1">IF(ATALI[[#This Row],[//]]="","",INDEX([2]!NOTA[NAMA BARANG],ATALI[[#This Row],[//]]-2))</f>
        <v/>
      </c>
      <c r="V257" s="4" t="str">
        <f ca="1">LOWER(SUBSTITUTE(SUBSTITUTE(SUBSTITUTE(SUBSTITUTE(SUBSTITUTE(SUBSTITUTE(SUBSTITUTE(ATALI[[#This Row],[N.B.nota]]," ",""),"-",""),"(",""),")",""),".",""),",",""),"/",""))</f>
        <v/>
      </c>
      <c r="W257" s="4" t="str">
        <f ca="1">IF(ATALI[[#This Row],[concat]]="","",MATCH(ATALI[[#This Row],[concat]],[4]!db[NB NOTA_C],0)+1)</f>
        <v/>
      </c>
      <c r="X257" s="4" t="str">
        <f ca="1">IF(ATALI[[#This Row],[N.B.nota]]="","",ADDRESS(ROW(ATALI[QB]),COLUMN(ATALI[QB]))&amp;":"&amp;ADDRESS(ROW(),COLUMN(ATALI[QB])))</f>
        <v/>
      </c>
      <c r="Y257" s="13" t="str">
        <f ca="1">IF(ATALI[[#This Row],[//]]="","",HYPERLINK("[../DB.xlsx]DB!e"&amp;MATCH(ATALI[[#This Row],[concat]],[4]!db[NB NOTA_C],0)+1,"&gt;"))</f>
        <v/>
      </c>
    </row>
    <row r="258" spans="1:25" x14ac:dyDescent="0.25">
      <c r="A258" s="4"/>
      <c r="B258" s="6" t="str">
        <f>IF(ATALI[[#This Row],[N_ID]]="","",INDEX(Table1[ID],MATCH(ATALI[[#This Row],[N_ID]],Table1[N_ID],0)))</f>
        <v/>
      </c>
      <c r="C258" s="6" t="str">
        <f>IF(ATALI[[#This Row],[ID NOTA]]="","",HYPERLINK("[NOTA_.xlsx]NOTA!e"&amp;INDEX([2]!PAJAK[//],MATCH(ATALI[[#This Row],[ID NOTA]],[2]!PAJAK[ID],0)),"&gt;") )</f>
        <v/>
      </c>
      <c r="D258" s="6" t="str">
        <f>IF(ATALI[[#This Row],[ID NOTA]]="","",INDEX(Table1[QB],MATCH(ATALI[[#This Row],[ID NOTA]],Table1[ID],0)))</f>
        <v/>
      </c>
      <c r="E2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8" s="6"/>
      <c r="G258" s="3" t="str">
        <f>IF(ATALI[[#This Row],[ID NOTA]]="","",INDEX([2]!NOTA[TGL_H],MATCH(ATALI[[#This Row],[ID NOTA]],[2]!NOTA[ID],0)))</f>
        <v/>
      </c>
      <c r="H258" s="3" t="str">
        <f>IF(ATALI[[#This Row],[ID NOTA]]="","",INDEX([2]!NOTA[TGL.NOTA],MATCH(ATALI[[#This Row],[ID NOTA]],[2]!NOTA[ID],0)))</f>
        <v/>
      </c>
      <c r="I258" s="4" t="str">
        <f>IF(ATALI[[#This Row],[ID NOTA]]="","",INDEX([2]!NOTA[NO.NOTA],MATCH(ATALI[[#This Row],[ID NOTA]],[2]!NOTA[ID],0)))</f>
        <v/>
      </c>
      <c r="J258" s="4" t="str">
        <f ca="1">IF(ATALI[[#This Row],[//]]="","",INDEX([4]!db[NB PAJAK],ATALI[[#This Row],[stt]]-1))</f>
        <v/>
      </c>
      <c r="K258" s="6" t="str">
        <f ca="1">IF(ATALI[[#This Row],[//]]="","",IF(INDEX([2]!NOTA[C],ATALI[[#This Row],[//]]-2)="","",INDEX([2]!NOTA[C],ATALI[[#This Row],[//]]-2)))</f>
        <v/>
      </c>
      <c r="L258" s="6" t="str">
        <f ca="1">IF(ATALI[[#This Row],[//]]="","",INDEX([2]!NOTA[QTY],ATALI[[#This Row],[//]]-2))</f>
        <v/>
      </c>
      <c r="M258" s="6" t="str">
        <f ca="1">IF(ATALI[[#This Row],[//]]="","",INDEX([2]!NOTA[STN],ATALI[[#This Row],[//]]-2))</f>
        <v/>
      </c>
      <c r="N258" s="5" t="str">
        <f ca="1">IF(ATALI[[#This Row],[//]]="","",INDEX([2]!NOTA[HARGA SATUAN],ATALI[[#This Row],[//]]-2))</f>
        <v/>
      </c>
      <c r="O258" s="7" t="str">
        <f ca="1">IF(ATALI[[#This Row],[//]]="","",INDEX([2]!NOTA[DISC 1],ATALI[[#This Row],[//]]-2))</f>
        <v/>
      </c>
      <c r="P258" s="7" t="str">
        <f ca="1">IF(ATALI[[#This Row],[//]]="","",INDEX([2]!NOTA[DISC 2],ATALI[[#This Row],[//]]-2))</f>
        <v/>
      </c>
      <c r="Q258" s="5" t="str">
        <f ca="1">IF(ATALI[[#This Row],[//]]="","",INDEX([2]!NOTA[TOTAL],ATALI[[#This Row],[//]]-2))</f>
        <v/>
      </c>
      <c r="R2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s="4" t="str">
        <f ca="1">IF(ATALI[[#This Row],[//]]="","",INDEX([2]!NOTA[NAMA BARANG],ATALI[[#This Row],[//]]-2))</f>
        <v/>
      </c>
      <c r="V258" s="4" t="str">
        <f ca="1">LOWER(SUBSTITUTE(SUBSTITUTE(SUBSTITUTE(SUBSTITUTE(SUBSTITUTE(SUBSTITUTE(SUBSTITUTE(ATALI[[#This Row],[N.B.nota]]," ",""),"-",""),"(",""),")",""),".",""),",",""),"/",""))</f>
        <v/>
      </c>
      <c r="W258" s="4" t="str">
        <f ca="1">IF(ATALI[[#This Row],[concat]]="","",MATCH(ATALI[[#This Row],[concat]],[4]!db[NB NOTA_C],0)+1)</f>
        <v/>
      </c>
      <c r="X258" s="4" t="str">
        <f ca="1">IF(ATALI[[#This Row],[N.B.nota]]="","",ADDRESS(ROW(ATALI[QB]),COLUMN(ATALI[QB]))&amp;":"&amp;ADDRESS(ROW(),COLUMN(ATALI[QB])))</f>
        <v/>
      </c>
      <c r="Y258" s="13" t="str">
        <f ca="1">IF(ATALI[[#This Row],[//]]="","",HYPERLINK("[../DB.xlsx]DB!e"&amp;MATCH(ATALI[[#This Row],[concat]],[4]!db[NB NOTA_C],0)+1,"&gt;"))</f>
        <v/>
      </c>
    </row>
    <row r="259" spans="1:25" x14ac:dyDescent="0.25">
      <c r="A259" s="4"/>
      <c r="B259" s="6" t="str">
        <f>IF(ATALI[[#This Row],[N_ID]]="","",INDEX(Table1[ID],MATCH(ATALI[[#This Row],[N_ID]],Table1[N_ID],0)))</f>
        <v/>
      </c>
      <c r="C259" s="6" t="str">
        <f>IF(ATALI[[#This Row],[ID NOTA]]="","",HYPERLINK("[NOTA_.xlsx]NOTA!e"&amp;INDEX([2]!PAJAK[//],MATCH(ATALI[[#This Row],[ID NOTA]],[2]!PAJAK[ID],0)),"&gt;") )</f>
        <v/>
      </c>
      <c r="D259" s="6" t="str">
        <f>IF(ATALI[[#This Row],[ID NOTA]]="","",INDEX(Table1[QB],MATCH(ATALI[[#This Row],[ID NOTA]],Table1[ID],0)))</f>
        <v/>
      </c>
      <c r="E2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9" s="6"/>
      <c r="G259" s="3" t="str">
        <f>IF(ATALI[[#This Row],[ID NOTA]]="","",INDEX([2]!NOTA[TGL_H],MATCH(ATALI[[#This Row],[ID NOTA]],[2]!NOTA[ID],0)))</f>
        <v/>
      </c>
      <c r="H259" s="3" t="str">
        <f>IF(ATALI[[#This Row],[ID NOTA]]="","",INDEX([2]!NOTA[TGL.NOTA],MATCH(ATALI[[#This Row],[ID NOTA]],[2]!NOTA[ID],0)))</f>
        <v/>
      </c>
      <c r="I259" s="4" t="str">
        <f>IF(ATALI[[#This Row],[ID NOTA]]="","",INDEX([2]!NOTA[NO.NOTA],MATCH(ATALI[[#This Row],[ID NOTA]],[2]!NOTA[ID],0)))</f>
        <v/>
      </c>
      <c r="J259" s="4" t="str">
        <f ca="1">IF(ATALI[[#This Row],[//]]="","",INDEX([4]!db[NB PAJAK],ATALI[[#This Row],[stt]]-1))</f>
        <v/>
      </c>
      <c r="K259" s="6" t="str">
        <f ca="1">IF(ATALI[[#This Row],[//]]="","",IF(INDEX([2]!NOTA[C],ATALI[[#This Row],[//]]-2)="","",INDEX([2]!NOTA[C],ATALI[[#This Row],[//]]-2)))</f>
        <v/>
      </c>
      <c r="L259" s="6" t="str">
        <f ca="1">IF(ATALI[[#This Row],[//]]="","",INDEX([2]!NOTA[QTY],ATALI[[#This Row],[//]]-2))</f>
        <v/>
      </c>
      <c r="M259" s="6" t="str">
        <f ca="1">IF(ATALI[[#This Row],[//]]="","",INDEX([2]!NOTA[STN],ATALI[[#This Row],[//]]-2))</f>
        <v/>
      </c>
      <c r="N259" s="5" t="str">
        <f ca="1">IF(ATALI[[#This Row],[//]]="","",INDEX([2]!NOTA[HARGA SATUAN],ATALI[[#This Row],[//]]-2))</f>
        <v/>
      </c>
      <c r="O259" s="7" t="str">
        <f ca="1">IF(ATALI[[#This Row],[//]]="","",INDEX([2]!NOTA[DISC 1],ATALI[[#This Row],[//]]-2))</f>
        <v/>
      </c>
      <c r="P259" s="7" t="str">
        <f ca="1">IF(ATALI[[#This Row],[//]]="","",INDEX([2]!NOTA[DISC 2],ATALI[[#This Row],[//]]-2))</f>
        <v/>
      </c>
      <c r="Q259" s="5" t="str">
        <f ca="1">IF(ATALI[[#This Row],[//]]="","",INDEX([2]!NOTA[TOTAL],ATALI[[#This Row],[//]]-2))</f>
        <v/>
      </c>
      <c r="R2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9" s="4" t="str">
        <f ca="1">IF(ATALI[[#This Row],[//]]="","",INDEX([2]!NOTA[NAMA BARANG],ATALI[[#This Row],[//]]-2))</f>
        <v/>
      </c>
      <c r="V259" s="4" t="str">
        <f ca="1">LOWER(SUBSTITUTE(SUBSTITUTE(SUBSTITUTE(SUBSTITUTE(SUBSTITUTE(SUBSTITUTE(SUBSTITUTE(ATALI[[#This Row],[N.B.nota]]," ",""),"-",""),"(",""),")",""),".",""),",",""),"/",""))</f>
        <v/>
      </c>
      <c r="W259" s="4" t="str">
        <f ca="1">IF(ATALI[[#This Row],[concat]]="","",MATCH(ATALI[[#This Row],[concat]],[4]!db[NB NOTA_C],0)+1)</f>
        <v/>
      </c>
      <c r="X259" s="4" t="str">
        <f ca="1">IF(ATALI[[#This Row],[N.B.nota]]="","",ADDRESS(ROW(ATALI[QB]),COLUMN(ATALI[QB]))&amp;":"&amp;ADDRESS(ROW(),COLUMN(ATALI[QB])))</f>
        <v/>
      </c>
      <c r="Y259" s="13" t="str">
        <f ca="1">IF(ATALI[[#This Row],[//]]="","",HYPERLINK("[../DB.xlsx]DB!e"&amp;MATCH(ATALI[[#This Row],[concat]],[4]!db[NB NOTA_C],0)+1,"&gt;"))</f>
        <v/>
      </c>
    </row>
    <row r="260" spans="1:25" x14ac:dyDescent="0.25">
      <c r="A260" s="4"/>
      <c r="B260" s="6" t="str">
        <f>IF(ATALI[[#This Row],[N_ID]]="","",INDEX(Table1[ID],MATCH(ATALI[[#This Row],[N_ID]],Table1[N_ID],0)))</f>
        <v/>
      </c>
      <c r="C260" s="6" t="str">
        <f>IF(ATALI[[#This Row],[ID NOTA]]="","",HYPERLINK("[NOTA_.xlsx]NOTA!e"&amp;INDEX([2]!PAJAK[//],MATCH(ATALI[[#This Row],[ID NOTA]],[2]!PAJAK[ID],0)),"&gt;") )</f>
        <v/>
      </c>
      <c r="D260" s="6" t="str">
        <f>IF(ATALI[[#This Row],[ID NOTA]]="","",INDEX(Table1[QB],MATCH(ATALI[[#This Row],[ID NOTA]],Table1[ID],0)))</f>
        <v/>
      </c>
      <c r="E2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0" s="6"/>
      <c r="G260" s="3" t="str">
        <f>IF(ATALI[[#This Row],[ID NOTA]]="","",INDEX([2]!NOTA[TGL_H],MATCH(ATALI[[#This Row],[ID NOTA]],[2]!NOTA[ID],0)))</f>
        <v/>
      </c>
      <c r="H260" s="3" t="str">
        <f>IF(ATALI[[#This Row],[ID NOTA]]="","",INDEX([2]!NOTA[TGL.NOTA],MATCH(ATALI[[#This Row],[ID NOTA]],[2]!NOTA[ID],0)))</f>
        <v/>
      </c>
      <c r="I260" s="4" t="str">
        <f>IF(ATALI[[#This Row],[ID NOTA]]="","",INDEX([2]!NOTA[NO.NOTA],MATCH(ATALI[[#This Row],[ID NOTA]],[2]!NOTA[ID],0)))</f>
        <v/>
      </c>
      <c r="J260" s="4" t="str">
        <f ca="1">IF(ATALI[[#This Row],[//]]="","",INDEX([4]!db[NB PAJAK],ATALI[[#This Row],[stt]]-1))</f>
        <v/>
      </c>
      <c r="K260" s="6" t="str">
        <f ca="1">IF(ATALI[[#This Row],[//]]="","",IF(INDEX([2]!NOTA[C],ATALI[[#This Row],[//]]-2)="","",INDEX([2]!NOTA[C],ATALI[[#This Row],[//]]-2)))</f>
        <v/>
      </c>
      <c r="L260" s="6" t="str">
        <f ca="1">IF(ATALI[[#This Row],[//]]="","",INDEX([2]!NOTA[QTY],ATALI[[#This Row],[//]]-2))</f>
        <v/>
      </c>
      <c r="M260" s="6" t="str">
        <f ca="1">IF(ATALI[[#This Row],[//]]="","",INDEX([2]!NOTA[STN],ATALI[[#This Row],[//]]-2))</f>
        <v/>
      </c>
      <c r="N260" s="5" t="str">
        <f ca="1">IF(ATALI[[#This Row],[//]]="","",INDEX([2]!NOTA[HARGA SATUAN],ATALI[[#This Row],[//]]-2))</f>
        <v/>
      </c>
      <c r="O260" s="7" t="str">
        <f ca="1">IF(ATALI[[#This Row],[//]]="","",INDEX([2]!NOTA[DISC 1],ATALI[[#This Row],[//]]-2))</f>
        <v/>
      </c>
      <c r="P260" s="7" t="str">
        <f ca="1">IF(ATALI[[#This Row],[//]]="","",INDEX([2]!NOTA[DISC 2],ATALI[[#This Row],[//]]-2))</f>
        <v/>
      </c>
      <c r="Q260" s="5" t="str">
        <f ca="1">IF(ATALI[[#This Row],[//]]="","",INDEX([2]!NOTA[TOTAL],ATALI[[#This Row],[//]]-2))</f>
        <v/>
      </c>
      <c r="R2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s="4" t="str">
        <f ca="1">IF(ATALI[[#This Row],[//]]="","",INDEX([2]!NOTA[NAMA BARANG],ATALI[[#This Row],[//]]-2))</f>
        <v/>
      </c>
      <c r="V260" s="4" t="str">
        <f ca="1">LOWER(SUBSTITUTE(SUBSTITUTE(SUBSTITUTE(SUBSTITUTE(SUBSTITUTE(SUBSTITUTE(SUBSTITUTE(ATALI[[#This Row],[N.B.nota]]," ",""),"-",""),"(",""),")",""),".",""),",",""),"/",""))</f>
        <v/>
      </c>
      <c r="W260" s="4" t="str">
        <f ca="1">IF(ATALI[[#This Row],[concat]]="","",MATCH(ATALI[[#This Row],[concat]],[4]!db[NB NOTA_C],0)+1)</f>
        <v/>
      </c>
      <c r="X260" s="4" t="str">
        <f ca="1">IF(ATALI[[#This Row],[N.B.nota]]="","",ADDRESS(ROW(ATALI[QB]),COLUMN(ATALI[QB]))&amp;":"&amp;ADDRESS(ROW(),COLUMN(ATALI[QB])))</f>
        <v/>
      </c>
      <c r="Y260" s="13" t="str">
        <f ca="1">IF(ATALI[[#This Row],[//]]="","",HYPERLINK("[../DB.xlsx]DB!e"&amp;MATCH(ATALI[[#This Row],[concat]],[4]!db[NB NOTA_C],0)+1,"&gt;"))</f>
        <v/>
      </c>
    </row>
    <row r="261" spans="1:25" x14ac:dyDescent="0.25">
      <c r="A261" s="4"/>
      <c r="B261" s="6" t="str">
        <f>IF(ATALI[[#This Row],[N_ID]]="","",INDEX(Table1[ID],MATCH(ATALI[[#This Row],[N_ID]],Table1[N_ID],0)))</f>
        <v/>
      </c>
      <c r="C261" s="6" t="str">
        <f>IF(ATALI[[#This Row],[ID NOTA]]="","",HYPERLINK("[NOTA_.xlsx]NOTA!e"&amp;INDEX([2]!PAJAK[//],MATCH(ATALI[[#This Row],[ID NOTA]],[2]!PAJAK[ID],0)),"&gt;") )</f>
        <v/>
      </c>
      <c r="D261" s="6" t="str">
        <f>IF(ATALI[[#This Row],[ID NOTA]]="","",INDEX(Table1[QB],MATCH(ATALI[[#This Row],[ID NOTA]],Table1[ID],0)))</f>
        <v/>
      </c>
      <c r="E2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1" s="6"/>
      <c r="G261" s="3" t="str">
        <f>IF(ATALI[[#This Row],[ID NOTA]]="","",INDEX([2]!NOTA[TGL_H],MATCH(ATALI[[#This Row],[ID NOTA]],[2]!NOTA[ID],0)))</f>
        <v/>
      </c>
      <c r="H261" s="3" t="str">
        <f>IF(ATALI[[#This Row],[ID NOTA]]="","",INDEX([2]!NOTA[TGL.NOTA],MATCH(ATALI[[#This Row],[ID NOTA]],[2]!NOTA[ID],0)))</f>
        <v/>
      </c>
      <c r="I261" s="4" t="str">
        <f>IF(ATALI[[#This Row],[ID NOTA]]="","",INDEX([2]!NOTA[NO.NOTA],MATCH(ATALI[[#This Row],[ID NOTA]],[2]!NOTA[ID],0)))</f>
        <v/>
      </c>
      <c r="J261" s="4" t="str">
        <f ca="1">IF(ATALI[[#This Row],[//]]="","",INDEX([4]!db[NB PAJAK],ATALI[[#This Row],[stt]]-1))</f>
        <v/>
      </c>
      <c r="K261" s="6" t="str">
        <f ca="1">IF(ATALI[[#This Row],[//]]="","",IF(INDEX([2]!NOTA[C],ATALI[[#This Row],[//]]-2)="","",INDEX([2]!NOTA[C],ATALI[[#This Row],[//]]-2)))</f>
        <v/>
      </c>
      <c r="L261" s="6" t="str">
        <f ca="1">IF(ATALI[[#This Row],[//]]="","",INDEX([2]!NOTA[QTY],ATALI[[#This Row],[//]]-2))</f>
        <v/>
      </c>
      <c r="M261" s="6" t="str">
        <f ca="1">IF(ATALI[[#This Row],[//]]="","",INDEX([2]!NOTA[STN],ATALI[[#This Row],[//]]-2))</f>
        <v/>
      </c>
      <c r="N261" s="5" t="str">
        <f ca="1">IF(ATALI[[#This Row],[//]]="","",INDEX([2]!NOTA[HARGA SATUAN],ATALI[[#This Row],[//]]-2))</f>
        <v/>
      </c>
      <c r="O261" s="7" t="str">
        <f ca="1">IF(ATALI[[#This Row],[//]]="","",INDEX([2]!NOTA[DISC 1],ATALI[[#This Row],[//]]-2))</f>
        <v/>
      </c>
      <c r="P261" s="7" t="str">
        <f ca="1">IF(ATALI[[#This Row],[//]]="","",INDEX([2]!NOTA[DISC 2],ATALI[[#This Row],[//]]-2))</f>
        <v/>
      </c>
      <c r="Q261" s="5" t="str">
        <f ca="1">IF(ATALI[[#This Row],[//]]="","",INDEX([2]!NOTA[TOTAL],ATALI[[#This Row],[//]]-2))</f>
        <v/>
      </c>
      <c r="R2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s="4" t="str">
        <f ca="1">IF(ATALI[[#This Row],[//]]="","",INDEX([2]!NOTA[NAMA BARANG],ATALI[[#This Row],[//]]-2))</f>
        <v/>
      </c>
      <c r="V261" s="4" t="str">
        <f ca="1">LOWER(SUBSTITUTE(SUBSTITUTE(SUBSTITUTE(SUBSTITUTE(SUBSTITUTE(SUBSTITUTE(SUBSTITUTE(ATALI[[#This Row],[N.B.nota]]," ",""),"-",""),"(",""),")",""),".",""),",",""),"/",""))</f>
        <v/>
      </c>
      <c r="W261" s="4" t="str">
        <f ca="1">IF(ATALI[[#This Row],[concat]]="","",MATCH(ATALI[[#This Row],[concat]],[4]!db[NB NOTA_C],0)+1)</f>
        <v/>
      </c>
      <c r="X261" s="4" t="str">
        <f ca="1">IF(ATALI[[#This Row],[N.B.nota]]="","",ADDRESS(ROW(ATALI[QB]),COLUMN(ATALI[QB]))&amp;":"&amp;ADDRESS(ROW(),COLUMN(ATALI[QB])))</f>
        <v/>
      </c>
      <c r="Y261" s="13" t="str">
        <f ca="1">IF(ATALI[[#This Row],[//]]="","",HYPERLINK("[../DB.xlsx]DB!e"&amp;MATCH(ATALI[[#This Row],[concat]],[4]!db[NB NOTA_C],0)+1,"&gt;"))</f>
        <v/>
      </c>
    </row>
    <row r="262" spans="1:25" x14ac:dyDescent="0.25">
      <c r="A262" s="4"/>
      <c r="B262" s="6" t="str">
        <f>IF(ATALI[[#This Row],[N_ID]]="","",INDEX(Table1[ID],MATCH(ATALI[[#This Row],[N_ID]],Table1[N_ID],0)))</f>
        <v/>
      </c>
      <c r="C262" s="6" t="str">
        <f>IF(ATALI[[#This Row],[ID NOTA]]="","",HYPERLINK("[NOTA_.xlsx]NOTA!e"&amp;INDEX([2]!PAJAK[//],MATCH(ATALI[[#This Row],[ID NOTA]],[2]!PAJAK[ID],0)),"&gt;") )</f>
        <v/>
      </c>
      <c r="D262" s="6" t="str">
        <f>IF(ATALI[[#This Row],[ID NOTA]]="","",INDEX(Table1[QB],MATCH(ATALI[[#This Row],[ID NOTA]],Table1[ID],0)))</f>
        <v/>
      </c>
      <c r="E2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2" s="6"/>
      <c r="G262" s="3" t="str">
        <f>IF(ATALI[[#This Row],[ID NOTA]]="","",INDEX([2]!NOTA[TGL_H],MATCH(ATALI[[#This Row],[ID NOTA]],[2]!NOTA[ID],0)))</f>
        <v/>
      </c>
      <c r="H262" s="3" t="str">
        <f>IF(ATALI[[#This Row],[ID NOTA]]="","",INDEX([2]!NOTA[TGL.NOTA],MATCH(ATALI[[#This Row],[ID NOTA]],[2]!NOTA[ID],0)))</f>
        <v/>
      </c>
      <c r="I262" s="4" t="str">
        <f>IF(ATALI[[#This Row],[ID NOTA]]="","",INDEX([2]!NOTA[NO.NOTA],MATCH(ATALI[[#This Row],[ID NOTA]],[2]!NOTA[ID],0)))</f>
        <v/>
      </c>
      <c r="J262" s="4" t="str">
        <f ca="1">IF(ATALI[[#This Row],[//]]="","",INDEX([4]!db[NB PAJAK],ATALI[[#This Row],[stt]]-1))</f>
        <v/>
      </c>
      <c r="K262" s="6" t="str">
        <f ca="1">IF(ATALI[[#This Row],[//]]="","",IF(INDEX([2]!NOTA[C],ATALI[[#This Row],[//]]-2)="","",INDEX([2]!NOTA[C],ATALI[[#This Row],[//]]-2)))</f>
        <v/>
      </c>
      <c r="L262" s="6" t="str">
        <f ca="1">IF(ATALI[[#This Row],[//]]="","",INDEX([2]!NOTA[QTY],ATALI[[#This Row],[//]]-2))</f>
        <v/>
      </c>
      <c r="M262" s="6" t="str">
        <f ca="1">IF(ATALI[[#This Row],[//]]="","",INDEX([2]!NOTA[STN],ATALI[[#This Row],[//]]-2))</f>
        <v/>
      </c>
      <c r="N262" s="5" t="str">
        <f ca="1">IF(ATALI[[#This Row],[//]]="","",INDEX([2]!NOTA[HARGA SATUAN],ATALI[[#This Row],[//]]-2))</f>
        <v/>
      </c>
      <c r="O262" s="7" t="str">
        <f ca="1">IF(ATALI[[#This Row],[//]]="","",INDEX([2]!NOTA[DISC 1],ATALI[[#This Row],[//]]-2))</f>
        <v/>
      </c>
      <c r="P262" s="7" t="str">
        <f ca="1">IF(ATALI[[#This Row],[//]]="","",INDEX([2]!NOTA[DISC 2],ATALI[[#This Row],[//]]-2))</f>
        <v/>
      </c>
      <c r="Q262" s="5" t="str">
        <f ca="1">IF(ATALI[[#This Row],[//]]="","",INDEX([2]!NOTA[TOTAL],ATALI[[#This Row],[//]]-2))</f>
        <v/>
      </c>
      <c r="R2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s="4" t="str">
        <f ca="1">IF(ATALI[[#This Row],[//]]="","",INDEX([2]!NOTA[NAMA BARANG],ATALI[[#This Row],[//]]-2))</f>
        <v/>
      </c>
      <c r="V262" s="4" t="str">
        <f ca="1">LOWER(SUBSTITUTE(SUBSTITUTE(SUBSTITUTE(SUBSTITUTE(SUBSTITUTE(SUBSTITUTE(SUBSTITUTE(ATALI[[#This Row],[N.B.nota]]," ",""),"-",""),"(",""),")",""),".",""),",",""),"/",""))</f>
        <v/>
      </c>
      <c r="W262" s="4" t="str">
        <f ca="1">IF(ATALI[[#This Row],[concat]]="","",MATCH(ATALI[[#This Row],[concat]],[4]!db[NB NOTA_C],0)+1)</f>
        <v/>
      </c>
      <c r="X262" s="4" t="str">
        <f ca="1">IF(ATALI[[#This Row],[N.B.nota]]="","",ADDRESS(ROW(ATALI[QB]),COLUMN(ATALI[QB]))&amp;":"&amp;ADDRESS(ROW(),COLUMN(ATALI[QB])))</f>
        <v/>
      </c>
      <c r="Y262" s="13" t="str">
        <f ca="1">IF(ATALI[[#This Row],[//]]="","",HYPERLINK("[../DB.xlsx]DB!e"&amp;MATCH(ATALI[[#This Row],[concat]],[4]!db[NB NOTA_C],0)+1,"&gt;"))</f>
        <v/>
      </c>
    </row>
    <row r="263" spans="1:25" x14ac:dyDescent="0.25">
      <c r="A263" s="4"/>
      <c r="B263" s="6" t="str">
        <f>IF(ATALI[[#This Row],[N_ID]]="","",INDEX(Table1[ID],MATCH(ATALI[[#This Row],[N_ID]],Table1[N_ID],0)))</f>
        <v/>
      </c>
      <c r="C263" s="6" t="str">
        <f>IF(ATALI[[#This Row],[ID NOTA]]="","",HYPERLINK("[NOTA_.xlsx]NOTA!e"&amp;INDEX([2]!PAJAK[//],MATCH(ATALI[[#This Row],[ID NOTA]],[2]!PAJAK[ID],0)),"&gt;") )</f>
        <v/>
      </c>
      <c r="D263" s="6" t="str">
        <f>IF(ATALI[[#This Row],[ID NOTA]]="","",INDEX(Table1[QB],MATCH(ATALI[[#This Row],[ID NOTA]],Table1[ID],0)))</f>
        <v/>
      </c>
      <c r="E2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3" s="6"/>
      <c r="G263" s="3" t="str">
        <f>IF(ATALI[[#This Row],[ID NOTA]]="","",INDEX([2]!NOTA[TGL_H],MATCH(ATALI[[#This Row],[ID NOTA]],[2]!NOTA[ID],0)))</f>
        <v/>
      </c>
      <c r="H263" s="3" t="str">
        <f>IF(ATALI[[#This Row],[ID NOTA]]="","",INDEX([2]!NOTA[TGL.NOTA],MATCH(ATALI[[#This Row],[ID NOTA]],[2]!NOTA[ID],0)))</f>
        <v/>
      </c>
      <c r="I263" s="4" t="str">
        <f>IF(ATALI[[#This Row],[ID NOTA]]="","",INDEX([2]!NOTA[NO.NOTA],MATCH(ATALI[[#This Row],[ID NOTA]],[2]!NOTA[ID],0)))</f>
        <v/>
      </c>
      <c r="J263" s="4" t="str">
        <f ca="1">IF(ATALI[[#This Row],[//]]="","",INDEX([4]!db[NB PAJAK],ATALI[[#This Row],[stt]]-1))</f>
        <v/>
      </c>
      <c r="K263" s="6" t="str">
        <f ca="1">IF(ATALI[[#This Row],[//]]="","",IF(INDEX([2]!NOTA[C],ATALI[[#This Row],[//]]-2)="","",INDEX([2]!NOTA[C],ATALI[[#This Row],[//]]-2)))</f>
        <v/>
      </c>
      <c r="L263" s="6" t="str">
        <f ca="1">IF(ATALI[[#This Row],[//]]="","",INDEX([2]!NOTA[QTY],ATALI[[#This Row],[//]]-2))</f>
        <v/>
      </c>
      <c r="M263" s="6" t="str">
        <f ca="1">IF(ATALI[[#This Row],[//]]="","",INDEX([2]!NOTA[STN],ATALI[[#This Row],[//]]-2))</f>
        <v/>
      </c>
      <c r="N263" s="5" t="str">
        <f ca="1">IF(ATALI[[#This Row],[//]]="","",INDEX([2]!NOTA[HARGA SATUAN],ATALI[[#This Row],[//]]-2))</f>
        <v/>
      </c>
      <c r="O263" s="7" t="str">
        <f ca="1">IF(ATALI[[#This Row],[//]]="","",INDEX([2]!NOTA[DISC 1],ATALI[[#This Row],[//]]-2))</f>
        <v/>
      </c>
      <c r="P263" s="7" t="str">
        <f ca="1">IF(ATALI[[#This Row],[//]]="","",INDEX([2]!NOTA[DISC 2],ATALI[[#This Row],[//]]-2))</f>
        <v/>
      </c>
      <c r="Q263" s="5" t="str">
        <f ca="1">IF(ATALI[[#This Row],[//]]="","",INDEX([2]!NOTA[TOTAL],ATALI[[#This Row],[//]]-2))</f>
        <v/>
      </c>
      <c r="R2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s="4" t="str">
        <f ca="1">IF(ATALI[[#This Row],[//]]="","",INDEX([2]!NOTA[NAMA BARANG],ATALI[[#This Row],[//]]-2))</f>
        <v/>
      </c>
      <c r="V263" s="4" t="str">
        <f ca="1">LOWER(SUBSTITUTE(SUBSTITUTE(SUBSTITUTE(SUBSTITUTE(SUBSTITUTE(SUBSTITUTE(SUBSTITUTE(ATALI[[#This Row],[N.B.nota]]," ",""),"-",""),"(",""),")",""),".",""),",",""),"/",""))</f>
        <v/>
      </c>
      <c r="W263" s="4" t="str">
        <f ca="1">IF(ATALI[[#This Row],[concat]]="","",MATCH(ATALI[[#This Row],[concat]],[4]!db[NB NOTA_C],0)+1)</f>
        <v/>
      </c>
      <c r="X263" s="4" t="str">
        <f ca="1">IF(ATALI[[#This Row],[N.B.nota]]="","",ADDRESS(ROW(ATALI[QB]),COLUMN(ATALI[QB]))&amp;":"&amp;ADDRESS(ROW(),COLUMN(ATALI[QB])))</f>
        <v/>
      </c>
      <c r="Y263" s="13" t="str">
        <f ca="1">IF(ATALI[[#This Row],[//]]="","",HYPERLINK("[../DB.xlsx]DB!e"&amp;MATCH(ATALI[[#This Row],[concat]],[4]!db[NB NOTA_C],0)+1,"&gt;"))</f>
        <v/>
      </c>
    </row>
    <row r="264" spans="1:25" x14ac:dyDescent="0.25">
      <c r="A264" s="4"/>
      <c r="B264" s="6" t="str">
        <f>IF(ATALI[[#This Row],[N_ID]]="","",INDEX(Table1[ID],MATCH(ATALI[[#This Row],[N_ID]],Table1[N_ID],0)))</f>
        <v/>
      </c>
      <c r="C264" s="6" t="str">
        <f>IF(ATALI[[#This Row],[ID NOTA]]="","",HYPERLINK("[NOTA_.xlsx]NOTA!e"&amp;INDEX([2]!PAJAK[//],MATCH(ATALI[[#This Row],[ID NOTA]],[2]!PAJAK[ID],0)),"&gt;") )</f>
        <v/>
      </c>
      <c r="D264" s="6" t="str">
        <f>IF(ATALI[[#This Row],[ID NOTA]]="","",INDEX(Table1[QB],MATCH(ATALI[[#This Row],[ID NOTA]],Table1[ID],0)))</f>
        <v/>
      </c>
      <c r="E2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4" s="6"/>
      <c r="G264" s="3" t="str">
        <f>IF(ATALI[[#This Row],[ID NOTA]]="","",INDEX([2]!NOTA[TGL_H],MATCH(ATALI[[#This Row],[ID NOTA]],[2]!NOTA[ID],0)))</f>
        <v/>
      </c>
      <c r="H264" s="3" t="str">
        <f>IF(ATALI[[#This Row],[ID NOTA]]="","",INDEX([2]!NOTA[TGL.NOTA],MATCH(ATALI[[#This Row],[ID NOTA]],[2]!NOTA[ID],0)))</f>
        <v/>
      </c>
      <c r="I264" s="4" t="str">
        <f>IF(ATALI[[#This Row],[ID NOTA]]="","",INDEX([2]!NOTA[NO.NOTA],MATCH(ATALI[[#This Row],[ID NOTA]],[2]!NOTA[ID],0)))</f>
        <v/>
      </c>
      <c r="J264" s="4" t="str">
        <f ca="1">IF(ATALI[[#This Row],[//]]="","",INDEX([4]!db[NB PAJAK],ATALI[[#This Row],[stt]]-1))</f>
        <v/>
      </c>
      <c r="K264" s="6" t="str">
        <f ca="1">IF(ATALI[[#This Row],[//]]="","",IF(INDEX([2]!NOTA[C],ATALI[[#This Row],[//]]-2)="","",INDEX([2]!NOTA[C],ATALI[[#This Row],[//]]-2)))</f>
        <v/>
      </c>
      <c r="L264" s="6" t="str">
        <f ca="1">IF(ATALI[[#This Row],[//]]="","",INDEX([2]!NOTA[QTY],ATALI[[#This Row],[//]]-2))</f>
        <v/>
      </c>
      <c r="M264" s="6" t="str">
        <f ca="1">IF(ATALI[[#This Row],[//]]="","",INDEX([2]!NOTA[STN],ATALI[[#This Row],[//]]-2))</f>
        <v/>
      </c>
      <c r="N264" s="5" t="str">
        <f ca="1">IF(ATALI[[#This Row],[//]]="","",INDEX([2]!NOTA[HARGA SATUAN],ATALI[[#This Row],[//]]-2))</f>
        <v/>
      </c>
      <c r="O264" s="7" t="str">
        <f ca="1">IF(ATALI[[#This Row],[//]]="","",INDEX([2]!NOTA[DISC 1],ATALI[[#This Row],[//]]-2))</f>
        <v/>
      </c>
      <c r="P264" s="7" t="str">
        <f ca="1">IF(ATALI[[#This Row],[//]]="","",INDEX([2]!NOTA[DISC 2],ATALI[[#This Row],[//]]-2))</f>
        <v/>
      </c>
      <c r="Q264" s="5" t="str">
        <f ca="1">IF(ATALI[[#This Row],[//]]="","",INDEX([2]!NOTA[TOTAL],ATALI[[#This Row],[//]]-2))</f>
        <v/>
      </c>
      <c r="R2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s="4" t="str">
        <f ca="1">IF(ATALI[[#This Row],[//]]="","",INDEX([2]!NOTA[NAMA BARANG],ATALI[[#This Row],[//]]-2))</f>
        <v/>
      </c>
      <c r="V264" s="4" t="str">
        <f ca="1">LOWER(SUBSTITUTE(SUBSTITUTE(SUBSTITUTE(SUBSTITUTE(SUBSTITUTE(SUBSTITUTE(SUBSTITUTE(ATALI[[#This Row],[N.B.nota]]," ",""),"-",""),"(",""),")",""),".",""),",",""),"/",""))</f>
        <v/>
      </c>
      <c r="W264" s="4" t="str">
        <f ca="1">IF(ATALI[[#This Row],[concat]]="","",MATCH(ATALI[[#This Row],[concat]],[4]!db[NB NOTA_C],0)+1)</f>
        <v/>
      </c>
      <c r="X264" s="4" t="str">
        <f ca="1">IF(ATALI[[#This Row],[N.B.nota]]="","",ADDRESS(ROW(ATALI[QB]),COLUMN(ATALI[QB]))&amp;":"&amp;ADDRESS(ROW(),COLUMN(ATALI[QB])))</f>
        <v/>
      </c>
      <c r="Y264" s="13" t="str">
        <f ca="1">IF(ATALI[[#This Row],[//]]="","",HYPERLINK("[../DB.xlsx]DB!e"&amp;MATCH(ATALI[[#This Row],[concat]],[4]!db[NB NOTA_C],0)+1,"&gt;"))</f>
        <v/>
      </c>
    </row>
    <row r="265" spans="1:25" x14ac:dyDescent="0.25">
      <c r="A265" s="4"/>
      <c r="B265" s="6" t="str">
        <f>IF(ATALI[[#This Row],[N_ID]]="","",INDEX(Table1[ID],MATCH(ATALI[[#This Row],[N_ID]],Table1[N_ID],0)))</f>
        <v/>
      </c>
      <c r="C265" s="6" t="str">
        <f>IF(ATALI[[#This Row],[ID NOTA]]="","",HYPERLINK("[NOTA_.xlsx]NOTA!e"&amp;INDEX([2]!PAJAK[//],MATCH(ATALI[[#This Row],[ID NOTA]],[2]!PAJAK[ID],0)),"&gt;") )</f>
        <v/>
      </c>
      <c r="D265" s="6" t="str">
        <f>IF(ATALI[[#This Row],[ID NOTA]]="","",INDEX(Table1[QB],MATCH(ATALI[[#This Row],[ID NOTA]],Table1[ID],0)))</f>
        <v/>
      </c>
      <c r="E2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5" s="6"/>
      <c r="G265" s="3" t="str">
        <f>IF(ATALI[[#This Row],[ID NOTA]]="","",INDEX([2]!NOTA[TGL_H],MATCH(ATALI[[#This Row],[ID NOTA]],[2]!NOTA[ID],0)))</f>
        <v/>
      </c>
      <c r="H265" s="3" t="str">
        <f>IF(ATALI[[#This Row],[ID NOTA]]="","",INDEX([2]!NOTA[TGL.NOTA],MATCH(ATALI[[#This Row],[ID NOTA]],[2]!NOTA[ID],0)))</f>
        <v/>
      </c>
      <c r="I265" s="4" t="str">
        <f>IF(ATALI[[#This Row],[ID NOTA]]="","",INDEX([2]!NOTA[NO.NOTA],MATCH(ATALI[[#This Row],[ID NOTA]],[2]!NOTA[ID],0)))</f>
        <v/>
      </c>
      <c r="J265" s="4" t="str">
        <f ca="1">IF(ATALI[[#This Row],[//]]="","",INDEX([4]!db[NB PAJAK],ATALI[[#This Row],[stt]]-1))</f>
        <v/>
      </c>
      <c r="K265" s="6" t="str">
        <f ca="1">IF(ATALI[[#This Row],[//]]="","",IF(INDEX([2]!NOTA[C],ATALI[[#This Row],[//]]-2)="","",INDEX([2]!NOTA[C],ATALI[[#This Row],[//]]-2)))</f>
        <v/>
      </c>
      <c r="L265" s="6" t="str">
        <f ca="1">IF(ATALI[[#This Row],[//]]="","",INDEX([2]!NOTA[QTY],ATALI[[#This Row],[//]]-2))</f>
        <v/>
      </c>
      <c r="M265" s="6" t="str">
        <f ca="1">IF(ATALI[[#This Row],[//]]="","",INDEX([2]!NOTA[STN],ATALI[[#This Row],[//]]-2))</f>
        <v/>
      </c>
      <c r="N265" s="5" t="str">
        <f ca="1">IF(ATALI[[#This Row],[//]]="","",INDEX([2]!NOTA[HARGA SATUAN],ATALI[[#This Row],[//]]-2))</f>
        <v/>
      </c>
      <c r="O265" s="7" t="str">
        <f ca="1">IF(ATALI[[#This Row],[//]]="","",INDEX([2]!NOTA[DISC 1],ATALI[[#This Row],[//]]-2))</f>
        <v/>
      </c>
      <c r="P265" s="7" t="str">
        <f ca="1">IF(ATALI[[#This Row],[//]]="","",INDEX([2]!NOTA[DISC 2],ATALI[[#This Row],[//]]-2))</f>
        <v/>
      </c>
      <c r="Q265" s="5" t="str">
        <f ca="1">IF(ATALI[[#This Row],[//]]="","",INDEX([2]!NOTA[TOTAL],ATALI[[#This Row],[//]]-2))</f>
        <v/>
      </c>
      <c r="R2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5" s="4" t="str">
        <f ca="1">IF(ATALI[[#This Row],[//]]="","",INDEX([2]!NOTA[NAMA BARANG],ATALI[[#This Row],[//]]-2))</f>
        <v/>
      </c>
      <c r="V265" s="4" t="str">
        <f ca="1">LOWER(SUBSTITUTE(SUBSTITUTE(SUBSTITUTE(SUBSTITUTE(SUBSTITUTE(SUBSTITUTE(SUBSTITUTE(ATALI[[#This Row],[N.B.nota]]," ",""),"-",""),"(",""),")",""),".",""),",",""),"/",""))</f>
        <v/>
      </c>
      <c r="W265" s="4" t="str">
        <f ca="1">IF(ATALI[[#This Row],[concat]]="","",MATCH(ATALI[[#This Row],[concat]],[4]!db[NB NOTA_C],0)+1)</f>
        <v/>
      </c>
      <c r="X265" s="4" t="str">
        <f ca="1">IF(ATALI[[#This Row],[N.B.nota]]="","",ADDRESS(ROW(ATALI[QB]),COLUMN(ATALI[QB]))&amp;":"&amp;ADDRESS(ROW(),COLUMN(ATALI[QB])))</f>
        <v/>
      </c>
      <c r="Y265" s="13" t="str">
        <f ca="1">IF(ATALI[[#This Row],[//]]="","",HYPERLINK("[../DB.xlsx]DB!e"&amp;MATCH(ATALI[[#This Row],[concat]],[4]!db[NB NOTA_C],0)+1,"&gt;"))</f>
        <v/>
      </c>
    </row>
    <row r="266" spans="1:25" x14ac:dyDescent="0.25">
      <c r="A266" s="4"/>
      <c r="B266" s="6" t="str">
        <f>IF(ATALI[[#This Row],[N_ID]]="","",INDEX(Table1[ID],MATCH(ATALI[[#This Row],[N_ID]],Table1[N_ID],0)))</f>
        <v/>
      </c>
      <c r="C266" s="6" t="str">
        <f>IF(ATALI[[#This Row],[ID NOTA]]="","",HYPERLINK("[NOTA_.xlsx]NOTA!e"&amp;INDEX([2]!PAJAK[//],MATCH(ATALI[[#This Row],[ID NOTA]],[2]!PAJAK[ID],0)),"&gt;") )</f>
        <v/>
      </c>
      <c r="D266" s="6" t="str">
        <f>IF(ATALI[[#This Row],[ID NOTA]]="","",INDEX(Table1[QB],MATCH(ATALI[[#This Row],[ID NOTA]],Table1[ID],0)))</f>
        <v/>
      </c>
      <c r="E2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6" s="6"/>
      <c r="G266" s="3" t="str">
        <f>IF(ATALI[[#This Row],[ID NOTA]]="","",INDEX([2]!NOTA[TGL_H],MATCH(ATALI[[#This Row],[ID NOTA]],[2]!NOTA[ID],0)))</f>
        <v/>
      </c>
      <c r="H266" s="3" t="str">
        <f>IF(ATALI[[#This Row],[ID NOTA]]="","",INDEX([2]!NOTA[TGL.NOTA],MATCH(ATALI[[#This Row],[ID NOTA]],[2]!NOTA[ID],0)))</f>
        <v/>
      </c>
      <c r="I266" s="4" t="str">
        <f>IF(ATALI[[#This Row],[ID NOTA]]="","",INDEX([2]!NOTA[NO.NOTA],MATCH(ATALI[[#This Row],[ID NOTA]],[2]!NOTA[ID],0)))</f>
        <v/>
      </c>
      <c r="J266" s="4" t="str">
        <f ca="1">IF(ATALI[[#This Row],[//]]="","",INDEX([4]!db[NB PAJAK],ATALI[[#This Row],[stt]]-1))</f>
        <v/>
      </c>
      <c r="K266" s="6" t="str">
        <f ca="1">IF(ATALI[[#This Row],[//]]="","",IF(INDEX([2]!NOTA[C],ATALI[[#This Row],[//]]-2)="","",INDEX([2]!NOTA[C],ATALI[[#This Row],[//]]-2)))</f>
        <v/>
      </c>
      <c r="L266" s="6" t="str">
        <f ca="1">IF(ATALI[[#This Row],[//]]="","",INDEX([2]!NOTA[QTY],ATALI[[#This Row],[//]]-2))</f>
        <v/>
      </c>
      <c r="M266" s="6" t="str">
        <f ca="1">IF(ATALI[[#This Row],[//]]="","",INDEX([2]!NOTA[STN],ATALI[[#This Row],[//]]-2))</f>
        <v/>
      </c>
      <c r="N266" s="5" t="str">
        <f ca="1">IF(ATALI[[#This Row],[//]]="","",INDEX([2]!NOTA[HARGA SATUAN],ATALI[[#This Row],[//]]-2))</f>
        <v/>
      </c>
      <c r="O266" s="7" t="str">
        <f ca="1">IF(ATALI[[#This Row],[//]]="","",INDEX([2]!NOTA[DISC 1],ATALI[[#This Row],[//]]-2))</f>
        <v/>
      </c>
      <c r="P266" s="7" t="str">
        <f ca="1">IF(ATALI[[#This Row],[//]]="","",INDEX([2]!NOTA[DISC 2],ATALI[[#This Row],[//]]-2))</f>
        <v/>
      </c>
      <c r="Q266" s="5" t="str">
        <f ca="1">IF(ATALI[[#This Row],[//]]="","",INDEX([2]!NOTA[TOTAL],ATALI[[#This Row],[//]]-2))</f>
        <v/>
      </c>
      <c r="R2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s="4" t="str">
        <f ca="1">IF(ATALI[[#This Row],[//]]="","",INDEX([2]!NOTA[NAMA BARANG],ATALI[[#This Row],[//]]-2))</f>
        <v/>
      </c>
      <c r="V266" s="4" t="str">
        <f ca="1">LOWER(SUBSTITUTE(SUBSTITUTE(SUBSTITUTE(SUBSTITUTE(SUBSTITUTE(SUBSTITUTE(SUBSTITUTE(ATALI[[#This Row],[N.B.nota]]," ",""),"-",""),"(",""),")",""),".",""),",",""),"/",""))</f>
        <v/>
      </c>
      <c r="W266" s="4" t="str">
        <f ca="1">IF(ATALI[[#This Row],[concat]]="","",MATCH(ATALI[[#This Row],[concat]],[4]!db[NB NOTA_C],0)+1)</f>
        <v/>
      </c>
      <c r="X266" s="4" t="str">
        <f ca="1">IF(ATALI[[#This Row],[N.B.nota]]="","",ADDRESS(ROW(ATALI[QB]),COLUMN(ATALI[QB]))&amp;":"&amp;ADDRESS(ROW(),COLUMN(ATALI[QB])))</f>
        <v/>
      </c>
      <c r="Y266" s="13" t="str">
        <f ca="1">IF(ATALI[[#This Row],[//]]="","",HYPERLINK("[../DB.xlsx]DB!e"&amp;MATCH(ATALI[[#This Row],[concat]],[4]!db[NB NOTA_C],0)+1,"&gt;"))</f>
        <v/>
      </c>
    </row>
    <row r="267" spans="1:25" x14ac:dyDescent="0.25">
      <c r="A267" s="4"/>
      <c r="B267" s="6" t="str">
        <f>IF(ATALI[[#This Row],[N_ID]]="","",INDEX(Table1[ID],MATCH(ATALI[[#This Row],[N_ID]],Table1[N_ID],0)))</f>
        <v/>
      </c>
      <c r="C267" s="6" t="str">
        <f>IF(ATALI[[#This Row],[ID NOTA]]="","",HYPERLINK("[NOTA_.xlsx]NOTA!e"&amp;INDEX([2]!PAJAK[//],MATCH(ATALI[[#This Row],[ID NOTA]],[2]!PAJAK[ID],0)),"&gt;") )</f>
        <v/>
      </c>
      <c r="D267" s="6" t="str">
        <f>IF(ATALI[[#This Row],[ID NOTA]]="","",INDEX(Table1[QB],MATCH(ATALI[[#This Row],[ID NOTA]],Table1[ID],0)))</f>
        <v/>
      </c>
      <c r="E2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7" s="6"/>
      <c r="G267" s="3" t="str">
        <f>IF(ATALI[[#This Row],[ID NOTA]]="","",INDEX([2]!NOTA[TGL_H],MATCH(ATALI[[#This Row],[ID NOTA]],[2]!NOTA[ID],0)))</f>
        <v/>
      </c>
      <c r="H267" s="3" t="str">
        <f>IF(ATALI[[#This Row],[ID NOTA]]="","",INDEX([2]!NOTA[TGL.NOTA],MATCH(ATALI[[#This Row],[ID NOTA]],[2]!NOTA[ID],0)))</f>
        <v/>
      </c>
      <c r="I267" s="4" t="str">
        <f>IF(ATALI[[#This Row],[ID NOTA]]="","",INDEX([2]!NOTA[NO.NOTA],MATCH(ATALI[[#This Row],[ID NOTA]],[2]!NOTA[ID],0)))</f>
        <v/>
      </c>
      <c r="J267" s="4" t="str">
        <f ca="1">IF(ATALI[[#This Row],[//]]="","",INDEX([4]!db[NB PAJAK],ATALI[[#This Row],[stt]]-1))</f>
        <v/>
      </c>
      <c r="K267" s="6" t="str">
        <f ca="1">IF(ATALI[[#This Row],[//]]="","",IF(INDEX([2]!NOTA[C],ATALI[[#This Row],[//]]-2)="","",INDEX([2]!NOTA[C],ATALI[[#This Row],[//]]-2)))</f>
        <v/>
      </c>
      <c r="L267" s="6" t="str">
        <f ca="1">IF(ATALI[[#This Row],[//]]="","",INDEX([2]!NOTA[QTY],ATALI[[#This Row],[//]]-2))</f>
        <v/>
      </c>
      <c r="M267" s="6" t="str">
        <f ca="1">IF(ATALI[[#This Row],[//]]="","",INDEX([2]!NOTA[STN],ATALI[[#This Row],[//]]-2))</f>
        <v/>
      </c>
      <c r="N267" s="5" t="str">
        <f ca="1">IF(ATALI[[#This Row],[//]]="","",INDEX([2]!NOTA[HARGA SATUAN],ATALI[[#This Row],[//]]-2))</f>
        <v/>
      </c>
      <c r="O267" s="7" t="str">
        <f ca="1">IF(ATALI[[#This Row],[//]]="","",INDEX([2]!NOTA[DISC 1],ATALI[[#This Row],[//]]-2))</f>
        <v/>
      </c>
      <c r="P267" s="7" t="str">
        <f ca="1">IF(ATALI[[#This Row],[//]]="","",INDEX([2]!NOTA[DISC 2],ATALI[[#This Row],[//]]-2))</f>
        <v/>
      </c>
      <c r="Q267" s="5" t="str">
        <f ca="1">IF(ATALI[[#This Row],[//]]="","",INDEX([2]!NOTA[TOTAL],ATALI[[#This Row],[//]]-2))</f>
        <v/>
      </c>
      <c r="R2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s="4" t="str">
        <f ca="1">IF(ATALI[[#This Row],[//]]="","",INDEX([2]!NOTA[NAMA BARANG],ATALI[[#This Row],[//]]-2))</f>
        <v/>
      </c>
      <c r="V267" s="4" t="str">
        <f ca="1">LOWER(SUBSTITUTE(SUBSTITUTE(SUBSTITUTE(SUBSTITUTE(SUBSTITUTE(SUBSTITUTE(SUBSTITUTE(ATALI[[#This Row],[N.B.nota]]," ",""),"-",""),"(",""),")",""),".",""),",",""),"/",""))</f>
        <v/>
      </c>
      <c r="W267" s="4" t="str">
        <f ca="1">IF(ATALI[[#This Row],[concat]]="","",MATCH(ATALI[[#This Row],[concat]],[4]!db[NB NOTA_C],0)+1)</f>
        <v/>
      </c>
      <c r="X267" s="4" t="str">
        <f ca="1">IF(ATALI[[#This Row],[N.B.nota]]="","",ADDRESS(ROW(ATALI[QB]),COLUMN(ATALI[QB]))&amp;":"&amp;ADDRESS(ROW(),COLUMN(ATALI[QB])))</f>
        <v/>
      </c>
      <c r="Y267" s="13" t="str">
        <f ca="1">IF(ATALI[[#This Row],[//]]="","",HYPERLINK("[../DB.xlsx]DB!e"&amp;MATCH(ATALI[[#This Row],[concat]],[4]!db[NB NOTA_C],0)+1,"&gt;"))</f>
        <v/>
      </c>
    </row>
    <row r="268" spans="1:25" x14ac:dyDescent="0.25">
      <c r="A268" s="4"/>
      <c r="B268" s="6" t="str">
        <f>IF(ATALI[[#This Row],[N_ID]]="","",INDEX(Table1[ID],MATCH(ATALI[[#This Row],[N_ID]],Table1[N_ID],0)))</f>
        <v/>
      </c>
      <c r="C268" s="6" t="str">
        <f>IF(ATALI[[#This Row],[ID NOTA]]="","",HYPERLINK("[NOTA_.xlsx]NOTA!e"&amp;INDEX([2]!PAJAK[//],MATCH(ATALI[[#This Row],[ID NOTA]],[2]!PAJAK[ID],0)),"&gt;") )</f>
        <v/>
      </c>
      <c r="D268" s="6" t="str">
        <f>IF(ATALI[[#This Row],[ID NOTA]]="","",INDEX(Table1[QB],MATCH(ATALI[[#This Row],[ID NOTA]],Table1[ID],0)))</f>
        <v/>
      </c>
      <c r="E2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8" s="6"/>
      <c r="G268" s="3" t="str">
        <f>IF(ATALI[[#This Row],[ID NOTA]]="","",INDEX([2]!NOTA[TGL_H],MATCH(ATALI[[#This Row],[ID NOTA]],[2]!NOTA[ID],0)))</f>
        <v/>
      </c>
      <c r="H268" s="3" t="str">
        <f>IF(ATALI[[#This Row],[ID NOTA]]="","",INDEX([2]!NOTA[TGL.NOTA],MATCH(ATALI[[#This Row],[ID NOTA]],[2]!NOTA[ID],0)))</f>
        <v/>
      </c>
      <c r="I268" s="4" t="str">
        <f>IF(ATALI[[#This Row],[ID NOTA]]="","",INDEX([2]!NOTA[NO.NOTA],MATCH(ATALI[[#This Row],[ID NOTA]],[2]!NOTA[ID],0)))</f>
        <v/>
      </c>
      <c r="J268" s="4" t="str">
        <f ca="1">IF(ATALI[[#This Row],[//]]="","",INDEX([4]!db[NB PAJAK],ATALI[[#This Row],[stt]]-1))</f>
        <v/>
      </c>
      <c r="K268" s="6" t="str">
        <f ca="1">IF(ATALI[[#This Row],[//]]="","",IF(INDEX([2]!NOTA[C],ATALI[[#This Row],[//]]-2)="","",INDEX([2]!NOTA[C],ATALI[[#This Row],[//]]-2)))</f>
        <v/>
      </c>
      <c r="L268" s="6" t="str">
        <f ca="1">IF(ATALI[[#This Row],[//]]="","",INDEX([2]!NOTA[QTY],ATALI[[#This Row],[//]]-2))</f>
        <v/>
      </c>
      <c r="M268" s="6" t="str">
        <f ca="1">IF(ATALI[[#This Row],[//]]="","",INDEX([2]!NOTA[STN],ATALI[[#This Row],[//]]-2))</f>
        <v/>
      </c>
      <c r="N268" s="5" t="str">
        <f ca="1">IF(ATALI[[#This Row],[//]]="","",INDEX([2]!NOTA[HARGA SATUAN],ATALI[[#This Row],[//]]-2))</f>
        <v/>
      </c>
      <c r="O268" s="7" t="str">
        <f ca="1">IF(ATALI[[#This Row],[//]]="","",INDEX([2]!NOTA[DISC 1],ATALI[[#This Row],[//]]-2))</f>
        <v/>
      </c>
      <c r="P268" s="7" t="str">
        <f ca="1">IF(ATALI[[#This Row],[//]]="","",INDEX([2]!NOTA[DISC 2],ATALI[[#This Row],[//]]-2))</f>
        <v/>
      </c>
      <c r="Q268" s="5" t="str">
        <f ca="1">IF(ATALI[[#This Row],[//]]="","",INDEX([2]!NOTA[TOTAL],ATALI[[#This Row],[//]]-2))</f>
        <v/>
      </c>
      <c r="R2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s="4" t="str">
        <f ca="1">IF(ATALI[[#This Row],[//]]="","",INDEX([2]!NOTA[NAMA BARANG],ATALI[[#This Row],[//]]-2))</f>
        <v/>
      </c>
      <c r="V268" s="4" t="str">
        <f ca="1">LOWER(SUBSTITUTE(SUBSTITUTE(SUBSTITUTE(SUBSTITUTE(SUBSTITUTE(SUBSTITUTE(SUBSTITUTE(ATALI[[#This Row],[N.B.nota]]," ",""),"-",""),"(",""),")",""),".",""),",",""),"/",""))</f>
        <v/>
      </c>
      <c r="W268" s="4" t="str">
        <f ca="1">IF(ATALI[[#This Row],[concat]]="","",MATCH(ATALI[[#This Row],[concat]],[4]!db[NB NOTA_C],0)+1)</f>
        <v/>
      </c>
      <c r="X268" s="4" t="str">
        <f ca="1">IF(ATALI[[#This Row],[N.B.nota]]="","",ADDRESS(ROW(ATALI[QB]),COLUMN(ATALI[QB]))&amp;":"&amp;ADDRESS(ROW(),COLUMN(ATALI[QB])))</f>
        <v/>
      </c>
      <c r="Y268" s="13" t="str">
        <f ca="1">IF(ATALI[[#This Row],[//]]="","",HYPERLINK("[../DB.xlsx]DB!e"&amp;MATCH(ATALI[[#This Row],[concat]],[4]!db[NB NOTA_C],0)+1,"&gt;"))</f>
        <v/>
      </c>
    </row>
    <row r="269" spans="1:25" x14ac:dyDescent="0.25">
      <c r="A269" s="4"/>
      <c r="B269" s="6" t="str">
        <f>IF(ATALI[[#This Row],[N_ID]]="","",INDEX(Table1[ID],MATCH(ATALI[[#This Row],[N_ID]],Table1[N_ID],0)))</f>
        <v/>
      </c>
      <c r="C269" s="6" t="str">
        <f>IF(ATALI[[#This Row],[ID NOTA]]="","",HYPERLINK("[NOTA_.xlsx]NOTA!e"&amp;INDEX([2]!PAJAK[//],MATCH(ATALI[[#This Row],[ID NOTA]],[2]!PAJAK[ID],0)),"&gt;") )</f>
        <v/>
      </c>
      <c r="D269" s="6" t="str">
        <f>IF(ATALI[[#This Row],[ID NOTA]]="","",INDEX(Table1[QB],MATCH(ATALI[[#This Row],[ID NOTA]],Table1[ID],0)))</f>
        <v/>
      </c>
      <c r="E2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9" s="6"/>
      <c r="G269" s="3" t="str">
        <f>IF(ATALI[[#This Row],[ID NOTA]]="","",INDEX([2]!NOTA[TGL_H],MATCH(ATALI[[#This Row],[ID NOTA]],[2]!NOTA[ID],0)))</f>
        <v/>
      </c>
      <c r="H269" s="3" t="str">
        <f>IF(ATALI[[#This Row],[ID NOTA]]="","",INDEX([2]!NOTA[TGL.NOTA],MATCH(ATALI[[#This Row],[ID NOTA]],[2]!NOTA[ID],0)))</f>
        <v/>
      </c>
      <c r="I269" s="4" t="str">
        <f>IF(ATALI[[#This Row],[ID NOTA]]="","",INDEX([2]!NOTA[NO.NOTA],MATCH(ATALI[[#This Row],[ID NOTA]],[2]!NOTA[ID],0)))</f>
        <v/>
      </c>
      <c r="J269" s="4" t="str">
        <f ca="1">IF(ATALI[[#This Row],[//]]="","",INDEX([4]!db[NB PAJAK],ATALI[[#This Row],[stt]]-1))</f>
        <v/>
      </c>
      <c r="K269" s="6" t="str">
        <f ca="1">IF(ATALI[[#This Row],[//]]="","",IF(INDEX([2]!NOTA[C],ATALI[[#This Row],[//]]-2)="","",INDEX([2]!NOTA[C],ATALI[[#This Row],[//]]-2)))</f>
        <v/>
      </c>
      <c r="L269" s="6" t="str">
        <f ca="1">IF(ATALI[[#This Row],[//]]="","",INDEX([2]!NOTA[QTY],ATALI[[#This Row],[//]]-2))</f>
        <v/>
      </c>
      <c r="M269" s="6" t="str">
        <f ca="1">IF(ATALI[[#This Row],[//]]="","",INDEX([2]!NOTA[STN],ATALI[[#This Row],[//]]-2))</f>
        <v/>
      </c>
      <c r="N269" s="5" t="str">
        <f ca="1">IF(ATALI[[#This Row],[//]]="","",INDEX([2]!NOTA[HARGA SATUAN],ATALI[[#This Row],[//]]-2))</f>
        <v/>
      </c>
      <c r="O269" s="7" t="str">
        <f ca="1">IF(ATALI[[#This Row],[//]]="","",INDEX([2]!NOTA[DISC 1],ATALI[[#This Row],[//]]-2))</f>
        <v/>
      </c>
      <c r="P269" s="7" t="str">
        <f ca="1">IF(ATALI[[#This Row],[//]]="","",INDEX([2]!NOTA[DISC 2],ATALI[[#This Row],[//]]-2))</f>
        <v/>
      </c>
      <c r="Q269" s="5" t="str">
        <f ca="1">IF(ATALI[[#This Row],[//]]="","",INDEX([2]!NOTA[TOTAL],ATALI[[#This Row],[//]]-2))</f>
        <v/>
      </c>
      <c r="R2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s="4" t="str">
        <f ca="1">IF(ATALI[[#This Row],[//]]="","",INDEX([2]!NOTA[NAMA BARANG],ATALI[[#This Row],[//]]-2))</f>
        <v/>
      </c>
      <c r="V269" s="4" t="str">
        <f ca="1">LOWER(SUBSTITUTE(SUBSTITUTE(SUBSTITUTE(SUBSTITUTE(SUBSTITUTE(SUBSTITUTE(SUBSTITUTE(ATALI[[#This Row],[N.B.nota]]," ",""),"-",""),"(",""),")",""),".",""),",",""),"/",""))</f>
        <v/>
      </c>
      <c r="W269" s="4" t="str">
        <f ca="1">IF(ATALI[[#This Row],[concat]]="","",MATCH(ATALI[[#This Row],[concat]],[4]!db[NB NOTA_C],0)+1)</f>
        <v/>
      </c>
      <c r="X269" s="4" t="str">
        <f ca="1">IF(ATALI[[#This Row],[N.B.nota]]="","",ADDRESS(ROW(ATALI[QB]),COLUMN(ATALI[QB]))&amp;":"&amp;ADDRESS(ROW(),COLUMN(ATALI[QB])))</f>
        <v/>
      </c>
      <c r="Y269" s="13" t="str">
        <f ca="1">IF(ATALI[[#This Row],[//]]="","",HYPERLINK("[../DB.xlsx]DB!e"&amp;MATCH(ATALI[[#This Row],[concat]],[4]!db[NB NOTA_C],0)+1,"&gt;"))</f>
        <v/>
      </c>
    </row>
    <row r="270" spans="1:25" x14ac:dyDescent="0.25">
      <c r="A270" s="4"/>
      <c r="B270" s="6" t="str">
        <f>IF(ATALI[[#This Row],[N_ID]]="","",INDEX(Table1[ID],MATCH(ATALI[[#This Row],[N_ID]],Table1[N_ID],0)))</f>
        <v/>
      </c>
      <c r="C270" s="6" t="str">
        <f>IF(ATALI[[#This Row],[ID NOTA]]="","",HYPERLINK("[NOTA_.xlsx]NOTA!e"&amp;INDEX([2]!PAJAK[//],MATCH(ATALI[[#This Row],[ID NOTA]],[2]!PAJAK[ID],0)),"&gt;") )</f>
        <v/>
      </c>
      <c r="D270" s="6" t="str">
        <f>IF(ATALI[[#This Row],[ID NOTA]]="","",INDEX(Table1[QB],MATCH(ATALI[[#This Row],[ID NOTA]],Table1[ID],0)))</f>
        <v/>
      </c>
      <c r="E2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0" s="6"/>
      <c r="G270" s="3" t="str">
        <f>IF(ATALI[[#This Row],[ID NOTA]]="","",INDEX([2]!NOTA[TGL_H],MATCH(ATALI[[#This Row],[ID NOTA]],[2]!NOTA[ID],0)))</f>
        <v/>
      </c>
      <c r="H270" s="3" t="str">
        <f>IF(ATALI[[#This Row],[ID NOTA]]="","",INDEX([2]!NOTA[TGL.NOTA],MATCH(ATALI[[#This Row],[ID NOTA]],[2]!NOTA[ID],0)))</f>
        <v/>
      </c>
      <c r="I270" s="4" t="str">
        <f>IF(ATALI[[#This Row],[ID NOTA]]="","",INDEX([2]!NOTA[NO.NOTA],MATCH(ATALI[[#This Row],[ID NOTA]],[2]!NOTA[ID],0)))</f>
        <v/>
      </c>
      <c r="J270" s="4" t="str">
        <f ca="1">IF(ATALI[[#This Row],[//]]="","",INDEX([4]!db[NB PAJAK],ATALI[[#This Row],[stt]]-1))</f>
        <v/>
      </c>
      <c r="K270" s="6" t="str">
        <f ca="1">IF(ATALI[[#This Row],[//]]="","",IF(INDEX([2]!NOTA[C],ATALI[[#This Row],[//]]-2)="","",INDEX([2]!NOTA[C],ATALI[[#This Row],[//]]-2)))</f>
        <v/>
      </c>
      <c r="L270" s="6" t="str">
        <f ca="1">IF(ATALI[[#This Row],[//]]="","",INDEX([2]!NOTA[QTY],ATALI[[#This Row],[//]]-2))</f>
        <v/>
      </c>
      <c r="M270" s="6" t="str">
        <f ca="1">IF(ATALI[[#This Row],[//]]="","",INDEX([2]!NOTA[STN],ATALI[[#This Row],[//]]-2))</f>
        <v/>
      </c>
      <c r="N270" s="5" t="str">
        <f ca="1">IF(ATALI[[#This Row],[//]]="","",INDEX([2]!NOTA[HARGA SATUAN],ATALI[[#This Row],[//]]-2))</f>
        <v/>
      </c>
      <c r="O270" s="7" t="str">
        <f ca="1">IF(ATALI[[#This Row],[//]]="","",INDEX([2]!NOTA[DISC 1],ATALI[[#This Row],[//]]-2))</f>
        <v/>
      </c>
      <c r="P270" s="7" t="str">
        <f ca="1">IF(ATALI[[#This Row],[//]]="","",INDEX([2]!NOTA[DISC 2],ATALI[[#This Row],[//]]-2))</f>
        <v/>
      </c>
      <c r="Q270" s="5" t="str">
        <f ca="1">IF(ATALI[[#This Row],[//]]="","",INDEX([2]!NOTA[TOTAL],ATALI[[#This Row],[//]]-2))</f>
        <v/>
      </c>
      <c r="R2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0" s="4" t="str">
        <f ca="1">IF(ATALI[[#This Row],[//]]="","",INDEX([2]!NOTA[NAMA BARANG],ATALI[[#This Row],[//]]-2))</f>
        <v/>
      </c>
      <c r="V270" s="4" t="str">
        <f ca="1">LOWER(SUBSTITUTE(SUBSTITUTE(SUBSTITUTE(SUBSTITUTE(SUBSTITUTE(SUBSTITUTE(SUBSTITUTE(ATALI[[#This Row],[N.B.nota]]," ",""),"-",""),"(",""),")",""),".",""),",",""),"/",""))</f>
        <v/>
      </c>
      <c r="W270" s="4" t="str">
        <f ca="1">IF(ATALI[[#This Row],[concat]]="","",MATCH(ATALI[[#This Row],[concat]],[4]!db[NB NOTA_C],0)+1)</f>
        <v/>
      </c>
      <c r="X270" s="4" t="str">
        <f ca="1">IF(ATALI[[#This Row],[N.B.nota]]="","",ADDRESS(ROW(ATALI[QB]),COLUMN(ATALI[QB]))&amp;":"&amp;ADDRESS(ROW(),COLUMN(ATALI[QB])))</f>
        <v/>
      </c>
      <c r="Y270" s="13" t="str">
        <f ca="1">IF(ATALI[[#This Row],[//]]="","",HYPERLINK("[../DB.xlsx]DB!e"&amp;MATCH(ATALI[[#This Row],[concat]],[4]!db[NB NOTA_C],0)+1,"&gt;"))</f>
        <v/>
      </c>
    </row>
    <row r="271" spans="1:25" x14ac:dyDescent="0.25">
      <c r="A271" s="4"/>
      <c r="B271" s="6" t="str">
        <f>IF(ATALI[[#This Row],[N_ID]]="","",INDEX(Table1[ID],MATCH(ATALI[[#This Row],[N_ID]],Table1[N_ID],0)))</f>
        <v/>
      </c>
      <c r="C271" s="6" t="str">
        <f>IF(ATALI[[#This Row],[ID NOTA]]="","",HYPERLINK("[NOTA_.xlsx]NOTA!e"&amp;INDEX([2]!PAJAK[//],MATCH(ATALI[[#This Row],[ID NOTA]],[2]!PAJAK[ID],0)),"&gt;") )</f>
        <v/>
      </c>
      <c r="D271" s="6" t="str">
        <f>IF(ATALI[[#This Row],[ID NOTA]]="","",INDEX(Table1[QB],MATCH(ATALI[[#This Row],[ID NOTA]],Table1[ID],0)))</f>
        <v/>
      </c>
      <c r="E2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1" s="6"/>
      <c r="G271" s="3" t="str">
        <f>IF(ATALI[[#This Row],[ID NOTA]]="","",INDEX([2]!NOTA[TGL_H],MATCH(ATALI[[#This Row],[ID NOTA]],[2]!NOTA[ID],0)))</f>
        <v/>
      </c>
      <c r="H271" s="3" t="str">
        <f>IF(ATALI[[#This Row],[ID NOTA]]="","",INDEX([2]!NOTA[TGL.NOTA],MATCH(ATALI[[#This Row],[ID NOTA]],[2]!NOTA[ID],0)))</f>
        <v/>
      </c>
      <c r="I271" s="4" t="str">
        <f>IF(ATALI[[#This Row],[ID NOTA]]="","",INDEX([2]!NOTA[NO.NOTA],MATCH(ATALI[[#This Row],[ID NOTA]],[2]!NOTA[ID],0)))</f>
        <v/>
      </c>
      <c r="J271" s="4" t="str">
        <f ca="1">IF(ATALI[[#This Row],[//]]="","",INDEX([4]!db[NB PAJAK],ATALI[[#This Row],[stt]]-1))</f>
        <v/>
      </c>
      <c r="K271" s="6" t="str">
        <f ca="1">IF(ATALI[[#This Row],[//]]="","",IF(INDEX([2]!NOTA[C],ATALI[[#This Row],[//]]-2)="","",INDEX([2]!NOTA[C],ATALI[[#This Row],[//]]-2)))</f>
        <v/>
      </c>
      <c r="L271" s="6" t="str">
        <f ca="1">IF(ATALI[[#This Row],[//]]="","",INDEX([2]!NOTA[QTY],ATALI[[#This Row],[//]]-2))</f>
        <v/>
      </c>
      <c r="M271" s="6" t="str">
        <f ca="1">IF(ATALI[[#This Row],[//]]="","",INDEX([2]!NOTA[STN],ATALI[[#This Row],[//]]-2))</f>
        <v/>
      </c>
      <c r="N271" s="5" t="str">
        <f ca="1">IF(ATALI[[#This Row],[//]]="","",INDEX([2]!NOTA[HARGA SATUAN],ATALI[[#This Row],[//]]-2))</f>
        <v/>
      </c>
      <c r="O271" s="7" t="str">
        <f ca="1">IF(ATALI[[#This Row],[//]]="","",INDEX([2]!NOTA[DISC 1],ATALI[[#This Row],[//]]-2))</f>
        <v/>
      </c>
      <c r="P271" s="7" t="str">
        <f ca="1">IF(ATALI[[#This Row],[//]]="","",INDEX([2]!NOTA[DISC 2],ATALI[[#This Row],[//]]-2))</f>
        <v/>
      </c>
      <c r="Q271" s="5" t="str">
        <f ca="1">IF(ATALI[[#This Row],[//]]="","",INDEX([2]!NOTA[TOTAL],ATALI[[#This Row],[//]]-2))</f>
        <v/>
      </c>
      <c r="R2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1" s="4" t="str">
        <f ca="1">IF(ATALI[[#This Row],[//]]="","",INDEX([2]!NOTA[NAMA BARANG],ATALI[[#This Row],[//]]-2))</f>
        <v/>
      </c>
      <c r="V271" s="4" t="str">
        <f ca="1">LOWER(SUBSTITUTE(SUBSTITUTE(SUBSTITUTE(SUBSTITUTE(SUBSTITUTE(SUBSTITUTE(SUBSTITUTE(ATALI[[#This Row],[N.B.nota]]," ",""),"-",""),"(",""),")",""),".",""),",",""),"/",""))</f>
        <v/>
      </c>
      <c r="W271" s="4" t="str">
        <f ca="1">IF(ATALI[[#This Row],[concat]]="","",MATCH(ATALI[[#This Row],[concat]],[4]!db[NB NOTA_C],0)+1)</f>
        <v/>
      </c>
      <c r="X271" s="4" t="str">
        <f ca="1">IF(ATALI[[#This Row],[N.B.nota]]="","",ADDRESS(ROW(ATALI[QB]),COLUMN(ATALI[QB]))&amp;":"&amp;ADDRESS(ROW(),COLUMN(ATALI[QB])))</f>
        <v/>
      </c>
      <c r="Y271" s="13" t="str">
        <f ca="1">IF(ATALI[[#This Row],[//]]="","",HYPERLINK("[../DB.xlsx]DB!e"&amp;MATCH(ATALI[[#This Row],[concat]],[4]!db[NB NOTA_C],0)+1,"&gt;"))</f>
        <v/>
      </c>
    </row>
    <row r="272" spans="1:25" x14ac:dyDescent="0.25">
      <c r="A272" s="4"/>
      <c r="B272" s="6" t="str">
        <f>IF(ATALI[[#This Row],[N_ID]]="","",INDEX(Table1[ID],MATCH(ATALI[[#This Row],[N_ID]],Table1[N_ID],0)))</f>
        <v/>
      </c>
      <c r="C272" s="6" t="str">
        <f>IF(ATALI[[#This Row],[ID NOTA]]="","",HYPERLINK("[NOTA_.xlsx]NOTA!e"&amp;INDEX([2]!PAJAK[//],MATCH(ATALI[[#This Row],[ID NOTA]],[2]!PAJAK[ID],0)),"&gt;") )</f>
        <v/>
      </c>
      <c r="D272" s="6" t="str">
        <f>IF(ATALI[[#This Row],[ID NOTA]]="","",INDEX(Table1[QB],MATCH(ATALI[[#This Row],[ID NOTA]],Table1[ID],0)))</f>
        <v/>
      </c>
      <c r="E2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2" s="6"/>
      <c r="G272" s="3" t="str">
        <f>IF(ATALI[[#This Row],[ID NOTA]]="","",INDEX([2]!NOTA[TGL_H],MATCH(ATALI[[#This Row],[ID NOTA]],[2]!NOTA[ID],0)))</f>
        <v/>
      </c>
      <c r="H272" s="3" t="str">
        <f>IF(ATALI[[#This Row],[ID NOTA]]="","",INDEX([2]!NOTA[TGL.NOTA],MATCH(ATALI[[#This Row],[ID NOTA]],[2]!NOTA[ID],0)))</f>
        <v/>
      </c>
      <c r="I272" s="4" t="str">
        <f>IF(ATALI[[#This Row],[ID NOTA]]="","",INDEX([2]!NOTA[NO.NOTA],MATCH(ATALI[[#This Row],[ID NOTA]],[2]!NOTA[ID],0)))</f>
        <v/>
      </c>
      <c r="J272" s="4" t="str">
        <f ca="1">IF(ATALI[[#This Row],[//]]="","",INDEX([4]!db[NB PAJAK],ATALI[[#This Row],[stt]]-1))</f>
        <v/>
      </c>
      <c r="K272" s="6" t="str">
        <f ca="1">IF(ATALI[[#This Row],[//]]="","",IF(INDEX([2]!NOTA[C],ATALI[[#This Row],[//]]-2)="","",INDEX([2]!NOTA[C],ATALI[[#This Row],[//]]-2)))</f>
        <v/>
      </c>
      <c r="L272" s="6" t="str">
        <f ca="1">IF(ATALI[[#This Row],[//]]="","",INDEX([2]!NOTA[QTY],ATALI[[#This Row],[//]]-2))</f>
        <v/>
      </c>
      <c r="M272" s="6" t="str">
        <f ca="1">IF(ATALI[[#This Row],[//]]="","",INDEX([2]!NOTA[STN],ATALI[[#This Row],[//]]-2))</f>
        <v/>
      </c>
      <c r="N272" s="5" t="str">
        <f ca="1">IF(ATALI[[#This Row],[//]]="","",INDEX([2]!NOTA[HARGA SATUAN],ATALI[[#This Row],[//]]-2))</f>
        <v/>
      </c>
      <c r="O272" s="7" t="str">
        <f ca="1">IF(ATALI[[#This Row],[//]]="","",INDEX([2]!NOTA[DISC 1],ATALI[[#This Row],[//]]-2))</f>
        <v/>
      </c>
      <c r="P272" s="7" t="str">
        <f ca="1">IF(ATALI[[#This Row],[//]]="","",INDEX([2]!NOTA[DISC 2],ATALI[[#This Row],[//]]-2))</f>
        <v/>
      </c>
      <c r="Q272" s="5" t="str">
        <f ca="1">IF(ATALI[[#This Row],[//]]="","",INDEX([2]!NOTA[TOTAL],ATALI[[#This Row],[//]]-2))</f>
        <v/>
      </c>
      <c r="R2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2" s="4" t="str">
        <f ca="1">IF(ATALI[[#This Row],[//]]="","",INDEX([2]!NOTA[NAMA BARANG],ATALI[[#This Row],[//]]-2))</f>
        <v/>
      </c>
      <c r="V272" s="4" t="str">
        <f ca="1">LOWER(SUBSTITUTE(SUBSTITUTE(SUBSTITUTE(SUBSTITUTE(SUBSTITUTE(SUBSTITUTE(SUBSTITUTE(ATALI[[#This Row],[N.B.nota]]," ",""),"-",""),"(",""),")",""),".",""),",",""),"/",""))</f>
        <v/>
      </c>
      <c r="W272" s="4" t="str">
        <f ca="1">IF(ATALI[[#This Row],[concat]]="","",MATCH(ATALI[[#This Row],[concat]],[4]!db[NB NOTA_C],0)+1)</f>
        <v/>
      </c>
      <c r="X272" s="4" t="str">
        <f ca="1">IF(ATALI[[#This Row],[N.B.nota]]="","",ADDRESS(ROW(ATALI[QB]),COLUMN(ATALI[QB]))&amp;":"&amp;ADDRESS(ROW(),COLUMN(ATALI[QB])))</f>
        <v/>
      </c>
      <c r="Y272" s="13" t="str">
        <f ca="1">IF(ATALI[[#This Row],[//]]="","",HYPERLINK("[../DB.xlsx]DB!e"&amp;MATCH(ATALI[[#This Row],[concat]],[4]!db[NB NOTA_C],0)+1,"&gt;"))</f>
        <v/>
      </c>
    </row>
    <row r="273" spans="1:25" x14ac:dyDescent="0.25">
      <c r="A273" s="4"/>
      <c r="B273" s="6" t="str">
        <f>IF(ATALI[[#This Row],[N_ID]]="","",INDEX(Table1[ID],MATCH(ATALI[[#This Row],[N_ID]],Table1[N_ID],0)))</f>
        <v/>
      </c>
      <c r="C273" s="6" t="str">
        <f>IF(ATALI[[#This Row],[ID NOTA]]="","",HYPERLINK("[NOTA_.xlsx]NOTA!e"&amp;INDEX([2]!PAJAK[//],MATCH(ATALI[[#This Row],[ID NOTA]],[2]!PAJAK[ID],0)),"&gt;") )</f>
        <v/>
      </c>
      <c r="D273" s="6" t="str">
        <f>IF(ATALI[[#This Row],[ID NOTA]]="","",INDEX(Table1[QB],MATCH(ATALI[[#This Row],[ID NOTA]],Table1[ID],0)))</f>
        <v/>
      </c>
      <c r="E2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3" s="6"/>
      <c r="G273" s="3" t="str">
        <f>IF(ATALI[[#This Row],[ID NOTA]]="","",INDEX([2]!NOTA[TGL_H],MATCH(ATALI[[#This Row],[ID NOTA]],[2]!NOTA[ID],0)))</f>
        <v/>
      </c>
      <c r="H273" s="3" t="str">
        <f>IF(ATALI[[#This Row],[ID NOTA]]="","",INDEX([2]!NOTA[TGL.NOTA],MATCH(ATALI[[#This Row],[ID NOTA]],[2]!NOTA[ID],0)))</f>
        <v/>
      </c>
      <c r="I273" s="4" t="str">
        <f>IF(ATALI[[#This Row],[ID NOTA]]="","",INDEX([2]!NOTA[NO.NOTA],MATCH(ATALI[[#This Row],[ID NOTA]],[2]!NOTA[ID],0)))</f>
        <v/>
      </c>
      <c r="J273" s="4" t="str">
        <f ca="1">IF(ATALI[[#This Row],[//]]="","",INDEX([4]!db[NB PAJAK],ATALI[[#This Row],[stt]]-1))</f>
        <v/>
      </c>
      <c r="K273" s="6" t="str">
        <f ca="1">IF(ATALI[[#This Row],[//]]="","",IF(INDEX([2]!NOTA[C],ATALI[[#This Row],[//]]-2)="","",INDEX([2]!NOTA[C],ATALI[[#This Row],[//]]-2)))</f>
        <v/>
      </c>
      <c r="L273" s="6" t="str">
        <f ca="1">IF(ATALI[[#This Row],[//]]="","",INDEX([2]!NOTA[QTY],ATALI[[#This Row],[//]]-2))</f>
        <v/>
      </c>
      <c r="M273" s="6" t="str">
        <f ca="1">IF(ATALI[[#This Row],[//]]="","",INDEX([2]!NOTA[STN],ATALI[[#This Row],[//]]-2))</f>
        <v/>
      </c>
      <c r="N273" s="5" t="str">
        <f ca="1">IF(ATALI[[#This Row],[//]]="","",INDEX([2]!NOTA[HARGA SATUAN],ATALI[[#This Row],[//]]-2))</f>
        <v/>
      </c>
      <c r="O273" s="7" t="str">
        <f ca="1">IF(ATALI[[#This Row],[//]]="","",INDEX([2]!NOTA[DISC 1],ATALI[[#This Row],[//]]-2))</f>
        <v/>
      </c>
      <c r="P273" s="7" t="str">
        <f ca="1">IF(ATALI[[#This Row],[//]]="","",INDEX([2]!NOTA[DISC 2],ATALI[[#This Row],[//]]-2))</f>
        <v/>
      </c>
      <c r="Q273" s="5" t="str">
        <f ca="1">IF(ATALI[[#This Row],[//]]="","",INDEX([2]!NOTA[TOTAL],ATALI[[#This Row],[//]]-2))</f>
        <v/>
      </c>
      <c r="R2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3" s="4" t="str">
        <f ca="1">IF(ATALI[[#This Row],[//]]="","",INDEX([2]!NOTA[NAMA BARANG],ATALI[[#This Row],[//]]-2))</f>
        <v/>
      </c>
      <c r="V273" s="4" t="str">
        <f ca="1">LOWER(SUBSTITUTE(SUBSTITUTE(SUBSTITUTE(SUBSTITUTE(SUBSTITUTE(SUBSTITUTE(SUBSTITUTE(ATALI[[#This Row],[N.B.nota]]," ",""),"-",""),"(",""),")",""),".",""),",",""),"/",""))</f>
        <v/>
      </c>
      <c r="W273" s="4" t="str">
        <f ca="1">IF(ATALI[[#This Row],[concat]]="","",MATCH(ATALI[[#This Row],[concat]],[4]!db[NB NOTA_C],0)+1)</f>
        <v/>
      </c>
      <c r="X273" s="4" t="str">
        <f ca="1">IF(ATALI[[#This Row],[N.B.nota]]="","",ADDRESS(ROW(ATALI[QB]),COLUMN(ATALI[QB]))&amp;":"&amp;ADDRESS(ROW(),COLUMN(ATALI[QB])))</f>
        <v/>
      </c>
      <c r="Y273" s="13" t="str">
        <f ca="1">IF(ATALI[[#This Row],[//]]="","",HYPERLINK("[../DB.xlsx]DB!e"&amp;MATCH(ATALI[[#This Row],[concat]],[4]!db[NB NOTA_C],0)+1,"&gt;"))</f>
        <v/>
      </c>
    </row>
    <row r="274" spans="1:25" x14ac:dyDescent="0.25">
      <c r="A274" s="4"/>
      <c r="B274" s="6" t="str">
        <f>IF(ATALI[[#This Row],[N_ID]]="","",INDEX(Table1[ID],MATCH(ATALI[[#This Row],[N_ID]],Table1[N_ID],0)))</f>
        <v/>
      </c>
      <c r="C274" s="6" t="str">
        <f>IF(ATALI[[#This Row],[ID NOTA]]="","",HYPERLINK("[NOTA_.xlsx]NOTA!e"&amp;INDEX([2]!PAJAK[//],MATCH(ATALI[[#This Row],[ID NOTA]],[2]!PAJAK[ID],0)),"&gt;") )</f>
        <v/>
      </c>
      <c r="D274" s="6" t="str">
        <f>IF(ATALI[[#This Row],[ID NOTA]]="","",INDEX(Table1[QB],MATCH(ATALI[[#This Row],[ID NOTA]],Table1[ID],0)))</f>
        <v/>
      </c>
      <c r="E2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4" s="6"/>
      <c r="G274" s="3" t="str">
        <f>IF(ATALI[[#This Row],[ID NOTA]]="","",INDEX([2]!NOTA[TGL_H],MATCH(ATALI[[#This Row],[ID NOTA]],[2]!NOTA[ID],0)))</f>
        <v/>
      </c>
      <c r="H274" s="3" t="str">
        <f>IF(ATALI[[#This Row],[ID NOTA]]="","",INDEX([2]!NOTA[TGL.NOTA],MATCH(ATALI[[#This Row],[ID NOTA]],[2]!NOTA[ID],0)))</f>
        <v/>
      </c>
      <c r="I274" s="4" t="str">
        <f>IF(ATALI[[#This Row],[ID NOTA]]="","",INDEX([2]!NOTA[NO.NOTA],MATCH(ATALI[[#This Row],[ID NOTA]],[2]!NOTA[ID],0)))</f>
        <v/>
      </c>
      <c r="J274" s="4" t="str">
        <f ca="1">IF(ATALI[[#This Row],[//]]="","",INDEX([4]!db[NB PAJAK],ATALI[[#This Row],[stt]]-1))</f>
        <v/>
      </c>
      <c r="K274" s="6" t="str">
        <f ca="1">IF(ATALI[[#This Row],[//]]="","",IF(INDEX([2]!NOTA[C],ATALI[[#This Row],[//]]-2)="","",INDEX([2]!NOTA[C],ATALI[[#This Row],[//]]-2)))</f>
        <v/>
      </c>
      <c r="L274" s="6" t="str">
        <f ca="1">IF(ATALI[[#This Row],[//]]="","",INDEX([2]!NOTA[QTY],ATALI[[#This Row],[//]]-2))</f>
        <v/>
      </c>
      <c r="M274" s="6" t="str">
        <f ca="1">IF(ATALI[[#This Row],[//]]="","",INDEX([2]!NOTA[STN],ATALI[[#This Row],[//]]-2))</f>
        <v/>
      </c>
      <c r="N274" s="5" t="str">
        <f ca="1">IF(ATALI[[#This Row],[//]]="","",INDEX([2]!NOTA[HARGA SATUAN],ATALI[[#This Row],[//]]-2))</f>
        <v/>
      </c>
      <c r="O274" s="7" t="str">
        <f ca="1">IF(ATALI[[#This Row],[//]]="","",INDEX([2]!NOTA[DISC 1],ATALI[[#This Row],[//]]-2))</f>
        <v/>
      </c>
      <c r="P274" s="7" t="str">
        <f ca="1">IF(ATALI[[#This Row],[//]]="","",INDEX([2]!NOTA[DISC 2],ATALI[[#This Row],[//]]-2))</f>
        <v/>
      </c>
      <c r="Q274" s="5" t="str">
        <f ca="1">IF(ATALI[[#This Row],[//]]="","",INDEX([2]!NOTA[TOTAL],ATALI[[#This Row],[//]]-2))</f>
        <v/>
      </c>
      <c r="R2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4" s="4" t="str">
        <f ca="1">IF(ATALI[[#This Row],[//]]="","",INDEX([2]!NOTA[NAMA BARANG],ATALI[[#This Row],[//]]-2))</f>
        <v/>
      </c>
      <c r="V274" s="4" t="str">
        <f ca="1">LOWER(SUBSTITUTE(SUBSTITUTE(SUBSTITUTE(SUBSTITUTE(SUBSTITUTE(SUBSTITUTE(SUBSTITUTE(ATALI[[#This Row],[N.B.nota]]," ",""),"-",""),"(",""),")",""),".",""),",",""),"/",""))</f>
        <v/>
      </c>
      <c r="W274" s="4" t="str">
        <f ca="1">IF(ATALI[[#This Row],[concat]]="","",MATCH(ATALI[[#This Row],[concat]],[4]!db[NB NOTA_C],0)+1)</f>
        <v/>
      </c>
      <c r="X274" s="4" t="str">
        <f ca="1">IF(ATALI[[#This Row],[N.B.nota]]="","",ADDRESS(ROW(ATALI[QB]),COLUMN(ATALI[QB]))&amp;":"&amp;ADDRESS(ROW(),COLUMN(ATALI[QB])))</f>
        <v/>
      </c>
      <c r="Y274" s="13" t="str">
        <f ca="1">IF(ATALI[[#This Row],[//]]="","",HYPERLINK("[../DB.xlsx]DB!e"&amp;MATCH(ATALI[[#This Row],[concat]],[4]!db[NB NOTA_C],0)+1,"&gt;"))</f>
        <v/>
      </c>
    </row>
    <row r="275" spans="1:25" x14ac:dyDescent="0.25">
      <c r="A275" s="4"/>
      <c r="B275" s="6" t="str">
        <f>IF(ATALI[[#This Row],[N_ID]]="","",INDEX(Table1[ID],MATCH(ATALI[[#This Row],[N_ID]],Table1[N_ID],0)))</f>
        <v/>
      </c>
      <c r="C275" s="6" t="str">
        <f>IF(ATALI[[#This Row],[ID NOTA]]="","",HYPERLINK("[NOTA_.xlsx]NOTA!e"&amp;INDEX([2]!PAJAK[//],MATCH(ATALI[[#This Row],[ID NOTA]],[2]!PAJAK[ID],0)),"&gt;") )</f>
        <v/>
      </c>
      <c r="D275" s="6" t="str">
        <f>IF(ATALI[[#This Row],[ID NOTA]]="","",INDEX(Table1[QB],MATCH(ATALI[[#This Row],[ID NOTA]],Table1[ID],0)))</f>
        <v/>
      </c>
      <c r="E2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5" s="6"/>
      <c r="G275" s="3" t="str">
        <f>IF(ATALI[[#This Row],[ID NOTA]]="","",INDEX([2]!NOTA[TGL_H],MATCH(ATALI[[#This Row],[ID NOTA]],[2]!NOTA[ID],0)))</f>
        <v/>
      </c>
      <c r="H275" s="3" t="str">
        <f>IF(ATALI[[#This Row],[ID NOTA]]="","",INDEX([2]!NOTA[TGL.NOTA],MATCH(ATALI[[#This Row],[ID NOTA]],[2]!NOTA[ID],0)))</f>
        <v/>
      </c>
      <c r="I275" s="4" t="str">
        <f>IF(ATALI[[#This Row],[ID NOTA]]="","",INDEX([2]!NOTA[NO.NOTA],MATCH(ATALI[[#This Row],[ID NOTA]],[2]!NOTA[ID],0)))</f>
        <v/>
      </c>
      <c r="J275" s="4" t="str">
        <f ca="1">IF(ATALI[[#This Row],[//]]="","",INDEX([4]!db[NB PAJAK],ATALI[[#This Row],[stt]]-1))</f>
        <v/>
      </c>
      <c r="K275" s="6" t="str">
        <f ca="1">IF(ATALI[[#This Row],[//]]="","",IF(INDEX([2]!NOTA[C],ATALI[[#This Row],[//]]-2)="","",INDEX([2]!NOTA[C],ATALI[[#This Row],[//]]-2)))</f>
        <v/>
      </c>
      <c r="L275" s="6" t="str">
        <f ca="1">IF(ATALI[[#This Row],[//]]="","",INDEX([2]!NOTA[QTY],ATALI[[#This Row],[//]]-2))</f>
        <v/>
      </c>
      <c r="M275" s="6" t="str">
        <f ca="1">IF(ATALI[[#This Row],[//]]="","",INDEX([2]!NOTA[STN],ATALI[[#This Row],[//]]-2))</f>
        <v/>
      </c>
      <c r="N275" s="5" t="str">
        <f ca="1">IF(ATALI[[#This Row],[//]]="","",INDEX([2]!NOTA[HARGA SATUAN],ATALI[[#This Row],[//]]-2))</f>
        <v/>
      </c>
      <c r="O275" s="7" t="str">
        <f ca="1">IF(ATALI[[#This Row],[//]]="","",INDEX([2]!NOTA[DISC 1],ATALI[[#This Row],[//]]-2))</f>
        <v/>
      </c>
      <c r="P275" s="7" t="str">
        <f ca="1">IF(ATALI[[#This Row],[//]]="","",INDEX([2]!NOTA[DISC 2],ATALI[[#This Row],[//]]-2))</f>
        <v/>
      </c>
      <c r="Q275" s="5" t="str">
        <f ca="1">IF(ATALI[[#This Row],[//]]="","",INDEX([2]!NOTA[TOTAL],ATALI[[#This Row],[//]]-2))</f>
        <v/>
      </c>
      <c r="R2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5" s="4" t="str">
        <f ca="1">IF(ATALI[[#This Row],[//]]="","",INDEX([2]!NOTA[NAMA BARANG],ATALI[[#This Row],[//]]-2))</f>
        <v/>
      </c>
      <c r="V275" s="4" t="str">
        <f ca="1">LOWER(SUBSTITUTE(SUBSTITUTE(SUBSTITUTE(SUBSTITUTE(SUBSTITUTE(SUBSTITUTE(SUBSTITUTE(ATALI[[#This Row],[N.B.nota]]," ",""),"-",""),"(",""),")",""),".",""),",",""),"/",""))</f>
        <v/>
      </c>
      <c r="W275" s="4" t="str">
        <f ca="1">IF(ATALI[[#This Row],[concat]]="","",MATCH(ATALI[[#This Row],[concat]],[4]!db[NB NOTA_C],0)+1)</f>
        <v/>
      </c>
      <c r="X275" s="4" t="str">
        <f ca="1">IF(ATALI[[#This Row],[N.B.nota]]="","",ADDRESS(ROW(ATALI[QB]),COLUMN(ATALI[QB]))&amp;":"&amp;ADDRESS(ROW(),COLUMN(ATALI[QB])))</f>
        <v/>
      </c>
      <c r="Y275" s="13" t="str">
        <f ca="1">IF(ATALI[[#This Row],[//]]="","",HYPERLINK("[../DB.xlsx]DB!e"&amp;MATCH(ATALI[[#This Row],[concat]],[4]!db[NB NOTA_C],0)+1,"&gt;"))</f>
        <v/>
      </c>
    </row>
    <row r="276" spans="1:25" x14ac:dyDescent="0.25">
      <c r="A276" s="4"/>
      <c r="B276" s="6" t="str">
        <f>IF(ATALI[[#This Row],[N_ID]]="","",INDEX(Table1[ID],MATCH(ATALI[[#This Row],[N_ID]],Table1[N_ID],0)))</f>
        <v/>
      </c>
      <c r="C276" s="6" t="str">
        <f>IF(ATALI[[#This Row],[ID NOTA]]="","",HYPERLINK("[NOTA_.xlsx]NOTA!e"&amp;INDEX([2]!PAJAK[//],MATCH(ATALI[[#This Row],[ID NOTA]],[2]!PAJAK[ID],0)),"&gt;") )</f>
        <v/>
      </c>
      <c r="D276" s="6" t="str">
        <f>IF(ATALI[[#This Row],[ID NOTA]]="","",INDEX(Table1[QB],MATCH(ATALI[[#This Row],[ID NOTA]],Table1[ID],0)))</f>
        <v/>
      </c>
      <c r="E2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6" s="6"/>
      <c r="G276" s="3" t="str">
        <f>IF(ATALI[[#This Row],[ID NOTA]]="","",INDEX([2]!NOTA[TGL_H],MATCH(ATALI[[#This Row],[ID NOTA]],[2]!NOTA[ID],0)))</f>
        <v/>
      </c>
      <c r="H276" s="3" t="str">
        <f>IF(ATALI[[#This Row],[ID NOTA]]="","",INDEX([2]!NOTA[TGL.NOTA],MATCH(ATALI[[#This Row],[ID NOTA]],[2]!NOTA[ID],0)))</f>
        <v/>
      </c>
      <c r="I276" s="4" t="str">
        <f>IF(ATALI[[#This Row],[ID NOTA]]="","",INDEX([2]!NOTA[NO.NOTA],MATCH(ATALI[[#This Row],[ID NOTA]],[2]!NOTA[ID],0)))</f>
        <v/>
      </c>
      <c r="J276" s="4" t="str">
        <f ca="1">IF(ATALI[[#This Row],[//]]="","",INDEX([4]!db[NB PAJAK],ATALI[[#This Row],[stt]]-1))</f>
        <v/>
      </c>
      <c r="K276" s="6" t="str">
        <f ca="1">IF(ATALI[[#This Row],[//]]="","",IF(INDEX([2]!NOTA[C],ATALI[[#This Row],[//]]-2)="","",INDEX([2]!NOTA[C],ATALI[[#This Row],[//]]-2)))</f>
        <v/>
      </c>
      <c r="L276" s="6" t="str">
        <f ca="1">IF(ATALI[[#This Row],[//]]="","",INDEX([2]!NOTA[QTY],ATALI[[#This Row],[//]]-2))</f>
        <v/>
      </c>
      <c r="M276" s="6" t="str">
        <f ca="1">IF(ATALI[[#This Row],[//]]="","",INDEX([2]!NOTA[STN],ATALI[[#This Row],[//]]-2))</f>
        <v/>
      </c>
      <c r="N276" s="5" t="str">
        <f ca="1">IF(ATALI[[#This Row],[//]]="","",INDEX([2]!NOTA[HARGA SATUAN],ATALI[[#This Row],[//]]-2))</f>
        <v/>
      </c>
      <c r="O276" s="7" t="str">
        <f ca="1">IF(ATALI[[#This Row],[//]]="","",INDEX([2]!NOTA[DISC 1],ATALI[[#This Row],[//]]-2))</f>
        <v/>
      </c>
      <c r="P276" s="7" t="str">
        <f ca="1">IF(ATALI[[#This Row],[//]]="","",INDEX([2]!NOTA[DISC 2],ATALI[[#This Row],[//]]-2))</f>
        <v/>
      </c>
      <c r="Q276" s="5" t="str">
        <f ca="1">IF(ATALI[[#This Row],[//]]="","",INDEX([2]!NOTA[TOTAL],ATALI[[#This Row],[//]]-2))</f>
        <v/>
      </c>
      <c r="R2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6" s="4" t="str">
        <f ca="1">IF(ATALI[[#This Row],[//]]="","",INDEX([2]!NOTA[NAMA BARANG],ATALI[[#This Row],[//]]-2))</f>
        <v/>
      </c>
      <c r="V276" s="4" t="str">
        <f ca="1">LOWER(SUBSTITUTE(SUBSTITUTE(SUBSTITUTE(SUBSTITUTE(SUBSTITUTE(SUBSTITUTE(SUBSTITUTE(ATALI[[#This Row],[N.B.nota]]," ",""),"-",""),"(",""),")",""),".",""),",",""),"/",""))</f>
        <v/>
      </c>
      <c r="W276" s="4" t="str">
        <f ca="1">IF(ATALI[[#This Row],[concat]]="","",MATCH(ATALI[[#This Row],[concat]],[4]!db[NB NOTA_C],0)+1)</f>
        <v/>
      </c>
      <c r="X276" s="4" t="str">
        <f ca="1">IF(ATALI[[#This Row],[N.B.nota]]="","",ADDRESS(ROW(ATALI[QB]),COLUMN(ATALI[QB]))&amp;":"&amp;ADDRESS(ROW(),COLUMN(ATALI[QB])))</f>
        <v/>
      </c>
      <c r="Y276" s="13" t="str">
        <f ca="1">IF(ATALI[[#This Row],[//]]="","",HYPERLINK("[../DB.xlsx]DB!e"&amp;MATCH(ATALI[[#This Row],[concat]],[4]!db[NB NOTA_C],0)+1,"&gt;"))</f>
        <v/>
      </c>
    </row>
    <row r="277" spans="1:25" x14ac:dyDescent="0.25">
      <c r="A277" s="4"/>
      <c r="B277" s="6" t="str">
        <f>IF(ATALI[[#This Row],[N_ID]]="","",INDEX(Table1[ID],MATCH(ATALI[[#This Row],[N_ID]],Table1[N_ID],0)))</f>
        <v/>
      </c>
      <c r="C277" s="6" t="str">
        <f>IF(ATALI[[#This Row],[ID NOTA]]="","",HYPERLINK("[NOTA_.xlsx]NOTA!e"&amp;INDEX([2]!PAJAK[//],MATCH(ATALI[[#This Row],[ID NOTA]],[2]!PAJAK[ID],0)),"&gt;") )</f>
        <v/>
      </c>
      <c r="D277" s="6" t="str">
        <f>IF(ATALI[[#This Row],[ID NOTA]]="","",INDEX(Table1[QB],MATCH(ATALI[[#This Row],[ID NOTA]],Table1[ID],0)))</f>
        <v/>
      </c>
      <c r="E2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7" s="6"/>
      <c r="G277" s="3" t="str">
        <f>IF(ATALI[[#This Row],[ID NOTA]]="","",INDEX([2]!NOTA[TGL_H],MATCH(ATALI[[#This Row],[ID NOTA]],[2]!NOTA[ID],0)))</f>
        <v/>
      </c>
      <c r="H277" s="3" t="str">
        <f>IF(ATALI[[#This Row],[ID NOTA]]="","",INDEX([2]!NOTA[TGL.NOTA],MATCH(ATALI[[#This Row],[ID NOTA]],[2]!NOTA[ID],0)))</f>
        <v/>
      </c>
      <c r="I277" s="4" t="str">
        <f>IF(ATALI[[#This Row],[ID NOTA]]="","",INDEX([2]!NOTA[NO.NOTA],MATCH(ATALI[[#This Row],[ID NOTA]],[2]!NOTA[ID],0)))</f>
        <v/>
      </c>
      <c r="J277" s="4" t="str">
        <f ca="1">IF(ATALI[[#This Row],[//]]="","",INDEX([4]!db[NB PAJAK],ATALI[[#This Row],[stt]]-1))</f>
        <v/>
      </c>
      <c r="K277" s="6" t="str">
        <f ca="1">IF(ATALI[[#This Row],[//]]="","",IF(INDEX([2]!NOTA[C],ATALI[[#This Row],[//]]-2)="","",INDEX([2]!NOTA[C],ATALI[[#This Row],[//]]-2)))</f>
        <v/>
      </c>
      <c r="L277" s="6" t="str">
        <f ca="1">IF(ATALI[[#This Row],[//]]="","",INDEX([2]!NOTA[QTY],ATALI[[#This Row],[//]]-2))</f>
        <v/>
      </c>
      <c r="M277" s="6" t="str">
        <f ca="1">IF(ATALI[[#This Row],[//]]="","",INDEX([2]!NOTA[STN],ATALI[[#This Row],[//]]-2))</f>
        <v/>
      </c>
      <c r="N277" s="5" t="str">
        <f ca="1">IF(ATALI[[#This Row],[//]]="","",INDEX([2]!NOTA[HARGA SATUAN],ATALI[[#This Row],[//]]-2))</f>
        <v/>
      </c>
      <c r="O277" s="7" t="str">
        <f ca="1">IF(ATALI[[#This Row],[//]]="","",INDEX([2]!NOTA[DISC 1],ATALI[[#This Row],[//]]-2))</f>
        <v/>
      </c>
      <c r="P277" s="7" t="str">
        <f ca="1">IF(ATALI[[#This Row],[//]]="","",INDEX([2]!NOTA[DISC 2],ATALI[[#This Row],[//]]-2))</f>
        <v/>
      </c>
      <c r="Q277" s="5" t="str">
        <f ca="1">IF(ATALI[[#This Row],[//]]="","",INDEX([2]!NOTA[TOTAL],ATALI[[#This Row],[//]]-2))</f>
        <v/>
      </c>
      <c r="R2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7" s="4" t="str">
        <f ca="1">IF(ATALI[[#This Row],[//]]="","",INDEX([2]!NOTA[NAMA BARANG],ATALI[[#This Row],[//]]-2))</f>
        <v/>
      </c>
      <c r="V277" s="4" t="str">
        <f ca="1">LOWER(SUBSTITUTE(SUBSTITUTE(SUBSTITUTE(SUBSTITUTE(SUBSTITUTE(SUBSTITUTE(SUBSTITUTE(ATALI[[#This Row],[N.B.nota]]," ",""),"-",""),"(",""),")",""),".",""),",",""),"/",""))</f>
        <v/>
      </c>
      <c r="W277" s="4" t="str">
        <f ca="1">IF(ATALI[[#This Row],[concat]]="","",MATCH(ATALI[[#This Row],[concat]],[4]!db[NB NOTA_C],0)+1)</f>
        <v/>
      </c>
      <c r="X277" s="4" t="str">
        <f ca="1">IF(ATALI[[#This Row],[N.B.nota]]="","",ADDRESS(ROW(ATALI[QB]),COLUMN(ATALI[QB]))&amp;":"&amp;ADDRESS(ROW(),COLUMN(ATALI[QB])))</f>
        <v/>
      </c>
      <c r="Y277" s="13" t="str">
        <f ca="1">IF(ATALI[[#This Row],[//]]="","",HYPERLINK("[../DB.xlsx]DB!e"&amp;MATCH(ATALI[[#This Row],[concat]],[4]!db[NB NOTA_C],0)+1,"&gt;"))</f>
        <v/>
      </c>
    </row>
    <row r="278" spans="1:25" x14ac:dyDescent="0.25">
      <c r="A278" s="4"/>
      <c r="B278" s="6" t="str">
        <f>IF(ATALI[[#This Row],[N_ID]]="","",INDEX(Table1[ID],MATCH(ATALI[[#This Row],[N_ID]],Table1[N_ID],0)))</f>
        <v/>
      </c>
      <c r="C278" s="6" t="str">
        <f>IF(ATALI[[#This Row],[ID NOTA]]="","",HYPERLINK("[NOTA_.xlsx]NOTA!e"&amp;INDEX([2]!PAJAK[//],MATCH(ATALI[[#This Row],[ID NOTA]],[2]!PAJAK[ID],0)),"&gt;") )</f>
        <v/>
      </c>
      <c r="D278" s="6" t="str">
        <f>IF(ATALI[[#This Row],[ID NOTA]]="","",INDEX(Table1[QB],MATCH(ATALI[[#This Row],[ID NOTA]],Table1[ID],0)))</f>
        <v/>
      </c>
      <c r="E2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8" s="6"/>
      <c r="G278" s="3" t="str">
        <f>IF(ATALI[[#This Row],[ID NOTA]]="","",INDEX([2]!NOTA[TGL_H],MATCH(ATALI[[#This Row],[ID NOTA]],[2]!NOTA[ID],0)))</f>
        <v/>
      </c>
      <c r="H278" s="3" t="str">
        <f>IF(ATALI[[#This Row],[ID NOTA]]="","",INDEX([2]!NOTA[TGL.NOTA],MATCH(ATALI[[#This Row],[ID NOTA]],[2]!NOTA[ID],0)))</f>
        <v/>
      </c>
      <c r="I278" s="4" t="str">
        <f>IF(ATALI[[#This Row],[ID NOTA]]="","",INDEX([2]!NOTA[NO.NOTA],MATCH(ATALI[[#This Row],[ID NOTA]],[2]!NOTA[ID],0)))</f>
        <v/>
      </c>
      <c r="J278" s="4" t="str">
        <f ca="1">IF(ATALI[[#This Row],[//]]="","",INDEX([4]!db[NB PAJAK],ATALI[[#This Row],[stt]]-1))</f>
        <v/>
      </c>
      <c r="K278" s="6" t="str">
        <f ca="1">IF(ATALI[[#This Row],[//]]="","",IF(INDEX([2]!NOTA[C],ATALI[[#This Row],[//]]-2)="","",INDEX([2]!NOTA[C],ATALI[[#This Row],[//]]-2)))</f>
        <v/>
      </c>
      <c r="L278" s="6" t="str">
        <f ca="1">IF(ATALI[[#This Row],[//]]="","",INDEX([2]!NOTA[QTY],ATALI[[#This Row],[//]]-2))</f>
        <v/>
      </c>
      <c r="M278" s="6" t="str">
        <f ca="1">IF(ATALI[[#This Row],[//]]="","",INDEX([2]!NOTA[STN],ATALI[[#This Row],[//]]-2))</f>
        <v/>
      </c>
      <c r="N278" s="5" t="str">
        <f ca="1">IF(ATALI[[#This Row],[//]]="","",INDEX([2]!NOTA[HARGA SATUAN],ATALI[[#This Row],[//]]-2))</f>
        <v/>
      </c>
      <c r="O278" s="7" t="str">
        <f ca="1">IF(ATALI[[#This Row],[//]]="","",INDEX([2]!NOTA[DISC 1],ATALI[[#This Row],[//]]-2))</f>
        <v/>
      </c>
      <c r="P278" s="7" t="str">
        <f ca="1">IF(ATALI[[#This Row],[//]]="","",INDEX([2]!NOTA[DISC 2],ATALI[[#This Row],[//]]-2))</f>
        <v/>
      </c>
      <c r="Q278" s="5" t="str">
        <f ca="1">IF(ATALI[[#This Row],[//]]="","",INDEX([2]!NOTA[TOTAL],ATALI[[#This Row],[//]]-2))</f>
        <v/>
      </c>
      <c r="R2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8" s="4" t="str">
        <f ca="1">IF(ATALI[[#This Row],[//]]="","",INDEX([2]!NOTA[NAMA BARANG],ATALI[[#This Row],[//]]-2))</f>
        <v/>
      </c>
      <c r="V278" s="4" t="str">
        <f ca="1">LOWER(SUBSTITUTE(SUBSTITUTE(SUBSTITUTE(SUBSTITUTE(SUBSTITUTE(SUBSTITUTE(SUBSTITUTE(ATALI[[#This Row],[N.B.nota]]," ",""),"-",""),"(",""),")",""),".",""),",",""),"/",""))</f>
        <v/>
      </c>
      <c r="W278" s="4" t="str">
        <f ca="1">IF(ATALI[[#This Row],[concat]]="","",MATCH(ATALI[[#This Row],[concat]],[4]!db[NB NOTA_C],0)+1)</f>
        <v/>
      </c>
      <c r="X278" s="4" t="str">
        <f ca="1">IF(ATALI[[#This Row],[N.B.nota]]="","",ADDRESS(ROW(ATALI[QB]),COLUMN(ATALI[QB]))&amp;":"&amp;ADDRESS(ROW(),COLUMN(ATALI[QB])))</f>
        <v/>
      </c>
      <c r="Y278" s="13" t="str">
        <f ca="1">IF(ATALI[[#This Row],[//]]="","",HYPERLINK("[../DB.xlsx]DB!e"&amp;MATCH(ATALI[[#This Row],[concat]],[4]!db[NB NOTA_C],0)+1,"&gt;"))</f>
        <v/>
      </c>
    </row>
    <row r="279" spans="1:25" x14ac:dyDescent="0.25">
      <c r="A279" s="4"/>
      <c r="B279" s="6" t="str">
        <f>IF(ATALI[[#This Row],[N_ID]]="","",INDEX(Table1[ID],MATCH(ATALI[[#This Row],[N_ID]],Table1[N_ID],0)))</f>
        <v/>
      </c>
      <c r="C279" s="6" t="str">
        <f>IF(ATALI[[#This Row],[ID NOTA]]="","",HYPERLINK("[NOTA_.xlsx]NOTA!e"&amp;INDEX([2]!PAJAK[//],MATCH(ATALI[[#This Row],[ID NOTA]],[2]!PAJAK[ID],0)),"&gt;") )</f>
        <v/>
      </c>
      <c r="D279" s="6" t="str">
        <f>IF(ATALI[[#This Row],[ID NOTA]]="","",INDEX(Table1[QB],MATCH(ATALI[[#This Row],[ID NOTA]],Table1[ID],0)))</f>
        <v/>
      </c>
      <c r="E2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9" s="6"/>
      <c r="G279" s="3" t="str">
        <f>IF(ATALI[[#This Row],[ID NOTA]]="","",INDEX([2]!NOTA[TGL_H],MATCH(ATALI[[#This Row],[ID NOTA]],[2]!NOTA[ID],0)))</f>
        <v/>
      </c>
      <c r="H279" s="3" t="str">
        <f>IF(ATALI[[#This Row],[ID NOTA]]="","",INDEX([2]!NOTA[TGL.NOTA],MATCH(ATALI[[#This Row],[ID NOTA]],[2]!NOTA[ID],0)))</f>
        <v/>
      </c>
      <c r="I279" s="4" t="str">
        <f>IF(ATALI[[#This Row],[ID NOTA]]="","",INDEX([2]!NOTA[NO.NOTA],MATCH(ATALI[[#This Row],[ID NOTA]],[2]!NOTA[ID],0)))</f>
        <v/>
      </c>
      <c r="J279" s="4" t="str">
        <f ca="1">IF(ATALI[[#This Row],[//]]="","",INDEX([4]!db[NB PAJAK],ATALI[[#This Row],[stt]]-1))</f>
        <v/>
      </c>
      <c r="K279" s="6" t="str">
        <f ca="1">IF(ATALI[[#This Row],[//]]="","",IF(INDEX([2]!NOTA[C],ATALI[[#This Row],[//]]-2)="","",INDEX([2]!NOTA[C],ATALI[[#This Row],[//]]-2)))</f>
        <v/>
      </c>
      <c r="L279" s="6" t="str">
        <f ca="1">IF(ATALI[[#This Row],[//]]="","",INDEX([2]!NOTA[QTY],ATALI[[#This Row],[//]]-2))</f>
        <v/>
      </c>
      <c r="M279" s="6" t="str">
        <f ca="1">IF(ATALI[[#This Row],[//]]="","",INDEX([2]!NOTA[STN],ATALI[[#This Row],[//]]-2))</f>
        <v/>
      </c>
      <c r="N279" s="5" t="str">
        <f ca="1">IF(ATALI[[#This Row],[//]]="","",INDEX([2]!NOTA[HARGA SATUAN],ATALI[[#This Row],[//]]-2))</f>
        <v/>
      </c>
      <c r="O279" s="7" t="str">
        <f ca="1">IF(ATALI[[#This Row],[//]]="","",INDEX([2]!NOTA[DISC 1],ATALI[[#This Row],[//]]-2))</f>
        <v/>
      </c>
      <c r="P279" s="7" t="str">
        <f ca="1">IF(ATALI[[#This Row],[//]]="","",INDEX([2]!NOTA[DISC 2],ATALI[[#This Row],[//]]-2))</f>
        <v/>
      </c>
      <c r="Q279" s="5" t="str">
        <f ca="1">IF(ATALI[[#This Row],[//]]="","",INDEX([2]!NOTA[TOTAL],ATALI[[#This Row],[//]]-2))</f>
        <v/>
      </c>
      <c r="R2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9" s="4" t="str">
        <f ca="1">IF(ATALI[[#This Row],[//]]="","",INDEX([2]!NOTA[NAMA BARANG],ATALI[[#This Row],[//]]-2))</f>
        <v/>
      </c>
      <c r="V279" s="4" t="str">
        <f ca="1">LOWER(SUBSTITUTE(SUBSTITUTE(SUBSTITUTE(SUBSTITUTE(SUBSTITUTE(SUBSTITUTE(SUBSTITUTE(ATALI[[#This Row],[N.B.nota]]," ",""),"-",""),"(",""),")",""),".",""),",",""),"/",""))</f>
        <v/>
      </c>
      <c r="W279" s="4" t="str">
        <f ca="1">IF(ATALI[[#This Row],[concat]]="","",MATCH(ATALI[[#This Row],[concat]],[4]!db[NB NOTA_C],0)+1)</f>
        <v/>
      </c>
      <c r="X279" s="4" t="str">
        <f ca="1">IF(ATALI[[#This Row],[N.B.nota]]="","",ADDRESS(ROW(ATALI[QB]),COLUMN(ATALI[QB]))&amp;":"&amp;ADDRESS(ROW(),COLUMN(ATALI[QB])))</f>
        <v/>
      </c>
      <c r="Y279" s="13" t="str">
        <f ca="1">IF(ATALI[[#This Row],[//]]="","",HYPERLINK("[../DB.xlsx]DB!e"&amp;MATCH(ATALI[[#This Row],[concat]],[4]!db[NB NOTA_C],0)+1,"&gt;"))</f>
        <v/>
      </c>
    </row>
    <row r="280" spans="1:25" x14ac:dyDescent="0.25">
      <c r="A280" s="4"/>
      <c r="B280" s="6" t="str">
        <f>IF(ATALI[[#This Row],[N_ID]]="","",INDEX(Table1[ID],MATCH(ATALI[[#This Row],[N_ID]],Table1[N_ID],0)))</f>
        <v/>
      </c>
      <c r="C280" s="6" t="str">
        <f>IF(ATALI[[#This Row],[ID NOTA]]="","",HYPERLINK("[NOTA_.xlsx]NOTA!e"&amp;INDEX([2]!PAJAK[//],MATCH(ATALI[[#This Row],[ID NOTA]],[2]!PAJAK[ID],0)),"&gt;") )</f>
        <v/>
      </c>
      <c r="D280" s="6" t="str">
        <f>IF(ATALI[[#This Row],[ID NOTA]]="","",INDEX(Table1[QB],MATCH(ATALI[[#This Row],[ID NOTA]],Table1[ID],0)))</f>
        <v/>
      </c>
      <c r="E2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0" s="6"/>
      <c r="G280" s="3" t="str">
        <f>IF(ATALI[[#This Row],[ID NOTA]]="","",INDEX([2]!NOTA[TGL_H],MATCH(ATALI[[#This Row],[ID NOTA]],[2]!NOTA[ID],0)))</f>
        <v/>
      </c>
      <c r="H280" s="3" t="str">
        <f>IF(ATALI[[#This Row],[ID NOTA]]="","",INDEX([2]!NOTA[TGL.NOTA],MATCH(ATALI[[#This Row],[ID NOTA]],[2]!NOTA[ID],0)))</f>
        <v/>
      </c>
      <c r="I280" s="4" t="str">
        <f>IF(ATALI[[#This Row],[ID NOTA]]="","",INDEX([2]!NOTA[NO.NOTA],MATCH(ATALI[[#This Row],[ID NOTA]],[2]!NOTA[ID],0)))</f>
        <v/>
      </c>
      <c r="J280" s="4" t="str">
        <f ca="1">IF(ATALI[[#This Row],[//]]="","",INDEX([4]!db[NB PAJAK],ATALI[[#This Row],[stt]]-1))</f>
        <v/>
      </c>
      <c r="K280" s="6" t="str">
        <f ca="1">IF(ATALI[[#This Row],[//]]="","",IF(INDEX([2]!NOTA[C],ATALI[[#This Row],[//]]-2)="","",INDEX([2]!NOTA[C],ATALI[[#This Row],[//]]-2)))</f>
        <v/>
      </c>
      <c r="L280" s="6" t="str">
        <f ca="1">IF(ATALI[[#This Row],[//]]="","",INDEX([2]!NOTA[QTY],ATALI[[#This Row],[//]]-2))</f>
        <v/>
      </c>
      <c r="M280" s="6" t="str">
        <f ca="1">IF(ATALI[[#This Row],[//]]="","",INDEX([2]!NOTA[STN],ATALI[[#This Row],[//]]-2))</f>
        <v/>
      </c>
      <c r="N280" s="5" t="str">
        <f ca="1">IF(ATALI[[#This Row],[//]]="","",INDEX([2]!NOTA[HARGA SATUAN],ATALI[[#This Row],[//]]-2))</f>
        <v/>
      </c>
      <c r="O280" s="7" t="str">
        <f ca="1">IF(ATALI[[#This Row],[//]]="","",INDEX([2]!NOTA[DISC 1],ATALI[[#This Row],[//]]-2))</f>
        <v/>
      </c>
      <c r="P280" s="7" t="str">
        <f ca="1">IF(ATALI[[#This Row],[//]]="","",INDEX([2]!NOTA[DISC 2],ATALI[[#This Row],[//]]-2))</f>
        <v/>
      </c>
      <c r="Q280" s="5" t="str">
        <f ca="1">IF(ATALI[[#This Row],[//]]="","",INDEX([2]!NOTA[TOTAL],ATALI[[#This Row],[//]]-2))</f>
        <v/>
      </c>
      <c r="R2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0" s="4" t="str">
        <f ca="1">IF(ATALI[[#This Row],[//]]="","",INDEX([2]!NOTA[NAMA BARANG],ATALI[[#This Row],[//]]-2))</f>
        <v/>
      </c>
      <c r="V280" s="4" t="str">
        <f ca="1">LOWER(SUBSTITUTE(SUBSTITUTE(SUBSTITUTE(SUBSTITUTE(SUBSTITUTE(SUBSTITUTE(SUBSTITUTE(ATALI[[#This Row],[N.B.nota]]," ",""),"-",""),"(",""),")",""),".",""),",",""),"/",""))</f>
        <v/>
      </c>
      <c r="W280" s="4" t="str">
        <f ca="1">IF(ATALI[[#This Row],[concat]]="","",MATCH(ATALI[[#This Row],[concat]],[4]!db[NB NOTA_C],0)+1)</f>
        <v/>
      </c>
      <c r="X280" s="4" t="str">
        <f ca="1">IF(ATALI[[#This Row],[N.B.nota]]="","",ADDRESS(ROW(ATALI[QB]),COLUMN(ATALI[QB]))&amp;":"&amp;ADDRESS(ROW(),COLUMN(ATALI[QB])))</f>
        <v/>
      </c>
      <c r="Y280" s="13" t="str">
        <f ca="1">IF(ATALI[[#This Row],[//]]="","",HYPERLINK("[../DB.xlsx]DB!e"&amp;MATCH(ATALI[[#This Row],[concat]],[4]!db[NB NOTA_C],0)+1,"&gt;"))</f>
        <v/>
      </c>
    </row>
    <row r="281" spans="1:25" x14ac:dyDescent="0.25">
      <c r="A281" s="4"/>
      <c r="B281" s="6" t="str">
        <f>IF(ATALI[[#This Row],[N_ID]]="","",INDEX(Table1[ID],MATCH(ATALI[[#This Row],[N_ID]],Table1[N_ID],0)))</f>
        <v/>
      </c>
      <c r="C281" s="6" t="str">
        <f>IF(ATALI[[#This Row],[ID NOTA]]="","",HYPERLINK("[NOTA_.xlsx]NOTA!e"&amp;INDEX([2]!PAJAK[//],MATCH(ATALI[[#This Row],[ID NOTA]],[2]!PAJAK[ID],0)),"&gt;") )</f>
        <v/>
      </c>
      <c r="D281" s="6" t="str">
        <f>IF(ATALI[[#This Row],[ID NOTA]]="","",INDEX(Table1[QB],MATCH(ATALI[[#This Row],[ID NOTA]],Table1[ID],0)))</f>
        <v/>
      </c>
      <c r="E2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1" s="6"/>
      <c r="G281" s="3" t="str">
        <f>IF(ATALI[[#This Row],[ID NOTA]]="","",INDEX([2]!NOTA[TGL_H],MATCH(ATALI[[#This Row],[ID NOTA]],[2]!NOTA[ID],0)))</f>
        <v/>
      </c>
      <c r="H281" s="3" t="str">
        <f>IF(ATALI[[#This Row],[ID NOTA]]="","",INDEX([2]!NOTA[TGL.NOTA],MATCH(ATALI[[#This Row],[ID NOTA]],[2]!NOTA[ID],0)))</f>
        <v/>
      </c>
      <c r="I281" s="4" t="str">
        <f>IF(ATALI[[#This Row],[ID NOTA]]="","",INDEX([2]!NOTA[NO.NOTA],MATCH(ATALI[[#This Row],[ID NOTA]],[2]!NOTA[ID],0)))</f>
        <v/>
      </c>
      <c r="J281" s="4" t="str">
        <f ca="1">IF(ATALI[[#This Row],[//]]="","",INDEX([4]!db[NB PAJAK],ATALI[[#This Row],[stt]]-1))</f>
        <v/>
      </c>
      <c r="K281" s="6" t="str">
        <f ca="1">IF(ATALI[[#This Row],[//]]="","",IF(INDEX([2]!NOTA[C],ATALI[[#This Row],[//]]-2)="","",INDEX([2]!NOTA[C],ATALI[[#This Row],[//]]-2)))</f>
        <v/>
      </c>
      <c r="L281" s="6" t="str">
        <f ca="1">IF(ATALI[[#This Row],[//]]="","",INDEX([2]!NOTA[QTY],ATALI[[#This Row],[//]]-2))</f>
        <v/>
      </c>
      <c r="M281" s="6" t="str">
        <f ca="1">IF(ATALI[[#This Row],[//]]="","",INDEX([2]!NOTA[STN],ATALI[[#This Row],[//]]-2))</f>
        <v/>
      </c>
      <c r="N281" s="5" t="str">
        <f ca="1">IF(ATALI[[#This Row],[//]]="","",INDEX([2]!NOTA[HARGA SATUAN],ATALI[[#This Row],[//]]-2))</f>
        <v/>
      </c>
      <c r="O281" s="7" t="str">
        <f ca="1">IF(ATALI[[#This Row],[//]]="","",INDEX([2]!NOTA[DISC 1],ATALI[[#This Row],[//]]-2))</f>
        <v/>
      </c>
      <c r="P281" s="7" t="str">
        <f ca="1">IF(ATALI[[#This Row],[//]]="","",INDEX([2]!NOTA[DISC 2],ATALI[[#This Row],[//]]-2))</f>
        <v/>
      </c>
      <c r="Q281" s="5" t="str">
        <f ca="1">IF(ATALI[[#This Row],[//]]="","",INDEX([2]!NOTA[TOTAL],ATALI[[#This Row],[//]]-2))</f>
        <v/>
      </c>
      <c r="R2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1" s="4" t="str">
        <f ca="1">IF(ATALI[[#This Row],[//]]="","",INDEX([2]!NOTA[NAMA BARANG],ATALI[[#This Row],[//]]-2))</f>
        <v/>
      </c>
      <c r="V281" s="4" t="str">
        <f ca="1">LOWER(SUBSTITUTE(SUBSTITUTE(SUBSTITUTE(SUBSTITUTE(SUBSTITUTE(SUBSTITUTE(SUBSTITUTE(ATALI[[#This Row],[N.B.nota]]," ",""),"-",""),"(",""),")",""),".",""),",",""),"/",""))</f>
        <v/>
      </c>
      <c r="W281" s="4" t="str">
        <f ca="1">IF(ATALI[[#This Row],[concat]]="","",MATCH(ATALI[[#This Row],[concat]],[4]!db[NB NOTA_C],0)+1)</f>
        <v/>
      </c>
      <c r="X281" s="4" t="str">
        <f ca="1">IF(ATALI[[#This Row],[N.B.nota]]="","",ADDRESS(ROW(ATALI[QB]),COLUMN(ATALI[QB]))&amp;":"&amp;ADDRESS(ROW(),COLUMN(ATALI[QB])))</f>
        <v/>
      </c>
      <c r="Y281" s="13" t="str">
        <f ca="1">IF(ATALI[[#This Row],[//]]="","",HYPERLINK("[../DB.xlsx]DB!e"&amp;MATCH(ATALI[[#This Row],[concat]],[4]!db[NB NOTA_C],0)+1,"&gt;"))</f>
        <v/>
      </c>
    </row>
    <row r="282" spans="1:25" x14ac:dyDescent="0.25">
      <c r="A282" s="4"/>
      <c r="B282" s="6" t="str">
        <f>IF(ATALI[[#This Row],[N_ID]]="","",INDEX(Table1[ID],MATCH(ATALI[[#This Row],[N_ID]],Table1[N_ID],0)))</f>
        <v/>
      </c>
      <c r="C282" s="6" t="str">
        <f>IF(ATALI[[#This Row],[ID NOTA]]="","",HYPERLINK("[NOTA_.xlsx]NOTA!e"&amp;INDEX([2]!PAJAK[//],MATCH(ATALI[[#This Row],[ID NOTA]],[2]!PAJAK[ID],0)),"&gt;") )</f>
        <v/>
      </c>
      <c r="D282" s="6" t="str">
        <f>IF(ATALI[[#This Row],[ID NOTA]]="","",INDEX(Table1[QB],MATCH(ATALI[[#This Row],[ID NOTA]],Table1[ID],0)))</f>
        <v/>
      </c>
      <c r="E2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2" s="6"/>
      <c r="G282" s="3" t="str">
        <f>IF(ATALI[[#This Row],[ID NOTA]]="","",INDEX([2]!NOTA[TGL_H],MATCH(ATALI[[#This Row],[ID NOTA]],[2]!NOTA[ID],0)))</f>
        <v/>
      </c>
      <c r="H282" s="3" t="str">
        <f>IF(ATALI[[#This Row],[ID NOTA]]="","",INDEX([2]!NOTA[TGL.NOTA],MATCH(ATALI[[#This Row],[ID NOTA]],[2]!NOTA[ID],0)))</f>
        <v/>
      </c>
      <c r="I282" s="4" t="str">
        <f>IF(ATALI[[#This Row],[ID NOTA]]="","",INDEX([2]!NOTA[NO.NOTA],MATCH(ATALI[[#This Row],[ID NOTA]],[2]!NOTA[ID],0)))</f>
        <v/>
      </c>
      <c r="J282" s="4" t="str">
        <f ca="1">IF(ATALI[[#This Row],[//]]="","",INDEX([4]!db[NB PAJAK],ATALI[[#This Row],[stt]]-1))</f>
        <v/>
      </c>
      <c r="K282" s="6" t="str">
        <f ca="1">IF(ATALI[[#This Row],[//]]="","",IF(INDEX([2]!NOTA[C],ATALI[[#This Row],[//]]-2)="","",INDEX([2]!NOTA[C],ATALI[[#This Row],[//]]-2)))</f>
        <v/>
      </c>
      <c r="L282" s="6" t="str">
        <f ca="1">IF(ATALI[[#This Row],[//]]="","",INDEX([2]!NOTA[QTY],ATALI[[#This Row],[//]]-2))</f>
        <v/>
      </c>
      <c r="M282" s="6" t="str">
        <f ca="1">IF(ATALI[[#This Row],[//]]="","",INDEX([2]!NOTA[STN],ATALI[[#This Row],[//]]-2))</f>
        <v/>
      </c>
      <c r="N282" s="5" t="str">
        <f ca="1">IF(ATALI[[#This Row],[//]]="","",INDEX([2]!NOTA[HARGA SATUAN],ATALI[[#This Row],[//]]-2))</f>
        <v/>
      </c>
      <c r="O282" s="7" t="str">
        <f ca="1">IF(ATALI[[#This Row],[//]]="","",INDEX([2]!NOTA[DISC 1],ATALI[[#This Row],[//]]-2))</f>
        <v/>
      </c>
      <c r="P282" s="7" t="str">
        <f ca="1">IF(ATALI[[#This Row],[//]]="","",INDEX([2]!NOTA[DISC 2],ATALI[[#This Row],[//]]-2))</f>
        <v/>
      </c>
      <c r="Q282" s="5" t="str">
        <f ca="1">IF(ATALI[[#This Row],[//]]="","",INDEX([2]!NOTA[TOTAL],ATALI[[#This Row],[//]]-2))</f>
        <v/>
      </c>
      <c r="R2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2" s="4" t="str">
        <f ca="1">IF(ATALI[[#This Row],[//]]="","",INDEX([2]!NOTA[NAMA BARANG],ATALI[[#This Row],[//]]-2))</f>
        <v/>
      </c>
      <c r="V282" s="4" t="str">
        <f ca="1">LOWER(SUBSTITUTE(SUBSTITUTE(SUBSTITUTE(SUBSTITUTE(SUBSTITUTE(SUBSTITUTE(SUBSTITUTE(ATALI[[#This Row],[N.B.nota]]," ",""),"-",""),"(",""),")",""),".",""),",",""),"/",""))</f>
        <v/>
      </c>
      <c r="W282" s="4" t="str">
        <f ca="1">IF(ATALI[[#This Row],[concat]]="","",MATCH(ATALI[[#This Row],[concat]],[4]!db[NB NOTA_C],0)+1)</f>
        <v/>
      </c>
      <c r="X282" s="4" t="str">
        <f ca="1">IF(ATALI[[#This Row],[N.B.nota]]="","",ADDRESS(ROW(ATALI[QB]),COLUMN(ATALI[QB]))&amp;":"&amp;ADDRESS(ROW(),COLUMN(ATALI[QB])))</f>
        <v/>
      </c>
      <c r="Y282" s="13" t="str">
        <f ca="1">IF(ATALI[[#This Row],[//]]="","",HYPERLINK("[../DB.xlsx]DB!e"&amp;MATCH(ATALI[[#This Row],[concat]],[4]!db[NB NOTA_C],0)+1,"&gt;"))</f>
        <v/>
      </c>
    </row>
    <row r="283" spans="1:25" x14ac:dyDescent="0.25">
      <c r="A283" s="4"/>
      <c r="B283" s="6" t="str">
        <f>IF(ATALI[[#This Row],[N_ID]]="","",INDEX(Table1[ID],MATCH(ATALI[[#This Row],[N_ID]],Table1[N_ID],0)))</f>
        <v/>
      </c>
      <c r="C283" s="6" t="str">
        <f>IF(ATALI[[#This Row],[ID NOTA]]="","",HYPERLINK("[NOTA_.xlsx]NOTA!e"&amp;INDEX([2]!PAJAK[//],MATCH(ATALI[[#This Row],[ID NOTA]],[2]!PAJAK[ID],0)),"&gt;") )</f>
        <v/>
      </c>
      <c r="D283" s="6" t="str">
        <f>IF(ATALI[[#This Row],[ID NOTA]]="","",INDEX(Table1[QB],MATCH(ATALI[[#This Row],[ID NOTA]],Table1[ID],0)))</f>
        <v/>
      </c>
      <c r="E2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3" s="6"/>
      <c r="G283" s="3" t="str">
        <f>IF(ATALI[[#This Row],[ID NOTA]]="","",INDEX([2]!NOTA[TGL_H],MATCH(ATALI[[#This Row],[ID NOTA]],[2]!NOTA[ID],0)))</f>
        <v/>
      </c>
      <c r="H283" s="3" t="str">
        <f>IF(ATALI[[#This Row],[ID NOTA]]="","",INDEX([2]!NOTA[TGL.NOTA],MATCH(ATALI[[#This Row],[ID NOTA]],[2]!NOTA[ID],0)))</f>
        <v/>
      </c>
      <c r="I283" s="4" t="str">
        <f>IF(ATALI[[#This Row],[ID NOTA]]="","",INDEX([2]!NOTA[NO.NOTA],MATCH(ATALI[[#This Row],[ID NOTA]],[2]!NOTA[ID],0)))</f>
        <v/>
      </c>
      <c r="J283" s="4" t="str">
        <f ca="1">IF(ATALI[[#This Row],[//]]="","",INDEX([4]!db[NB PAJAK],ATALI[[#This Row],[stt]]-1))</f>
        <v/>
      </c>
      <c r="K283" s="6" t="str">
        <f ca="1">IF(ATALI[[#This Row],[//]]="","",IF(INDEX([2]!NOTA[C],ATALI[[#This Row],[//]]-2)="","",INDEX([2]!NOTA[C],ATALI[[#This Row],[//]]-2)))</f>
        <v/>
      </c>
      <c r="L283" s="6" t="str">
        <f ca="1">IF(ATALI[[#This Row],[//]]="","",INDEX([2]!NOTA[QTY],ATALI[[#This Row],[//]]-2))</f>
        <v/>
      </c>
      <c r="M283" s="6" t="str">
        <f ca="1">IF(ATALI[[#This Row],[//]]="","",INDEX([2]!NOTA[STN],ATALI[[#This Row],[//]]-2))</f>
        <v/>
      </c>
      <c r="N283" s="5" t="str">
        <f ca="1">IF(ATALI[[#This Row],[//]]="","",INDEX([2]!NOTA[HARGA SATUAN],ATALI[[#This Row],[//]]-2))</f>
        <v/>
      </c>
      <c r="O283" s="7" t="str">
        <f ca="1">IF(ATALI[[#This Row],[//]]="","",INDEX([2]!NOTA[DISC 1],ATALI[[#This Row],[//]]-2))</f>
        <v/>
      </c>
      <c r="P283" s="7" t="str">
        <f ca="1">IF(ATALI[[#This Row],[//]]="","",INDEX([2]!NOTA[DISC 2],ATALI[[#This Row],[//]]-2))</f>
        <v/>
      </c>
      <c r="Q283" s="5" t="str">
        <f ca="1">IF(ATALI[[#This Row],[//]]="","",INDEX([2]!NOTA[TOTAL],ATALI[[#This Row],[//]]-2))</f>
        <v/>
      </c>
      <c r="R2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3" s="4" t="str">
        <f ca="1">IF(ATALI[[#This Row],[//]]="","",INDEX([2]!NOTA[NAMA BARANG],ATALI[[#This Row],[//]]-2))</f>
        <v/>
      </c>
      <c r="V283" s="4" t="str">
        <f ca="1">LOWER(SUBSTITUTE(SUBSTITUTE(SUBSTITUTE(SUBSTITUTE(SUBSTITUTE(SUBSTITUTE(SUBSTITUTE(ATALI[[#This Row],[N.B.nota]]," ",""),"-",""),"(",""),")",""),".",""),",",""),"/",""))</f>
        <v/>
      </c>
      <c r="W283" s="4" t="str">
        <f ca="1">IF(ATALI[[#This Row],[concat]]="","",MATCH(ATALI[[#This Row],[concat]],[4]!db[NB NOTA_C],0)+1)</f>
        <v/>
      </c>
      <c r="X283" s="4" t="str">
        <f ca="1">IF(ATALI[[#This Row],[N.B.nota]]="","",ADDRESS(ROW(ATALI[QB]),COLUMN(ATALI[QB]))&amp;":"&amp;ADDRESS(ROW(),COLUMN(ATALI[QB])))</f>
        <v/>
      </c>
      <c r="Y283" s="13" t="str">
        <f ca="1">IF(ATALI[[#This Row],[//]]="","",HYPERLINK("[../DB.xlsx]DB!e"&amp;MATCH(ATALI[[#This Row],[concat]],[4]!db[NB NOTA_C],0)+1,"&gt;"))</f>
        <v/>
      </c>
    </row>
    <row r="284" spans="1:25" x14ac:dyDescent="0.25">
      <c r="A284" s="4"/>
      <c r="B284" s="6" t="str">
        <f>IF(ATALI[[#This Row],[N_ID]]="","",INDEX(Table1[ID],MATCH(ATALI[[#This Row],[N_ID]],Table1[N_ID],0)))</f>
        <v/>
      </c>
      <c r="C284" s="6" t="str">
        <f>IF(ATALI[[#This Row],[ID NOTA]]="","",HYPERLINK("[NOTA_.xlsx]NOTA!e"&amp;INDEX([2]!PAJAK[//],MATCH(ATALI[[#This Row],[ID NOTA]],[2]!PAJAK[ID],0)),"&gt;") )</f>
        <v/>
      </c>
      <c r="D284" s="6" t="str">
        <f>IF(ATALI[[#This Row],[ID NOTA]]="","",INDEX(Table1[QB],MATCH(ATALI[[#This Row],[ID NOTA]],Table1[ID],0)))</f>
        <v/>
      </c>
      <c r="E2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4" s="6"/>
      <c r="G284" s="3" t="str">
        <f>IF(ATALI[[#This Row],[ID NOTA]]="","",INDEX([2]!NOTA[TGL_H],MATCH(ATALI[[#This Row],[ID NOTA]],[2]!NOTA[ID],0)))</f>
        <v/>
      </c>
      <c r="H284" s="3" t="str">
        <f>IF(ATALI[[#This Row],[ID NOTA]]="","",INDEX([2]!NOTA[TGL.NOTA],MATCH(ATALI[[#This Row],[ID NOTA]],[2]!NOTA[ID],0)))</f>
        <v/>
      </c>
      <c r="I284" s="4" t="str">
        <f>IF(ATALI[[#This Row],[ID NOTA]]="","",INDEX([2]!NOTA[NO.NOTA],MATCH(ATALI[[#This Row],[ID NOTA]],[2]!NOTA[ID],0)))</f>
        <v/>
      </c>
      <c r="J284" s="4" t="str">
        <f ca="1">IF(ATALI[[#This Row],[//]]="","",INDEX([4]!db[NB PAJAK],ATALI[[#This Row],[stt]]-1))</f>
        <v/>
      </c>
      <c r="K284" s="6" t="str">
        <f ca="1">IF(ATALI[[#This Row],[//]]="","",IF(INDEX([2]!NOTA[C],ATALI[[#This Row],[//]]-2)="","",INDEX([2]!NOTA[C],ATALI[[#This Row],[//]]-2)))</f>
        <v/>
      </c>
      <c r="L284" s="6" t="str">
        <f ca="1">IF(ATALI[[#This Row],[//]]="","",INDEX([2]!NOTA[QTY],ATALI[[#This Row],[//]]-2))</f>
        <v/>
      </c>
      <c r="M284" s="6" t="str">
        <f ca="1">IF(ATALI[[#This Row],[//]]="","",INDEX([2]!NOTA[STN],ATALI[[#This Row],[//]]-2))</f>
        <v/>
      </c>
      <c r="N284" s="5" t="str">
        <f ca="1">IF(ATALI[[#This Row],[//]]="","",INDEX([2]!NOTA[HARGA SATUAN],ATALI[[#This Row],[//]]-2))</f>
        <v/>
      </c>
      <c r="O284" s="7" t="str">
        <f ca="1">IF(ATALI[[#This Row],[//]]="","",INDEX([2]!NOTA[DISC 1],ATALI[[#This Row],[//]]-2))</f>
        <v/>
      </c>
      <c r="P284" s="7" t="str">
        <f ca="1">IF(ATALI[[#This Row],[//]]="","",INDEX([2]!NOTA[DISC 2],ATALI[[#This Row],[//]]-2))</f>
        <v/>
      </c>
      <c r="Q284" s="5" t="str">
        <f ca="1">IF(ATALI[[#This Row],[//]]="","",INDEX([2]!NOTA[TOTAL],ATALI[[#This Row],[//]]-2))</f>
        <v/>
      </c>
      <c r="R2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4" s="4" t="str">
        <f ca="1">IF(ATALI[[#This Row],[//]]="","",INDEX([2]!NOTA[NAMA BARANG],ATALI[[#This Row],[//]]-2))</f>
        <v/>
      </c>
      <c r="V284" s="4" t="str">
        <f ca="1">LOWER(SUBSTITUTE(SUBSTITUTE(SUBSTITUTE(SUBSTITUTE(SUBSTITUTE(SUBSTITUTE(SUBSTITUTE(ATALI[[#This Row],[N.B.nota]]," ",""),"-",""),"(",""),")",""),".",""),",",""),"/",""))</f>
        <v/>
      </c>
      <c r="W284" s="4" t="str">
        <f ca="1">IF(ATALI[[#This Row],[concat]]="","",MATCH(ATALI[[#This Row],[concat]],[4]!db[NB NOTA_C],0)+1)</f>
        <v/>
      </c>
      <c r="X284" s="4" t="str">
        <f ca="1">IF(ATALI[[#This Row],[N.B.nota]]="","",ADDRESS(ROW(ATALI[QB]),COLUMN(ATALI[QB]))&amp;":"&amp;ADDRESS(ROW(),COLUMN(ATALI[QB])))</f>
        <v/>
      </c>
      <c r="Y284" s="13" t="str">
        <f ca="1">IF(ATALI[[#This Row],[//]]="","",HYPERLINK("[../DB.xlsx]DB!e"&amp;MATCH(ATALI[[#This Row],[concat]],[4]!db[NB NOTA_C],0)+1,"&gt;"))</f>
        <v/>
      </c>
    </row>
    <row r="285" spans="1:25" x14ac:dyDescent="0.25">
      <c r="A285" s="4"/>
      <c r="B285" s="6" t="str">
        <f>IF(ATALI[[#This Row],[N_ID]]="","",INDEX(Table1[ID],MATCH(ATALI[[#This Row],[N_ID]],Table1[N_ID],0)))</f>
        <v/>
      </c>
      <c r="C285" s="6" t="str">
        <f>IF(ATALI[[#This Row],[ID NOTA]]="","",HYPERLINK("[NOTA_.xlsx]NOTA!e"&amp;INDEX([2]!PAJAK[//],MATCH(ATALI[[#This Row],[ID NOTA]],[2]!PAJAK[ID],0)),"&gt;") )</f>
        <v/>
      </c>
      <c r="D285" s="6" t="str">
        <f>IF(ATALI[[#This Row],[ID NOTA]]="","",INDEX(Table1[QB],MATCH(ATALI[[#This Row],[ID NOTA]],Table1[ID],0)))</f>
        <v/>
      </c>
      <c r="E2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5" s="6"/>
      <c r="G285" s="3" t="str">
        <f>IF(ATALI[[#This Row],[ID NOTA]]="","",INDEX([2]!NOTA[TGL_H],MATCH(ATALI[[#This Row],[ID NOTA]],[2]!NOTA[ID],0)))</f>
        <v/>
      </c>
      <c r="H285" s="3" t="str">
        <f>IF(ATALI[[#This Row],[ID NOTA]]="","",INDEX([2]!NOTA[TGL.NOTA],MATCH(ATALI[[#This Row],[ID NOTA]],[2]!NOTA[ID],0)))</f>
        <v/>
      </c>
      <c r="I285" s="4" t="str">
        <f>IF(ATALI[[#This Row],[ID NOTA]]="","",INDEX([2]!NOTA[NO.NOTA],MATCH(ATALI[[#This Row],[ID NOTA]],[2]!NOTA[ID],0)))</f>
        <v/>
      </c>
      <c r="J285" s="4" t="str">
        <f ca="1">IF(ATALI[[#This Row],[//]]="","",INDEX([4]!db[NB PAJAK],ATALI[[#This Row],[stt]]-1))</f>
        <v/>
      </c>
      <c r="K285" s="6" t="str">
        <f ca="1">IF(ATALI[[#This Row],[//]]="","",IF(INDEX([2]!NOTA[C],ATALI[[#This Row],[//]]-2)="","",INDEX([2]!NOTA[C],ATALI[[#This Row],[//]]-2)))</f>
        <v/>
      </c>
      <c r="L285" s="6" t="str">
        <f ca="1">IF(ATALI[[#This Row],[//]]="","",INDEX([2]!NOTA[QTY],ATALI[[#This Row],[//]]-2))</f>
        <v/>
      </c>
      <c r="M285" s="6" t="str">
        <f ca="1">IF(ATALI[[#This Row],[//]]="","",INDEX([2]!NOTA[STN],ATALI[[#This Row],[//]]-2))</f>
        <v/>
      </c>
      <c r="N285" s="5" t="str">
        <f ca="1">IF(ATALI[[#This Row],[//]]="","",INDEX([2]!NOTA[HARGA SATUAN],ATALI[[#This Row],[//]]-2))</f>
        <v/>
      </c>
      <c r="O285" s="7" t="str">
        <f ca="1">IF(ATALI[[#This Row],[//]]="","",INDEX([2]!NOTA[DISC 1],ATALI[[#This Row],[//]]-2))</f>
        <v/>
      </c>
      <c r="P285" s="7" t="str">
        <f ca="1">IF(ATALI[[#This Row],[//]]="","",INDEX([2]!NOTA[DISC 2],ATALI[[#This Row],[//]]-2))</f>
        <v/>
      </c>
      <c r="Q285" s="5" t="str">
        <f ca="1">IF(ATALI[[#This Row],[//]]="","",INDEX([2]!NOTA[TOTAL],ATALI[[#This Row],[//]]-2))</f>
        <v/>
      </c>
      <c r="R2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5" s="4" t="str">
        <f ca="1">IF(ATALI[[#This Row],[//]]="","",INDEX([2]!NOTA[NAMA BARANG],ATALI[[#This Row],[//]]-2))</f>
        <v/>
      </c>
      <c r="V285" s="4" t="str">
        <f ca="1">LOWER(SUBSTITUTE(SUBSTITUTE(SUBSTITUTE(SUBSTITUTE(SUBSTITUTE(SUBSTITUTE(SUBSTITUTE(ATALI[[#This Row],[N.B.nota]]," ",""),"-",""),"(",""),")",""),".",""),",",""),"/",""))</f>
        <v/>
      </c>
      <c r="W285" s="4" t="str">
        <f ca="1">IF(ATALI[[#This Row],[concat]]="","",MATCH(ATALI[[#This Row],[concat]],[4]!db[NB NOTA_C],0)+1)</f>
        <v/>
      </c>
      <c r="X285" s="4" t="str">
        <f ca="1">IF(ATALI[[#This Row],[N.B.nota]]="","",ADDRESS(ROW(ATALI[QB]),COLUMN(ATALI[QB]))&amp;":"&amp;ADDRESS(ROW(),COLUMN(ATALI[QB])))</f>
        <v/>
      </c>
      <c r="Y285" s="13" t="str">
        <f ca="1">IF(ATALI[[#This Row],[//]]="","",HYPERLINK("[../DB.xlsx]DB!e"&amp;MATCH(ATALI[[#This Row],[concat]],[4]!db[NB NOTA_C],0)+1,"&gt;"))</f>
        <v/>
      </c>
    </row>
    <row r="286" spans="1:25" x14ac:dyDescent="0.25">
      <c r="A286" s="4"/>
      <c r="B286" s="6" t="str">
        <f>IF(ATALI[[#This Row],[N_ID]]="","",INDEX(Table1[ID],MATCH(ATALI[[#This Row],[N_ID]],Table1[N_ID],0)))</f>
        <v/>
      </c>
      <c r="C286" s="6" t="str">
        <f>IF(ATALI[[#This Row],[ID NOTA]]="","",HYPERLINK("[NOTA_.xlsx]NOTA!e"&amp;INDEX([2]!PAJAK[//],MATCH(ATALI[[#This Row],[ID NOTA]],[2]!PAJAK[ID],0)),"&gt;") )</f>
        <v/>
      </c>
      <c r="D286" s="6" t="str">
        <f>IF(ATALI[[#This Row],[ID NOTA]]="","",INDEX(Table1[QB],MATCH(ATALI[[#This Row],[ID NOTA]],Table1[ID],0)))</f>
        <v/>
      </c>
      <c r="E2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6" s="6"/>
      <c r="G286" s="3" t="str">
        <f>IF(ATALI[[#This Row],[ID NOTA]]="","",INDEX([2]!NOTA[TGL_H],MATCH(ATALI[[#This Row],[ID NOTA]],[2]!NOTA[ID],0)))</f>
        <v/>
      </c>
      <c r="H286" s="3" t="str">
        <f>IF(ATALI[[#This Row],[ID NOTA]]="","",INDEX([2]!NOTA[TGL.NOTA],MATCH(ATALI[[#This Row],[ID NOTA]],[2]!NOTA[ID],0)))</f>
        <v/>
      </c>
      <c r="I286" s="4" t="str">
        <f>IF(ATALI[[#This Row],[ID NOTA]]="","",INDEX([2]!NOTA[NO.NOTA],MATCH(ATALI[[#This Row],[ID NOTA]],[2]!NOTA[ID],0)))</f>
        <v/>
      </c>
      <c r="J286" s="4" t="str">
        <f ca="1">IF(ATALI[[#This Row],[//]]="","",INDEX([4]!db[NB PAJAK],ATALI[[#This Row],[stt]]-1))</f>
        <v/>
      </c>
      <c r="K286" s="6" t="str">
        <f ca="1">IF(ATALI[[#This Row],[//]]="","",IF(INDEX([2]!NOTA[C],ATALI[[#This Row],[//]]-2)="","",INDEX([2]!NOTA[C],ATALI[[#This Row],[//]]-2)))</f>
        <v/>
      </c>
      <c r="L286" s="6" t="str">
        <f ca="1">IF(ATALI[[#This Row],[//]]="","",INDEX([2]!NOTA[QTY],ATALI[[#This Row],[//]]-2))</f>
        <v/>
      </c>
      <c r="M286" s="6" t="str">
        <f ca="1">IF(ATALI[[#This Row],[//]]="","",INDEX([2]!NOTA[STN],ATALI[[#This Row],[//]]-2))</f>
        <v/>
      </c>
      <c r="N286" s="5" t="str">
        <f ca="1">IF(ATALI[[#This Row],[//]]="","",INDEX([2]!NOTA[HARGA SATUAN],ATALI[[#This Row],[//]]-2))</f>
        <v/>
      </c>
      <c r="O286" s="7" t="str">
        <f ca="1">IF(ATALI[[#This Row],[//]]="","",INDEX([2]!NOTA[DISC 1],ATALI[[#This Row],[//]]-2))</f>
        <v/>
      </c>
      <c r="P286" s="7" t="str">
        <f ca="1">IF(ATALI[[#This Row],[//]]="","",INDEX([2]!NOTA[DISC 2],ATALI[[#This Row],[//]]-2))</f>
        <v/>
      </c>
      <c r="Q286" s="5" t="str">
        <f ca="1">IF(ATALI[[#This Row],[//]]="","",INDEX([2]!NOTA[TOTAL],ATALI[[#This Row],[//]]-2))</f>
        <v/>
      </c>
      <c r="R2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6" s="4" t="str">
        <f ca="1">IF(ATALI[[#This Row],[//]]="","",INDEX([2]!NOTA[NAMA BARANG],ATALI[[#This Row],[//]]-2))</f>
        <v/>
      </c>
      <c r="V286" s="4" t="str">
        <f ca="1">LOWER(SUBSTITUTE(SUBSTITUTE(SUBSTITUTE(SUBSTITUTE(SUBSTITUTE(SUBSTITUTE(SUBSTITUTE(ATALI[[#This Row],[N.B.nota]]," ",""),"-",""),"(",""),")",""),".",""),",",""),"/",""))</f>
        <v/>
      </c>
      <c r="W286" s="4" t="str">
        <f ca="1">IF(ATALI[[#This Row],[concat]]="","",MATCH(ATALI[[#This Row],[concat]],[4]!db[NB NOTA_C],0)+1)</f>
        <v/>
      </c>
      <c r="X286" s="4" t="str">
        <f ca="1">IF(ATALI[[#This Row],[N.B.nota]]="","",ADDRESS(ROW(ATALI[QB]),COLUMN(ATALI[QB]))&amp;":"&amp;ADDRESS(ROW(),COLUMN(ATALI[QB])))</f>
        <v/>
      </c>
      <c r="Y286" s="13" t="str">
        <f ca="1">IF(ATALI[[#This Row],[//]]="","",HYPERLINK("[../DB.xlsx]DB!e"&amp;MATCH(ATALI[[#This Row],[concat]],[4]!db[NB NOTA_C],0)+1,"&gt;"))</f>
        <v/>
      </c>
    </row>
    <row r="287" spans="1:25" x14ac:dyDescent="0.25">
      <c r="A287" s="4"/>
      <c r="B287" s="6" t="str">
        <f>IF(ATALI[[#This Row],[N_ID]]="","",INDEX(Table1[ID],MATCH(ATALI[[#This Row],[N_ID]],Table1[N_ID],0)))</f>
        <v/>
      </c>
      <c r="C287" s="6" t="str">
        <f>IF(ATALI[[#This Row],[ID NOTA]]="","",HYPERLINK("[NOTA_.xlsx]NOTA!e"&amp;INDEX([2]!PAJAK[//],MATCH(ATALI[[#This Row],[ID NOTA]],[2]!PAJAK[ID],0)),"&gt;") )</f>
        <v/>
      </c>
      <c r="D287" s="6" t="str">
        <f>IF(ATALI[[#This Row],[ID NOTA]]="","",INDEX(Table1[QB],MATCH(ATALI[[#This Row],[ID NOTA]],Table1[ID],0)))</f>
        <v/>
      </c>
      <c r="E2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7" s="6"/>
      <c r="G287" s="3" t="str">
        <f>IF(ATALI[[#This Row],[ID NOTA]]="","",INDEX([2]!NOTA[TGL_H],MATCH(ATALI[[#This Row],[ID NOTA]],[2]!NOTA[ID],0)))</f>
        <v/>
      </c>
      <c r="H287" s="3" t="str">
        <f>IF(ATALI[[#This Row],[ID NOTA]]="","",INDEX([2]!NOTA[TGL.NOTA],MATCH(ATALI[[#This Row],[ID NOTA]],[2]!NOTA[ID],0)))</f>
        <v/>
      </c>
      <c r="I287" s="4" t="str">
        <f>IF(ATALI[[#This Row],[ID NOTA]]="","",INDEX([2]!NOTA[NO.NOTA],MATCH(ATALI[[#This Row],[ID NOTA]],[2]!NOTA[ID],0)))</f>
        <v/>
      </c>
      <c r="J287" s="4" t="str">
        <f ca="1">IF(ATALI[[#This Row],[//]]="","",INDEX([4]!db[NB PAJAK],ATALI[[#This Row],[stt]]-1))</f>
        <v/>
      </c>
      <c r="K287" s="6" t="str">
        <f ca="1">IF(ATALI[[#This Row],[//]]="","",IF(INDEX([2]!NOTA[C],ATALI[[#This Row],[//]]-2)="","",INDEX([2]!NOTA[C],ATALI[[#This Row],[//]]-2)))</f>
        <v/>
      </c>
      <c r="L287" s="6" t="str">
        <f ca="1">IF(ATALI[[#This Row],[//]]="","",INDEX([2]!NOTA[QTY],ATALI[[#This Row],[//]]-2))</f>
        <v/>
      </c>
      <c r="M287" s="6" t="str">
        <f ca="1">IF(ATALI[[#This Row],[//]]="","",INDEX([2]!NOTA[STN],ATALI[[#This Row],[//]]-2))</f>
        <v/>
      </c>
      <c r="N287" s="5" t="str">
        <f ca="1">IF(ATALI[[#This Row],[//]]="","",INDEX([2]!NOTA[HARGA SATUAN],ATALI[[#This Row],[//]]-2))</f>
        <v/>
      </c>
      <c r="O287" s="7" t="str">
        <f ca="1">IF(ATALI[[#This Row],[//]]="","",INDEX([2]!NOTA[DISC 1],ATALI[[#This Row],[//]]-2))</f>
        <v/>
      </c>
      <c r="P287" s="7" t="str">
        <f ca="1">IF(ATALI[[#This Row],[//]]="","",INDEX([2]!NOTA[DISC 2],ATALI[[#This Row],[//]]-2))</f>
        <v/>
      </c>
      <c r="Q287" s="5" t="str">
        <f ca="1">IF(ATALI[[#This Row],[//]]="","",INDEX([2]!NOTA[TOTAL],ATALI[[#This Row],[//]]-2))</f>
        <v/>
      </c>
      <c r="R2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7" s="4" t="str">
        <f ca="1">IF(ATALI[[#This Row],[//]]="","",INDEX([2]!NOTA[NAMA BARANG],ATALI[[#This Row],[//]]-2))</f>
        <v/>
      </c>
      <c r="V287" s="4" t="str">
        <f ca="1">LOWER(SUBSTITUTE(SUBSTITUTE(SUBSTITUTE(SUBSTITUTE(SUBSTITUTE(SUBSTITUTE(SUBSTITUTE(ATALI[[#This Row],[N.B.nota]]," ",""),"-",""),"(",""),")",""),".",""),",",""),"/",""))</f>
        <v/>
      </c>
      <c r="W287" s="4" t="str">
        <f ca="1">IF(ATALI[[#This Row],[concat]]="","",MATCH(ATALI[[#This Row],[concat]],[4]!db[NB NOTA_C],0)+1)</f>
        <v/>
      </c>
      <c r="X287" s="4" t="str">
        <f ca="1">IF(ATALI[[#This Row],[N.B.nota]]="","",ADDRESS(ROW(ATALI[QB]),COLUMN(ATALI[QB]))&amp;":"&amp;ADDRESS(ROW(),COLUMN(ATALI[QB])))</f>
        <v/>
      </c>
      <c r="Y287" s="13" t="str">
        <f ca="1">IF(ATALI[[#This Row],[//]]="","",HYPERLINK("[../DB.xlsx]DB!e"&amp;MATCH(ATALI[[#This Row],[concat]],[4]!db[NB NOTA_C],0)+1,"&gt;"))</f>
        <v/>
      </c>
    </row>
    <row r="288" spans="1:25" x14ac:dyDescent="0.25">
      <c r="A288" s="4"/>
      <c r="B288" s="6" t="str">
        <f>IF(ATALI[[#This Row],[N_ID]]="","",INDEX(Table1[ID],MATCH(ATALI[[#This Row],[N_ID]],Table1[N_ID],0)))</f>
        <v/>
      </c>
      <c r="C288" s="6" t="str">
        <f>IF(ATALI[[#This Row],[ID NOTA]]="","",HYPERLINK("[NOTA_.xlsx]NOTA!e"&amp;INDEX([2]!PAJAK[//],MATCH(ATALI[[#This Row],[ID NOTA]],[2]!PAJAK[ID],0)),"&gt;") )</f>
        <v/>
      </c>
      <c r="D288" s="6" t="str">
        <f>IF(ATALI[[#This Row],[ID NOTA]]="","",INDEX(Table1[QB],MATCH(ATALI[[#This Row],[ID NOTA]],Table1[ID],0)))</f>
        <v/>
      </c>
      <c r="E2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8" s="6"/>
      <c r="G288" s="3" t="str">
        <f>IF(ATALI[[#This Row],[ID NOTA]]="","",INDEX([2]!NOTA[TGL_H],MATCH(ATALI[[#This Row],[ID NOTA]],[2]!NOTA[ID],0)))</f>
        <v/>
      </c>
      <c r="H288" s="3" t="str">
        <f>IF(ATALI[[#This Row],[ID NOTA]]="","",INDEX([2]!NOTA[TGL.NOTA],MATCH(ATALI[[#This Row],[ID NOTA]],[2]!NOTA[ID],0)))</f>
        <v/>
      </c>
      <c r="I288" s="4" t="str">
        <f>IF(ATALI[[#This Row],[ID NOTA]]="","",INDEX([2]!NOTA[NO.NOTA],MATCH(ATALI[[#This Row],[ID NOTA]],[2]!NOTA[ID],0)))</f>
        <v/>
      </c>
      <c r="J288" s="4" t="str">
        <f ca="1">IF(ATALI[[#This Row],[//]]="","",INDEX([4]!db[NB PAJAK],ATALI[[#This Row],[stt]]-1))</f>
        <v/>
      </c>
      <c r="K288" s="6" t="str">
        <f ca="1">IF(ATALI[[#This Row],[//]]="","",IF(INDEX([2]!NOTA[C],ATALI[[#This Row],[//]]-2)="","",INDEX([2]!NOTA[C],ATALI[[#This Row],[//]]-2)))</f>
        <v/>
      </c>
      <c r="L288" s="6" t="str">
        <f ca="1">IF(ATALI[[#This Row],[//]]="","",INDEX([2]!NOTA[QTY],ATALI[[#This Row],[//]]-2))</f>
        <v/>
      </c>
      <c r="M288" s="6" t="str">
        <f ca="1">IF(ATALI[[#This Row],[//]]="","",INDEX([2]!NOTA[STN],ATALI[[#This Row],[//]]-2))</f>
        <v/>
      </c>
      <c r="N288" s="5" t="str">
        <f ca="1">IF(ATALI[[#This Row],[//]]="","",INDEX([2]!NOTA[HARGA SATUAN],ATALI[[#This Row],[//]]-2))</f>
        <v/>
      </c>
      <c r="O288" s="7" t="str">
        <f ca="1">IF(ATALI[[#This Row],[//]]="","",INDEX([2]!NOTA[DISC 1],ATALI[[#This Row],[//]]-2))</f>
        <v/>
      </c>
      <c r="P288" s="7" t="str">
        <f ca="1">IF(ATALI[[#This Row],[//]]="","",INDEX([2]!NOTA[DISC 2],ATALI[[#This Row],[//]]-2))</f>
        <v/>
      </c>
      <c r="Q288" s="5" t="str">
        <f ca="1">IF(ATALI[[#This Row],[//]]="","",INDEX([2]!NOTA[TOTAL],ATALI[[#This Row],[//]]-2))</f>
        <v/>
      </c>
      <c r="R2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8" s="4" t="str">
        <f ca="1">IF(ATALI[[#This Row],[//]]="","",INDEX([2]!NOTA[NAMA BARANG],ATALI[[#This Row],[//]]-2))</f>
        <v/>
      </c>
      <c r="V288" s="4" t="str">
        <f ca="1">LOWER(SUBSTITUTE(SUBSTITUTE(SUBSTITUTE(SUBSTITUTE(SUBSTITUTE(SUBSTITUTE(SUBSTITUTE(ATALI[[#This Row],[N.B.nota]]," ",""),"-",""),"(",""),")",""),".",""),",",""),"/",""))</f>
        <v/>
      </c>
      <c r="W288" s="4" t="str">
        <f ca="1">IF(ATALI[[#This Row],[concat]]="","",MATCH(ATALI[[#This Row],[concat]],[4]!db[NB NOTA_C],0)+1)</f>
        <v/>
      </c>
      <c r="X288" s="4" t="str">
        <f ca="1">IF(ATALI[[#This Row],[N.B.nota]]="","",ADDRESS(ROW(ATALI[QB]),COLUMN(ATALI[QB]))&amp;":"&amp;ADDRESS(ROW(),COLUMN(ATALI[QB])))</f>
        <v/>
      </c>
      <c r="Y288" s="13" t="str">
        <f ca="1">IF(ATALI[[#This Row],[//]]="","",HYPERLINK("[../DB.xlsx]DB!e"&amp;MATCH(ATALI[[#This Row],[concat]],[4]!db[NB NOTA_C],0)+1,"&gt;"))</f>
        <v/>
      </c>
    </row>
    <row r="289" spans="1:25" x14ac:dyDescent="0.25">
      <c r="A289" s="4"/>
      <c r="B289" s="6" t="str">
        <f>IF(ATALI[[#This Row],[N_ID]]="","",INDEX(Table1[ID],MATCH(ATALI[[#This Row],[N_ID]],Table1[N_ID],0)))</f>
        <v/>
      </c>
      <c r="C289" s="6" t="str">
        <f>IF(ATALI[[#This Row],[ID NOTA]]="","",HYPERLINK("[NOTA_.xlsx]NOTA!e"&amp;INDEX([2]!PAJAK[//],MATCH(ATALI[[#This Row],[ID NOTA]],[2]!PAJAK[ID],0)),"&gt;") )</f>
        <v/>
      </c>
      <c r="D289" s="6" t="str">
        <f>IF(ATALI[[#This Row],[ID NOTA]]="","",INDEX(Table1[QB],MATCH(ATALI[[#This Row],[ID NOTA]],Table1[ID],0)))</f>
        <v/>
      </c>
      <c r="E2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9" s="6"/>
      <c r="G289" s="3" t="str">
        <f>IF(ATALI[[#This Row],[ID NOTA]]="","",INDEX([2]!NOTA[TGL_H],MATCH(ATALI[[#This Row],[ID NOTA]],[2]!NOTA[ID],0)))</f>
        <v/>
      </c>
      <c r="H289" s="3" t="str">
        <f>IF(ATALI[[#This Row],[ID NOTA]]="","",INDEX([2]!NOTA[TGL.NOTA],MATCH(ATALI[[#This Row],[ID NOTA]],[2]!NOTA[ID],0)))</f>
        <v/>
      </c>
      <c r="I289" s="4" t="str">
        <f>IF(ATALI[[#This Row],[ID NOTA]]="","",INDEX([2]!NOTA[NO.NOTA],MATCH(ATALI[[#This Row],[ID NOTA]],[2]!NOTA[ID],0)))</f>
        <v/>
      </c>
      <c r="J289" s="4" t="str">
        <f ca="1">IF(ATALI[[#This Row],[//]]="","",INDEX([4]!db[NB PAJAK],ATALI[[#This Row],[stt]]-1))</f>
        <v/>
      </c>
      <c r="K289" s="6" t="str">
        <f ca="1">IF(ATALI[[#This Row],[//]]="","",IF(INDEX([2]!NOTA[C],ATALI[[#This Row],[//]]-2)="","",INDEX([2]!NOTA[C],ATALI[[#This Row],[//]]-2)))</f>
        <v/>
      </c>
      <c r="L289" s="6" t="str">
        <f ca="1">IF(ATALI[[#This Row],[//]]="","",INDEX([2]!NOTA[QTY],ATALI[[#This Row],[//]]-2))</f>
        <v/>
      </c>
      <c r="M289" s="6" t="str">
        <f ca="1">IF(ATALI[[#This Row],[//]]="","",INDEX([2]!NOTA[STN],ATALI[[#This Row],[//]]-2))</f>
        <v/>
      </c>
      <c r="N289" s="5" t="str">
        <f ca="1">IF(ATALI[[#This Row],[//]]="","",INDEX([2]!NOTA[HARGA SATUAN],ATALI[[#This Row],[//]]-2))</f>
        <v/>
      </c>
      <c r="O289" s="7" t="str">
        <f ca="1">IF(ATALI[[#This Row],[//]]="","",INDEX([2]!NOTA[DISC 1],ATALI[[#This Row],[//]]-2))</f>
        <v/>
      </c>
      <c r="P289" s="7" t="str">
        <f ca="1">IF(ATALI[[#This Row],[//]]="","",INDEX([2]!NOTA[DISC 2],ATALI[[#This Row],[//]]-2))</f>
        <v/>
      </c>
      <c r="Q289" s="5" t="str">
        <f ca="1">IF(ATALI[[#This Row],[//]]="","",INDEX([2]!NOTA[TOTAL],ATALI[[#This Row],[//]]-2))</f>
        <v/>
      </c>
      <c r="R2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9" s="4" t="str">
        <f ca="1">IF(ATALI[[#This Row],[//]]="","",INDEX([2]!NOTA[NAMA BARANG],ATALI[[#This Row],[//]]-2))</f>
        <v/>
      </c>
      <c r="V289" s="4" t="str">
        <f ca="1">LOWER(SUBSTITUTE(SUBSTITUTE(SUBSTITUTE(SUBSTITUTE(SUBSTITUTE(SUBSTITUTE(SUBSTITUTE(ATALI[[#This Row],[N.B.nota]]," ",""),"-",""),"(",""),")",""),".",""),",",""),"/",""))</f>
        <v/>
      </c>
      <c r="W289" s="4" t="str">
        <f ca="1">IF(ATALI[[#This Row],[concat]]="","",MATCH(ATALI[[#This Row],[concat]],[4]!db[NB NOTA_C],0)+1)</f>
        <v/>
      </c>
      <c r="X289" s="4" t="str">
        <f ca="1">IF(ATALI[[#This Row],[N.B.nota]]="","",ADDRESS(ROW(ATALI[QB]),COLUMN(ATALI[QB]))&amp;":"&amp;ADDRESS(ROW(),COLUMN(ATALI[QB])))</f>
        <v/>
      </c>
      <c r="Y289" s="13" t="str">
        <f ca="1">IF(ATALI[[#This Row],[//]]="","",HYPERLINK("[../DB.xlsx]DB!e"&amp;MATCH(ATALI[[#This Row],[concat]],[4]!db[NB NOTA_C],0)+1,"&gt;"))</f>
        <v/>
      </c>
    </row>
    <row r="290" spans="1:25" x14ac:dyDescent="0.25">
      <c r="A290" s="4"/>
      <c r="B290" s="6" t="str">
        <f>IF(ATALI[[#This Row],[N_ID]]="","",INDEX(Table1[ID],MATCH(ATALI[[#This Row],[N_ID]],Table1[N_ID],0)))</f>
        <v/>
      </c>
      <c r="C290" s="6" t="str">
        <f>IF(ATALI[[#This Row],[ID NOTA]]="","",HYPERLINK("[NOTA_.xlsx]NOTA!e"&amp;INDEX([2]!PAJAK[//],MATCH(ATALI[[#This Row],[ID NOTA]],[2]!PAJAK[ID],0)),"&gt;") )</f>
        <v/>
      </c>
      <c r="D290" s="6" t="str">
        <f>IF(ATALI[[#This Row],[ID NOTA]]="","",INDEX(Table1[QB],MATCH(ATALI[[#This Row],[ID NOTA]],Table1[ID],0)))</f>
        <v/>
      </c>
      <c r="E2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0" s="6"/>
      <c r="G290" s="3" t="str">
        <f>IF(ATALI[[#This Row],[ID NOTA]]="","",INDEX([2]!NOTA[TGL_H],MATCH(ATALI[[#This Row],[ID NOTA]],[2]!NOTA[ID],0)))</f>
        <v/>
      </c>
      <c r="H290" s="3" t="str">
        <f>IF(ATALI[[#This Row],[ID NOTA]]="","",INDEX([2]!NOTA[TGL.NOTA],MATCH(ATALI[[#This Row],[ID NOTA]],[2]!NOTA[ID],0)))</f>
        <v/>
      </c>
      <c r="I290" s="4" t="str">
        <f>IF(ATALI[[#This Row],[ID NOTA]]="","",INDEX([2]!NOTA[NO.NOTA],MATCH(ATALI[[#This Row],[ID NOTA]],[2]!NOTA[ID],0)))</f>
        <v/>
      </c>
      <c r="J290" s="4" t="str">
        <f ca="1">IF(ATALI[[#This Row],[//]]="","",INDEX([4]!db[NB PAJAK],ATALI[[#This Row],[stt]]-1))</f>
        <v/>
      </c>
      <c r="K290" s="6" t="str">
        <f ca="1">IF(ATALI[[#This Row],[//]]="","",IF(INDEX([2]!NOTA[C],ATALI[[#This Row],[//]]-2)="","",INDEX([2]!NOTA[C],ATALI[[#This Row],[//]]-2)))</f>
        <v/>
      </c>
      <c r="L290" s="6" t="str">
        <f ca="1">IF(ATALI[[#This Row],[//]]="","",INDEX([2]!NOTA[QTY],ATALI[[#This Row],[//]]-2))</f>
        <v/>
      </c>
      <c r="M290" s="6" t="str">
        <f ca="1">IF(ATALI[[#This Row],[//]]="","",INDEX([2]!NOTA[STN],ATALI[[#This Row],[//]]-2))</f>
        <v/>
      </c>
      <c r="N290" s="5" t="str">
        <f ca="1">IF(ATALI[[#This Row],[//]]="","",INDEX([2]!NOTA[HARGA SATUAN],ATALI[[#This Row],[//]]-2))</f>
        <v/>
      </c>
      <c r="O290" s="7" t="str">
        <f ca="1">IF(ATALI[[#This Row],[//]]="","",INDEX([2]!NOTA[DISC 1],ATALI[[#This Row],[//]]-2))</f>
        <v/>
      </c>
      <c r="P290" s="7" t="str">
        <f ca="1">IF(ATALI[[#This Row],[//]]="","",INDEX([2]!NOTA[DISC 2],ATALI[[#This Row],[//]]-2))</f>
        <v/>
      </c>
      <c r="Q290" s="5" t="str">
        <f ca="1">IF(ATALI[[#This Row],[//]]="","",INDEX([2]!NOTA[TOTAL],ATALI[[#This Row],[//]]-2))</f>
        <v/>
      </c>
      <c r="R2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0" s="4" t="str">
        <f ca="1">IF(ATALI[[#This Row],[//]]="","",INDEX([2]!NOTA[NAMA BARANG],ATALI[[#This Row],[//]]-2))</f>
        <v/>
      </c>
      <c r="V290" s="4" t="str">
        <f ca="1">LOWER(SUBSTITUTE(SUBSTITUTE(SUBSTITUTE(SUBSTITUTE(SUBSTITUTE(SUBSTITUTE(SUBSTITUTE(ATALI[[#This Row],[N.B.nota]]," ",""),"-",""),"(",""),")",""),".",""),",",""),"/",""))</f>
        <v/>
      </c>
      <c r="W290" s="4" t="str">
        <f ca="1">IF(ATALI[[#This Row],[concat]]="","",MATCH(ATALI[[#This Row],[concat]],[4]!db[NB NOTA_C],0)+1)</f>
        <v/>
      </c>
      <c r="X290" s="4" t="str">
        <f ca="1">IF(ATALI[[#This Row],[N.B.nota]]="","",ADDRESS(ROW(ATALI[QB]),COLUMN(ATALI[QB]))&amp;":"&amp;ADDRESS(ROW(),COLUMN(ATALI[QB])))</f>
        <v/>
      </c>
      <c r="Y290" s="13" t="str">
        <f ca="1">IF(ATALI[[#This Row],[//]]="","",HYPERLINK("[../DB.xlsx]DB!e"&amp;MATCH(ATALI[[#This Row],[concat]],[4]!db[NB NOTA_C],0)+1,"&gt;"))</f>
        <v/>
      </c>
    </row>
    <row r="291" spans="1:25" x14ac:dyDescent="0.25">
      <c r="A291" s="4"/>
      <c r="B291" s="6" t="str">
        <f>IF(ATALI[[#This Row],[N_ID]]="","",INDEX(Table1[ID],MATCH(ATALI[[#This Row],[N_ID]],Table1[N_ID],0)))</f>
        <v/>
      </c>
      <c r="C291" s="6" t="str">
        <f>IF(ATALI[[#This Row],[ID NOTA]]="","",HYPERLINK("[NOTA_.xlsx]NOTA!e"&amp;INDEX([2]!PAJAK[//],MATCH(ATALI[[#This Row],[ID NOTA]],[2]!PAJAK[ID],0)),"&gt;") )</f>
        <v/>
      </c>
      <c r="D291" s="6" t="str">
        <f>IF(ATALI[[#This Row],[ID NOTA]]="","",INDEX(Table1[QB],MATCH(ATALI[[#This Row],[ID NOTA]],Table1[ID],0)))</f>
        <v/>
      </c>
      <c r="E2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1" s="6"/>
      <c r="G291" s="3" t="str">
        <f>IF(ATALI[[#This Row],[ID NOTA]]="","",INDEX([2]!NOTA[TGL_H],MATCH(ATALI[[#This Row],[ID NOTA]],[2]!NOTA[ID],0)))</f>
        <v/>
      </c>
      <c r="H291" s="3" t="str">
        <f>IF(ATALI[[#This Row],[ID NOTA]]="","",INDEX([2]!NOTA[TGL.NOTA],MATCH(ATALI[[#This Row],[ID NOTA]],[2]!NOTA[ID],0)))</f>
        <v/>
      </c>
      <c r="I291" s="4" t="str">
        <f>IF(ATALI[[#This Row],[ID NOTA]]="","",INDEX([2]!NOTA[NO.NOTA],MATCH(ATALI[[#This Row],[ID NOTA]],[2]!NOTA[ID],0)))</f>
        <v/>
      </c>
      <c r="J291" s="4" t="str">
        <f ca="1">IF(ATALI[[#This Row],[//]]="","",INDEX([4]!db[NB PAJAK],ATALI[[#This Row],[stt]]-1))</f>
        <v/>
      </c>
      <c r="K291" s="6" t="str">
        <f ca="1">IF(ATALI[[#This Row],[//]]="","",IF(INDEX([2]!NOTA[C],ATALI[[#This Row],[//]]-2)="","",INDEX([2]!NOTA[C],ATALI[[#This Row],[//]]-2)))</f>
        <v/>
      </c>
      <c r="L291" s="6" t="str">
        <f ca="1">IF(ATALI[[#This Row],[//]]="","",INDEX([2]!NOTA[QTY],ATALI[[#This Row],[//]]-2))</f>
        <v/>
      </c>
      <c r="M291" s="6" t="str">
        <f ca="1">IF(ATALI[[#This Row],[//]]="","",INDEX([2]!NOTA[STN],ATALI[[#This Row],[//]]-2))</f>
        <v/>
      </c>
      <c r="N291" s="5" t="str">
        <f ca="1">IF(ATALI[[#This Row],[//]]="","",INDEX([2]!NOTA[HARGA SATUAN],ATALI[[#This Row],[//]]-2))</f>
        <v/>
      </c>
      <c r="O291" s="7" t="str">
        <f ca="1">IF(ATALI[[#This Row],[//]]="","",INDEX([2]!NOTA[DISC 1],ATALI[[#This Row],[//]]-2))</f>
        <v/>
      </c>
      <c r="P291" s="7" t="str">
        <f ca="1">IF(ATALI[[#This Row],[//]]="","",INDEX([2]!NOTA[DISC 2],ATALI[[#This Row],[//]]-2))</f>
        <v/>
      </c>
      <c r="Q291" s="5" t="str">
        <f ca="1">IF(ATALI[[#This Row],[//]]="","",INDEX([2]!NOTA[TOTAL],ATALI[[#This Row],[//]]-2))</f>
        <v/>
      </c>
      <c r="R2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1" s="4" t="str">
        <f ca="1">IF(ATALI[[#This Row],[//]]="","",INDEX([2]!NOTA[NAMA BARANG],ATALI[[#This Row],[//]]-2))</f>
        <v/>
      </c>
      <c r="V291" s="4" t="str">
        <f ca="1">LOWER(SUBSTITUTE(SUBSTITUTE(SUBSTITUTE(SUBSTITUTE(SUBSTITUTE(SUBSTITUTE(SUBSTITUTE(ATALI[[#This Row],[N.B.nota]]," ",""),"-",""),"(",""),")",""),".",""),",",""),"/",""))</f>
        <v/>
      </c>
      <c r="W291" s="4" t="str">
        <f ca="1">IF(ATALI[[#This Row],[concat]]="","",MATCH(ATALI[[#This Row],[concat]],[4]!db[NB NOTA_C],0)+1)</f>
        <v/>
      </c>
      <c r="X291" s="4" t="str">
        <f ca="1">IF(ATALI[[#This Row],[N.B.nota]]="","",ADDRESS(ROW(ATALI[QB]),COLUMN(ATALI[QB]))&amp;":"&amp;ADDRESS(ROW(),COLUMN(ATALI[QB])))</f>
        <v/>
      </c>
      <c r="Y291" s="13" t="str">
        <f ca="1">IF(ATALI[[#This Row],[//]]="","",HYPERLINK("[../DB.xlsx]DB!e"&amp;MATCH(ATALI[[#This Row],[concat]],[4]!db[NB NOTA_C],0)+1,"&gt;"))</f>
        <v/>
      </c>
    </row>
    <row r="292" spans="1:25" x14ac:dyDescent="0.25">
      <c r="A292" s="4"/>
      <c r="B292" s="6" t="str">
        <f>IF(ATALI[[#This Row],[N_ID]]="","",INDEX(Table1[ID],MATCH(ATALI[[#This Row],[N_ID]],Table1[N_ID],0)))</f>
        <v/>
      </c>
      <c r="C292" s="6" t="str">
        <f>IF(ATALI[[#This Row],[ID NOTA]]="","",HYPERLINK("[NOTA_.xlsx]NOTA!e"&amp;INDEX([2]!PAJAK[//],MATCH(ATALI[[#This Row],[ID NOTA]],[2]!PAJAK[ID],0)),"&gt;") )</f>
        <v/>
      </c>
      <c r="D292" s="6" t="str">
        <f>IF(ATALI[[#This Row],[ID NOTA]]="","",INDEX(Table1[QB],MATCH(ATALI[[#This Row],[ID NOTA]],Table1[ID],0)))</f>
        <v/>
      </c>
      <c r="E2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2" s="6"/>
      <c r="G292" s="3" t="str">
        <f>IF(ATALI[[#This Row],[ID NOTA]]="","",INDEX([2]!NOTA[TGL_H],MATCH(ATALI[[#This Row],[ID NOTA]],[2]!NOTA[ID],0)))</f>
        <v/>
      </c>
      <c r="H292" s="3" t="str">
        <f>IF(ATALI[[#This Row],[ID NOTA]]="","",INDEX([2]!NOTA[TGL.NOTA],MATCH(ATALI[[#This Row],[ID NOTA]],[2]!NOTA[ID],0)))</f>
        <v/>
      </c>
      <c r="I292" s="4" t="str">
        <f>IF(ATALI[[#This Row],[ID NOTA]]="","",INDEX([2]!NOTA[NO.NOTA],MATCH(ATALI[[#This Row],[ID NOTA]],[2]!NOTA[ID],0)))</f>
        <v/>
      </c>
      <c r="J292" s="4" t="str">
        <f ca="1">IF(ATALI[[#This Row],[//]]="","",INDEX([4]!db[NB PAJAK],ATALI[[#This Row],[stt]]-1))</f>
        <v/>
      </c>
      <c r="K292" s="6" t="str">
        <f ca="1">IF(ATALI[[#This Row],[//]]="","",IF(INDEX([2]!NOTA[C],ATALI[[#This Row],[//]]-2)="","",INDEX([2]!NOTA[C],ATALI[[#This Row],[//]]-2)))</f>
        <v/>
      </c>
      <c r="L292" s="6" t="str">
        <f ca="1">IF(ATALI[[#This Row],[//]]="","",INDEX([2]!NOTA[QTY],ATALI[[#This Row],[//]]-2))</f>
        <v/>
      </c>
      <c r="M292" s="6" t="str">
        <f ca="1">IF(ATALI[[#This Row],[//]]="","",INDEX([2]!NOTA[STN],ATALI[[#This Row],[//]]-2))</f>
        <v/>
      </c>
      <c r="N292" s="5" t="str">
        <f ca="1">IF(ATALI[[#This Row],[//]]="","",INDEX([2]!NOTA[HARGA SATUAN],ATALI[[#This Row],[//]]-2))</f>
        <v/>
      </c>
      <c r="O292" s="7" t="str">
        <f ca="1">IF(ATALI[[#This Row],[//]]="","",INDEX([2]!NOTA[DISC 1],ATALI[[#This Row],[//]]-2))</f>
        <v/>
      </c>
      <c r="P292" s="7" t="str">
        <f ca="1">IF(ATALI[[#This Row],[//]]="","",INDEX([2]!NOTA[DISC 2],ATALI[[#This Row],[//]]-2))</f>
        <v/>
      </c>
      <c r="Q292" s="5" t="str">
        <f ca="1">IF(ATALI[[#This Row],[//]]="","",INDEX([2]!NOTA[TOTAL],ATALI[[#This Row],[//]]-2))</f>
        <v/>
      </c>
      <c r="R2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2" s="4" t="str">
        <f ca="1">IF(ATALI[[#This Row],[//]]="","",INDEX([2]!NOTA[NAMA BARANG],ATALI[[#This Row],[//]]-2))</f>
        <v/>
      </c>
      <c r="V292" s="4" t="str">
        <f ca="1">LOWER(SUBSTITUTE(SUBSTITUTE(SUBSTITUTE(SUBSTITUTE(SUBSTITUTE(SUBSTITUTE(SUBSTITUTE(ATALI[[#This Row],[N.B.nota]]," ",""),"-",""),"(",""),")",""),".",""),",",""),"/",""))</f>
        <v/>
      </c>
      <c r="W292" s="4" t="str">
        <f ca="1">IF(ATALI[[#This Row],[concat]]="","",MATCH(ATALI[[#This Row],[concat]],[4]!db[NB NOTA_C],0)+1)</f>
        <v/>
      </c>
      <c r="X292" s="4" t="str">
        <f ca="1">IF(ATALI[[#This Row],[N.B.nota]]="","",ADDRESS(ROW(ATALI[QB]),COLUMN(ATALI[QB]))&amp;":"&amp;ADDRESS(ROW(),COLUMN(ATALI[QB])))</f>
        <v/>
      </c>
      <c r="Y292" s="13" t="str">
        <f ca="1">IF(ATALI[[#This Row],[//]]="","",HYPERLINK("[../DB.xlsx]DB!e"&amp;MATCH(ATALI[[#This Row],[concat]],[4]!db[NB NOTA_C],0)+1,"&gt;"))</f>
        <v/>
      </c>
    </row>
    <row r="293" spans="1:25" x14ac:dyDescent="0.25">
      <c r="A293" s="4"/>
      <c r="B293" s="6" t="str">
        <f>IF(ATALI[[#This Row],[N_ID]]="","",INDEX(Table1[ID],MATCH(ATALI[[#This Row],[N_ID]],Table1[N_ID],0)))</f>
        <v/>
      </c>
      <c r="C293" s="6" t="str">
        <f>IF(ATALI[[#This Row],[ID NOTA]]="","",HYPERLINK("[NOTA_.xlsx]NOTA!e"&amp;INDEX([2]!PAJAK[//],MATCH(ATALI[[#This Row],[ID NOTA]],[2]!PAJAK[ID],0)),"&gt;") )</f>
        <v/>
      </c>
      <c r="D293" s="6" t="str">
        <f>IF(ATALI[[#This Row],[ID NOTA]]="","",INDEX(Table1[QB],MATCH(ATALI[[#This Row],[ID NOTA]],Table1[ID],0)))</f>
        <v/>
      </c>
      <c r="E2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3" s="6"/>
      <c r="G293" s="3" t="str">
        <f>IF(ATALI[[#This Row],[ID NOTA]]="","",INDEX([2]!NOTA[TGL_H],MATCH(ATALI[[#This Row],[ID NOTA]],[2]!NOTA[ID],0)))</f>
        <v/>
      </c>
      <c r="H293" s="3" t="str">
        <f>IF(ATALI[[#This Row],[ID NOTA]]="","",INDEX([2]!NOTA[TGL.NOTA],MATCH(ATALI[[#This Row],[ID NOTA]],[2]!NOTA[ID],0)))</f>
        <v/>
      </c>
      <c r="I293" s="4" t="str">
        <f>IF(ATALI[[#This Row],[ID NOTA]]="","",INDEX([2]!NOTA[NO.NOTA],MATCH(ATALI[[#This Row],[ID NOTA]],[2]!NOTA[ID],0)))</f>
        <v/>
      </c>
      <c r="J293" s="4" t="str">
        <f ca="1">IF(ATALI[[#This Row],[//]]="","",INDEX([4]!db[NB PAJAK],ATALI[[#This Row],[stt]]-1))</f>
        <v/>
      </c>
      <c r="K293" s="6" t="str">
        <f ca="1">IF(ATALI[[#This Row],[//]]="","",IF(INDEX([2]!NOTA[C],ATALI[[#This Row],[//]]-2)="","",INDEX([2]!NOTA[C],ATALI[[#This Row],[//]]-2)))</f>
        <v/>
      </c>
      <c r="L293" s="6" t="str">
        <f ca="1">IF(ATALI[[#This Row],[//]]="","",INDEX([2]!NOTA[QTY],ATALI[[#This Row],[//]]-2))</f>
        <v/>
      </c>
      <c r="M293" s="6" t="str">
        <f ca="1">IF(ATALI[[#This Row],[//]]="","",INDEX([2]!NOTA[STN],ATALI[[#This Row],[//]]-2))</f>
        <v/>
      </c>
      <c r="N293" s="5" t="str">
        <f ca="1">IF(ATALI[[#This Row],[//]]="","",INDEX([2]!NOTA[HARGA SATUAN],ATALI[[#This Row],[//]]-2))</f>
        <v/>
      </c>
      <c r="O293" s="7" t="str">
        <f ca="1">IF(ATALI[[#This Row],[//]]="","",INDEX([2]!NOTA[DISC 1],ATALI[[#This Row],[//]]-2))</f>
        <v/>
      </c>
      <c r="P293" s="7" t="str">
        <f ca="1">IF(ATALI[[#This Row],[//]]="","",INDEX([2]!NOTA[DISC 2],ATALI[[#This Row],[//]]-2))</f>
        <v/>
      </c>
      <c r="Q293" s="5" t="str">
        <f ca="1">IF(ATALI[[#This Row],[//]]="","",INDEX([2]!NOTA[TOTAL],ATALI[[#This Row],[//]]-2))</f>
        <v/>
      </c>
      <c r="R2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3" s="4" t="str">
        <f ca="1">IF(ATALI[[#This Row],[//]]="","",INDEX([2]!NOTA[NAMA BARANG],ATALI[[#This Row],[//]]-2))</f>
        <v/>
      </c>
      <c r="V293" s="4" t="str">
        <f ca="1">LOWER(SUBSTITUTE(SUBSTITUTE(SUBSTITUTE(SUBSTITUTE(SUBSTITUTE(SUBSTITUTE(SUBSTITUTE(ATALI[[#This Row],[N.B.nota]]," ",""),"-",""),"(",""),")",""),".",""),",",""),"/",""))</f>
        <v/>
      </c>
      <c r="W293" s="4" t="str">
        <f ca="1">IF(ATALI[[#This Row],[concat]]="","",MATCH(ATALI[[#This Row],[concat]],[4]!db[NB NOTA_C],0)+1)</f>
        <v/>
      </c>
      <c r="X293" s="4" t="str">
        <f ca="1">IF(ATALI[[#This Row],[N.B.nota]]="","",ADDRESS(ROW(ATALI[QB]),COLUMN(ATALI[QB]))&amp;":"&amp;ADDRESS(ROW(),COLUMN(ATALI[QB])))</f>
        <v/>
      </c>
      <c r="Y293" s="13" t="str">
        <f ca="1">IF(ATALI[[#This Row],[//]]="","",HYPERLINK("[../DB.xlsx]DB!e"&amp;MATCH(ATALI[[#This Row],[concat]],[4]!db[NB NOTA_C],0)+1,"&gt;"))</f>
        <v/>
      </c>
    </row>
    <row r="294" spans="1:25" x14ac:dyDescent="0.25">
      <c r="A294" s="4"/>
      <c r="B294" s="6" t="str">
        <f>IF(ATALI[[#This Row],[N_ID]]="","",INDEX(Table1[ID],MATCH(ATALI[[#This Row],[N_ID]],Table1[N_ID],0)))</f>
        <v/>
      </c>
      <c r="C294" s="6" t="str">
        <f>IF(ATALI[[#This Row],[ID NOTA]]="","",HYPERLINK("[NOTA_.xlsx]NOTA!e"&amp;INDEX([2]!PAJAK[//],MATCH(ATALI[[#This Row],[ID NOTA]],[2]!PAJAK[ID],0)),"&gt;") )</f>
        <v/>
      </c>
      <c r="D294" s="6" t="str">
        <f>IF(ATALI[[#This Row],[ID NOTA]]="","",INDEX(Table1[QB],MATCH(ATALI[[#This Row],[ID NOTA]],Table1[ID],0)))</f>
        <v/>
      </c>
      <c r="E2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4" s="6"/>
      <c r="G294" s="3" t="str">
        <f>IF(ATALI[[#This Row],[ID NOTA]]="","",INDEX([2]!NOTA[TGL_H],MATCH(ATALI[[#This Row],[ID NOTA]],[2]!NOTA[ID],0)))</f>
        <v/>
      </c>
      <c r="H294" s="3" t="str">
        <f>IF(ATALI[[#This Row],[ID NOTA]]="","",INDEX([2]!NOTA[TGL.NOTA],MATCH(ATALI[[#This Row],[ID NOTA]],[2]!NOTA[ID],0)))</f>
        <v/>
      </c>
      <c r="I294" s="4" t="str">
        <f>IF(ATALI[[#This Row],[ID NOTA]]="","",INDEX([2]!NOTA[NO.NOTA],MATCH(ATALI[[#This Row],[ID NOTA]],[2]!NOTA[ID],0)))</f>
        <v/>
      </c>
      <c r="J294" s="4" t="str">
        <f ca="1">IF(ATALI[[#This Row],[//]]="","",INDEX([4]!db[NB PAJAK],ATALI[[#This Row],[stt]]-1))</f>
        <v/>
      </c>
      <c r="K294" s="6" t="str">
        <f ca="1">IF(ATALI[[#This Row],[//]]="","",IF(INDEX([2]!NOTA[C],ATALI[[#This Row],[//]]-2)="","",INDEX([2]!NOTA[C],ATALI[[#This Row],[//]]-2)))</f>
        <v/>
      </c>
      <c r="L294" s="6" t="str">
        <f ca="1">IF(ATALI[[#This Row],[//]]="","",INDEX([2]!NOTA[QTY],ATALI[[#This Row],[//]]-2))</f>
        <v/>
      </c>
      <c r="M294" s="6" t="str">
        <f ca="1">IF(ATALI[[#This Row],[//]]="","",INDEX([2]!NOTA[STN],ATALI[[#This Row],[//]]-2))</f>
        <v/>
      </c>
      <c r="N294" s="5" t="str">
        <f ca="1">IF(ATALI[[#This Row],[//]]="","",INDEX([2]!NOTA[HARGA SATUAN],ATALI[[#This Row],[//]]-2))</f>
        <v/>
      </c>
      <c r="O294" s="7" t="str">
        <f ca="1">IF(ATALI[[#This Row],[//]]="","",INDEX([2]!NOTA[DISC 1],ATALI[[#This Row],[//]]-2))</f>
        <v/>
      </c>
      <c r="P294" s="7" t="str">
        <f ca="1">IF(ATALI[[#This Row],[//]]="","",INDEX([2]!NOTA[DISC 2],ATALI[[#This Row],[//]]-2))</f>
        <v/>
      </c>
      <c r="Q294" s="5" t="str">
        <f ca="1">IF(ATALI[[#This Row],[//]]="","",INDEX([2]!NOTA[TOTAL],ATALI[[#This Row],[//]]-2))</f>
        <v/>
      </c>
      <c r="R2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4" s="4" t="str">
        <f ca="1">IF(ATALI[[#This Row],[//]]="","",INDEX([2]!NOTA[NAMA BARANG],ATALI[[#This Row],[//]]-2))</f>
        <v/>
      </c>
      <c r="V294" s="4" t="str">
        <f ca="1">LOWER(SUBSTITUTE(SUBSTITUTE(SUBSTITUTE(SUBSTITUTE(SUBSTITUTE(SUBSTITUTE(SUBSTITUTE(ATALI[[#This Row],[N.B.nota]]," ",""),"-",""),"(",""),")",""),".",""),",",""),"/",""))</f>
        <v/>
      </c>
      <c r="W294" s="4" t="str">
        <f ca="1">IF(ATALI[[#This Row],[concat]]="","",MATCH(ATALI[[#This Row],[concat]],[4]!db[NB NOTA_C],0)+1)</f>
        <v/>
      </c>
      <c r="X294" s="4" t="str">
        <f ca="1">IF(ATALI[[#This Row],[N.B.nota]]="","",ADDRESS(ROW(ATALI[QB]),COLUMN(ATALI[QB]))&amp;":"&amp;ADDRESS(ROW(),COLUMN(ATALI[QB])))</f>
        <v/>
      </c>
      <c r="Y294" s="13" t="str">
        <f ca="1">IF(ATALI[[#This Row],[//]]="","",HYPERLINK("[../DB.xlsx]DB!e"&amp;MATCH(ATALI[[#This Row],[concat]],[4]!db[NB NOTA_C],0)+1,"&gt;"))</f>
        <v/>
      </c>
    </row>
    <row r="295" spans="1:25" x14ac:dyDescent="0.25">
      <c r="A295" s="4"/>
      <c r="B295" s="6" t="str">
        <f>IF(ATALI[[#This Row],[N_ID]]="","",INDEX(Table1[ID],MATCH(ATALI[[#This Row],[N_ID]],Table1[N_ID],0)))</f>
        <v/>
      </c>
      <c r="C295" s="6" t="str">
        <f>IF(ATALI[[#This Row],[ID NOTA]]="","",HYPERLINK("[NOTA_.xlsx]NOTA!e"&amp;INDEX([2]!PAJAK[//],MATCH(ATALI[[#This Row],[ID NOTA]],[2]!PAJAK[ID],0)),"&gt;") )</f>
        <v/>
      </c>
      <c r="D295" s="6" t="str">
        <f>IF(ATALI[[#This Row],[ID NOTA]]="","",INDEX(Table1[QB],MATCH(ATALI[[#This Row],[ID NOTA]],Table1[ID],0)))</f>
        <v/>
      </c>
      <c r="E2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5" s="6"/>
      <c r="G295" s="3" t="str">
        <f>IF(ATALI[[#This Row],[ID NOTA]]="","",INDEX([2]!NOTA[TGL_H],MATCH(ATALI[[#This Row],[ID NOTA]],[2]!NOTA[ID],0)))</f>
        <v/>
      </c>
      <c r="H295" s="3" t="str">
        <f>IF(ATALI[[#This Row],[ID NOTA]]="","",INDEX([2]!NOTA[TGL.NOTA],MATCH(ATALI[[#This Row],[ID NOTA]],[2]!NOTA[ID],0)))</f>
        <v/>
      </c>
      <c r="I295" s="4" t="str">
        <f>IF(ATALI[[#This Row],[ID NOTA]]="","",INDEX([2]!NOTA[NO.NOTA],MATCH(ATALI[[#This Row],[ID NOTA]],[2]!NOTA[ID],0)))</f>
        <v/>
      </c>
      <c r="J295" s="4" t="str">
        <f ca="1">IF(ATALI[[#This Row],[//]]="","",INDEX([4]!db[NB PAJAK],ATALI[[#This Row],[stt]]-1))</f>
        <v/>
      </c>
      <c r="K295" s="6" t="str">
        <f ca="1">IF(ATALI[[#This Row],[//]]="","",IF(INDEX([2]!NOTA[C],ATALI[[#This Row],[//]]-2)="","",INDEX([2]!NOTA[C],ATALI[[#This Row],[//]]-2)))</f>
        <v/>
      </c>
      <c r="L295" s="6" t="str">
        <f ca="1">IF(ATALI[[#This Row],[//]]="","",INDEX([2]!NOTA[QTY],ATALI[[#This Row],[//]]-2))</f>
        <v/>
      </c>
      <c r="M295" s="6" t="str">
        <f ca="1">IF(ATALI[[#This Row],[//]]="","",INDEX([2]!NOTA[STN],ATALI[[#This Row],[//]]-2))</f>
        <v/>
      </c>
      <c r="N295" s="5" t="str">
        <f ca="1">IF(ATALI[[#This Row],[//]]="","",INDEX([2]!NOTA[HARGA SATUAN],ATALI[[#This Row],[//]]-2))</f>
        <v/>
      </c>
      <c r="O295" s="7" t="str">
        <f ca="1">IF(ATALI[[#This Row],[//]]="","",INDEX([2]!NOTA[DISC 1],ATALI[[#This Row],[//]]-2))</f>
        <v/>
      </c>
      <c r="P295" s="7" t="str">
        <f ca="1">IF(ATALI[[#This Row],[//]]="","",INDEX([2]!NOTA[DISC 2],ATALI[[#This Row],[//]]-2))</f>
        <v/>
      </c>
      <c r="Q295" s="5" t="str">
        <f ca="1">IF(ATALI[[#This Row],[//]]="","",INDEX([2]!NOTA[TOTAL],ATALI[[#This Row],[//]]-2))</f>
        <v/>
      </c>
      <c r="R2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5" s="4" t="str">
        <f ca="1">IF(ATALI[[#This Row],[//]]="","",INDEX([2]!NOTA[NAMA BARANG],ATALI[[#This Row],[//]]-2))</f>
        <v/>
      </c>
      <c r="V295" s="4" t="str">
        <f ca="1">LOWER(SUBSTITUTE(SUBSTITUTE(SUBSTITUTE(SUBSTITUTE(SUBSTITUTE(SUBSTITUTE(SUBSTITUTE(ATALI[[#This Row],[N.B.nota]]," ",""),"-",""),"(",""),")",""),".",""),",",""),"/",""))</f>
        <v/>
      </c>
      <c r="W295" s="4" t="str">
        <f ca="1">IF(ATALI[[#This Row],[concat]]="","",MATCH(ATALI[[#This Row],[concat]],[4]!db[NB NOTA_C],0)+1)</f>
        <v/>
      </c>
      <c r="X295" s="4" t="str">
        <f ca="1">IF(ATALI[[#This Row],[N.B.nota]]="","",ADDRESS(ROW(ATALI[QB]),COLUMN(ATALI[QB]))&amp;":"&amp;ADDRESS(ROW(),COLUMN(ATALI[QB])))</f>
        <v/>
      </c>
      <c r="Y295" s="13" t="str">
        <f ca="1">IF(ATALI[[#This Row],[//]]="","",HYPERLINK("[../DB.xlsx]DB!e"&amp;MATCH(ATALI[[#This Row],[concat]],[4]!db[NB NOTA_C],0)+1,"&gt;"))</f>
        <v/>
      </c>
    </row>
    <row r="296" spans="1:25" x14ac:dyDescent="0.25">
      <c r="A296" s="4"/>
      <c r="B296" s="6" t="str">
        <f>IF(ATALI[[#This Row],[N_ID]]="","",INDEX(Table1[ID],MATCH(ATALI[[#This Row],[N_ID]],Table1[N_ID],0)))</f>
        <v/>
      </c>
      <c r="C296" s="6" t="str">
        <f>IF(ATALI[[#This Row],[ID NOTA]]="","",HYPERLINK("[NOTA_.xlsx]NOTA!e"&amp;INDEX([2]!PAJAK[//],MATCH(ATALI[[#This Row],[ID NOTA]],[2]!PAJAK[ID],0)),"&gt;") )</f>
        <v/>
      </c>
      <c r="D296" s="6" t="str">
        <f>IF(ATALI[[#This Row],[ID NOTA]]="","",INDEX(Table1[QB],MATCH(ATALI[[#This Row],[ID NOTA]],Table1[ID],0)))</f>
        <v/>
      </c>
      <c r="E2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6" s="6"/>
      <c r="G296" s="3" t="str">
        <f>IF(ATALI[[#This Row],[ID NOTA]]="","",INDEX([2]!NOTA[TGL_H],MATCH(ATALI[[#This Row],[ID NOTA]],[2]!NOTA[ID],0)))</f>
        <v/>
      </c>
      <c r="H296" s="3" t="str">
        <f>IF(ATALI[[#This Row],[ID NOTA]]="","",INDEX([2]!NOTA[TGL.NOTA],MATCH(ATALI[[#This Row],[ID NOTA]],[2]!NOTA[ID],0)))</f>
        <v/>
      </c>
      <c r="I296" s="4" t="str">
        <f>IF(ATALI[[#This Row],[ID NOTA]]="","",INDEX([2]!NOTA[NO.NOTA],MATCH(ATALI[[#This Row],[ID NOTA]],[2]!NOTA[ID],0)))</f>
        <v/>
      </c>
      <c r="J296" s="4" t="str">
        <f ca="1">IF(ATALI[[#This Row],[//]]="","",INDEX([4]!db[NB PAJAK],ATALI[[#This Row],[stt]]-1))</f>
        <v/>
      </c>
      <c r="K296" s="6" t="str">
        <f ca="1">IF(ATALI[[#This Row],[//]]="","",IF(INDEX([2]!NOTA[C],ATALI[[#This Row],[//]]-2)="","",INDEX([2]!NOTA[C],ATALI[[#This Row],[//]]-2)))</f>
        <v/>
      </c>
      <c r="L296" s="6" t="str">
        <f ca="1">IF(ATALI[[#This Row],[//]]="","",INDEX([2]!NOTA[QTY],ATALI[[#This Row],[//]]-2))</f>
        <v/>
      </c>
      <c r="M296" s="6" t="str">
        <f ca="1">IF(ATALI[[#This Row],[//]]="","",INDEX([2]!NOTA[STN],ATALI[[#This Row],[//]]-2))</f>
        <v/>
      </c>
      <c r="N296" s="5" t="str">
        <f ca="1">IF(ATALI[[#This Row],[//]]="","",INDEX([2]!NOTA[HARGA SATUAN],ATALI[[#This Row],[//]]-2))</f>
        <v/>
      </c>
      <c r="O296" s="7" t="str">
        <f ca="1">IF(ATALI[[#This Row],[//]]="","",INDEX([2]!NOTA[DISC 1],ATALI[[#This Row],[//]]-2))</f>
        <v/>
      </c>
      <c r="P296" s="7" t="str">
        <f ca="1">IF(ATALI[[#This Row],[//]]="","",INDEX([2]!NOTA[DISC 2],ATALI[[#This Row],[//]]-2))</f>
        <v/>
      </c>
      <c r="Q296" s="5" t="str">
        <f ca="1">IF(ATALI[[#This Row],[//]]="","",INDEX([2]!NOTA[TOTAL],ATALI[[#This Row],[//]]-2))</f>
        <v/>
      </c>
      <c r="R2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6" s="4" t="str">
        <f ca="1">IF(ATALI[[#This Row],[//]]="","",INDEX([2]!NOTA[NAMA BARANG],ATALI[[#This Row],[//]]-2))</f>
        <v/>
      </c>
      <c r="V296" s="4" t="str">
        <f ca="1">LOWER(SUBSTITUTE(SUBSTITUTE(SUBSTITUTE(SUBSTITUTE(SUBSTITUTE(SUBSTITUTE(SUBSTITUTE(ATALI[[#This Row],[N.B.nota]]," ",""),"-",""),"(",""),")",""),".",""),",",""),"/",""))</f>
        <v/>
      </c>
      <c r="W296" s="4" t="str">
        <f ca="1">IF(ATALI[[#This Row],[concat]]="","",MATCH(ATALI[[#This Row],[concat]],[4]!db[NB NOTA_C],0)+1)</f>
        <v/>
      </c>
      <c r="X296" s="4" t="str">
        <f ca="1">IF(ATALI[[#This Row],[N.B.nota]]="","",ADDRESS(ROW(ATALI[QB]),COLUMN(ATALI[QB]))&amp;":"&amp;ADDRESS(ROW(),COLUMN(ATALI[QB])))</f>
        <v/>
      </c>
      <c r="Y296" s="13" t="str">
        <f ca="1">IF(ATALI[[#This Row],[//]]="","",HYPERLINK("[../DB.xlsx]DB!e"&amp;MATCH(ATALI[[#This Row],[concat]],[4]!db[NB NOTA_C],0)+1,"&gt;"))</f>
        <v/>
      </c>
    </row>
    <row r="297" spans="1:25" x14ac:dyDescent="0.25">
      <c r="A297" s="4"/>
      <c r="B297" s="6" t="str">
        <f>IF(ATALI[[#This Row],[N_ID]]="","",INDEX(Table1[ID],MATCH(ATALI[[#This Row],[N_ID]],Table1[N_ID],0)))</f>
        <v/>
      </c>
      <c r="C297" s="6" t="str">
        <f>IF(ATALI[[#This Row],[ID NOTA]]="","",HYPERLINK("[NOTA_.xlsx]NOTA!e"&amp;INDEX([2]!PAJAK[//],MATCH(ATALI[[#This Row],[ID NOTA]],[2]!PAJAK[ID],0)),"&gt;") )</f>
        <v/>
      </c>
      <c r="D297" s="6" t="str">
        <f>IF(ATALI[[#This Row],[ID NOTA]]="","",INDEX(Table1[QB],MATCH(ATALI[[#This Row],[ID NOTA]],Table1[ID],0)))</f>
        <v/>
      </c>
      <c r="E2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7" s="6"/>
      <c r="G297" s="3" t="str">
        <f>IF(ATALI[[#This Row],[ID NOTA]]="","",INDEX([2]!NOTA[TGL_H],MATCH(ATALI[[#This Row],[ID NOTA]],[2]!NOTA[ID],0)))</f>
        <v/>
      </c>
      <c r="H297" s="3" t="str">
        <f>IF(ATALI[[#This Row],[ID NOTA]]="","",INDEX([2]!NOTA[TGL.NOTA],MATCH(ATALI[[#This Row],[ID NOTA]],[2]!NOTA[ID],0)))</f>
        <v/>
      </c>
      <c r="I297" s="4" t="str">
        <f>IF(ATALI[[#This Row],[ID NOTA]]="","",INDEX([2]!NOTA[NO.NOTA],MATCH(ATALI[[#This Row],[ID NOTA]],[2]!NOTA[ID],0)))</f>
        <v/>
      </c>
      <c r="J297" s="4" t="str">
        <f ca="1">IF(ATALI[[#This Row],[//]]="","",INDEX([4]!db[NB PAJAK],ATALI[[#This Row],[stt]]-1))</f>
        <v/>
      </c>
      <c r="K297" s="6" t="str">
        <f ca="1">IF(ATALI[[#This Row],[//]]="","",IF(INDEX([2]!NOTA[C],ATALI[[#This Row],[//]]-2)="","",INDEX([2]!NOTA[C],ATALI[[#This Row],[//]]-2)))</f>
        <v/>
      </c>
      <c r="L297" s="6" t="str">
        <f ca="1">IF(ATALI[[#This Row],[//]]="","",INDEX([2]!NOTA[QTY],ATALI[[#This Row],[//]]-2))</f>
        <v/>
      </c>
      <c r="M297" s="6" t="str">
        <f ca="1">IF(ATALI[[#This Row],[//]]="","",INDEX([2]!NOTA[STN],ATALI[[#This Row],[//]]-2))</f>
        <v/>
      </c>
      <c r="N297" s="5" t="str">
        <f ca="1">IF(ATALI[[#This Row],[//]]="","",INDEX([2]!NOTA[HARGA SATUAN],ATALI[[#This Row],[//]]-2))</f>
        <v/>
      </c>
      <c r="O297" s="7" t="str">
        <f ca="1">IF(ATALI[[#This Row],[//]]="","",INDEX([2]!NOTA[DISC 1],ATALI[[#This Row],[//]]-2))</f>
        <v/>
      </c>
      <c r="P297" s="7" t="str">
        <f ca="1">IF(ATALI[[#This Row],[//]]="","",INDEX([2]!NOTA[DISC 2],ATALI[[#This Row],[//]]-2))</f>
        <v/>
      </c>
      <c r="Q297" s="5" t="str">
        <f ca="1">IF(ATALI[[#This Row],[//]]="","",INDEX([2]!NOTA[TOTAL],ATALI[[#This Row],[//]]-2))</f>
        <v/>
      </c>
      <c r="R2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7" s="4" t="str">
        <f ca="1">IF(ATALI[[#This Row],[//]]="","",INDEX([2]!NOTA[NAMA BARANG],ATALI[[#This Row],[//]]-2))</f>
        <v/>
      </c>
      <c r="V297" s="4" t="str">
        <f ca="1">LOWER(SUBSTITUTE(SUBSTITUTE(SUBSTITUTE(SUBSTITUTE(SUBSTITUTE(SUBSTITUTE(SUBSTITUTE(ATALI[[#This Row],[N.B.nota]]," ",""),"-",""),"(",""),")",""),".",""),",",""),"/",""))</f>
        <v/>
      </c>
      <c r="W297" s="4" t="str">
        <f ca="1">IF(ATALI[[#This Row],[concat]]="","",MATCH(ATALI[[#This Row],[concat]],[4]!db[NB NOTA_C],0)+1)</f>
        <v/>
      </c>
      <c r="X297" s="4" t="str">
        <f ca="1">IF(ATALI[[#This Row],[N.B.nota]]="","",ADDRESS(ROW(ATALI[QB]),COLUMN(ATALI[QB]))&amp;":"&amp;ADDRESS(ROW(),COLUMN(ATALI[QB])))</f>
        <v/>
      </c>
      <c r="Y297" s="13" t="str">
        <f ca="1">IF(ATALI[[#This Row],[//]]="","",HYPERLINK("[../DB.xlsx]DB!e"&amp;MATCH(ATALI[[#This Row],[concat]],[4]!db[NB NOTA_C],0)+1,"&gt;"))</f>
        <v/>
      </c>
    </row>
    <row r="298" spans="1:25" x14ac:dyDescent="0.25">
      <c r="A298" s="4"/>
      <c r="B298" s="6" t="str">
        <f>IF(ATALI[[#This Row],[N_ID]]="","",INDEX(Table1[ID],MATCH(ATALI[[#This Row],[N_ID]],Table1[N_ID],0)))</f>
        <v/>
      </c>
      <c r="C298" s="6" t="str">
        <f>IF(ATALI[[#This Row],[ID NOTA]]="","",HYPERLINK("[NOTA_.xlsx]NOTA!e"&amp;INDEX([2]!PAJAK[//],MATCH(ATALI[[#This Row],[ID NOTA]],[2]!PAJAK[ID],0)),"&gt;") )</f>
        <v/>
      </c>
      <c r="D298" s="6" t="str">
        <f>IF(ATALI[[#This Row],[ID NOTA]]="","",INDEX(Table1[QB],MATCH(ATALI[[#This Row],[ID NOTA]],Table1[ID],0)))</f>
        <v/>
      </c>
      <c r="E2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8" s="6"/>
      <c r="G298" s="3" t="str">
        <f>IF(ATALI[[#This Row],[ID NOTA]]="","",INDEX([2]!NOTA[TGL_H],MATCH(ATALI[[#This Row],[ID NOTA]],[2]!NOTA[ID],0)))</f>
        <v/>
      </c>
      <c r="H298" s="3" t="str">
        <f>IF(ATALI[[#This Row],[ID NOTA]]="","",INDEX([2]!NOTA[TGL.NOTA],MATCH(ATALI[[#This Row],[ID NOTA]],[2]!NOTA[ID],0)))</f>
        <v/>
      </c>
      <c r="I298" s="4" t="str">
        <f>IF(ATALI[[#This Row],[ID NOTA]]="","",INDEX([2]!NOTA[NO.NOTA],MATCH(ATALI[[#This Row],[ID NOTA]],[2]!NOTA[ID],0)))</f>
        <v/>
      </c>
      <c r="J298" s="4" t="str">
        <f ca="1">IF(ATALI[[#This Row],[//]]="","",INDEX([4]!db[NB PAJAK],ATALI[[#This Row],[stt]]-1))</f>
        <v/>
      </c>
      <c r="K298" s="6" t="str">
        <f ca="1">IF(ATALI[[#This Row],[//]]="","",IF(INDEX([2]!NOTA[C],ATALI[[#This Row],[//]]-2)="","",INDEX([2]!NOTA[C],ATALI[[#This Row],[//]]-2)))</f>
        <v/>
      </c>
      <c r="L298" s="6" t="str">
        <f ca="1">IF(ATALI[[#This Row],[//]]="","",INDEX([2]!NOTA[QTY],ATALI[[#This Row],[//]]-2))</f>
        <v/>
      </c>
      <c r="M298" s="6" t="str">
        <f ca="1">IF(ATALI[[#This Row],[//]]="","",INDEX([2]!NOTA[STN],ATALI[[#This Row],[//]]-2))</f>
        <v/>
      </c>
      <c r="N298" s="5" t="str">
        <f ca="1">IF(ATALI[[#This Row],[//]]="","",INDEX([2]!NOTA[HARGA SATUAN],ATALI[[#This Row],[//]]-2))</f>
        <v/>
      </c>
      <c r="O298" s="7" t="str">
        <f ca="1">IF(ATALI[[#This Row],[//]]="","",INDEX([2]!NOTA[DISC 1],ATALI[[#This Row],[//]]-2))</f>
        <v/>
      </c>
      <c r="P298" s="7" t="str">
        <f ca="1">IF(ATALI[[#This Row],[//]]="","",INDEX([2]!NOTA[DISC 2],ATALI[[#This Row],[//]]-2))</f>
        <v/>
      </c>
      <c r="Q298" s="5" t="str">
        <f ca="1">IF(ATALI[[#This Row],[//]]="","",INDEX([2]!NOTA[TOTAL],ATALI[[#This Row],[//]]-2))</f>
        <v/>
      </c>
      <c r="R2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8" s="4" t="str">
        <f ca="1">IF(ATALI[[#This Row],[//]]="","",INDEX([2]!NOTA[NAMA BARANG],ATALI[[#This Row],[//]]-2))</f>
        <v/>
      </c>
      <c r="V298" s="4" t="str">
        <f ca="1">LOWER(SUBSTITUTE(SUBSTITUTE(SUBSTITUTE(SUBSTITUTE(SUBSTITUTE(SUBSTITUTE(SUBSTITUTE(ATALI[[#This Row],[N.B.nota]]," ",""),"-",""),"(",""),")",""),".",""),",",""),"/",""))</f>
        <v/>
      </c>
      <c r="W298" s="4" t="str">
        <f ca="1">IF(ATALI[[#This Row],[concat]]="","",MATCH(ATALI[[#This Row],[concat]],[4]!db[NB NOTA_C],0)+1)</f>
        <v/>
      </c>
      <c r="X298" s="4" t="str">
        <f ca="1">IF(ATALI[[#This Row],[N.B.nota]]="","",ADDRESS(ROW(ATALI[QB]),COLUMN(ATALI[QB]))&amp;":"&amp;ADDRESS(ROW(),COLUMN(ATALI[QB])))</f>
        <v/>
      </c>
      <c r="Y298" s="13" t="str">
        <f ca="1">IF(ATALI[[#This Row],[//]]="","",HYPERLINK("[../DB.xlsx]DB!e"&amp;MATCH(ATALI[[#This Row],[concat]],[4]!db[NB NOTA_C],0)+1,"&gt;"))</f>
        <v/>
      </c>
    </row>
    <row r="299" spans="1:25" x14ac:dyDescent="0.25">
      <c r="A299" s="4"/>
      <c r="B299" s="6" t="str">
        <f>IF(ATALI[[#This Row],[N_ID]]="","",INDEX(Table1[ID],MATCH(ATALI[[#This Row],[N_ID]],Table1[N_ID],0)))</f>
        <v/>
      </c>
      <c r="C299" s="6" t="str">
        <f>IF(ATALI[[#This Row],[ID NOTA]]="","",HYPERLINK("[NOTA_.xlsx]NOTA!e"&amp;INDEX([2]!PAJAK[//],MATCH(ATALI[[#This Row],[ID NOTA]],[2]!PAJAK[ID],0)),"&gt;") )</f>
        <v/>
      </c>
      <c r="D299" s="6" t="str">
        <f>IF(ATALI[[#This Row],[ID NOTA]]="","",INDEX(Table1[QB],MATCH(ATALI[[#This Row],[ID NOTA]],Table1[ID],0)))</f>
        <v/>
      </c>
      <c r="E2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9" s="6"/>
      <c r="G299" s="3" t="str">
        <f>IF(ATALI[[#This Row],[ID NOTA]]="","",INDEX([2]!NOTA[TGL_H],MATCH(ATALI[[#This Row],[ID NOTA]],[2]!NOTA[ID],0)))</f>
        <v/>
      </c>
      <c r="H299" s="3" t="str">
        <f>IF(ATALI[[#This Row],[ID NOTA]]="","",INDEX([2]!NOTA[TGL.NOTA],MATCH(ATALI[[#This Row],[ID NOTA]],[2]!NOTA[ID],0)))</f>
        <v/>
      </c>
      <c r="I299" s="4" t="str">
        <f>IF(ATALI[[#This Row],[ID NOTA]]="","",INDEX([2]!NOTA[NO.NOTA],MATCH(ATALI[[#This Row],[ID NOTA]],[2]!NOTA[ID],0)))</f>
        <v/>
      </c>
      <c r="J299" s="4" t="str">
        <f ca="1">IF(ATALI[[#This Row],[//]]="","",INDEX([4]!db[NB PAJAK],ATALI[[#This Row],[stt]]-1))</f>
        <v/>
      </c>
      <c r="K299" s="6" t="str">
        <f ca="1">IF(ATALI[[#This Row],[//]]="","",IF(INDEX([2]!NOTA[C],ATALI[[#This Row],[//]]-2)="","",INDEX([2]!NOTA[C],ATALI[[#This Row],[//]]-2)))</f>
        <v/>
      </c>
      <c r="L299" s="6" t="str">
        <f ca="1">IF(ATALI[[#This Row],[//]]="","",INDEX([2]!NOTA[QTY],ATALI[[#This Row],[//]]-2))</f>
        <v/>
      </c>
      <c r="M299" s="6" t="str">
        <f ca="1">IF(ATALI[[#This Row],[//]]="","",INDEX([2]!NOTA[STN],ATALI[[#This Row],[//]]-2))</f>
        <v/>
      </c>
      <c r="N299" s="5" t="str">
        <f ca="1">IF(ATALI[[#This Row],[//]]="","",INDEX([2]!NOTA[HARGA SATUAN],ATALI[[#This Row],[//]]-2))</f>
        <v/>
      </c>
      <c r="O299" s="7" t="str">
        <f ca="1">IF(ATALI[[#This Row],[//]]="","",INDEX([2]!NOTA[DISC 1],ATALI[[#This Row],[//]]-2))</f>
        <v/>
      </c>
      <c r="P299" s="7" t="str">
        <f ca="1">IF(ATALI[[#This Row],[//]]="","",INDEX([2]!NOTA[DISC 2],ATALI[[#This Row],[//]]-2))</f>
        <v/>
      </c>
      <c r="Q299" s="5" t="str">
        <f ca="1">IF(ATALI[[#This Row],[//]]="","",INDEX([2]!NOTA[TOTAL],ATALI[[#This Row],[//]]-2))</f>
        <v/>
      </c>
      <c r="R2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9" s="4" t="str">
        <f ca="1">IF(ATALI[[#This Row],[//]]="","",INDEX([2]!NOTA[NAMA BARANG],ATALI[[#This Row],[//]]-2))</f>
        <v/>
      </c>
      <c r="V299" s="4" t="str">
        <f ca="1">LOWER(SUBSTITUTE(SUBSTITUTE(SUBSTITUTE(SUBSTITUTE(SUBSTITUTE(SUBSTITUTE(SUBSTITUTE(ATALI[[#This Row],[N.B.nota]]," ",""),"-",""),"(",""),")",""),".",""),",",""),"/",""))</f>
        <v/>
      </c>
      <c r="W299" s="4" t="str">
        <f ca="1">IF(ATALI[[#This Row],[concat]]="","",MATCH(ATALI[[#This Row],[concat]],[4]!db[NB NOTA_C],0)+1)</f>
        <v/>
      </c>
      <c r="X299" s="4" t="str">
        <f ca="1">IF(ATALI[[#This Row],[N.B.nota]]="","",ADDRESS(ROW(ATALI[QB]),COLUMN(ATALI[QB]))&amp;":"&amp;ADDRESS(ROW(),COLUMN(ATALI[QB])))</f>
        <v/>
      </c>
      <c r="Y299" s="13" t="str">
        <f ca="1">IF(ATALI[[#This Row],[//]]="","",HYPERLINK("[../DB.xlsx]DB!e"&amp;MATCH(ATALI[[#This Row],[concat]],[4]!db[NB NOTA_C],0)+1,"&gt;"))</f>
        <v/>
      </c>
    </row>
    <row r="300" spans="1:25" x14ac:dyDescent="0.25">
      <c r="A300" s="4"/>
      <c r="B300" s="6" t="str">
        <f>IF(ATALI[[#This Row],[N_ID]]="","",INDEX(Table1[ID],MATCH(ATALI[[#This Row],[N_ID]],Table1[N_ID],0)))</f>
        <v/>
      </c>
      <c r="C300" s="6" t="str">
        <f>IF(ATALI[[#This Row],[ID NOTA]]="","",HYPERLINK("[NOTA_.xlsx]NOTA!e"&amp;INDEX([2]!PAJAK[//],MATCH(ATALI[[#This Row],[ID NOTA]],[2]!PAJAK[ID],0)),"&gt;") )</f>
        <v/>
      </c>
      <c r="D300" s="6" t="str">
        <f>IF(ATALI[[#This Row],[ID NOTA]]="","",INDEX(Table1[QB],MATCH(ATALI[[#This Row],[ID NOTA]],Table1[ID],0)))</f>
        <v/>
      </c>
      <c r="E3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0" s="6"/>
      <c r="G300" s="3" t="str">
        <f>IF(ATALI[[#This Row],[ID NOTA]]="","",INDEX([2]!NOTA[TGL_H],MATCH(ATALI[[#This Row],[ID NOTA]],[2]!NOTA[ID],0)))</f>
        <v/>
      </c>
      <c r="H300" s="3" t="str">
        <f>IF(ATALI[[#This Row],[ID NOTA]]="","",INDEX([2]!NOTA[TGL.NOTA],MATCH(ATALI[[#This Row],[ID NOTA]],[2]!NOTA[ID],0)))</f>
        <v/>
      </c>
      <c r="I300" s="4" t="str">
        <f>IF(ATALI[[#This Row],[ID NOTA]]="","",INDEX([2]!NOTA[NO.NOTA],MATCH(ATALI[[#This Row],[ID NOTA]],[2]!NOTA[ID],0)))</f>
        <v/>
      </c>
      <c r="J300" s="4" t="str">
        <f ca="1">IF(ATALI[[#This Row],[//]]="","",INDEX([4]!db[NB PAJAK],ATALI[[#This Row],[stt]]-1))</f>
        <v/>
      </c>
      <c r="K300" s="6" t="str">
        <f ca="1">IF(ATALI[[#This Row],[//]]="","",IF(INDEX([2]!NOTA[C],ATALI[[#This Row],[//]]-2)="","",INDEX([2]!NOTA[C],ATALI[[#This Row],[//]]-2)))</f>
        <v/>
      </c>
      <c r="L300" s="6" t="str">
        <f ca="1">IF(ATALI[[#This Row],[//]]="","",INDEX([2]!NOTA[QTY],ATALI[[#This Row],[//]]-2))</f>
        <v/>
      </c>
      <c r="M300" s="6" t="str">
        <f ca="1">IF(ATALI[[#This Row],[//]]="","",INDEX([2]!NOTA[STN],ATALI[[#This Row],[//]]-2))</f>
        <v/>
      </c>
      <c r="N300" s="5" t="str">
        <f ca="1">IF(ATALI[[#This Row],[//]]="","",INDEX([2]!NOTA[HARGA SATUAN],ATALI[[#This Row],[//]]-2))</f>
        <v/>
      </c>
      <c r="O300" s="7" t="str">
        <f ca="1">IF(ATALI[[#This Row],[//]]="","",INDEX([2]!NOTA[DISC 1],ATALI[[#This Row],[//]]-2))</f>
        <v/>
      </c>
      <c r="P300" s="7" t="str">
        <f ca="1">IF(ATALI[[#This Row],[//]]="","",INDEX([2]!NOTA[DISC 2],ATALI[[#This Row],[//]]-2))</f>
        <v/>
      </c>
      <c r="Q300" s="5" t="str">
        <f ca="1">IF(ATALI[[#This Row],[//]]="","",INDEX([2]!NOTA[TOTAL],ATALI[[#This Row],[//]]-2))</f>
        <v/>
      </c>
      <c r="R3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0" s="4" t="str">
        <f ca="1">IF(ATALI[[#This Row],[//]]="","",INDEX([2]!NOTA[NAMA BARANG],ATALI[[#This Row],[//]]-2))</f>
        <v/>
      </c>
      <c r="V300" s="4" t="str">
        <f ca="1">LOWER(SUBSTITUTE(SUBSTITUTE(SUBSTITUTE(SUBSTITUTE(SUBSTITUTE(SUBSTITUTE(SUBSTITUTE(ATALI[[#This Row],[N.B.nota]]," ",""),"-",""),"(",""),")",""),".",""),",",""),"/",""))</f>
        <v/>
      </c>
      <c r="W300" s="4" t="str">
        <f ca="1">IF(ATALI[[#This Row],[concat]]="","",MATCH(ATALI[[#This Row],[concat]],[4]!db[NB NOTA_C],0)+1)</f>
        <v/>
      </c>
      <c r="X300" s="4" t="str">
        <f ca="1">IF(ATALI[[#This Row],[N.B.nota]]="","",ADDRESS(ROW(ATALI[QB]),COLUMN(ATALI[QB]))&amp;":"&amp;ADDRESS(ROW(),COLUMN(ATALI[QB])))</f>
        <v/>
      </c>
      <c r="Y300" s="13" t="str">
        <f ca="1">IF(ATALI[[#This Row],[//]]="","",HYPERLINK("[../DB.xlsx]DB!e"&amp;MATCH(ATALI[[#This Row],[concat]],[4]!db[NB NOTA_C],0)+1,"&gt;"))</f>
        <v/>
      </c>
    </row>
    <row r="301" spans="1:25" x14ac:dyDescent="0.25">
      <c r="A301" s="4"/>
      <c r="B301" s="6" t="str">
        <f>IF(ATALI[[#This Row],[N_ID]]="","",INDEX(Table1[ID],MATCH(ATALI[[#This Row],[N_ID]],Table1[N_ID],0)))</f>
        <v/>
      </c>
      <c r="C301" s="6" t="str">
        <f>IF(ATALI[[#This Row],[ID NOTA]]="","",HYPERLINK("[NOTA_.xlsx]NOTA!e"&amp;INDEX([2]!PAJAK[//],MATCH(ATALI[[#This Row],[ID NOTA]],[2]!PAJAK[ID],0)),"&gt;") )</f>
        <v/>
      </c>
      <c r="D301" s="6" t="str">
        <f>IF(ATALI[[#This Row],[ID NOTA]]="","",INDEX(Table1[QB],MATCH(ATALI[[#This Row],[ID NOTA]],Table1[ID],0)))</f>
        <v/>
      </c>
      <c r="E3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1" s="6"/>
      <c r="G301" s="3" t="str">
        <f>IF(ATALI[[#This Row],[ID NOTA]]="","",INDEX([2]!NOTA[TGL_H],MATCH(ATALI[[#This Row],[ID NOTA]],[2]!NOTA[ID],0)))</f>
        <v/>
      </c>
      <c r="H301" s="3" t="str">
        <f>IF(ATALI[[#This Row],[ID NOTA]]="","",INDEX([2]!NOTA[TGL.NOTA],MATCH(ATALI[[#This Row],[ID NOTA]],[2]!NOTA[ID],0)))</f>
        <v/>
      </c>
      <c r="I301" s="4" t="str">
        <f>IF(ATALI[[#This Row],[ID NOTA]]="","",INDEX([2]!NOTA[NO.NOTA],MATCH(ATALI[[#This Row],[ID NOTA]],[2]!NOTA[ID],0)))</f>
        <v/>
      </c>
      <c r="J301" s="4" t="str">
        <f ca="1">IF(ATALI[[#This Row],[//]]="","",INDEX([4]!db[NB PAJAK],ATALI[[#This Row],[stt]]-1))</f>
        <v/>
      </c>
      <c r="K301" s="6" t="str">
        <f ca="1">IF(ATALI[[#This Row],[//]]="","",IF(INDEX([2]!NOTA[C],ATALI[[#This Row],[//]]-2)="","",INDEX([2]!NOTA[C],ATALI[[#This Row],[//]]-2)))</f>
        <v/>
      </c>
      <c r="L301" s="6" t="str">
        <f ca="1">IF(ATALI[[#This Row],[//]]="","",INDEX([2]!NOTA[QTY],ATALI[[#This Row],[//]]-2))</f>
        <v/>
      </c>
      <c r="M301" s="6" t="str">
        <f ca="1">IF(ATALI[[#This Row],[//]]="","",INDEX([2]!NOTA[STN],ATALI[[#This Row],[//]]-2))</f>
        <v/>
      </c>
      <c r="N301" s="5" t="str">
        <f ca="1">IF(ATALI[[#This Row],[//]]="","",INDEX([2]!NOTA[HARGA SATUAN],ATALI[[#This Row],[//]]-2))</f>
        <v/>
      </c>
      <c r="O301" s="7" t="str">
        <f ca="1">IF(ATALI[[#This Row],[//]]="","",INDEX([2]!NOTA[DISC 1],ATALI[[#This Row],[//]]-2))</f>
        <v/>
      </c>
      <c r="P301" s="7" t="str">
        <f ca="1">IF(ATALI[[#This Row],[//]]="","",INDEX([2]!NOTA[DISC 2],ATALI[[#This Row],[//]]-2))</f>
        <v/>
      </c>
      <c r="Q301" s="5" t="str">
        <f ca="1">IF(ATALI[[#This Row],[//]]="","",INDEX([2]!NOTA[TOTAL],ATALI[[#This Row],[//]]-2))</f>
        <v/>
      </c>
      <c r="R3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1" s="4" t="str">
        <f ca="1">IF(ATALI[[#This Row],[//]]="","",INDEX([2]!NOTA[NAMA BARANG],ATALI[[#This Row],[//]]-2))</f>
        <v/>
      </c>
      <c r="V301" s="4" t="str">
        <f ca="1">LOWER(SUBSTITUTE(SUBSTITUTE(SUBSTITUTE(SUBSTITUTE(SUBSTITUTE(SUBSTITUTE(SUBSTITUTE(ATALI[[#This Row],[N.B.nota]]," ",""),"-",""),"(",""),")",""),".",""),",",""),"/",""))</f>
        <v/>
      </c>
      <c r="W301" s="4" t="str">
        <f ca="1">IF(ATALI[[#This Row],[concat]]="","",MATCH(ATALI[[#This Row],[concat]],[4]!db[NB NOTA_C],0)+1)</f>
        <v/>
      </c>
      <c r="X301" s="4" t="str">
        <f ca="1">IF(ATALI[[#This Row],[N.B.nota]]="","",ADDRESS(ROW(ATALI[QB]),COLUMN(ATALI[QB]))&amp;":"&amp;ADDRESS(ROW(),COLUMN(ATALI[QB])))</f>
        <v/>
      </c>
      <c r="Y301" s="13" t="str">
        <f ca="1">IF(ATALI[[#This Row],[//]]="","",HYPERLINK("[../DB.xlsx]DB!e"&amp;MATCH(ATALI[[#This Row],[concat]],[4]!db[NB NOTA_C],0)+1,"&gt;"))</f>
        <v/>
      </c>
    </row>
    <row r="302" spans="1:25" x14ac:dyDescent="0.25">
      <c r="A302" s="4"/>
      <c r="B302" s="6" t="str">
        <f>IF(ATALI[[#This Row],[N_ID]]="","",INDEX(Table1[ID],MATCH(ATALI[[#This Row],[N_ID]],Table1[N_ID],0)))</f>
        <v/>
      </c>
      <c r="C302" s="6" t="str">
        <f>IF(ATALI[[#This Row],[ID NOTA]]="","",HYPERLINK("[NOTA_.xlsx]NOTA!e"&amp;INDEX([2]!PAJAK[//],MATCH(ATALI[[#This Row],[ID NOTA]],[2]!PAJAK[ID],0)),"&gt;") )</f>
        <v/>
      </c>
      <c r="D302" s="6" t="str">
        <f>IF(ATALI[[#This Row],[ID NOTA]]="","",INDEX(Table1[QB],MATCH(ATALI[[#This Row],[ID NOTA]],Table1[ID],0)))</f>
        <v/>
      </c>
      <c r="E3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2" s="6"/>
      <c r="G302" s="3" t="str">
        <f>IF(ATALI[[#This Row],[ID NOTA]]="","",INDEX([2]!NOTA[TGL_H],MATCH(ATALI[[#This Row],[ID NOTA]],[2]!NOTA[ID],0)))</f>
        <v/>
      </c>
      <c r="H302" s="3" t="str">
        <f>IF(ATALI[[#This Row],[ID NOTA]]="","",INDEX([2]!NOTA[TGL.NOTA],MATCH(ATALI[[#This Row],[ID NOTA]],[2]!NOTA[ID],0)))</f>
        <v/>
      </c>
      <c r="I302" s="4" t="str">
        <f>IF(ATALI[[#This Row],[ID NOTA]]="","",INDEX([2]!NOTA[NO.NOTA],MATCH(ATALI[[#This Row],[ID NOTA]],[2]!NOTA[ID],0)))</f>
        <v/>
      </c>
      <c r="J302" s="4" t="str">
        <f ca="1">IF(ATALI[[#This Row],[//]]="","",INDEX([4]!db[NB PAJAK],ATALI[[#This Row],[stt]]-1))</f>
        <v/>
      </c>
      <c r="K302" s="6" t="str">
        <f ca="1">IF(ATALI[[#This Row],[//]]="","",IF(INDEX([2]!NOTA[C],ATALI[[#This Row],[//]]-2)="","",INDEX([2]!NOTA[C],ATALI[[#This Row],[//]]-2)))</f>
        <v/>
      </c>
      <c r="L302" s="6" t="str">
        <f ca="1">IF(ATALI[[#This Row],[//]]="","",INDEX([2]!NOTA[QTY],ATALI[[#This Row],[//]]-2))</f>
        <v/>
      </c>
      <c r="M302" s="6" t="str">
        <f ca="1">IF(ATALI[[#This Row],[//]]="","",INDEX([2]!NOTA[STN],ATALI[[#This Row],[//]]-2))</f>
        <v/>
      </c>
      <c r="N302" s="5" t="str">
        <f ca="1">IF(ATALI[[#This Row],[//]]="","",INDEX([2]!NOTA[HARGA SATUAN],ATALI[[#This Row],[//]]-2))</f>
        <v/>
      </c>
      <c r="O302" s="7" t="str">
        <f ca="1">IF(ATALI[[#This Row],[//]]="","",INDEX([2]!NOTA[DISC 1],ATALI[[#This Row],[//]]-2))</f>
        <v/>
      </c>
      <c r="P302" s="7" t="str">
        <f ca="1">IF(ATALI[[#This Row],[//]]="","",INDEX([2]!NOTA[DISC 2],ATALI[[#This Row],[//]]-2))</f>
        <v/>
      </c>
      <c r="Q302" s="5" t="str">
        <f ca="1">IF(ATALI[[#This Row],[//]]="","",INDEX([2]!NOTA[TOTAL],ATALI[[#This Row],[//]]-2))</f>
        <v/>
      </c>
      <c r="R3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2" s="4" t="str">
        <f ca="1">IF(ATALI[[#This Row],[//]]="","",INDEX([2]!NOTA[NAMA BARANG],ATALI[[#This Row],[//]]-2))</f>
        <v/>
      </c>
      <c r="V302" s="4" t="str">
        <f ca="1">LOWER(SUBSTITUTE(SUBSTITUTE(SUBSTITUTE(SUBSTITUTE(SUBSTITUTE(SUBSTITUTE(SUBSTITUTE(ATALI[[#This Row],[N.B.nota]]," ",""),"-",""),"(",""),")",""),".",""),",",""),"/",""))</f>
        <v/>
      </c>
      <c r="W302" s="4" t="str">
        <f ca="1">IF(ATALI[[#This Row],[concat]]="","",MATCH(ATALI[[#This Row],[concat]],[4]!db[NB NOTA_C],0)+1)</f>
        <v/>
      </c>
      <c r="X302" s="4" t="str">
        <f ca="1">IF(ATALI[[#This Row],[N.B.nota]]="","",ADDRESS(ROW(ATALI[QB]),COLUMN(ATALI[QB]))&amp;":"&amp;ADDRESS(ROW(),COLUMN(ATALI[QB])))</f>
        <v/>
      </c>
      <c r="Y302" s="13" t="str">
        <f ca="1">IF(ATALI[[#This Row],[//]]="","",HYPERLINK("[../DB.xlsx]DB!e"&amp;MATCH(ATALI[[#This Row],[concat]],[4]!db[NB NOTA_C],0)+1,"&gt;"))</f>
        <v/>
      </c>
    </row>
    <row r="303" spans="1:25" x14ac:dyDescent="0.25">
      <c r="A303" s="4"/>
      <c r="B303" s="6" t="str">
        <f>IF(ATALI[[#This Row],[N_ID]]="","",INDEX(Table1[ID],MATCH(ATALI[[#This Row],[N_ID]],Table1[N_ID],0)))</f>
        <v/>
      </c>
      <c r="C303" s="6" t="str">
        <f>IF(ATALI[[#This Row],[ID NOTA]]="","",HYPERLINK("[NOTA_.xlsx]NOTA!e"&amp;INDEX([2]!PAJAK[//],MATCH(ATALI[[#This Row],[ID NOTA]],[2]!PAJAK[ID],0)),"&gt;") )</f>
        <v/>
      </c>
      <c r="D303" s="6" t="str">
        <f>IF(ATALI[[#This Row],[ID NOTA]]="","",INDEX(Table1[QB],MATCH(ATALI[[#This Row],[ID NOTA]],Table1[ID],0)))</f>
        <v/>
      </c>
      <c r="E3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3" s="6"/>
      <c r="G303" s="3" t="str">
        <f>IF(ATALI[[#This Row],[ID NOTA]]="","",INDEX([2]!NOTA[TGL_H],MATCH(ATALI[[#This Row],[ID NOTA]],[2]!NOTA[ID],0)))</f>
        <v/>
      </c>
      <c r="H303" s="3" t="str">
        <f>IF(ATALI[[#This Row],[ID NOTA]]="","",INDEX([2]!NOTA[TGL.NOTA],MATCH(ATALI[[#This Row],[ID NOTA]],[2]!NOTA[ID],0)))</f>
        <v/>
      </c>
      <c r="I303" s="4" t="str">
        <f>IF(ATALI[[#This Row],[ID NOTA]]="","",INDEX([2]!NOTA[NO.NOTA],MATCH(ATALI[[#This Row],[ID NOTA]],[2]!NOTA[ID],0)))</f>
        <v/>
      </c>
      <c r="J303" s="4" t="str">
        <f ca="1">IF(ATALI[[#This Row],[//]]="","",INDEX([4]!db[NB PAJAK],ATALI[[#This Row],[stt]]-1))</f>
        <v/>
      </c>
      <c r="K303" s="6" t="str">
        <f ca="1">IF(ATALI[[#This Row],[//]]="","",IF(INDEX([2]!NOTA[C],ATALI[[#This Row],[//]]-2)="","",INDEX([2]!NOTA[C],ATALI[[#This Row],[//]]-2)))</f>
        <v/>
      </c>
      <c r="L303" s="6" t="str">
        <f ca="1">IF(ATALI[[#This Row],[//]]="","",INDEX([2]!NOTA[QTY],ATALI[[#This Row],[//]]-2))</f>
        <v/>
      </c>
      <c r="M303" s="6" t="str">
        <f ca="1">IF(ATALI[[#This Row],[//]]="","",INDEX([2]!NOTA[STN],ATALI[[#This Row],[//]]-2))</f>
        <v/>
      </c>
      <c r="N303" s="5" t="str">
        <f ca="1">IF(ATALI[[#This Row],[//]]="","",INDEX([2]!NOTA[HARGA SATUAN],ATALI[[#This Row],[//]]-2))</f>
        <v/>
      </c>
      <c r="O303" s="7" t="str">
        <f ca="1">IF(ATALI[[#This Row],[//]]="","",INDEX([2]!NOTA[DISC 1],ATALI[[#This Row],[//]]-2))</f>
        <v/>
      </c>
      <c r="P303" s="7" t="str">
        <f ca="1">IF(ATALI[[#This Row],[//]]="","",INDEX([2]!NOTA[DISC 2],ATALI[[#This Row],[//]]-2))</f>
        <v/>
      </c>
      <c r="Q303" s="5" t="str">
        <f ca="1">IF(ATALI[[#This Row],[//]]="","",INDEX([2]!NOTA[TOTAL],ATALI[[#This Row],[//]]-2))</f>
        <v/>
      </c>
      <c r="R3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3" s="4" t="str">
        <f ca="1">IF(ATALI[[#This Row],[//]]="","",INDEX([2]!NOTA[NAMA BARANG],ATALI[[#This Row],[//]]-2))</f>
        <v/>
      </c>
      <c r="V303" s="4" t="str">
        <f ca="1">LOWER(SUBSTITUTE(SUBSTITUTE(SUBSTITUTE(SUBSTITUTE(SUBSTITUTE(SUBSTITUTE(SUBSTITUTE(ATALI[[#This Row],[N.B.nota]]," ",""),"-",""),"(",""),")",""),".",""),",",""),"/",""))</f>
        <v/>
      </c>
      <c r="W303" s="4" t="str">
        <f ca="1">IF(ATALI[[#This Row],[concat]]="","",MATCH(ATALI[[#This Row],[concat]],[4]!db[NB NOTA_C],0)+1)</f>
        <v/>
      </c>
      <c r="X303" s="4" t="str">
        <f ca="1">IF(ATALI[[#This Row],[N.B.nota]]="","",ADDRESS(ROW(ATALI[QB]),COLUMN(ATALI[QB]))&amp;":"&amp;ADDRESS(ROW(),COLUMN(ATALI[QB])))</f>
        <v/>
      </c>
      <c r="Y303" s="13" t="str">
        <f ca="1">IF(ATALI[[#This Row],[//]]="","",HYPERLINK("[../DB.xlsx]DB!e"&amp;MATCH(ATALI[[#This Row],[concat]],[4]!db[NB NOTA_C],0)+1,"&gt;"))</f>
        <v/>
      </c>
    </row>
    <row r="304" spans="1:25" x14ac:dyDescent="0.25">
      <c r="A304" s="4"/>
      <c r="B304" s="6" t="str">
        <f>IF(ATALI[[#This Row],[N_ID]]="","",INDEX(Table1[ID],MATCH(ATALI[[#This Row],[N_ID]],Table1[N_ID],0)))</f>
        <v/>
      </c>
      <c r="C304" s="6" t="str">
        <f>IF(ATALI[[#This Row],[ID NOTA]]="","",HYPERLINK("[NOTA_.xlsx]NOTA!e"&amp;INDEX([2]!PAJAK[//],MATCH(ATALI[[#This Row],[ID NOTA]],[2]!PAJAK[ID],0)),"&gt;") )</f>
        <v/>
      </c>
      <c r="D304" s="6" t="str">
        <f>IF(ATALI[[#This Row],[ID NOTA]]="","",INDEX(Table1[QB],MATCH(ATALI[[#This Row],[ID NOTA]],Table1[ID],0)))</f>
        <v/>
      </c>
      <c r="E3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4" s="6"/>
      <c r="G304" s="3" t="str">
        <f>IF(ATALI[[#This Row],[ID NOTA]]="","",INDEX([2]!NOTA[TGL_H],MATCH(ATALI[[#This Row],[ID NOTA]],[2]!NOTA[ID],0)))</f>
        <v/>
      </c>
      <c r="H304" s="3" t="str">
        <f>IF(ATALI[[#This Row],[ID NOTA]]="","",INDEX([2]!NOTA[TGL.NOTA],MATCH(ATALI[[#This Row],[ID NOTA]],[2]!NOTA[ID],0)))</f>
        <v/>
      </c>
      <c r="I304" s="4" t="str">
        <f>IF(ATALI[[#This Row],[ID NOTA]]="","",INDEX([2]!NOTA[NO.NOTA],MATCH(ATALI[[#This Row],[ID NOTA]],[2]!NOTA[ID],0)))</f>
        <v/>
      </c>
      <c r="J304" s="4" t="str">
        <f ca="1">IF(ATALI[[#This Row],[//]]="","",INDEX([4]!db[NB PAJAK],ATALI[[#This Row],[stt]]-1))</f>
        <v/>
      </c>
      <c r="K304" s="6" t="str">
        <f ca="1">IF(ATALI[[#This Row],[//]]="","",IF(INDEX([2]!NOTA[C],ATALI[[#This Row],[//]]-2)="","",INDEX([2]!NOTA[C],ATALI[[#This Row],[//]]-2)))</f>
        <v/>
      </c>
      <c r="L304" s="6" t="str">
        <f ca="1">IF(ATALI[[#This Row],[//]]="","",INDEX([2]!NOTA[QTY],ATALI[[#This Row],[//]]-2))</f>
        <v/>
      </c>
      <c r="M304" s="6" t="str">
        <f ca="1">IF(ATALI[[#This Row],[//]]="","",INDEX([2]!NOTA[STN],ATALI[[#This Row],[//]]-2))</f>
        <v/>
      </c>
      <c r="N304" s="5" t="str">
        <f ca="1">IF(ATALI[[#This Row],[//]]="","",INDEX([2]!NOTA[HARGA SATUAN],ATALI[[#This Row],[//]]-2))</f>
        <v/>
      </c>
      <c r="O304" s="7" t="str">
        <f ca="1">IF(ATALI[[#This Row],[//]]="","",INDEX([2]!NOTA[DISC 1],ATALI[[#This Row],[//]]-2))</f>
        <v/>
      </c>
      <c r="P304" s="7" t="str">
        <f ca="1">IF(ATALI[[#This Row],[//]]="","",INDEX([2]!NOTA[DISC 2],ATALI[[#This Row],[//]]-2))</f>
        <v/>
      </c>
      <c r="Q304" s="5" t="str">
        <f ca="1">IF(ATALI[[#This Row],[//]]="","",INDEX([2]!NOTA[TOTAL],ATALI[[#This Row],[//]]-2))</f>
        <v/>
      </c>
      <c r="R3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4" s="4" t="str">
        <f ca="1">IF(ATALI[[#This Row],[//]]="","",INDEX([2]!NOTA[NAMA BARANG],ATALI[[#This Row],[//]]-2))</f>
        <v/>
      </c>
      <c r="V304" s="4" t="str">
        <f ca="1">LOWER(SUBSTITUTE(SUBSTITUTE(SUBSTITUTE(SUBSTITUTE(SUBSTITUTE(SUBSTITUTE(SUBSTITUTE(ATALI[[#This Row],[N.B.nota]]," ",""),"-",""),"(",""),")",""),".",""),",",""),"/",""))</f>
        <v/>
      </c>
      <c r="W304" s="4" t="str">
        <f ca="1">IF(ATALI[[#This Row],[concat]]="","",MATCH(ATALI[[#This Row],[concat]],[4]!db[NB NOTA_C],0)+1)</f>
        <v/>
      </c>
      <c r="X304" s="4" t="str">
        <f ca="1">IF(ATALI[[#This Row],[N.B.nota]]="","",ADDRESS(ROW(ATALI[QB]),COLUMN(ATALI[QB]))&amp;":"&amp;ADDRESS(ROW(),COLUMN(ATALI[QB])))</f>
        <v/>
      </c>
      <c r="Y304" s="13" t="str">
        <f ca="1">IF(ATALI[[#This Row],[//]]="","",HYPERLINK("[../DB.xlsx]DB!e"&amp;MATCH(ATALI[[#This Row],[concat]],[4]!db[NB NOTA_C],0)+1,"&gt;"))</f>
        <v/>
      </c>
    </row>
    <row r="305" spans="1:25" x14ac:dyDescent="0.25">
      <c r="A305" s="4"/>
      <c r="B305" s="6" t="str">
        <f>IF(ATALI[[#This Row],[N_ID]]="","",INDEX(Table1[ID],MATCH(ATALI[[#This Row],[N_ID]],Table1[N_ID],0)))</f>
        <v/>
      </c>
      <c r="C305" s="6" t="str">
        <f>IF(ATALI[[#This Row],[ID NOTA]]="","",HYPERLINK("[NOTA_.xlsx]NOTA!e"&amp;INDEX([2]!PAJAK[//],MATCH(ATALI[[#This Row],[ID NOTA]],[2]!PAJAK[ID],0)),"&gt;") )</f>
        <v/>
      </c>
      <c r="D305" s="6" t="str">
        <f>IF(ATALI[[#This Row],[ID NOTA]]="","",INDEX(Table1[QB],MATCH(ATALI[[#This Row],[ID NOTA]],Table1[ID],0)))</f>
        <v/>
      </c>
      <c r="E3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5" s="6"/>
      <c r="G305" s="3" t="str">
        <f>IF(ATALI[[#This Row],[ID NOTA]]="","",INDEX([2]!NOTA[TGL_H],MATCH(ATALI[[#This Row],[ID NOTA]],[2]!NOTA[ID],0)))</f>
        <v/>
      </c>
      <c r="H305" s="3" t="str">
        <f>IF(ATALI[[#This Row],[ID NOTA]]="","",INDEX([2]!NOTA[TGL.NOTA],MATCH(ATALI[[#This Row],[ID NOTA]],[2]!NOTA[ID],0)))</f>
        <v/>
      </c>
      <c r="I305" s="4" t="str">
        <f>IF(ATALI[[#This Row],[ID NOTA]]="","",INDEX([2]!NOTA[NO.NOTA],MATCH(ATALI[[#This Row],[ID NOTA]],[2]!NOTA[ID],0)))</f>
        <v/>
      </c>
      <c r="J305" s="4" t="str">
        <f ca="1">IF(ATALI[[#This Row],[//]]="","",INDEX([4]!db[NB PAJAK],ATALI[[#This Row],[stt]]-1))</f>
        <v/>
      </c>
      <c r="K305" s="6" t="str">
        <f ca="1">IF(ATALI[[#This Row],[//]]="","",IF(INDEX([2]!NOTA[C],ATALI[[#This Row],[//]]-2)="","",INDEX([2]!NOTA[C],ATALI[[#This Row],[//]]-2)))</f>
        <v/>
      </c>
      <c r="L305" s="6" t="str">
        <f ca="1">IF(ATALI[[#This Row],[//]]="","",INDEX([2]!NOTA[QTY],ATALI[[#This Row],[//]]-2))</f>
        <v/>
      </c>
      <c r="M305" s="6" t="str">
        <f ca="1">IF(ATALI[[#This Row],[//]]="","",INDEX([2]!NOTA[STN],ATALI[[#This Row],[//]]-2))</f>
        <v/>
      </c>
      <c r="N305" s="5" t="str">
        <f ca="1">IF(ATALI[[#This Row],[//]]="","",INDEX([2]!NOTA[HARGA SATUAN],ATALI[[#This Row],[//]]-2))</f>
        <v/>
      </c>
      <c r="O305" s="7" t="str">
        <f ca="1">IF(ATALI[[#This Row],[//]]="","",INDEX([2]!NOTA[DISC 1],ATALI[[#This Row],[//]]-2))</f>
        <v/>
      </c>
      <c r="P305" s="7" t="str">
        <f ca="1">IF(ATALI[[#This Row],[//]]="","",INDEX([2]!NOTA[DISC 2],ATALI[[#This Row],[//]]-2))</f>
        <v/>
      </c>
      <c r="Q305" s="5" t="str">
        <f ca="1">IF(ATALI[[#This Row],[//]]="","",INDEX([2]!NOTA[TOTAL],ATALI[[#This Row],[//]]-2))</f>
        <v/>
      </c>
      <c r="R3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5" s="4" t="str">
        <f ca="1">IF(ATALI[[#This Row],[//]]="","",INDEX([2]!NOTA[NAMA BARANG],ATALI[[#This Row],[//]]-2))</f>
        <v/>
      </c>
      <c r="V305" s="4" t="str">
        <f ca="1">LOWER(SUBSTITUTE(SUBSTITUTE(SUBSTITUTE(SUBSTITUTE(SUBSTITUTE(SUBSTITUTE(SUBSTITUTE(ATALI[[#This Row],[N.B.nota]]," ",""),"-",""),"(",""),")",""),".",""),",",""),"/",""))</f>
        <v/>
      </c>
      <c r="W305" s="4" t="str">
        <f ca="1">IF(ATALI[[#This Row],[concat]]="","",MATCH(ATALI[[#This Row],[concat]],[4]!db[NB NOTA_C],0)+1)</f>
        <v/>
      </c>
      <c r="X305" s="4" t="str">
        <f ca="1">IF(ATALI[[#This Row],[N.B.nota]]="","",ADDRESS(ROW(ATALI[QB]),COLUMN(ATALI[QB]))&amp;":"&amp;ADDRESS(ROW(),COLUMN(ATALI[QB])))</f>
        <v/>
      </c>
      <c r="Y305" s="13" t="str">
        <f ca="1">IF(ATALI[[#This Row],[//]]="","",HYPERLINK("[../DB.xlsx]DB!e"&amp;MATCH(ATALI[[#This Row],[concat]],[4]!db[NB NOTA_C],0)+1,"&gt;"))</f>
        <v/>
      </c>
    </row>
    <row r="306" spans="1:25" x14ac:dyDescent="0.25">
      <c r="A306" s="4"/>
      <c r="B306" s="6" t="str">
        <f>IF(ATALI[[#This Row],[N_ID]]="","",INDEX(Table1[ID],MATCH(ATALI[[#This Row],[N_ID]],Table1[N_ID],0)))</f>
        <v/>
      </c>
      <c r="C306" s="6" t="str">
        <f>IF(ATALI[[#This Row],[ID NOTA]]="","",HYPERLINK("[NOTA_.xlsx]NOTA!e"&amp;INDEX([2]!PAJAK[//],MATCH(ATALI[[#This Row],[ID NOTA]],[2]!PAJAK[ID],0)),"&gt;") )</f>
        <v/>
      </c>
      <c r="D306" s="6" t="str">
        <f>IF(ATALI[[#This Row],[ID NOTA]]="","",INDEX(Table1[QB],MATCH(ATALI[[#This Row],[ID NOTA]],Table1[ID],0)))</f>
        <v/>
      </c>
      <c r="E3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6" s="6"/>
      <c r="G306" s="3" t="str">
        <f>IF(ATALI[[#This Row],[ID NOTA]]="","",INDEX([2]!NOTA[TGL_H],MATCH(ATALI[[#This Row],[ID NOTA]],[2]!NOTA[ID],0)))</f>
        <v/>
      </c>
      <c r="H306" s="3" t="str">
        <f>IF(ATALI[[#This Row],[ID NOTA]]="","",INDEX([2]!NOTA[TGL.NOTA],MATCH(ATALI[[#This Row],[ID NOTA]],[2]!NOTA[ID],0)))</f>
        <v/>
      </c>
      <c r="I306" s="4" t="str">
        <f>IF(ATALI[[#This Row],[ID NOTA]]="","",INDEX([2]!NOTA[NO.NOTA],MATCH(ATALI[[#This Row],[ID NOTA]],[2]!NOTA[ID],0)))</f>
        <v/>
      </c>
      <c r="J306" s="4" t="str">
        <f ca="1">IF(ATALI[[#This Row],[//]]="","",INDEX([4]!db[NB PAJAK],ATALI[[#This Row],[stt]]-1))</f>
        <v/>
      </c>
      <c r="K306" s="6" t="str">
        <f ca="1">IF(ATALI[[#This Row],[//]]="","",IF(INDEX([2]!NOTA[C],ATALI[[#This Row],[//]]-2)="","",INDEX([2]!NOTA[C],ATALI[[#This Row],[//]]-2)))</f>
        <v/>
      </c>
      <c r="L306" s="6" t="str">
        <f ca="1">IF(ATALI[[#This Row],[//]]="","",INDEX([2]!NOTA[QTY],ATALI[[#This Row],[//]]-2))</f>
        <v/>
      </c>
      <c r="M306" s="6" t="str">
        <f ca="1">IF(ATALI[[#This Row],[//]]="","",INDEX([2]!NOTA[STN],ATALI[[#This Row],[//]]-2))</f>
        <v/>
      </c>
      <c r="N306" s="5" t="str">
        <f ca="1">IF(ATALI[[#This Row],[//]]="","",INDEX([2]!NOTA[HARGA SATUAN],ATALI[[#This Row],[//]]-2))</f>
        <v/>
      </c>
      <c r="O306" s="7" t="str">
        <f ca="1">IF(ATALI[[#This Row],[//]]="","",INDEX([2]!NOTA[DISC 1],ATALI[[#This Row],[//]]-2))</f>
        <v/>
      </c>
      <c r="P306" s="7" t="str">
        <f ca="1">IF(ATALI[[#This Row],[//]]="","",INDEX([2]!NOTA[DISC 2],ATALI[[#This Row],[//]]-2))</f>
        <v/>
      </c>
      <c r="Q306" s="5" t="str">
        <f ca="1">IF(ATALI[[#This Row],[//]]="","",INDEX([2]!NOTA[TOTAL],ATALI[[#This Row],[//]]-2))</f>
        <v/>
      </c>
      <c r="R3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6" s="4" t="str">
        <f ca="1">IF(ATALI[[#This Row],[//]]="","",INDEX([2]!NOTA[NAMA BARANG],ATALI[[#This Row],[//]]-2))</f>
        <v/>
      </c>
      <c r="V306" s="4" t="str">
        <f ca="1">LOWER(SUBSTITUTE(SUBSTITUTE(SUBSTITUTE(SUBSTITUTE(SUBSTITUTE(SUBSTITUTE(SUBSTITUTE(ATALI[[#This Row],[N.B.nota]]," ",""),"-",""),"(",""),")",""),".",""),",",""),"/",""))</f>
        <v/>
      </c>
      <c r="W306" s="4" t="str">
        <f ca="1">IF(ATALI[[#This Row],[concat]]="","",MATCH(ATALI[[#This Row],[concat]],[4]!db[NB NOTA_C],0)+1)</f>
        <v/>
      </c>
      <c r="X306" s="4" t="str">
        <f ca="1">IF(ATALI[[#This Row],[N.B.nota]]="","",ADDRESS(ROW(ATALI[QB]),COLUMN(ATALI[QB]))&amp;":"&amp;ADDRESS(ROW(),COLUMN(ATALI[QB])))</f>
        <v/>
      </c>
      <c r="Y306" s="13" t="str">
        <f ca="1">IF(ATALI[[#This Row],[//]]="","",HYPERLINK("[../DB.xlsx]DB!e"&amp;MATCH(ATALI[[#This Row],[concat]],[4]!db[NB NOTA_C],0)+1,"&gt;"))</f>
        <v/>
      </c>
    </row>
    <row r="307" spans="1:25" x14ac:dyDescent="0.25">
      <c r="A307" s="4"/>
      <c r="B307" s="6" t="str">
        <f>IF(ATALI[[#This Row],[N_ID]]="","",INDEX(Table1[ID],MATCH(ATALI[[#This Row],[N_ID]],Table1[N_ID],0)))</f>
        <v/>
      </c>
      <c r="C307" s="6" t="str">
        <f>IF(ATALI[[#This Row],[ID NOTA]]="","",HYPERLINK("[NOTA_.xlsx]NOTA!e"&amp;INDEX([2]!PAJAK[//],MATCH(ATALI[[#This Row],[ID NOTA]],[2]!PAJAK[ID],0)),"&gt;") )</f>
        <v/>
      </c>
      <c r="D307" s="6" t="str">
        <f>IF(ATALI[[#This Row],[ID NOTA]]="","",INDEX(Table1[QB],MATCH(ATALI[[#This Row],[ID NOTA]],Table1[ID],0)))</f>
        <v/>
      </c>
      <c r="E3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7" s="6"/>
      <c r="G307" s="3" t="str">
        <f>IF(ATALI[[#This Row],[ID NOTA]]="","",INDEX([2]!NOTA[TGL_H],MATCH(ATALI[[#This Row],[ID NOTA]],[2]!NOTA[ID],0)))</f>
        <v/>
      </c>
      <c r="H307" s="3" t="str">
        <f>IF(ATALI[[#This Row],[ID NOTA]]="","",INDEX([2]!NOTA[TGL.NOTA],MATCH(ATALI[[#This Row],[ID NOTA]],[2]!NOTA[ID],0)))</f>
        <v/>
      </c>
      <c r="I307" s="4" t="str">
        <f>IF(ATALI[[#This Row],[ID NOTA]]="","",INDEX([2]!NOTA[NO.NOTA],MATCH(ATALI[[#This Row],[ID NOTA]],[2]!NOTA[ID],0)))</f>
        <v/>
      </c>
      <c r="J307" s="4" t="str">
        <f ca="1">IF(ATALI[[#This Row],[//]]="","",INDEX([4]!db[NB PAJAK],ATALI[[#This Row],[stt]]-1))</f>
        <v/>
      </c>
      <c r="K307" s="6" t="str">
        <f ca="1">IF(ATALI[[#This Row],[//]]="","",IF(INDEX([2]!NOTA[C],ATALI[[#This Row],[//]]-2)="","",INDEX([2]!NOTA[C],ATALI[[#This Row],[//]]-2)))</f>
        <v/>
      </c>
      <c r="L307" s="6" t="str">
        <f ca="1">IF(ATALI[[#This Row],[//]]="","",INDEX([2]!NOTA[QTY],ATALI[[#This Row],[//]]-2))</f>
        <v/>
      </c>
      <c r="M307" s="6" t="str">
        <f ca="1">IF(ATALI[[#This Row],[//]]="","",INDEX([2]!NOTA[STN],ATALI[[#This Row],[//]]-2))</f>
        <v/>
      </c>
      <c r="N307" s="5" t="str">
        <f ca="1">IF(ATALI[[#This Row],[//]]="","",INDEX([2]!NOTA[HARGA SATUAN],ATALI[[#This Row],[//]]-2))</f>
        <v/>
      </c>
      <c r="O307" s="7" t="str">
        <f ca="1">IF(ATALI[[#This Row],[//]]="","",INDEX([2]!NOTA[DISC 1],ATALI[[#This Row],[//]]-2))</f>
        <v/>
      </c>
      <c r="P307" s="7" t="str">
        <f ca="1">IF(ATALI[[#This Row],[//]]="","",INDEX([2]!NOTA[DISC 2],ATALI[[#This Row],[//]]-2))</f>
        <v/>
      </c>
      <c r="Q307" s="5" t="str">
        <f ca="1">IF(ATALI[[#This Row],[//]]="","",INDEX([2]!NOTA[TOTAL],ATALI[[#This Row],[//]]-2))</f>
        <v/>
      </c>
      <c r="R3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7" s="4" t="str">
        <f ca="1">IF(ATALI[[#This Row],[//]]="","",INDEX([2]!NOTA[NAMA BARANG],ATALI[[#This Row],[//]]-2))</f>
        <v/>
      </c>
      <c r="V307" s="4" t="str">
        <f ca="1">LOWER(SUBSTITUTE(SUBSTITUTE(SUBSTITUTE(SUBSTITUTE(SUBSTITUTE(SUBSTITUTE(SUBSTITUTE(ATALI[[#This Row],[N.B.nota]]," ",""),"-",""),"(",""),")",""),".",""),",",""),"/",""))</f>
        <v/>
      </c>
      <c r="W307" s="4" t="str">
        <f ca="1">IF(ATALI[[#This Row],[concat]]="","",MATCH(ATALI[[#This Row],[concat]],[4]!db[NB NOTA_C],0)+1)</f>
        <v/>
      </c>
      <c r="X307" s="4" t="str">
        <f ca="1">IF(ATALI[[#This Row],[N.B.nota]]="","",ADDRESS(ROW(ATALI[QB]),COLUMN(ATALI[QB]))&amp;":"&amp;ADDRESS(ROW(),COLUMN(ATALI[QB])))</f>
        <v/>
      </c>
      <c r="Y307" s="13" t="str">
        <f ca="1">IF(ATALI[[#This Row],[//]]="","",HYPERLINK("[../DB.xlsx]DB!e"&amp;MATCH(ATALI[[#This Row],[concat]],[4]!db[NB NOTA_C],0)+1,"&gt;"))</f>
        <v/>
      </c>
    </row>
    <row r="308" spans="1:25" x14ac:dyDescent="0.25">
      <c r="A308" s="4"/>
      <c r="B308" s="6" t="str">
        <f>IF(ATALI[[#This Row],[N_ID]]="","",INDEX(Table1[ID],MATCH(ATALI[[#This Row],[N_ID]],Table1[N_ID],0)))</f>
        <v/>
      </c>
      <c r="C308" s="6" t="str">
        <f>IF(ATALI[[#This Row],[ID NOTA]]="","",HYPERLINK("[NOTA_.xlsx]NOTA!e"&amp;INDEX([2]!PAJAK[//],MATCH(ATALI[[#This Row],[ID NOTA]],[2]!PAJAK[ID],0)),"&gt;") )</f>
        <v/>
      </c>
      <c r="D308" s="6" t="str">
        <f>IF(ATALI[[#This Row],[ID NOTA]]="","",INDEX(Table1[QB],MATCH(ATALI[[#This Row],[ID NOTA]],Table1[ID],0)))</f>
        <v/>
      </c>
      <c r="E3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8" s="6"/>
      <c r="G308" s="3" t="str">
        <f>IF(ATALI[[#This Row],[ID NOTA]]="","",INDEX([2]!NOTA[TGL_H],MATCH(ATALI[[#This Row],[ID NOTA]],[2]!NOTA[ID],0)))</f>
        <v/>
      </c>
      <c r="H308" s="3" t="str">
        <f>IF(ATALI[[#This Row],[ID NOTA]]="","",INDEX([2]!NOTA[TGL.NOTA],MATCH(ATALI[[#This Row],[ID NOTA]],[2]!NOTA[ID],0)))</f>
        <v/>
      </c>
      <c r="I308" s="4" t="str">
        <f>IF(ATALI[[#This Row],[ID NOTA]]="","",INDEX([2]!NOTA[NO.NOTA],MATCH(ATALI[[#This Row],[ID NOTA]],[2]!NOTA[ID],0)))</f>
        <v/>
      </c>
      <c r="J308" s="4" t="str">
        <f ca="1">IF(ATALI[[#This Row],[//]]="","",INDEX([4]!db[NB PAJAK],ATALI[[#This Row],[stt]]-1))</f>
        <v/>
      </c>
      <c r="K308" s="6" t="str">
        <f ca="1">IF(ATALI[[#This Row],[//]]="","",IF(INDEX([2]!NOTA[C],ATALI[[#This Row],[//]]-2)="","",INDEX([2]!NOTA[C],ATALI[[#This Row],[//]]-2)))</f>
        <v/>
      </c>
      <c r="L308" s="6" t="str">
        <f ca="1">IF(ATALI[[#This Row],[//]]="","",INDEX([2]!NOTA[QTY],ATALI[[#This Row],[//]]-2))</f>
        <v/>
      </c>
      <c r="M308" s="6" t="str">
        <f ca="1">IF(ATALI[[#This Row],[//]]="","",INDEX([2]!NOTA[STN],ATALI[[#This Row],[//]]-2))</f>
        <v/>
      </c>
      <c r="N308" s="5" t="str">
        <f ca="1">IF(ATALI[[#This Row],[//]]="","",INDEX([2]!NOTA[HARGA SATUAN],ATALI[[#This Row],[//]]-2))</f>
        <v/>
      </c>
      <c r="O308" s="7" t="str">
        <f ca="1">IF(ATALI[[#This Row],[//]]="","",INDEX([2]!NOTA[DISC 1],ATALI[[#This Row],[//]]-2))</f>
        <v/>
      </c>
      <c r="P308" s="7" t="str">
        <f ca="1">IF(ATALI[[#This Row],[//]]="","",INDEX([2]!NOTA[DISC 2],ATALI[[#This Row],[//]]-2))</f>
        <v/>
      </c>
      <c r="Q308" s="5" t="str">
        <f ca="1">IF(ATALI[[#This Row],[//]]="","",INDEX([2]!NOTA[TOTAL],ATALI[[#This Row],[//]]-2))</f>
        <v/>
      </c>
      <c r="R3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8" s="4" t="str">
        <f ca="1">IF(ATALI[[#This Row],[//]]="","",INDEX([2]!NOTA[NAMA BARANG],ATALI[[#This Row],[//]]-2))</f>
        <v/>
      </c>
      <c r="V308" s="4" t="str">
        <f ca="1">LOWER(SUBSTITUTE(SUBSTITUTE(SUBSTITUTE(SUBSTITUTE(SUBSTITUTE(SUBSTITUTE(SUBSTITUTE(ATALI[[#This Row],[N.B.nota]]," ",""),"-",""),"(",""),")",""),".",""),",",""),"/",""))</f>
        <v/>
      </c>
      <c r="W308" s="4" t="str">
        <f ca="1">IF(ATALI[[#This Row],[concat]]="","",MATCH(ATALI[[#This Row],[concat]],[4]!db[NB NOTA_C],0)+1)</f>
        <v/>
      </c>
      <c r="X308" s="4" t="str">
        <f ca="1">IF(ATALI[[#This Row],[N.B.nota]]="","",ADDRESS(ROW(ATALI[QB]),COLUMN(ATALI[QB]))&amp;":"&amp;ADDRESS(ROW(),COLUMN(ATALI[QB])))</f>
        <v/>
      </c>
      <c r="Y308" s="13" t="str">
        <f ca="1">IF(ATALI[[#This Row],[//]]="","",HYPERLINK("[../DB.xlsx]DB!e"&amp;MATCH(ATALI[[#This Row],[concat]],[4]!db[NB NOTA_C],0)+1,"&gt;"))</f>
        <v/>
      </c>
    </row>
    <row r="309" spans="1:25" x14ac:dyDescent="0.25">
      <c r="A309" s="4"/>
      <c r="B309" s="6" t="str">
        <f>IF(ATALI[[#This Row],[N_ID]]="","",INDEX(Table1[ID],MATCH(ATALI[[#This Row],[N_ID]],Table1[N_ID],0)))</f>
        <v/>
      </c>
      <c r="C309" s="6" t="str">
        <f>IF(ATALI[[#This Row],[ID NOTA]]="","",HYPERLINK("[NOTA_.xlsx]NOTA!e"&amp;INDEX([2]!PAJAK[//],MATCH(ATALI[[#This Row],[ID NOTA]],[2]!PAJAK[ID],0)),"&gt;") )</f>
        <v/>
      </c>
      <c r="D309" s="6" t="str">
        <f>IF(ATALI[[#This Row],[ID NOTA]]="","",INDEX(Table1[QB],MATCH(ATALI[[#This Row],[ID NOTA]],Table1[ID],0)))</f>
        <v/>
      </c>
      <c r="E3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9" s="6"/>
      <c r="G309" s="3" t="str">
        <f>IF(ATALI[[#This Row],[ID NOTA]]="","",INDEX([2]!NOTA[TGL_H],MATCH(ATALI[[#This Row],[ID NOTA]],[2]!NOTA[ID],0)))</f>
        <v/>
      </c>
      <c r="H309" s="3" t="str">
        <f>IF(ATALI[[#This Row],[ID NOTA]]="","",INDEX([2]!NOTA[TGL.NOTA],MATCH(ATALI[[#This Row],[ID NOTA]],[2]!NOTA[ID],0)))</f>
        <v/>
      </c>
      <c r="I309" s="4" t="str">
        <f>IF(ATALI[[#This Row],[ID NOTA]]="","",INDEX([2]!NOTA[NO.NOTA],MATCH(ATALI[[#This Row],[ID NOTA]],[2]!NOTA[ID],0)))</f>
        <v/>
      </c>
      <c r="J309" s="4" t="str">
        <f ca="1">IF(ATALI[[#This Row],[//]]="","",INDEX([4]!db[NB PAJAK],ATALI[[#This Row],[stt]]-1))</f>
        <v/>
      </c>
      <c r="K309" s="6" t="str">
        <f ca="1">IF(ATALI[[#This Row],[//]]="","",IF(INDEX([2]!NOTA[C],ATALI[[#This Row],[//]]-2)="","",INDEX([2]!NOTA[C],ATALI[[#This Row],[//]]-2)))</f>
        <v/>
      </c>
      <c r="L309" s="6" t="str">
        <f ca="1">IF(ATALI[[#This Row],[//]]="","",INDEX([2]!NOTA[QTY],ATALI[[#This Row],[//]]-2))</f>
        <v/>
      </c>
      <c r="M309" s="6" t="str">
        <f ca="1">IF(ATALI[[#This Row],[//]]="","",INDEX([2]!NOTA[STN],ATALI[[#This Row],[//]]-2))</f>
        <v/>
      </c>
      <c r="N309" s="5" t="str">
        <f ca="1">IF(ATALI[[#This Row],[//]]="","",INDEX([2]!NOTA[HARGA SATUAN],ATALI[[#This Row],[//]]-2))</f>
        <v/>
      </c>
      <c r="O309" s="7" t="str">
        <f ca="1">IF(ATALI[[#This Row],[//]]="","",INDEX([2]!NOTA[DISC 1],ATALI[[#This Row],[//]]-2))</f>
        <v/>
      </c>
      <c r="P309" s="7" t="str">
        <f ca="1">IF(ATALI[[#This Row],[//]]="","",INDEX([2]!NOTA[DISC 2],ATALI[[#This Row],[//]]-2))</f>
        <v/>
      </c>
      <c r="Q309" s="5" t="str">
        <f ca="1">IF(ATALI[[#This Row],[//]]="","",INDEX([2]!NOTA[TOTAL],ATALI[[#This Row],[//]]-2))</f>
        <v/>
      </c>
      <c r="R3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9" s="4" t="str">
        <f ca="1">IF(ATALI[[#This Row],[//]]="","",INDEX([2]!NOTA[NAMA BARANG],ATALI[[#This Row],[//]]-2))</f>
        <v/>
      </c>
      <c r="V309" s="4" t="str">
        <f ca="1">LOWER(SUBSTITUTE(SUBSTITUTE(SUBSTITUTE(SUBSTITUTE(SUBSTITUTE(SUBSTITUTE(SUBSTITUTE(ATALI[[#This Row],[N.B.nota]]," ",""),"-",""),"(",""),")",""),".",""),",",""),"/",""))</f>
        <v/>
      </c>
      <c r="W309" s="4" t="str">
        <f ca="1">IF(ATALI[[#This Row],[concat]]="","",MATCH(ATALI[[#This Row],[concat]],[4]!db[NB NOTA_C],0)+1)</f>
        <v/>
      </c>
      <c r="X309" s="4" t="str">
        <f ca="1">IF(ATALI[[#This Row],[N.B.nota]]="","",ADDRESS(ROW(ATALI[QB]),COLUMN(ATALI[QB]))&amp;":"&amp;ADDRESS(ROW(),COLUMN(ATALI[QB])))</f>
        <v/>
      </c>
      <c r="Y309" s="13" t="str">
        <f ca="1">IF(ATALI[[#This Row],[//]]="","",HYPERLINK("[../DB.xlsx]DB!e"&amp;MATCH(ATALI[[#This Row],[concat]],[4]!db[NB NOTA_C],0)+1,"&gt;"))</f>
        <v/>
      </c>
    </row>
    <row r="310" spans="1:25" x14ac:dyDescent="0.25">
      <c r="A310" s="4"/>
      <c r="B310" s="6" t="str">
        <f>IF(ATALI[[#This Row],[N_ID]]="","",INDEX(Table1[ID],MATCH(ATALI[[#This Row],[N_ID]],Table1[N_ID],0)))</f>
        <v/>
      </c>
      <c r="C310" s="6" t="str">
        <f>IF(ATALI[[#This Row],[ID NOTA]]="","",HYPERLINK("[NOTA_.xlsx]NOTA!e"&amp;INDEX([2]!PAJAK[//],MATCH(ATALI[[#This Row],[ID NOTA]],[2]!PAJAK[ID],0)),"&gt;") )</f>
        <v/>
      </c>
      <c r="D310" s="6" t="str">
        <f>IF(ATALI[[#This Row],[ID NOTA]]="","",INDEX(Table1[QB],MATCH(ATALI[[#This Row],[ID NOTA]],Table1[ID],0)))</f>
        <v/>
      </c>
      <c r="E3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0" s="6"/>
      <c r="G310" s="3" t="str">
        <f>IF(ATALI[[#This Row],[ID NOTA]]="","",INDEX([2]!NOTA[TGL_H],MATCH(ATALI[[#This Row],[ID NOTA]],[2]!NOTA[ID],0)))</f>
        <v/>
      </c>
      <c r="H310" s="3" t="str">
        <f>IF(ATALI[[#This Row],[ID NOTA]]="","",INDEX([2]!NOTA[TGL.NOTA],MATCH(ATALI[[#This Row],[ID NOTA]],[2]!NOTA[ID],0)))</f>
        <v/>
      </c>
      <c r="I310" s="4" t="str">
        <f>IF(ATALI[[#This Row],[ID NOTA]]="","",INDEX([2]!NOTA[NO.NOTA],MATCH(ATALI[[#This Row],[ID NOTA]],[2]!NOTA[ID],0)))</f>
        <v/>
      </c>
      <c r="J310" s="4" t="str">
        <f ca="1">IF(ATALI[[#This Row],[//]]="","",INDEX([4]!db[NB PAJAK],ATALI[[#This Row],[stt]]-1))</f>
        <v/>
      </c>
      <c r="K310" s="6" t="str">
        <f ca="1">IF(ATALI[[#This Row],[//]]="","",IF(INDEX([2]!NOTA[C],ATALI[[#This Row],[//]]-2)="","",INDEX([2]!NOTA[C],ATALI[[#This Row],[//]]-2)))</f>
        <v/>
      </c>
      <c r="L310" s="6" t="str">
        <f ca="1">IF(ATALI[[#This Row],[//]]="","",INDEX([2]!NOTA[QTY],ATALI[[#This Row],[//]]-2))</f>
        <v/>
      </c>
      <c r="M310" s="6" t="str">
        <f ca="1">IF(ATALI[[#This Row],[//]]="","",INDEX([2]!NOTA[STN],ATALI[[#This Row],[//]]-2))</f>
        <v/>
      </c>
      <c r="N310" s="5" t="str">
        <f ca="1">IF(ATALI[[#This Row],[//]]="","",INDEX([2]!NOTA[HARGA SATUAN],ATALI[[#This Row],[//]]-2))</f>
        <v/>
      </c>
      <c r="O310" s="7" t="str">
        <f ca="1">IF(ATALI[[#This Row],[//]]="","",INDEX([2]!NOTA[DISC 1],ATALI[[#This Row],[//]]-2))</f>
        <v/>
      </c>
      <c r="P310" s="7" t="str">
        <f ca="1">IF(ATALI[[#This Row],[//]]="","",INDEX([2]!NOTA[DISC 2],ATALI[[#This Row],[//]]-2))</f>
        <v/>
      </c>
      <c r="Q310" s="5" t="str">
        <f ca="1">IF(ATALI[[#This Row],[//]]="","",INDEX([2]!NOTA[TOTAL],ATALI[[#This Row],[//]]-2))</f>
        <v/>
      </c>
      <c r="R3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0" s="4" t="str">
        <f ca="1">IF(ATALI[[#This Row],[//]]="","",INDEX([2]!NOTA[NAMA BARANG],ATALI[[#This Row],[//]]-2))</f>
        <v/>
      </c>
      <c r="V310" s="4" t="str">
        <f ca="1">LOWER(SUBSTITUTE(SUBSTITUTE(SUBSTITUTE(SUBSTITUTE(SUBSTITUTE(SUBSTITUTE(SUBSTITUTE(ATALI[[#This Row],[N.B.nota]]," ",""),"-",""),"(",""),")",""),".",""),",",""),"/",""))</f>
        <v/>
      </c>
      <c r="W310" s="4" t="str">
        <f ca="1">IF(ATALI[[#This Row],[concat]]="","",MATCH(ATALI[[#This Row],[concat]],[4]!db[NB NOTA_C],0)+1)</f>
        <v/>
      </c>
      <c r="X310" s="4" t="str">
        <f ca="1">IF(ATALI[[#This Row],[N.B.nota]]="","",ADDRESS(ROW(ATALI[QB]),COLUMN(ATALI[QB]))&amp;":"&amp;ADDRESS(ROW(),COLUMN(ATALI[QB])))</f>
        <v/>
      </c>
      <c r="Y310" s="13" t="str">
        <f ca="1">IF(ATALI[[#This Row],[//]]="","",HYPERLINK("[../DB.xlsx]DB!e"&amp;MATCH(ATALI[[#This Row],[concat]],[4]!db[NB NOTA_C],0)+1,"&gt;"))</f>
        <v/>
      </c>
    </row>
    <row r="311" spans="1:25" x14ac:dyDescent="0.25">
      <c r="A311" s="4"/>
      <c r="B311" s="6" t="str">
        <f>IF(ATALI[[#This Row],[N_ID]]="","",INDEX(Table1[ID],MATCH(ATALI[[#This Row],[N_ID]],Table1[N_ID],0)))</f>
        <v/>
      </c>
      <c r="C311" s="6" t="str">
        <f>IF(ATALI[[#This Row],[ID NOTA]]="","",HYPERLINK("[NOTA_.xlsx]NOTA!e"&amp;INDEX([2]!PAJAK[//],MATCH(ATALI[[#This Row],[ID NOTA]],[2]!PAJAK[ID],0)),"&gt;") )</f>
        <v/>
      </c>
      <c r="D311" s="6" t="str">
        <f>IF(ATALI[[#This Row],[ID NOTA]]="","",INDEX(Table1[QB],MATCH(ATALI[[#This Row],[ID NOTA]],Table1[ID],0)))</f>
        <v/>
      </c>
      <c r="E3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1" s="6"/>
      <c r="G311" s="3" t="str">
        <f>IF(ATALI[[#This Row],[ID NOTA]]="","",INDEX([2]!NOTA[TGL_H],MATCH(ATALI[[#This Row],[ID NOTA]],[2]!NOTA[ID],0)))</f>
        <v/>
      </c>
      <c r="H311" s="3" t="str">
        <f>IF(ATALI[[#This Row],[ID NOTA]]="","",INDEX([2]!NOTA[TGL.NOTA],MATCH(ATALI[[#This Row],[ID NOTA]],[2]!NOTA[ID],0)))</f>
        <v/>
      </c>
      <c r="I311" s="4" t="str">
        <f>IF(ATALI[[#This Row],[ID NOTA]]="","",INDEX([2]!NOTA[NO.NOTA],MATCH(ATALI[[#This Row],[ID NOTA]],[2]!NOTA[ID],0)))</f>
        <v/>
      </c>
      <c r="J311" s="4" t="str">
        <f ca="1">IF(ATALI[[#This Row],[//]]="","",INDEX([4]!db[NB PAJAK],ATALI[[#This Row],[stt]]-1))</f>
        <v/>
      </c>
      <c r="K311" s="6" t="str">
        <f ca="1">IF(ATALI[[#This Row],[//]]="","",IF(INDEX([2]!NOTA[C],ATALI[[#This Row],[//]]-2)="","",INDEX([2]!NOTA[C],ATALI[[#This Row],[//]]-2)))</f>
        <v/>
      </c>
      <c r="L311" s="6" t="str">
        <f ca="1">IF(ATALI[[#This Row],[//]]="","",INDEX([2]!NOTA[QTY],ATALI[[#This Row],[//]]-2))</f>
        <v/>
      </c>
      <c r="M311" s="6" t="str">
        <f ca="1">IF(ATALI[[#This Row],[//]]="","",INDEX([2]!NOTA[STN],ATALI[[#This Row],[//]]-2))</f>
        <v/>
      </c>
      <c r="N311" s="5" t="str">
        <f ca="1">IF(ATALI[[#This Row],[//]]="","",INDEX([2]!NOTA[HARGA SATUAN],ATALI[[#This Row],[//]]-2))</f>
        <v/>
      </c>
      <c r="O311" s="7" t="str">
        <f ca="1">IF(ATALI[[#This Row],[//]]="","",INDEX([2]!NOTA[DISC 1],ATALI[[#This Row],[//]]-2))</f>
        <v/>
      </c>
      <c r="P311" s="7" t="str">
        <f ca="1">IF(ATALI[[#This Row],[//]]="","",INDEX([2]!NOTA[DISC 2],ATALI[[#This Row],[//]]-2))</f>
        <v/>
      </c>
      <c r="Q311" s="5" t="str">
        <f ca="1">IF(ATALI[[#This Row],[//]]="","",INDEX([2]!NOTA[TOTAL],ATALI[[#This Row],[//]]-2))</f>
        <v/>
      </c>
      <c r="R3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1" s="4" t="str">
        <f ca="1">IF(ATALI[[#This Row],[//]]="","",INDEX([2]!NOTA[NAMA BARANG],ATALI[[#This Row],[//]]-2))</f>
        <v/>
      </c>
      <c r="V311" s="4" t="str">
        <f ca="1">LOWER(SUBSTITUTE(SUBSTITUTE(SUBSTITUTE(SUBSTITUTE(SUBSTITUTE(SUBSTITUTE(SUBSTITUTE(ATALI[[#This Row],[N.B.nota]]," ",""),"-",""),"(",""),")",""),".",""),",",""),"/",""))</f>
        <v/>
      </c>
      <c r="W311" s="4" t="str">
        <f ca="1">IF(ATALI[[#This Row],[concat]]="","",MATCH(ATALI[[#This Row],[concat]],[4]!db[NB NOTA_C],0)+1)</f>
        <v/>
      </c>
      <c r="X311" s="4" t="str">
        <f ca="1">IF(ATALI[[#This Row],[N.B.nota]]="","",ADDRESS(ROW(ATALI[QB]),COLUMN(ATALI[QB]))&amp;":"&amp;ADDRESS(ROW(),COLUMN(ATALI[QB])))</f>
        <v/>
      </c>
      <c r="Y311" s="13" t="str">
        <f ca="1">IF(ATALI[[#This Row],[//]]="","",HYPERLINK("[../DB.xlsx]DB!e"&amp;MATCH(ATALI[[#This Row],[concat]],[4]!db[NB NOTA_C],0)+1,"&gt;"))</f>
        <v/>
      </c>
    </row>
    <row r="312" spans="1:25" x14ac:dyDescent="0.25">
      <c r="A312" s="4"/>
      <c r="B312" s="6" t="str">
        <f>IF(ATALI[[#This Row],[N_ID]]="","",INDEX(Table1[ID],MATCH(ATALI[[#This Row],[N_ID]],Table1[N_ID],0)))</f>
        <v/>
      </c>
      <c r="C312" s="6" t="str">
        <f>IF(ATALI[[#This Row],[ID NOTA]]="","",HYPERLINK("[NOTA_.xlsx]NOTA!e"&amp;INDEX([2]!PAJAK[//],MATCH(ATALI[[#This Row],[ID NOTA]],[2]!PAJAK[ID],0)),"&gt;") )</f>
        <v/>
      </c>
      <c r="D312" s="6" t="str">
        <f>IF(ATALI[[#This Row],[ID NOTA]]="","",INDEX(Table1[QB],MATCH(ATALI[[#This Row],[ID NOTA]],Table1[ID],0)))</f>
        <v/>
      </c>
      <c r="E3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2" s="6"/>
      <c r="G312" s="3" t="str">
        <f>IF(ATALI[[#This Row],[ID NOTA]]="","",INDEX([2]!NOTA[TGL_H],MATCH(ATALI[[#This Row],[ID NOTA]],[2]!NOTA[ID],0)))</f>
        <v/>
      </c>
      <c r="H312" s="3" t="str">
        <f>IF(ATALI[[#This Row],[ID NOTA]]="","",INDEX([2]!NOTA[TGL.NOTA],MATCH(ATALI[[#This Row],[ID NOTA]],[2]!NOTA[ID],0)))</f>
        <v/>
      </c>
      <c r="I312" s="4" t="str">
        <f>IF(ATALI[[#This Row],[ID NOTA]]="","",INDEX([2]!NOTA[NO.NOTA],MATCH(ATALI[[#This Row],[ID NOTA]],[2]!NOTA[ID],0)))</f>
        <v/>
      </c>
      <c r="J312" s="4" t="str">
        <f ca="1">IF(ATALI[[#This Row],[//]]="","",INDEX([4]!db[NB PAJAK],ATALI[[#This Row],[stt]]-1))</f>
        <v/>
      </c>
      <c r="K312" s="6" t="str">
        <f ca="1">IF(ATALI[[#This Row],[//]]="","",IF(INDEX([2]!NOTA[C],ATALI[[#This Row],[//]]-2)="","",INDEX([2]!NOTA[C],ATALI[[#This Row],[//]]-2)))</f>
        <v/>
      </c>
      <c r="L312" s="6" t="str">
        <f ca="1">IF(ATALI[[#This Row],[//]]="","",INDEX([2]!NOTA[QTY],ATALI[[#This Row],[//]]-2))</f>
        <v/>
      </c>
      <c r="M312" s="6" t="str">
        <f ca="1">IF(ATALI[[#This Row],[//]]="","",INDEX([2]!NOTA[STN],ATALI[[#This Row],[//]]-2))</f>
        <v/>
      </c>
      <c r="N312" s="5" t="str">
        <f ca="1">IF(ATALI[[#This Row],[//]]="","",INDEX([2]!NOTA[HARGA SATUAN],ATALI[[#This Row],[//]]-2))</f>
        <v/>
      </c>
      <c r="O312" s="7" t="str">
        <f ca="1">IF(ATALI[[#This Row],[//]]="","",INDEX([2]!NOTA[DISC 1],ATALI[[#This Row],[//]]-2))</f>
        <v/>
      </c>
      <c r="P312" s="7" t="str">
        <f ca="1">IF(ATALI[[#This Row],[//]]="","",INDEX([2]!NOTA[DISC 2],ATALI[[#This Row],[//]]-2))</f>
        <v/>
      </c>
      <c r="Q312" s="5" t="str">
        <f ca="1">IF(ATALI[[#This Row],[//]]="","",INDEX([2]!NOTA[TOTAL],ATALI[[#This Row],[//]]-2))</f>
        <v/>
      </c>
      <c r="R3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2" s="4" t="str">
        <f ca="1">IF(ATALI[[#This Row],[//]]="","",INDEX([2]!NOTA[NAMA BARANG],ATALI[[#This Row],[//]]-2))</f>
        <v/>
      </c>
      <c r="V312" s="4" t="str">
        <f ca="1">LOWER(SUBSTITUTE(SUBSTITUTE(SUBSTITUTE(SUBSTITUTE(SUBSTITUTE(SUBSTITUTE(SUBSTITUTE(ATALI[[#This Row],[N.B.nota]]," ",""),"-",""),"(",""),")",""),".",""),",",""),"/",""))</f>
        <v/>
      </c>
      <c r="W312" s="4" t="str">
        <f ca="1">IF(ATALI[[#This Row],[concat]]="","",MATCH(ATALI[[#This Row],[concat]],[4]!db[NB NOTA_C],0)+1)</f>
        <v/>
      </c>
      <c r="X312" s="4" t="str">
        <f ca="1">IF(ATALI[[#This Row],[N.B.nota]]="","",ADDRESS(ROW(ATALI[QB]),COLUMN(ATALI[QB]))&amp;":"&amp;ADDRESS(ROW(),COLUMN(ATALI[QB])))</f>
        <v/>
      </c>
      <c r="Y312" s="13" t="str">
        <f ca="1">IF(ATALI[[#This Row],[//]]="","",HYPERLINK("[../DB.xlsx]DB!e"&amp;MATCH(ATALI[[#This Row],[concat]],[4]!db[NB NOTA_C],0)+1,"&gt;"))</f>
        <v/>
      </c>
    </row>
    <row r="313" spans="1:25" x14ac:dyDescent="0.25">
      <c r="A313" s="4"/>
      <c r="B313" s="6" t="str">
        <f>IF(ATALI[[#This Row],[N_ID]]="","",INDEX(Table1[ID],MATCH(ATALI[[#This Row],[N_ID]],Table1[N_ID],0)))</f>
        <v/>
      </c>
      <c r="C313" s="6" t="str">
        <f>IF(ATALI[[#This Row],[ID NOTA]]="","",HYPERLINK("[NOTA_.xlsx]NOTA!e"&amp;INDEX([2]!PAJAK[//],MATCH(ATALI[[#This Row],[ID NOTA]],[2]!PAJAK[ID],0)),"&gt;") )</f>
        <v/>
      </c>
      <c r="D313" s="6" t="str">
        <f>IF(ATALI[[#This Row],[ID NOTA]]="","",INDEX(Table1[QB],MATCH(ATALI[[#This Row],[ID NOTA]],Table1[ID],0)))</f>
        <v/>
      </c>
      <c r="E3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3" s="6"/>
      <c r="G313" s="3" t="str">
        <f>IF(ATALI[[#This Row],[ID NOTA]]="","",INDEX([2]!NOTA[TGL_H],MATCH(ATALI[[#This Row],[ID NOTA]],[2]!NOTA[ID],0)))</f>
        <v/>
      </c>
      <c r="H313" s="3" t="str">
        <f>IF(ATALI[[#This Row],[ID NOTA]]="","",INDEX([2]!NOTA[TGL.NOTA],MATCH(ATALI[[#This Row],[ID NOTA]],[2]!NOTA[ID],0)))</f>
        <v/>
      </c>
      <c r="I313" s="4" t="str">
        <f>IF(ATALI[[#This Row],[ID NOTA]]="","",INDEX([2]!NOTA[NO.NOTA],MATCH(ATALI[[#This Row],[ID NOTA]],[2]!NOTA[ID],0)))</f>
        <v/>
      </c>
      <c r="J313" s="4" t="str">
        <f ca="1">IF(ATALI[[#This Row],[//]]="","",INDEX([4]!db[NB PAJAK],ATALI[[#This Row],[stt]]-1))</f>
        <v/>
      </c>
      <c r="K313" s="6" t="str">
        <f ca="1">IF(ATALI[[#This Row],[//]]="","",IF(INDEX([2]!NOTA[C],ATALI[[#This Row],[//]]-2)="","",INDEX([2]!NOTA[C],ATALI[[#This Row],[//]]-2)))</f>
        <v/>
      </c>
      <c r="L313" s="6" t="str">
        <f ca="1">IF(ATALI[[#This Row],[//]]="","",INDEX([2]!NOTA[QTY],ATALI[[#This Row],[//]]-2))</f>
        <v/>
      </c>
      <c r="M313" s="6" t="str">
        <f ca="1">IF(ATALI[[#This Row],[//]]="","",INDEX([2]!NOTA[STN],ATALI[[#This Row],[//]]-2))</f>
        <v/>
      </c>
      <c r="N313" s="5" t="str">
        <f ca="1">IF(ATALI[[#This Row],[//]]="","",INDEX([2]!NOTA[HARGA SATUAN],ATALI[[#This Row],[//]]-2))</f>
        <v/>
      </c>
      <c r="O313" s="7" t="str">
        <f ca="1">IF(ATALI[[#This Row],[//]]="","",INDEX([2]!NOTA[DISC 1],ATALI[[#This Row],[//]]-2))</f>
        <v/>
      </c>
      <c r="P313" s="7" t="str">
        <f ca="1">IF(ATALI[[#This Row],[//]]="","",INDEX([2]!NOTA[DISC 2],ATALI[[#This Row],[//]]-2))</f>
        <v/>
      </c>
      <c r="Q313" s="5" t="str">
        <f ca="1">IF(ATALI[[#This Row],[//]]="","",INDEX([2]!NOTA[TOTAL],ATALI[[#This Row],[//]]-2))</f>
        <v/>
      </c>
      <c r="R3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3" s="4" t="str">
        <f ca="1">IF(ATALI[[#This Row],[//]]="","",INDEX([2]!NOTA[NAMA BARANG],ATALI[[#This Row],[//]]-2))</f>
        <v/>
      </c>
      <c r="V313" s="4" t="str">
        <f ca="1">LOWER(SUBSTITUTE(SUBSTITUTE(SUBSTITUTE(SUBSTITUTE(SUBSTITUTE(SUBSTITUTE(SUBSTITUTE(ATALI[[#This Row],[N.B.nota]]," ",""),"-",""),"(",""),")",""),".",""),",",""),"/",""))</f>
        <v/>
      </c>
      <c r="W313" s="4" t="str">
        <f ca="1">IF(ATALI[[#This Row],[concat]]="","",MATCH(ATALI[[#This Row],[concat]],[4]!db[NB NOTA_C],0)+1)</f>
        <v/>
      </c>
      <c r="X313" s="4" t="str">
        <f ca="1">IF(ATALI[[#This Row],[N.B.nota]]="","",ADDRESS(ROW(ATALI[QB]),COLUMN(ATALI[QB]))&amp;":"&amp;ADDRESS(ROW(),COLUMN(ATALI[QB])))</f>
        <v/>
      </c>
      <c r="Y313" s="13" t="str">
        <f ca="1">IF(ATALI[[#This Row],[//]]="","",HYPERLINK("[../DB.xlsx]DB!e"&amp;MATCH(ATALI[[#This Row],[concat]],[4]!db[NB NOTA_C],0)+1,"&gt;"))</f>
        <v/>
      </c>
    </row>
    <row r="314" spans="1:25" x14ac:dyDescent="0.25">
      <c r="A314" s="4"/>
      <c r="B314" s="6" t="str">
        <f>IF(ATALI[[#This Row],[N_ID]]="","",INDEX(Table1[ID],MATCH(ATALI[[#This Row],[N_ID]],Table1[N_ID],0)))</f>
        <v/>
      </c>
      <c r="C314" s="6" t="str">
        <f>IF(ATALI[[#This Row],[ID NOTA]]="","",HYPERLINK("[NOTA_.xlsx]NOTA!e"&amp;INDEX([2]!PAJAK[//],MATCH(ATALI[[#This Row],[ID NOTA]],[2]!PAJAK[ID],0)),"&gt;") )</f>
        <v/>
      </c>
      <c r="D314" s="6" t="str">
        <f>IF(ATALI[[#This Row],[ID NOTA]]="","",INDEX(Table1[QB],MATCH(ATALI[[#This Row],[ID NOTA]],Table1[ID],0)))</f>
        <v/>
      </c>
      <c r="E3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4" s="6"/>
      <c r="G314" s="3" t="str">
        <f>IF(ATALI[[#This Row],[ID NOTA]]="","",INDEX([2]!NOTA[TGL_H],MATCH(ATALI[[#This Row],[ID NOTA]],[2]!NOTA[ID],0)))</f>
        <v/>
      </c>
      <c r="H314" s="3" t="str">
        <f>IF(ATALI[[#This Row],[ID NOTA]]="","",INDEX([2]!NOTA[TGL.NOTA],MATCH(ATALI[[#This Row],[ID NOTA]],[2]!NOTA[ID],0)))</f>
        <v/>
      </c>
      <c r="I314" s="4" t="str">
        <f>IF(ATALI[[#This Row],[ID NOTA]]="","",INDEX([2]!NOTA[NO.NOTA],MATCH(ATALI[[#This Row],[ID NOTA]],[2]!NOTA[ID],0)))</f>
        <v/>
      </c>
      <c r="J314" s="4" t="str">
        <f ca="1">IF(ATALI[[#This Row],[//]]="","",INDEX([4]!db[NB PAJAK],ATALI[[#This Row],[stt]]-1))</f>
        <v/>
      </c>
      <c r="K314" s="6" t="str">
        <f ca="1">IF(ATALI[[#This Row],[//]]="","",IF(INDEX([2]!NOTA[C],ATALI[[#This Row],[//]]-2)="","",INDEX([2]!NOTA[C],ATALI[[#This Row],[//]]-2)))</f>
        <v/>
      </c>
      <c r="L314" s="6" t="str">
        <f ca="1">IF(ATALI[[#This Row],[//]]="","",INDEX([2]!NOTA[QTY],ATALI[[#This Row],[//]]-2))</f>
        <v/>
      </c>
      <c r="M314" s="6" t="str">
        <f ca="1">IF(ATALI[[#This Row],[//]]="","",INDEX([2]!NOTA[STN],ATALI[[#This Row],[//]]-2))</f>
        <v/>
      </c>
      <c r="N314" s="5" t="str">
        <f ca="1">IF(ATALI[[#This Row],[//]]="","",INDEX([2]!NOTA[HARGA SATUAN],ATALI[[#This Row],[//]]-2))</f>
        <v/>
      </c>
      <c r="O314" s="7" t="str">
        <f ca="1">IF(ATALI[[#This Row],[//]]="","",INDEX([2]!NOTA[DISC 1],ATALI[[#This Row],[//]]-2))</f>
        <v/>
      </c>
      <c r="P314" s="7" t="str">
        <f ca="1">IF(ATALI[[#This Row],[//]]="","",INDEX([2]!NOTA[DISC 2],ATALI[[#This Row],[//]]-2))</f>
        <v/>
      </c>
      <c r="Q314" s="5" t="str">
        <f ca="1">IF(ATALI[[#This Row],[//]]="","",INDEX([2]!NOTA[TOTAL],ATALI[[#This Row],[//]]-2))</f>
        <v/>
      </c>
      <c r="R3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4" s="4" t="str">
        <f ca="1">IF(ATALI[[#This Row],[//]]="","",INDEX([2]!NOTA[NAMA BARANG],ATALI[[#This Row],[//]]-2))</f>
        <v/>
      </c>
      <c r="V314" s="4" t="str">
        <f ca="1">LOWER(SUBSTITUTE(SUBSTITUTE(SUBSTITUTE(SUBSTITUTE(SUBSTITUTE(SUBSTITUTE(SUBSTITUTE(ATALI[[#This Row],[N.B.nota]]," ",""),"-",""),"(",""),")",""),".",""),",",""),"/",""))</f>
        <v/>
      </c>
      <c r="W314" s="4" t="str">
        <f ca="1">IF(ATALI[[#This Row],[concat]]="","",MATCH(ATALI[[#This Row],[concat]],[4]!db[NB NOTA_C],0)+1)</f>
        <v/>
      </c>
      <c r="X314" s="4" t="str">
        <f ca="1">IF(ATALI[[#This Row],[N.B.nota]]="","",ADDRESS(ROW(ATALI[QB]),COLUMN(ATALI[QB]))&amp;":"&amp;ADDRESS(ROW(),COLUMN(ATALI[QB])))</f>
        <v/>
      </c>
      <c r="Y314" s="13" t="str">
        <f ca="1">IF(ATALI[[#This Row],[//]]="","",HYPERLINK("[../DB.xlsx]DB!e"&amp;MATCH(ATALI[[#This Row],[concat]],[4]!db[NB NOTA_C],0)+1,"&gt;"))</f>
        <v/>
      </c>
    </row>
    <row r="315" spans="1:25" x14ac:dyDescent="0.25">
      <c r="A315" s="4"/>
      <c r="B315" s="6" t="str">
        <f>IF(ATALI[[#This Row],[N_ID]]="","",INDEX(Table1[ID],MATCH(ATALI[[#This Row],[N_ID]],Table1[N_ID],0)))</f>
        <v/>
      </c>
      <c r="C315" s="6" t="str">
        <f>IF(ATALI[[#This Row],[ID NOTA]]="","",HYPERLINK("[NOTA_.xlsx]NOTA!e"&amp;INDEX([2]!PAJAK[//],MATCH(ATALI[[#This Row],[ID NOTA]],[2]!PAJAK[ID],0)),"&gt;") )</f>
        <v/>
      </c>
      <c r="D315" s="6" t="str">
        <f>IF(ATALI[[#This Row],[ID NOTA]]="","",INDEX(Table1[QB],MATCH(ATALI[[#This Row],[ID NOTA]],Table1[ID],0)))</f>
        <v/>
      </c>
      <c r="E3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5" s="6"/>
      <c r="G315" s="3" t="str">
        <f>IF(ATALI[[#This Row],[ID NOTA]]="","",INDEX([2]!NOTA[TGL_H],MATCH(ATALI[[#This Row],[ID NOTA]],[2]!NOTA[ID],0)))</f>
        <v/>
      </c>
      <c r="H315" s="3" t="str">
        <f>IF(ATALI[[#This Row],[ID NOTA]]="","",INDEX([2]!NOTA[TGL.NOTA],MATCH(ATALI[[#This Row],[ID NOTA]],[2]!NOTA[ID],0)))</f>
        <v/>
      </c>
      <c r="I315" s="4" t="str">
        <f>IF(ATALI[[#This Row],[ID NOTA]]="","",INDEX([2]!NOTA[NO.NOTA],MATCH(ATALI[[#This Row],[ID NOTA]],[2]!NOTA[ID],0)))</f>
        <v/>
      </c>
      <c r="J315" s="4" t="str">
        <f ca="1">IF(ATALI[[#This Row],[//]]="","",INDEX([4]!db[NB PAJAK],ATALI[[#This Row],[stt]]-1))</f>
        <v/>
      </c>
      <c r="K315" s="6" t="str">
        <f ca="1">IF(ATALI[[#This Row],[//]]="","",IF(INDEX([2]!NOTA[C],ATALI[[#This Row],[//]]-2)="","",INDEX([2]!NOTA[C],ATALI[[#This Row],[//]]-2)))</f>
        <v/>
      </c>
      <c r="L315" s="6" t="str">
        <f ca="1">IF(ATALI[[#This Row],[//]]="","",INDEX([2]!NOTA[QTY],ATALI[[#This Row],[//]]-2))</f>
        <v/>
      </c>
      <c r="M315" s="6" t="str">
        <f ca="1">IF(ATALI[[#This Row],[//]]="","",INDEX([2]!NOTA[STN],ATALI[[#This Row],[//]]-2))</f>
        <v/>
      </c>
      <c r="N315" s="5" t="str">
        <f ca="1">IF(ATALI[[#This Row],[//]]="","",INDEX([2]!NOTA[HARGA SATUAN],ATALI[[#This Row],[//]]-2))</f>
        <v/>
      </c>
      <c r="O315" s="7" t="str">
        <f ca="1">IF(ATALI[[#This Row],[//]]="","",INDEX([2]!NOTA[DISC 1],ATALI[[#This Row],[//]]-2))</f>
        <v/>
      </c>
      <c r="P315" s="7" t="str">
        <f ca="1">IF(ATALI[[#This Row],[//]]="","",INDEX([2]!NOTA[DISC 2],ATALI[[#This Row],[//]]-2))</f>
        <v/>
      </c>
      <c r="Q315" s="5" t="str">
        <f ca="1">IF(ATALI[[#This Row],[//]]="","",INDEX([2]!NOTA[TOTAL],ATALI[[#This Row],[//]]-2))</f>
        <v/>
      </c>
      <c r="R3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5" s="4" t="str">
        <f ca="1">IF(ATALI[[#This Row],[//]]="","",INDEX([2]!NOTA[NAMA BARANG],ATALI[[#This Row],[//]]-2))</f>
        <v/>
      </c>
      <c r="V315" s="4" t="str">
        <f ca="1">LOWER(SUBSTITUTE(SUBSTITUTE(SUBSTITUTE(SUBSTITUTE(SUBSTITUTE(SUBSTITUTE(SUBSTITUTE(ATALI[[#This Row],[N.B.nota]]," ",""),"-",""),"(",""),")",""),".",""),",",""),"/",""))</f>
        <v/>
      </c>
      <c r="W315" s="4" t="str">
        <f ca="1">IF(ATALI[[#This Row],[concat]]="","",MATCH(ATALI[[#This Row],[concat]],[4]!db[NB NOTA_C],0)+1)</f>
        <v/>
      </c>
      <c r="X315" s="4" t="str">
        <f ca="1">IF(ATALI[[#This Row],[N.B.nota]]="","",ADDRESS(ROW(ATALI[QB]),COLUMN(ATALI[QB]))&amp;":"&amp;ADDRESS(ROW(),COLUMN(ATALI[QB])))</f>
        <v/>
      </c>
      <c r="Y315" s="13" t="str">
        <f ca="1">IF(ATALI[[#This Row],[//]]="","",HYPERLINK("[../DB.xlsx]DB!e"&amp;MATCH(ATALI[[#This Row],[concat]],[4]!db[NB NOTA_C],0)+1,"&gt;"))</f>
        <v/>
      </c>
    </row>
    <row r="316" spans="1:25" x14ac:dyDescent="0.25">
      <c r="A316" s="4"/>
      <c r="B316" s="6" t="str">
        <f>IF(ATALI[[#This Row],[N_ID]]="","",INDEX(Table1[ID],MATCH(ATALI[[#This Row],[N_ID]],Table1[N_ID],0)))</f>
        <v/>
      </c>
      <c r="C316" s="6" t="str">
        <f>IF(ATALI[[#This Row],[ID NOTA]]="","",HYPERLINK("[NOTA_.xlsx]NOTA!e"&amp;INDEX([2]!PAJAK[//],MATCH(ATALI[[#This Row],[ID NOTA]],[2]!PAJAK[ID],0)),"&gt;") )</f>
        <v/>
      </c>
      <c r="D316" s="6" t="str">
        <f>IF(ATALI[[#This Row],[ID NOTA]]="","",INDEX(Table1[QB],MATCH(ATALI[[#This Row],[ID NOTA]],Table1[ID],0)))</f>
        <v/>
      </c>
      <c r="E3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6" s="6"/>
      <c r="G316" s="3" t="str">
        <f>IF(ATALI[[#This Row],[ID NOTA]]="","",INDEX([2]!NOTA[TGL_H],MATCH(ATALI[[#This Row],[ID NOTA]],[2]!NOTA[ID],0)))</f>
        <v/>
      </c>
      <c r="H316" s="3" t="str">
        <f>IF(ATALI[[#This Row],[ID NOTA]]="","",INDEX([2]!NOTA[TGL.NOTA],MATCH(ATALI[[#This Row],[ID NOTA]],[2]!NOTA[ID],0)))</f>
        <v/>
      </c>
      <c r="I316" s="4" t="str">
        <f>IF(ATALI[[#This Row],[ID NOTA]]="","",INDEX([2]!NOTA[NO.NOTA],MATCH(ATALI[[#This Row],[ID NOTA]],[2]!NOTA[ID],0)))</f>
        <v/>
      </c>
      <c r="J316" s="4" t="str">
        <f ca="1">IF(ATALI[[#This Row],[//]]="","",INDEX([4]!db[NB PAJAK],ATALI[[#This Row],[stt]]-1))</f>
        <v/>
      </c>
      <c r="K316" s="6" t="str">
        <f ca="1">IF(ATALI[[#This Row],[//]]="","",IF(INDEX([2]!NOTA[C],ATALI[[#This Row],[//]]-2)="","",INDEX([2]!NOTA[C],ATALI[[#This Row],[//]]-2)))</f>
        <v/>
      </c>
      <c r="L316" s="6" t="str">
        <f ca="1">IF(ATALI[[#This Row],[//]]="","",INDEX([2]!NOTA[QTY],ATALI[[#This Row],[//]]-2))</f>
        <v/>
      </c>
      <c r="M316" s="6" t="str">
        <f ca="1">IF(ATALI[[#This Row],[//]]="","",INDEX([2]!NOTA[STN],ATALI[[#This Row],[//]]-2))</f>
        <v/>
      </c>
      <c r="N316" s="5" t="str">
        <f ca="1">IF(ATALI[[#This Row],[//]]="","",INDEX([2]!NOTA[HARGA SATUAN],ATALI[[#This Row],[//]]-2))</f>
        <v/>
      </c>
      <c r="O316" s="7" t="str">
        <f ca="1">IF(ATALI[[#This Row],[//]]="","",INDEX([2]!NOTA[DISC 1],ATALI[[#This Row],[//]]-2))</f>
        <v/>
      </c>
      <c r="P316" s="7" t="str">
        <f ca="1">IF(ATALI[[#This Row],[//]]="","",INDEX([2]!NOTA[DISC 2],ATALI[[#This Row],[//]]-2))</f>
        <v/>
      </c>
      <c r="Q316" s="5" t="str">
        <f ca="1">IF(ATALI[[#This Row],[//]]="","",INDEX([2]!NOTA[TOTAL],ATALI[[#This Row],[//]]-2))</f>
        <v/>
      </c>
      <c r="R3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6" s="4" t="str">
        <f ca="1">IF(ATALI[[#This Row],[//]]="","",INDEX([2]!NOTA[NAMA BARANG],ATALI[[#This Row],[//]]-2))</f>
        <v/>
      </c>
      <c r="V316" s="4" t="str">
        <f ca="1">LOWER(SUBSTITUTE(SUBSTITUTE(SUBSTITUTE(SUBSTITUTE(SUBSTITUTE(SUBSTITUTE(SUBSTITUTE(ATALI[[#This Row],[N.B.nota]]," ",""),"-",""),"(",""),")",""),".",""),",",""),"/",""))</f>
        <v/>
      </c>
      <c r="W316" s="4" t="str">
        <f ca="1">IF(ATALI[[#This Row],[concat]]="","",MATCH(ATALI[[#This Row],[concat]],[4]!db[NB NOTA_C],0)+1)</f>
        <v/>
      </c>
      <c r="X316" s="4" t="str">
        <f ca="1">IF(ATALI[[#This Row],[N.B.nota]]="","",ADDRESS(ROW(ATALI[QB]),COLUMN(ATALI[QB]))&amp;":"&amp;ADDRESS(ROW(),COLUMN(ATALI[QB])))</f>
        <v/>
      </c>
      <c r="Y316" s="13" t="str">
        <f ca="1">IF(ATALI[[#This Row],[//]]="","",HYPERLINK("[../DB.xlsx]DB!e"&amp;MATCH(ATALI[[#This Row],[concat]],[4]!db[NB NOTA_C],0)+1,"&gt;"))</f>
        <v/>
      </c>
    </row>
    <row r="317" spans="1:25" x14ac:dyDescent="0.25">
      <c r="A317" s="4"/>
      <c r="B317" s="6" t="str">
        <f>IF(ATALI[[#This Row],[N_ID]]="","",INDEX(Table1[ID],MATCH(ATALI[[#This Row],[N_ID]],Table1[N_ID],0)))</f>
        <v/>
      </c>
      <c r="C317" s="6" t="str">
        <f>IF(ATALI[[#This Row],[ID NOTA]]="","",HYPERLINK("[NOTA_.xlsx]NOTA!e"&amp;INDEX([2]!PAJAK[//],MATCH(ATALI[[#This Row],[ID NOTA]],[2]!PAJAK[ID],0)),"&gt;") )</f>
        <v/>
      </c>
      <c r="D317" s="6" t="str">
        <f>IF(ATALI[[#This Row],[ID NOTA]]="","",INDEX(Table1[QB],MATCH(ATALI[[#This Row],[ID NOTA]],Table1[ID],0)))</f>
        <v/>
      </c>
      <c r="E3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7" s="6"/>
      <c r="G317" s="3" t="str">
        <f>IF(ATALI[[#This Row],[ID NOTA]]="","",INDEX([2]!NOTA[TGL_H],MATCH(ATALI[[#This Row],[ID NOTA]],[2]!NOTA[ID],0)))</f>
        <v/>
      </c>
      <c r="H317" s="3" t="str">
        <f>IF(ATALI[[#This Row],[ID NOTA]]="","",INDEX([2]!NOTA[TGL.NOTA],MATCH(ATALI[[#This Row],[ID NOTA]],[2]!NOTA[ID],0)))</f>
        <v/>
      </c>
      <c r="I317" s="4" t="str">
        <f>IF(ATALI[[#This Row],[ID NOTA]]="","",INDEX([2]!NOTA[NO.NOTA],MATCH(ATALI[[#This Row],[ID NOTA]],[2]!NOTA[ID],0)))</f>
        <v/>
      </c>
      <c r="J317" s="4" t="str">
        <f ca="1">IF(ATALI[[#This Row],[//]]="","",INDEX([4]!db[NB PAJAK],ATALI[[#This Row],[stt]]-1))</f>
        <v/>
      </c>
      <c r="K317" s="6" t="str">
        <f ca="1">IF(ATALI[[#This Row],[//]]="","",IF(INDEX([2]!NOTA[C],ATALI[[#This Row],[//]]-2)="","",INDEX([2]!NOTA[C],ATALI[[#This Row],[//]]-2)))</f>
        <v/>
      </c>
      <c r="L317" s="6" t="str">
        <f ca="1">IF(ATALI[[#This Row],[//]]="","",INDEX([2]!NOTA[QTY],ATALI[[#This Row],[//]]-2))</f>
        <v/>
      </c>
      <c r="M317" s="6" t="str">
        <f ca="1">IF(ATALI[[#This Row],[//]]="","",INDEX([2]!NOTA[STN],ATALI[[#This Row],[//]]-2))</f>
        <v/>
      </c>
      <c r="N317" s="5" t="str">
        <f ca="1">IF(ATALI[[#This Row],[//]]="","",INDEX([2]!NOTA[HARGA SATUAN],ATALI[[#This Row],[//]]-2))</f>
        <v/>
      </c>
      <c r="O317" s="7" t="str">
        <f ca="1">IF(ATALI[[#This Row],[//]]="","",INDEX([2]!NOTA[DISC 1],ATALI[[#This Row],[//]]-2))</f>
        <v/>
      </c>
      <c r="P317" s="7" t="str">
        <f ca="1">IF(ATALI[[#This Row],[//]]="","",INDEX([2]!NOTA[DISC 2],ATALI[[#This Row],[//]]-2))</f>
        <v/>
      </c>
      <c r="Q317" s="5" t="str">
        <f ca="1">IF(ATALI[[#This Row],[//]]="","",INDEX([2]!NOTA[TOTAL],ATALI[[#This Row],[//]]-2))</f>
        <v/>
      </c>
      <c r="R3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7" s="4" t="str">
        <f ca="1">IF(ATALI[[#This Row],[//]]="","",INDEX([2]!NOTA[NAMA BARANG],ATALI[[#This Row],[//]]-2))</f>
        <v/>
      </c>
      <c r="V317" s="4" t="str">
        <f ca="1">LOWER(SUBSTITUTE(SUBSTITUTE(SUBSTITUTE(SUBSTITUTE(SUBSTITUTE(SUBSTITUTE(SUBSTITUTE(ATALI[[#This Row],[N.B.nota]]," ",""),"-",""),"(",""),")",""),".",""),",",""),"/",""))</f>
        <v/>
      </c>
      <c r="W317" s="4" t="str">
        <f ca="1">IF(ATALI[[#This Row],[concat]]="","",MATCH(ATALI[[#This Row],[concat]],[4]!db[NB NOTA_C],0)+1)</f>
        <v/>
      </c>
      <c r="X317" s="4" t="str">
        <f ca="1">IF(ATALI[[#This Row],[N.B.nota]]="","",ADDRESS(ROW(ATALI[QB]),COLUMN(ATALI[QB]))&amp;":"&amp;ADDRESS(ROW(),COLUMN(ATALI[QB])))</f>
        <v/>
      </c>
      <c r="Y317" s="13" t="str">
        <f ca="1">IF(ATALI[[#This Row],[//]]="","",HYPERLINK("[../DB.xlsx]DB!e"&amp;MATCH(ATALI[[#This Row],[concat]],[4]!db[NB NOTA_C],0)+1,"&gt;"))</f>
        <v/>
      </c>
    </row>
    <row r="318" spans="1:25" x14ac:dyDescent="0.25">
      <c r="A318" s="4"/>
      <c r="B318" s="6" t="str">
        <f>IF(ATALI[[#This Row],[N_ID]]="","",INDEX(Table1[ID],MATCH(ATALI[[#This Row],[N_ID]],Table1[N_ID],0)))</f>
        <v/>
      </c>
      <c r="C318" s="6" t="str">
        <f>IF(ATALI[[#This Row],[ID NOTA]]="","",HYPERLINK("[NOTA_.xlsx]NOTA!e"&amp;INDEX([2]!PAJAK[//],MATCH(ATALI[[#This Row],[ID NOTA]],[2]!PAJAK[ID],0)),"&gt;") )</f>
        <v/>
      </c>
      <c r="D318" s="6" t="str">
        <f>IF(ATALI[[#This Row],[ID NOTA]]="","",INDEX(Table1[QB],MATCH(ATALI[[#This Row],[ID NOTA]],Table1[ID],0)))</f>
        <v/>
      </c>
      <c r="E3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8" s="6"/>
      <c r="G318" s="3" t="str">
        <f>IF(ATALI[[#This Row],[ID NOTA]]="","",INDEX([2]!NOTA[TGL_H],MATCH(ATALI[[#This Row],[ID NOTA]],[2]!NOTA[ID],0)))</f>
        <v/>
      </c>
      <c r="H318" s="3" t="str">
        <f>IF(ATALI[[#This Row],[ID NOTA]]="","",INDEX([2]!NOTA[TGL.NOTA],MATCH(ATALI[[#This Row],[ID NOTA]],[2]!NOTA[ID],0)))</f>
        <v/>
      </c>
      <c r="I318" s="4" t="str">
        <f>IF(ATALI[[#This Row],[ID NOTA]]="","",INDEX([2]!NOTA[NO.NOTA],MATCH(ATALI[[#This Row],[ID NOTA]],[2]!NOTA[ID],0)))</f>
        <v/>
      </c>
      <c r="J318" s="4" t="str">
        <f ca="1">IF(ATALI[[#This Row],[//]]="","",INDEX([4]!db[NB PAJAK],ATALI[[#This Row],[stt]]-1))</f>
        <v/>
      </c>
      <c r="K318" s="6" t="str">
        <f ca="1">IF(ATALI[[#This Row],[//]]="","",IF(INDEX([2]!NOTA[C],ATALI[[#This Row],[//]]-2)="","",INDEX([2]!NOTA[C],ATALI[[#This Row],[//]]-2)))</f>
        <v/>
      </c>
      <c r="L318" s="6" t="str">
        <f ca="1">IF(ATALI[[#This Row],[//]]="","",INDEX([2]!NOTA[QTY],ATALI[[#This Row],[//]]-2))</f>
        <v/>
      </c>
      <c r="M318" s="6" t="str">
        <f ca="1">IF(ATALI[[#This Row],[//]]="","",INDEX([2]!NOTA[STN],ATALI[[#This Row],[//]]-2))</f>
        <v/>
      </c>
      <c r="N318" s="5" t="str">
        <f ca="1">IF(ATALI[[#This Row],[//]]="","",INDEX([2]!NOTA[HARGA SATUAN],ATALI[[#This Row],[//]]-2))</f>
        <v/>
      </c>
      <c r="O318" s="7" t="str">
        <f ca="1">IF(ATALI[[#This Row],[//]]="","",INDEX([2]!NOTA[DISC 1],ATALI[[#This Row],[//]]-2))</f>
        <v/>
      </c>
      <c r="P318" s="7" t="str">
        <f ca="1">IF(ATALI[[#This Row],[//]]="","",INDEX([2]!NOTA[DISC 2],ATALI[[#This Row],[//]]-2))</f>
        <v/>
      </c>
      <c r="Q318" s="5" t="str">
        <f ca="1">IF(ATALI[[#This Row],[//]]="","",INDEX([2]!NOTA[TOTAL],ATALI[[#This Row],[//]]-2))</f>
        <v/>
      </c>
      <c r="R3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8" s="4" t="str">
        <f ca="1">IF(ATALI[[#This Row],[//]]="","",INDEX([2]!NOTA[NAMA BARANG],ATALI[[#This Row],[//]]-2))</f>
        <v/>
      </c>
      <c r="V318" s="4" t="str">
        <f ca="1">LOWER(SUBSTITUTE(SUBSTITUTE(SUBSTITUTE(SUBSTITUTE(SUBSTITUTE(SUBSTITUTE(SUBSTITUTE(ATALI[[#This Row],[N.B.nota]]," ",""),"-",""),"(",""),")",""),".",""),",",""),"/",""))</f>
        <v/>
      </c>
      <c r="W318" s="4" t="str">
        <f ca="1">IF(ATALI[[#This Row],[concat]]="","",MATCH(ATALI[[#This Row],[concat]],[4]!db[NB NOTA_C],0)+1)</f>
        <v/>
      </c>
      <c r="X318" s="4" t="str">
        <f ca="1">IF(ATALI[[#This Row],[N.B.nota]]="","",ADDRESS(ROW(ATALI[QB]),COLUMN(ATALI[QB]))&amp;":"&amp;ADDRESS(ROW(),COLUMN(ATALI[QB])))</f>
        <v/>
      </c>
      <c r="Y318" s="13" t="str">
        <f ca="1">IF(ATALI[[#This Row],[//]]="","",HYPERLINK("[../DB.xlsx]DB!e"&amp;MATCH(ATALI[[#This Row],[concat]],[4]!db[NB NOTA_C],0)+1,"&gt;"))</f>
        <v/>
      </c>
    </row>
    <row r="319" spans="1:25" x14ac:dyDescent="0.25">
      <c r="A319" s="4"/>
      <c r="B319" s="6" t="str">
        <f>IF(ATALI[[#This Row],[N_ID]]="","",INDEX(Table1[ID],MATCH(ATALI[[#This Row],[N_ID]],Table1[N_ID],0)))</f>
        <v/>
      </c>
      <c r="C319" s="6" t="str">
        <f>IF(ATALI[[#This Row],[ID NOTA]]="","",HYPERLINK("[NOTA_.xlsx]NOTA!e"&amp;INDEX([2]!PAJAK[//],MATCH(ATALI[[#This Row],[ID NOTA]],[2]!PAJAK[ID],0)),"&gt;") )</f>
        <v/>
      </c>
      <c r="D319" s="6" t="str">
        <f>IF(ATALI[[#This Row],[ID NOTA]]="","",INDEX(Table1[QB],MATCH(ATALI[[#This Row],[ID NOTA]],Table1[ID],0)))</f>
        <v/>
      </c>
      <c r="E3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9" s="6"/>
      <c r="G319" s="3" t="str">
        <f>IF(ATALI[[#This Row],[ID NOTA]]="","",INDEX([2]!NOTA[TGL_H],MATCH(ATALI[[#This Row],[ID NOTA]],[2]!NOTA[ID],0)))</f>
        <v/>
      </c>
      <c r="H319" s="3" t="str">
        <f>IF(ATALI[[#This Row],[ID NOTA]]="","",INDEX([2]!NOTA[TGL.NOTA],MATCH(ATALI[[#This Row],[ID NOTA]],[2]!NOTA[ID],0)))</f>
        <v/>
      </c>
      <c r="I319" s="4" t="str">
        <f>IF(ATALI[[#This Row],[ID NOTA]]="","",INDEX([2]!NOTA[NO.NOTA],MATCH(ATALI[[#This Row],[ID NOTA]],[2]!NOTA[ID],0)))</f>
        <v/>
      </c>
      <c r="J319" s="4" t="str">
        <f ca="1">IF(ATALI[[#This Row],[//]]="","",INDEX([4]!db[NB PAJAK],ATALI[[#This Row],[stt]]-1))</f>
        <v/>
      </c>
      <c r="K319" s="6" t="str">
        <f ca="1">IF(ATALI[[#This Row],[//]]="","",IF(INDEX([2]!NOTA[C],ATALI[[#This Row],[//]]-2)="","",INDEX([2]!NOTA[C],ATALI[[#This Row],[//]]-2)))</f>
        <v/>
      </c>
      <c r="L319" s="6" t="str">
        <f ca="1">IF(ATALI[[#This Row],[//]]="","",INDEX([2]!NOTA[QTY],ATALI[[#This Row],[//]]-2))</f>
        <v/>
      </c>
      <c r="M319" s="6" t="str">
        <f ca="1">IF(ATALI[[#This Row],[//]]="","",INDEX([2]!NOTA[STN],ATALI[[#This Row],[//]]-2))</f>
        <v/>
      </c>
      <c r="N319" s="5" t="str">
        <f ca="1">IF(ATALI[[#This Row],[//]]="","",INDEX([2]!NOTA[HARGA SATUAN],ATALI[[#This Row],[//]]-2))</f>
        <v/>
      </c>
      <c r="O319" s="7" t="str">
        <f ca="1">IF(ATALI[[#This Row],[//]]="","",INDEX([2]!NOTA[DISC 1],ATALI[[#This Row],[//]]-2))</f>
        <v/>
      </c>
      <c r="P319" s="7" t="str">
        <f ca="1">IF(ATALI[[#This Row],[//]]="","",INDEX([2]!NOTA[DISC 2],ATALI[[#This Row],[//]]-2))</f>
        <v/>
      </c>
      <c r="Q319" s="5" t="str">
        <f ca="1">IF(ATALI[[#This Row],[//]]="","",INDEX([2]!NOTA[TOTAL],ATALI[[#This Row],[//]]-2))</f>
        <v/>
      </c>
      <c r="R3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9" s="4" t="str">
        <f ca="1">IF(ATALI[[#This Row],[//]]="","",INDEX([2]!NOTA[NAMA BARANG],ATALI[[#This Row],[//]]-2))</f>
        <v/>
      </c>
      <c r="V319" s="4" t="str">
        <f ca="1">LOWER(SUBSTITUTE(SUBSTITUTE(SUBSTITUTE(SUBSTITUTE(SUBSTITUTE(SUBSTITUTE(SUBSTITUTE(ATALI[[#This Row],[N.B.nota]]," ",""),"-",""),"(",""),")",""),".",""),",",""),"/",""))</f>
        <v/>
      </c>
      <c r="W319" s="4" t="str">
        <f ca="1">IF(ATALI[[#This Row],[concat]]="","",MATCH(ATALI[[#This Row],[concat]],[4]!db[NB NOTA_C],0)+1)</f>
        <v/>
      </c>
      <c r="X319" s="4" t="str">
        <f ca="1">IF(ATALI[[#This Row],[N.B.nota]]="","",ADDRESS(ROW(ATALI[QB]),COLUMN(ATALI[QB]))&amp;":"&amp;ADDRESS(ROW(),COLUMN(ATALI[QB])))</f>
        <v/>
      </c>
      <c r="Y319" s="13" t="str">
        <f ca="1">IF(ATALI[[#This Row],[//]]="","",HYPERLINK("[../DB.xlsx]DB!e"&amp;MATCH(ATALI[[#This Row],[concat]],[4]!db[NB NOTA_C],0)+1,"&gt;"))</f>
        <v/>
      </c>
    </row>
    <row r="320" spans="1:25" x14ac:dyDescent="0.25">
      <c r="A320" s="4"/>
      <c r="B320" s="6" t="str">
        <f>IF(ATALI[[#This Row],[N_ID]]="","",INDEX(Table1[ID],MATCH(ATALI[[#This Row],[N_ID]],Table1[N_ID],0)))</f>
        <v/>
      </c>
      <c r="C320" s="6" t="str">
        <f>IF(ATALI[[#This Row],[ID NOTA]]="","",HYPERLINK("[NOTA_.xlsx]NOTA!e"&amp;INDEX([2]!PAJAK[//],MATCH(ATALI[[#This Row],[ID NOTA]],[2]!PAJAK[ID],0)),"&gt;") )</f>
        <v/>
      </c>
      <c r="D320" s="6" t="str">
        <f>IF(ATALI[[#This Row],[ID NOTA]]="","",INDEX(Table1[QB],MATCH(ATALI[[#This Row],[ID NOTA]],Table1[ID],0)))</f>
        <v/>
      </c>
      <c r="E3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0" s="6"/>
      <c r="G320" s="3" t="str">
        <f>IF(ATALI[[#This Row],[ID NOTA]]="","",INDEX([2]!NOTA[TGL_H],MATCH(ATALI[[#This Row],[ID NOTA]],[2]!NOTA[ID],0)))</f>
        <v/>
      </c>
      <c r="H320" s="3" t="str">
        <f>IF(ATALI[[#This Row],[ID NOTA]]="","",INDEX([2]!NOTA[TGL.NOTA],MATCH(ATALI[[#This Row],[ID NOTA]],[2]!NOTA[ID],0)))</f>
        <v/>
      </c>
      <c r="I320" s="4" t="str">
        <f>IF(ATALI[[#This Row],[ID NOTA]]="","",INDEX([2]!NOTA[NO.NOTA],MATCH(ATALI[[#This Row],[ID NOTA]],[2]!NOTA[ID],0)))</f>
        <v/>
      </c>
      <c r="J320" s="4" t="str">
        <f ca="1">IF(ATALI[[#This Row],[//]]="","",INDEX([4]!db[NB PAJAK],ATALI[[#This Row],[stt]]-1))</f>
        <v/>
      </c>
      <c r="K320" s="6" t="str">
        <f ca="1">IF(ATALI[[#This Row],[//]]="","",IF(INDEX([2]!NOTA[C],ATALI[[#This Row],[//]]-2)="","",INDEX([2]!NOTA[C],ATALI[[#This Row],[//]]-2)))</f>
        <v/>
      </c>
      <c r="L320" s="6" t="str">
        <f ca="1">IF(ATALI[[#This Row],[//]]="","",INDEX([2]!NOTA[QTY],ATALI[[#This Row],[//]]-2))</f>
        <v/>
      </c>
      <c r="M320" s="6" t="str">
        <f ca="1">IF(ATALI[[#This Row],[//]]="","",INDEX([2]!NOTA[STN],ATALI[[#This Row],[//]]-2))</f>
        <v/>
      </c>
      <c r="N320" s="5" t="str">
        <f ca="1">IF(ATALI[[#This Row],[//]]="","",INDEX([2]!NOTA[HARGA SATUAN],ATALI[[#This Row],[//]]-2))</f>
        <v/>
      </c>
      <c r="O320" s="7" t="str">
        <f ca="1">IF(ATALI[[#This Row],[//]]="","",INDEX([2]!NOTA[DISC 1],ATALI[[#This Row],[//]]-2))</f>
        <v/>
      </c>
      <c r="P320" s="7" t="str">
        <f ca="1">IF(ATALI[[#This Row],[//]]="","",INDEX([2]!NOTA[DISC 2],ATALI[[#This Row],[//]]-2))</f>
        <v/>
      </c>
      <c r="Q320" s="5" t="str">
        <f ca="1">IF(ATALI[[#This Row],[//]]="","",INDEX([2]!NOTA[TOTAL],ATALI[[#This Row],[//]]-2))</f>
        <v/>
      </c>
      <c r="R3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0" s="4" t="str">
        <f ca="1">IF(ATALI[[#This Row],[//]]="","",INDEX([2]!NOTA[NAMA BARANG],ATALI[[#This Row],[//]]-2))</f>
        <v/>
      </c>
      <c r="V320" s="4" t="str">
        <f ca="1">LOWER(SUBSTITUTE(SUBSTITUTE(SUBSTITUTE(SUBSTITUTE(SUBSTITUTE(SUBSTITUTE(SUBSTITUTE(ATALI[[#This Row],[N.B.nota]]," ",""),"-",""),"(",""),")",""),".",""),",",""),"/",""))</f>
        <v/>
      </c>
      <c r="W320" s="4" t="str">
        <f ca="1">IF(ATALI[[#This Row],[concat]]="","",MATCH(ATALI[[#This Row],[concat]],[4]!db[NB NOTA_C],0)+1)</f>
        <v/>
      </c>
      <c r="X320" s="4" t="str">
        <f ca="1">IF(ATALI[[#This Row],[N.B.nota]]="","",ADDRESS(ROW(ATALI[QB]),COLUMN(ATALI[QB]))&amp;":"&amp;ADDRESS(ROW(),COLUMN(ATALI[QB])))</f>
        <v/>
      </c>
      <c r="Y320" s="13" t="str">
        <f ca="1">IF(ATALI[[#This Row],[//]]="","",HYPERLINK("[../DB.xlsx]DB!e"&amp;MATCH(ATALI[[#This Row],[concat]],[4]!db[NB NOTA_C],0)+1,"&gt;"))</f>
        <v/>
      </c>
    </row>
    <row r="321" spans="1:25" x14ac:dyDescent="0.25">
      <c r="A321" s="4"/>
      <c r="B321" s="6" t="str">
        <f>IF(ATALI[[#This Row],[N_ID]]="","",INDEX(Table1[ID],MATCH(ATALI[[#This Row],[N_ID]],Table1[N_ID],0)))</f>
        <v/>
      </c>
      <c r="C321" s="6" t="str">
        <f>IF(ATALI[[#This Row],[ID NOTA]]="","",HYPERLINK("[NOTA_.xlsx]NOTA!e"&amp;INDEX([2]!PAJAK[//],MATCH(ATALI[[#This Row],[ID NOTA]],[2]!PAJAK[ID],0)),"&gt;") )</f>
        <v/>
      </c>
      <c r="D321" s="6" t="str">
        <f>IF(ATALI[[#This Row],[ID NOTA]]="","",INDEX(Table1[QB],MATCH(ATALI[[#This Row],[ID NOTA]],Table1[ID],0)))</f>
        <v/>
      </c>
      <c r="E3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1" s="6"/>
      <c r="G321" s="3" t="str">
        <f>IF(ATALI[[#This Row],[ID NOTA]]="","",INDEX([2]!NOTA[TGL_H],MATCH(ATALI[[#This Row],[ID NOTA]],[2]!NOTA[ID],0)))</f>
        <v/>
      </c>
      <c r="H321" s="3" t="str">
        <f>IF(ATALI[[#This Row],[ID NOTA]]="","",INDEX([2]!NOTA[TGL.NOTA],MATCH(ATALI[[#This Row],[ID NOTA]],[2]!NOTA[ID],0)))</f>
        <v/>
      </c>
      <c r="I321" s="4" t="str">
        <f>IF(ATALI[[#This Row],[ID NOTA]]="","",INDEX([2]!NOTA[NO.NOTA],MATCH(ATALI[[#This Row],[ID NOTA]],[2]!NOTA[ID],0)))</f>
        <v/>
      </c>
      <c r="J321" s="4" t="str">
        <f ca="1">IF(ATALI[[#This Row],[//]]="","",INDEX([4]!db[NB PAJAK],ATALI[[#This Row],[stt]]-1))</f>
        <v/>
      </c>
      <c r="K321" s="6" t="str">
        <f ca="1">IF(ATALI[[#This Row],[//]]="","",IF(INDEX([2]!NOTA[C],ATALI[[#This Row],[//]]-2)="","",INDEX([2]!NOTA[C],ATALI[[#This Row],[//]]-2)))</f>
        <v/>
      </c>
      <c r="L321" s="6" t="str">
        <f ca="1">IF(ATALI[[#This Row],[//]]="","",INDEX([2]!NOTA[QTY],ATALI[[#This Row],[//]]-2))</f>
        <v/>
      </c>
      <c r="M321" s="6" t="str">
        <f ca="1">IF(ATALI[[#This Row],[//]]="","",INDEX([2]!NOTA[STN],ATALI[[#This Row],[//]]-2))</f>
        <v/>
      </c>
      <c r="N321" s="5" t="str">
        <f ca="1">IF(ATALI[[#This Row],[//]]="","",INDEX([2]!NOTA[HARGA SATUAN],ATALI[[#This Row],[//]]-2))</f>
        <v/>
      </c>
      <c r="O321" s="7" t="str">
        <f ca="1">IF(ATALI[[#This Row],[//]]="","",INDEX([2]!NOTA[DISC 1],ATALI[[#This Row],[//]]-2))</f>
        <v/>
      </c>
      <c r="P321" s="7" t="str">
        <f ca="1">IF(ATALI[[#This Row],[//]]="","",INDEX([2]!NOTA[DISC 2],ATALI[[#This Row],[//]]-2))</f>
        <v/>
      </c>
      <c r="Q321" s="5" t="str">
        <f ca="1">IF(ATALI[[#This Row],[//]]="","",INDEX([2]!NOTA[TOTAL],ATALI[[#This Row],[//]]-2))</f>
        <v/>
      </c>
      <c r="R3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1" s="4" t="str">
        <f ca="1">IF(ATALI[[#This Row],[//]]="","",INDEX([2]!NOTA[NAMA BARANG],ATALI[[#This Row],[//]]-2))</f>
        <v/>
      </c>
      <c r="V321" s="4" t="str">
        <f ca="1">LOWER(SUBSTITUTE(SUBSTITUTE(SUBSTITUTE(SUBSTITUTE(SUBSTITUTE(SUBSTITUTE(SUBSTITUTE(ATALI[[#This Row],[N.B.nota]]," ",""),"-",""),"(",""),")",""),".",""),",",""),"/",""))</f>
        <v/>
      </c>
      <c r="W321" s="4" t="str">
        <f ca="1">IF(ATALI[[#This Row],[concat]]="","",MATCH(ATALI[[#This Row],[concat]],[4]!db[NB NOTA_C],0)+1)</f>
        <v/>
      </c>
      <c r="X321" s="4" t="str">
        <f ca="1">IF(ATALI[[#This Row],[N.B.nota]]="","",ADDRESS(ROW(ATALI[QB]),COLUMN(ATALI[QB]))&amp;":"&amp;ADDRESS(ROW(),COLUMN(ATALI[QB])))</f>
        <v/>
      </c>
      <c r="Y321" s="13" t="str">
        <f ca="1">IF(ATALI[[#This Row],[//]]="","",HYPERLINK("[../DB.xlsx]DB!e"&amp;MATCH(ATALI[[#This Row],[concat]],[4]!db[NB NOTA_C],0)+1,"&gt;"))</f>
        <v/>
      </c>
    </row>
    <row r="322" spans="1:25" x14ac:dyDescent="0.25">
      <c r="A322" s="4"/>
      <c r="B322" s="6" t="str">
        <f>IF(ATALI[[#This Row],[N_ID]]="","",INDEX(Table1[ID],MATCH(ATALI[[#This Row],[N_ID]],Table1[N_ID],0)))</f>
        <v/>
      </c>
      <c r="C322" s="6" t="str">
        <f>IF(ATALI[[#This Row],[ID NOTA]]="","",HYPERLINK("[NOTA_.xlsx]NOTA!e"&amp;INDEX([2]!PAJAK[//],MATCH(ATALI[[#This Row],[ID NOTA]],[2]!PAJAK[ID],0)),"&gt;") )</f>
        <v/>
      </c>
      <c r="D322" s="6" t="str">
        <f>IF(ATALI[[#This Row],[ID NOTA]]="","",INDEX(Table1[QB],MATCH(ATALI[[#This Row],[ID NOTA]],Table1[ID],0)))</f>
        <v/>
      </c>
      <c r="E3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2" s="6"/>
      <c r="G322" s="3" t="str">
        <f>IF(ATALI[[#This Row],[ID NOTA]]="","",INDEX([2]!NOTA[TGL_H],MATCH(ATALI[[#This Row],[ID NOTA]],[2]!NOTA[ID],0)))</f>
        <v/>
      </c>
      <c r="H322" s="3" t="str">
        <f>IF(ATALI[[#This Row],[ID NOTA]]="","",INDEX([2]!NOTA[TGL.NOTA],MATCH(ATALI[[#This Row],[ID NOTA]],[2]!NOTA[ID],0)))</f>
        <v/>
      </c>
      <c r="I322" s="4" t="str">
        <f>IF(ATALI[[#This Row],[ID NOTA]]="","",INDEX([2]!NOTA[NO.NOTA],MATCH(ATALI[[#This Row],[ID NOTA]],[2]!NOTA[ID],0)))</f>
        <v/>
      </c>
      <c r="J322" s="4" t="str">
        <f ca="1">IF(ATALI[[#This Row],[//]]="","",INDEX([4]!db[NB PAJAK],ATALI[[#This Row],[stt]]-1))</f>
        <v/>
      </c>
      <c r="K322" s="6" t="str">
        <f ca="1">IF(ATALI[[#This Row],[//]]="","",IF(INDEX([2]!NOTA[C],ATALI[[#This Row],[//]]-2)="","",INDEX([2]!NOTA[C],ATALI[[#This Row],[//]]-2)))</f>
        <v/>
      </c>
      <c r="L322" s="6" t="str">
        <f ca="1">IF(ATALI[[#This Row],[//]]="","",INDEX([2]!NOTA[QTY],ATALI[[#This Row],[//]]-2))</f>
        <v/>
      </c>
      <c r="M322" s="6" t="str">
        <f ca="1">IF(ATALI[[#This Row],[//]]="","",INDEX([2]!NOTA[STN],ATALI[[#This Row],[//]]-2))</f>
        <v/>
      </c>
      <c r="N322" s="5" t="str">
        <f ca="1">IF(ATALI[[#This Row],[//]]="","",INDEX([2]!NOTA[HARGA SATUAN],ATALI[[#This Row],[//]]-2))</f>
        <v/>
      </c>
      <c r="O322" s="7" t="str">
        <f ca="1">IF(ATALI[[#This Row],[//]]="","",INDEX([2]!NOTA[DISC 1],ATALI[[#This Row],[//]]-2))</f>
        <v/>
      </c>
      <c r="P322" s="7" t="str">
        <f ca="1">IF(ATALI[[#This Row],[//]]="","",INDEX([2]!NOTA[DISC 2],ATALI[[#This Row],[//]]-2))</f>
        <v/>
      </c>
      <c r="Q322" s="5" t="str">
        <f ca="1">IF(ATALI[[#This Row],[//]]="","",INDEX([2]!NOTA[TOTAL],ATALI[[#This Row],[//]]-2))</f>
        <v/>
      </c>
      <c r="R3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2" s="4" t="str">
        <f ca="1">IF(ATALI[[#This Row],[//]]="","",INDEX([2]!NOTA[NAMA BARANG],ATALI[[#This Row],[//]]-2))</f>
        <v/>
      </c>
      <c r="V322" s="4" t="str">
        <f ca="1">LOWER(SUBSTITUTE(SUBSTITUTE(SUBSTITUTE(SUBSTITUTE(SUBSTITUTE(SUBSTITUTE(SUBSTITUTE(ATALI[[#This Row],[N.B.nota]]," ",""),"-",""),"(",""),")",""),".",""),",",""),"/",""))</f>
        <v/>
      </c>
      <c r="W322" s="4" t="str">
        <f ca="1">IF(ATALI[[#This Row],[concat]]="","",MATCH(ATALI[[#This Row],[concat]],[4]!db[NB NOTA_C],0)+1)</f>
        <v/>
      </c>
      <c r="X322" s="4" t="str">
        <f ca="1">IF(ATALI[[#This Row],[N.B.nota]]="","",ADDRESS(ROW(ATALI[QB]),COLUMN(ATALI[QB]))&amp;":"&amp;ADDRESS(ROW(),COLUMN(ATALI[QB])))</f>
        <v/>
      </c>
      <c r="Y322" s="13" t="str">
        <f ca="1">IF(ATALI[[#This Row],[//]]="","",HYPERLINK("[../DB.xlsx]DB!e"&amp;MATCH(ATALI[[#This Row],[concat]],[4]!db[NB NOTA_C],0)+1,"&gt;"))</f>
        <v/>
      </c>
    </row>
    <row r="323" spans="1:25" x14ac:dyDescent="0.25">
      <c r="A323" s="4"/>
      <c r="B323" s="6" t="str">
        <f>IF(ATALI[[#This Row],[N_ID]]="","",INDEX(Table1[ID],MATCH(ATALI[[#This Row],[N_ID]],Table1[N_ID],0)))</f>
        <v/>
      </c>
      <c r="C323" s="6" t="str">
        <f>IF(ATALI[[#This Row],[ID NOTA]]="","",HYPERLINK("[NOTA_.xlsx]NOTA!e"&amp;INDEX([2]!PAJAK[//],MATCH(ATALI[[#This Row],[ID NOTA]],[2]!PAJAK[ID],0)),"&gt;") )</f>
        <v/>
      </c>
      <c r="D323" s="6" t="str">
        <f>IF(ATALI[[#This Row],[ID NOTA]]="","",INDEX(Table1[QB],MATCH(ATALI[[#This Row],[ID NOTA]],Table1[ID],0)))</f>
        <v/>
      </c>
      <c r="E3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3" s="6"/>
      <c r="G323" s="3" t="str">
        <f>IF(ATALI[[#This Row],[ID NOTA]]="","",INDEX([2]!NOTA[TGL_H],MATCH(ATALI[[#This Row],[ID NOTA]],[2]!NOTA[ID],0)))</f>
        <v/>
      </c>
      <c r="H323" s="3" t="str">
        <f>IF(ATALI[[#This Row],[ID NOTA]]="","",INDEX([2]!NOTA[TGL.NOTA],MATCH(ATALI[[#This Row],[ID NOTA]],[2]!NOTA[ID],0)))</f>
        <v/>
      </c>
      <c r="I323" s="4" t="str">
        <f>IF(ATALI[[#This Row],[ID NOTA]]="","",INDEX([2]!NOTA[NO.NOTA],MATCH(ATALI[[#This Row],[ID NOTA]],[2]!NOTA[ID],0)))</f>
        <v/>
      </c>
      <c r="J323" s="4" t="str">
        <f ca="1">IF(ATALI[[#This Row],[//]]="","",INDEX([4]!db[NB PAJAK],ATALI[[#This Row],[stt]]-1))</f>
        <v/>
      </c>
      <c r="K323" s="6" t="str">
        <f ca="1">IF(ATALI[[#This Row],[//]]="","",IF(INDEX([2]!NOTA[C],ATALI[[#This Row],[//]]-2)="","",INDEX([2]!NOTA[C],ATALI[[#This Row],[//]]-2)))</f>
        <v/>
      </c>
      <c r="L323" s="6" t="str">
        <f ca="1">IF(ATALI[[#This Row],[//]]="","",INDEX([2]!NOTA[QTY],ATALI[[#This Row],[//]]-2))</f>
        <v/>
      </c>
      <c r="M323" s="6" t="str">
        <f ca="1">IF(ATALI[[#This Row],[//]]="","",INDEX([2]!NOTA[STN],ATALI[[#This Row],[//]]-2))</f>
        <v/>
      </c>
      <c r="N323" s="5" t="str">
        <f ca="1">IF(ATALI[[#This Row],[//]]="","",INDEX([2]!NOTA[HARGA SATUAN],ATALI[[#This Row],[//]]-2))</f>
        <v/>
      </c>
      <c r="O323" s="7" t="str">
        <f ca="1">IF(ATALI[[#This Row],[//]]="","",INDEX([2]!NOTA[DISC 1],ATALI[[#This Row],[//]]-2))</f>
        <v/>
      </c>
      <c r="P323" s="7" t="str">
        <f ca="1">IF(ATALI[[#This Row],[//]]="","",INDEX([2]!NOTA[DISC 2],ATALI[[#This Row],[//]]-2))</f>
        <v/>
      </c>
      <c r="Q323" s="5" t="str">
        <f ca="1">IF(ATALI[[#This Row],[//]]="","",INDEX([2]!NOTA[TOTAL],ATALI[[#This Row],[//]]-2))</f>
        <v/>
      </c>
      <c r="R3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3" s="4" t="str">
        <f ca="1">IF(ATALI[[#This Row],[//]]="","",INDEX([2]!NOTA[NAMA BARANG],ATALI[[#This Row],[//]]-2))</f>
        <v/>
      </c>
      <c r="V323" s="4" t="str">
        <f ca="1">LOWER(SUBSTITUTE(SUBSTITUTE(SUBSTITUTE(SUBSTITUTE(SUBSTITUTE(SUBSTITUTE(SUBSTITUTE(ATALI[[#This Row],[N.B.nota]]," ",""),"-",""),"(",""),")",""),".",""),",",""),"/",""))</f>
        <v/>
      </c>
      <c r="W323" s="4" t="str">
        <f ca="1">IF(ATALI[[#This Row],[concat]]="","",MATCH(ATALI[[#This Row],[concat]],[4]!db[NB NOTA_C],0)+1)</f>
        <v/>
      </c>
      <c r="X323" s="4" t="str">
        <f ca="1">IF(ATALI[[#This Row],[N.B.nota]]="","",ADDRESS(ROW(ATALI[QB]),COLUMN(ATALI[QB]))&amp;":"&amp;ADDRESS(ROW(),COLUMN(ATALI[QB])))</f>
        <v/>
      </c>
      <c r="Y323" s="13" t="str">
        <f ca="1">IF(ATALI[[#This Row],[//]]="","",HYPERLINK("[../DB.xlsx]DB!e"&amp;MATCH(ATALI[[#This Row],[concat]],[4]!db[NB NOTA_C],0)+1,"&gt;"))</f>
        <v/>
      </c>
    </row>
    <row r="324" spans="1:25" x14ac:dyDescent="0.25">
      <c r="A324" s="4"/>
      <c r="B324" s="6" t="str">
        <f>IF(ATALI[[#This Row],[N_ID]]="","",INDEX(Table1[ID],MATCH(ATALI[[#This Row],[N_ID]],Table1[N_ID],0)))</f>
        <v/>
      </c>
      <c r="C324" s="6" t="str">
        <f>IF(ATALI[[#This Row],[ID NOTA]]="","",HYPERLINK("[NOTA_.xlsx]NOTA!e"&amp;INDEX([2]!PAJAK[//],MATCH(ATALI[[#This Row],[ID NOTA]],[2]!PAJAK[ID],0)),"&gt;") )</f>
        <v/>
      </c>
      <c r="D324" s="6" t="str">
        <f>IF(ATALI[[#This Row],[ID NOTA]]="","",INDEX(Table1[QB],MATCH(ATALI[[#This Row],[ID NOTA]],Table1[ID],0)))</f>
        <v/>
      </c>
      <c r="E3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4" s="6"/>
      <c r="G324" s="3" t="str">
        <f>IF(ATALI[[#This Row],[ID NOTA]]="","",INDEX([2]!NOTA[TGL_H],MATCH(ATALI[[#This Row],[ID NOTA]],[2]!NOTA[ID],0)))</f>
        <v/>
      </c>
      <c r="H324" s="3" t="str">
        <f>IF(ATALI[[#This Row],[ID NOTA]]="","",INDEX([2]!NOTA[TGL.NOTA],MATCH(ATALI[[#This Row],[ID NOTA]],[2]!NOTA[ID],0)))</f>
        <v/>
      </c>
      <c r="I324" s="4" t="str">
        <f>IF(ATALI[[#This Row],[ID NOTA]]="","",INDEX([2]!NOTA[NO.NOTA],MATCH(ATALI[[#This Row],[ID NOTA]],[2]!NOTA[ID],0)))</f>
        <v/>
      </c>
      <c r="J324" s="4" t="str">
        <f ca="1">IF(ATALI[[#This Row],[//]]="","",INDEX([4]!db[NB PAJAK],ATALI[[#This Row],[stt]]-1))</f>
        <v/>
      </c>
      <c r="K324" s="6" t="str">
        <f ca="1">IF(ATALI[[#This Row],[//]]="","",IF(INDEX([2]!NOTA[C],ATALI[[#This Row],[//]]-2)="","",INDEX([2]!NOTA[C],ATALI[[#This Row],[//]]-2)))</f>
        <v/>
      </c>
      <c r="L324" s="6" t="str">
        <f ca="1">IF(ATALI[[#This Row],[//]]="","",INDEX([2]!NOTA[QTY],ATALI[[#This Row],[//]]-2))</f>
        <v/>
      </c>
      <c r="M324" s="6" t="str">
        <f ca="1">IF(ATALI[[#This Row],[//]]="","",INDEX([2]!NOTA[STN],ATALI[[#This Row],[//]]-2))</f>
        <v/>
      </c>
      <c r="N324" s="5" t="str">
        <f ca="1">IF(ATALI[[#This Row],[//]]="","",INDEX([2]!NOTA[HARGA SATUAN],ATALI[[#This Row],[//]]-2))</f>
        <v/>
      </c>
      <c r="O324" s="7" t="str">
        <f ca="1">IF(ATALI[[#This Row],[//]]="","",INDEX([2]!NOTA[DISC 1],ATALI[[#This Row],[//]]-2))</f>
        <v/>
      </c>
      <c r="P324" s="7" t="str">
        <f ca="1">IF(ATALI[[#This Row],[//]]="","",INDEX([2]!NOTA[DISC 2],ATALI[[#This Row],[//]]-2))</f>
        <v/>
      </c>
      <c r="Q324" s="5" t="str">
        <f ca="1">IF(ATALI[[#This Row],[//]]="","",INDEX([2]!NOTA[TOTAL],ATALI[[#This Row],[//]]-2))</f>
        <v/>
      </c>
      <c r="R3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4" s="4" t="str">
        <f ca="1">IF(ATALI[[#This Row],[//]]="","",INDEX([2]!NOTA[NAMA BARANG],ATALI[[#This Row],[//]]-2))</f>
        <v/>
      </c>
      <c r="V324" s="4" t="str">
        <f ca="1">LOWER(SUBSTITUTE(SUBSTITUTE(SUBSTITUTE(SUBSTITUTE(SUBSTITUTE(SUBSTITUTE(SUBSTITUTE(ATALI[[#This Row],[N.B.nota]]," ",""),"-",""),"(",""),")",""),".",""),",",""),"/",""))</f>
        <v/>
      </c>
      <c r="W324" s="4" t="str">
        <f ca="1">IF(ATALI[[#This Row],[concat]]="","",MATCH(ATALI[[#This Row],[concat]],[4]!db[NB NOTA_C],0)+1)</f>
        <v/>
      </c>
      <c r="X324" s="4" t="str">
        <f ca="1">IF(ATALI[[#This Row],[N.B.nota]]="","",ADDRESS(ROW(ATALI[QB]),COLUMN(ATALI[QB]))&amp;":"&amp;ADDRESS(ROW(),COLUMN(ATALI[QB])))</f>
        <v/>
      </c>
      <c r="Y324" s="13" t="str">
        <f ca="1">IF(ATALI[[#This Row],[//]]="","",HYPERLINK("[../DB.xlsx]DB!e"&amp;MATCH(ATALI[[#This Row],[concat]],[4]!db[NB NOTA_C],0)+1,"&gt;"))</f>
        <v/>
      </c>
    </row>
    <row r="325" spans="1:25" x14ac:dyDescent="0.25">
      <c r="A325" s="4"/>
      <c r="B325" s="6" t="str">
        <f>IF(ATALI[[#This Row],[N_ID]]="","",INDEX(Table1[ID],MATCH(ATALI[[#This Row],[N_ID]],Table1[N_ID],0)))</f>
        <v/>
      </c>
      <c r="C325" s="6" t="str">
        <f>IF(ATALI[[#This Row],[ID NOTA]]="","",HYPERLINK("[NOTA_.xlsx]NOTA!e"&amp;INDEX([2]!PAJAK[//],MATCH(ATALI[[#This Row],[ID NOTA]],[2]!PAJAK[ID],0)),"&gt;") )</f>
        <v/>
      </c>
      <c r="D325" s="6" t="str">
        <f>IF(ATALI[[#This Row],[ID NOTA]]="","",INDEX(Table1[QB],MATCH(ATALI[[#This Row],[ID NOTA]],Table1[ID],0)))</f>
        <v/>
      </c>
      <c r="E3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5" s="6"/>
      <c r="G325" s="3" t="str">
        <f>IF(ATALI[[#This Row],[ID NOTA]]="","",INDEX([2]!NOTA[TGL_H],MATCH(ATALI[[#This Row],[ID NOTA]],[2]!NOTA[ID],0)))</f>
        <v/>
      </c>
      <c r="H325" s="3" t="str">
        <f>IF(ATALI[[#This Row],[ID NOTA]]="","",INDEX([2]!NOTA[TGL.NOTA],MATCH(ATALI[[#This Row],[ID NOTA]],[2]!NOTA[ID],0)))</f>
        <v/>
      </c>
      <c r="I325" s="4" t="str">
        <f>IF(ATALI[[#This Row],[ID NOTA]]="","",INDEX([2]!NOTA[NO.NOTA],MATCH(ATALI[[#This Row],[ID NOTA]],[2]!NOTA[ID],0)))</f>
        <v/>
      </c>
      <c r="J325" s="4" t="str">
        <f ca="1">IF(ATALI[[#This Row],[//]]="","",INDEX([4]!db[NB PAJAK],ATALI[[#This Row],[stt]]-1))</f>
        <v/>
      </c>
      <c r="K325" s="6" t="str">
        <f ca="1">IF(ATALI[[#This Row],[//]]="","",IF(INDEX([2]!NOTA[C],ATALI[[#This Row],[//]]-2)="","",INDEX([2]!NOTA[C],ATALI[[#This Row],[//]]-2)))</f>
        <v/>
      </c>
      <c r="L325" s="6" t="str">
        <f ca="1">IF(ATALI[[#This Row],[//]]="","",INDEX([2]!NOTA[QTY],ATALI[[#This Row],[//]]-2))</f>
        <v/>
      </c>
      <c r="M325" s="6" t="str">
        <f ca="1">IF(ATALI[[#This Row],[//]]="","",INDEX([2]!NOTA[STN],ATALI[[#This Row],[//]]-2))</f>
        <v/>
      </c>
      <c r="N325" s="5" t="str">
        <f ca="1">IF(ATALI[[#This Row],[//]]="","",INDEX([2]!NOTA[HARGA SATUAN],ATALI[[#This Row],[//]]-2))</f>
        <v/>
      </c>
      <c r="O325" s="7" t="str">
        <f ca="1">IF(ATALI[[#This Row],[//]]="","",INDEX([2]!NOTA[DISC 1],ATALI[[#This Row],[//]]-2))</f>
        <v/>
      </c>
      <c r="P325" s="7" t="str">
        <f ca="1">IF(ATALI[[#This Row],[//]]="","",INDEX([2]!NOTA[DISC 2],ATALI[[#This Row],[//]]-2))</f>
        <v/>
      </c>
      <c r="Q325" s="5" t="str">
        <f ca="1">IF(ATALI[[#This Row],[//]]="","",INDEX([2]!NOTA[TOTAL],ATALI[[#This Row],[//]]-2))</f>
        <v/>
      </c>
      <c r="R3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5" s="4" t="str">
        <f ca="1">IF(ATALI[[#This Row],[//]]="","",INDEX([2]!NOTA[NAMA BARANG],ATALI[[#This Row],[//]]-2))</f>
        <v/>
      </c>
      <c r="V325" s="4" t="str">
        <f ca="1">LOWER(SUBSTITUTE(SUBSTITUTE(SUBSTITUTE(SUBSTITUTE(SUBSTITUTE(SUBSTITUTE(SUBSTITUTE(ATALI[[#This Row],[N.B.nota]]," ",""),"-",""),"(",""),")",""),".",""),",",""),"/",""))</f>
        <v/>
      </c>
      <c r="W325" s="4" t="str">
        <f ca="1">IF(ATALI[[#This Row],[concat]]="","",MATCH(ATALI[[#This Row],[concat]],[4]!db[NB NOTA_C],0)+1)</f>
        <v/>
      </c>
      <c r="X325" s="4" t="str">
        <f ca="1">IF(ATALI[[#This Row],[N.B.nota]]="","",ADDRESS(ROW(ATALI[QB]),COLUMN(ATALI[QB]))&amp;":"&amp;ADDRESS(ROW(),COLUMN(ATALI[QB])))</f>
        <v/>
      </c>
      <c r="Y325" s="13" t="str">
        <f ca="1">IF(ATALI[[#This Row],[//]]="","",HYPERLINK("[../DB.xlsx]DB!e"&amp;MATCH(ATALI[[#This Row],[concat]],[4]!db[NB NOTA_C],0)+1,"&gt;"))</f>
        <v/>
      </c>
    </row>
    <row r="326" spans="1:25" x14ac:dyDescent="0.25">
      <c r="A326" s="4"/>
      <c r="B326" s="6" t="str">
        <f>IF(ATALI[[#This Row],[N_ID]]="","",INDEX(Table1[ID],MATCH(ATALI[[#This Row],[N_ID]],Table1[N_ID],0)))</f>
        <v/>
      </c>
      <c r="C326" s="6" t="str">
        <f>IF(ATALI[[#This Row],[ID NOTA]]="","",HYPERLINK("[NOTA_.xlsx]NOTA!e"&amp;INDEX([2]!PAJAK[//],MATCH(ATALI[[#This Row],[ID NOTA]],[2]!PAJAK[ID],0)),"&gt;") )</f>
        <v/>
      </c>
      <c r="D326" s="6" t="str">
        <f>IF(ATALI[[#This Row],[ID NOTA]]="","",INDEX(Table1[QB],MATCH(ATALI[[#This Row],[ID NOTA]],Table1[ID],0)))</f>
        <v/>
      </c>
      <c r="E3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6" s="6"/>
      <c r="G326" s="3" t="str">
        <f>IF(ATALI[[#This Row],[ID NOTA]]="","",INDEX([2]!NOTA[TGL_H],MATCH(ATALI[[#This Row],[ID NOTA]],[2]!NOTA[ID],0)))</f>
        <v/>
      </c>
      <c r="H326" s="3" t="str">
        <f>IF(ATALI[[#This Row],[ID NOTA]]="","",INDEX([2]!NOTA[TGL.NOTA],MATCH(ATALI[[#This Row],[ID NOTA]],[2]!NOTA[ID],0)))</f>
        <v/>
      </c>
      <c r="I326" s="4" t="str">
        <f>IF(ATALI[[#This Row],[ID NOTA]]="","",INDEX([2]!NOTA[NO.NOTA],MATCH(ATALI[[#This Row],[ID NOTA]],[2]!NOTA[ID],0)))</f>
        <v/>
      </c>
      <c r="J326" s="4" t="str">
        <f ca="1">IF(ATALI[[#This Row],[//]]="","",INDEX([4]!db[NB PAJAK],ATALI[[#This Row],[stt]]-1))</f>
        <v/>
      </c>
      <c r="K326" s="6" t="str">
        <f ca="1">IF(ATALI[[#This Row],[//]]="","",IF(INDEX([2]!NOTA[C],ATALI[[#This Row],[//]]-2)="","",INDEX([2]!NOTA[C],ATALI[[#This Row],[//]]-2)))</f>
        <v/>
      </c>
      <c r="L326" s="6" t="str">
        <f ca="1">IF(ATALI[[#This Row],[//]]="","",INDEX([2]!NOTA[QTY],ATALI[[#This Row],[//]]-2))</f>
        <v/>
      </c>
      <c r="M326" s="6" t="str">
        <f ca="1">IF(ATALI[[#This Row],[//]]="","",INDEX([2]!NOTA[STN],ATALI[[#This Row],[//]]-2))</f>
        <v/>
      </c>
      <c r="N326" s="5" t="str">
        <f ca="1">IF(ATALI[[#This Row],[//]]="","",INDEX([2]!NOTA[HARGA SATUAN],ATALI[[#This Row],[//]]-2))</f>
        <v/>
      </c>
      <c r="O326" s="7" t="str">
        <f ca="1">IF(ATALI[[#This Row],[//]]="","",INDEX([2]!NOTA[DISC 1],ATALI[[#This Row],[//]]-2))</f>
        <v/>
      </c>
      <c r="P326" s="7" t="str">
        <f ca="1">IF(ATALI[[#This Row],[//]]="","",INDEX([2]!NOTA[DISC 2],ATALI[[#This Row],[//]]-2))</f>
        <v/>
      </c>
      <c r="Q326" s="5" t="str">
        <f ca="1">IF(ATALI[[#This Row],[//]]="","",INDEX([2]!NOTA[TOTAL],ATALI[[#This Row],[//]]-2))</f>
        <v/>
      </c>
      <c r="R3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6" s="4" t="str">
        <f ca="1">IF(ATALI[[#This Row],[//]]="","",INDEX([2]!NOTA[NAMA BARANG],ATALI[[#This Row],[//]]-2))</f>
        <v/>
      </c>
      <c r="V326" s="4" t="str">
        <f ca="1">LOWER(SUBSTITUTE(SUBSTITUTE(SUBSTITUTE(SUBSTITUTE(SUBSTITUTE(SUBSTITUTE(SUBSTITUTE(ATALI[[#This Row],[N.B.nota]]," ",""),"-",""),"(",""),")",""),".",""),",",""),"/",""))</f>
        <v/>
      </c>
      <c r="W326" s="4" t="str">
        <f ca="1">IF(ATALI[[#This Row],[concat]]="","",MATCH(ATALI[[#This Row],[concat]],[4]!db[NB NOTA_C],0)+1)</f>
        <v/>
      </c>
      <c r="X326" s="4" t="str">
        <f ca="1">IF(ATALI[[#This Row],[N.B.nota]]="","",ADDRESS(ROW(ATALI[QB]),COLUMN(ATALI[QB]))&amp;":"&amp;ADDRESS(ROW(),COLUMN(ATALI[QB])))</f>
        <v/>
      </c>
      <c r="Y326" s="13" t="str">
        <f ca="1">IF(ATALI[[#This Row],[//]]="","",HYPERLINK("[../DB.xlsx]DB!e"&amp;MATCH(ATALI[[#This Row],[concat]],[4]!db[NB NOTA_C],0)+1,"&gt;"))</f>
        <v/>
      </c>
    </row>
    <row r="327" spans="1:25" x14ac:dyDescent="0.25">
      <c r="A327" s="4"/>
      <c r="B327" s="6" t="str">
        <f>IF(ATALI[[#This Row],[N_ID]]="","",INDEX(Table1[ID],MATCH(ATALI[[#This Row],[N_ID]],Table1[N_ID],0)))</f>
        <v/>
      </c>
      <c r="C327" s="6" t="str">
        <f>IF(ATALI[[#This Row],[ID NOTA]]="","",HYPERLINK("[NOTA_.xlsx]NOTA!e"&amp;INDEX([2]!PAJAK[//],MATCH(ATALI[[#This Row],[ID NOTA]],[2]!PAJAK[ID],0)),"&gt;") )</f>
        <v/>
      </c>
      <c r="D327" s="6" t="str">
        <f>IF(ATALI[[#This Row],[ID NOTA]]="","",INDEX(Table1[QB],MATCH(ATALI[[#This Row],[ID NOTA]],Table1[ID],0)))</f>
        <v/>
      </c>
      <c r="E3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7" s="6"/>
      <c r="G327" s="3" t="str">
        <f>IF(ATALI[[#This Row],[ID NOTA]]="","",INDEX([2]!NOTA[TGL_H],MATCH(ATALI[[#This Row],[ID NOTA]],[2]!NOTA[ID],0)))</f>
        <v/>
      </c>
      <c r="H327" s="3" t="str">
        <f>IF(ATALI[[#This Row],[ID NOTA]]="","",INDEX([2]!NOTA[TGL.NOTA],MATCH(ATALI[[#This Row],[ID NOTA]],[2]!NOTA[ID],0)))</f>
        <v/>
      </c>
      <c r="I327" s="4" t="str">
        <f>IF(ATALI[[#This Row],[ID NOTA]]="","",INDEX([2]!NOTA[NO.NOTA],MATCH(ATALI[[#This Row],[ID NOTA]],[2]!NOTA[ID],0)))</f>
        <v/>
      </c>
      <c r="J327" s="4" t="str">
        <f ca="1">IF(ATALI[[#This Row],[//]]="","",INDEX([4]!db[NB PAJAK],ATALI[[#This Row],[stt]]-1))</f>
        <v/>
      </c>
      <c r="K327" s="6" t="str">
        <f ca="1">IF(ATALI[[#This Row],[//]]="","",IF(INDEX([2]!NOTA[C],ATALI[[#This Row],[//]]-2)="","",INDEX([2]!NOTA[C],ATALI[[#This Row],[//]]-2)))</f>
        <v/>
      </c>
      <c r="L327" s="6" t="str">
        <f ca="1">IF(ATALI[[#This Row],[//]]="","",INDEX([2]!NOTA[QTY],ATALI[[#This Row],[//]]-2))</f>
        <v/>
      </c>
      <c r="M327" s="6" t="str">
        <f ca="1">IF(ATALI[[#This Row],[//]]="","",INDEX([2]!NOTA[STN],ATALI[[#This Row],[//]]-2))</f>
        <v/>
      </c>
      <c r="N327" s="5" t="str">
        <f ca="1">IF(ATALI[[#This Row],[//]]="","",INDEX([2]!NOTA[HARGA SATUAN],ATALI[[#This Row],[//]]-2))</f>
        <v/>
      </c>
      <c r="O327" s="7" t="str">
        <f ca="1">IF(ATALI[[#This Row],[//]]="","",INDEX([2]!NOTA[DISC 1],ATALI[[#This Row],[//]]-2))</f>
        <v/>
      </c>
      <c r="P327" s="7" t="str">
        <f ca="1">IF(ATALI[[#This Row],[//]]="","",INDEX([2]!NOTA[DISC 2],ATALI[[#This Row],[//]]-2))</f>
        <v/>
      </c>
      <c r="Q327" s="5" t="str">
        <f ca="1">IF(ATALI[[#This Row],[//]]="","",INDEX([2]!NOTA[TOTAL],ATALI[[#This Row],[//]]-2))</f>
        <v/>
      </c>
      <c r="R3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7" s="4" t="str">
        <f ca="1">IF(ATALI[[#This Row],[//]]="","",INDEX([2]!NOTA[NAMA BARANG],ATALI[[#This Row],[//]]-2))</f>
        <v/>
      </c>
      <c r="V327" s="4" t="str">
        <f ca="1">LOWER(SUBSTITUTE(SUBSTITUTE(SUBSTITUTE(SUBSTITUTE(SUBSTITUTE(SUBSTITUTE(SUBSTITUTE(ATALI[[#This Row],[N.B.nota]]," ",""),"-",""),"(",""),")",""),".",""),",",""),"/",""))</f>
        <v/>
      </c>
      <c r="W327" s="4" t="str">
        <f ca="1">IF(ATALI[[#This Row],[concat]]="","",MATCH(ATALI[[#This Row],[concat]],[4]!db[NB NOTA_C],0)+1)</f>
        <v/>
      </c>
      <c r="X327" s="4" t="str">
        <f ca="1">IF(ATALI[[#This Row],[N.B.nota]]="","",ADDRESS(ROW(ATALI[QB]),COLUMN(ATALI[QB]))&amp;":"&amp;ADDRESS(ROW(),COLUMN(ATALI[QB])))</f>
        <v/>
      </c>
      <c r="Y327" s="13" t="str">
        <f ca="1">IF(ATALI[[#This Row],[//]]="","",HYPERLINK("[../DB.xlsx]DB!e"&amp;MATCH(ATALI[[#This Row],[concat]],[4]!db[NB NOTA_C],0)+1,"&gt;"))</f>
        <v/>
      </c>
    </row>
    <row r="328" spans="1:25" x14ac:dyDescent="0.25">
      <c r="A328" s="4"/>
      <c r="B328" s="6" t="str">
        <f>IF(ATALI[[#This Row],[N_ID]]="","",INDEX(Table1[ID],MATCH(ATALI[[#This Row],[N_ID]],Table1[N_ID],0)))</f>
        <v/>
      </c>
      <c r="C328" s="6" t="str">
        <f>IF(ATALI[[#This Row],[ID NOTA]]="","",HYPERLINK("[NOTA_.xlsx]NOTA!e"&amp;INDEX([2]!PAJAK[//],MATCH(ATALI[[#This Row],[ID NOTA]],[2]!PAJAK[ID],0)),"&gt;") )</f>
        <v/>
      </c>
      <c r="D328" s="6" t="str">
        <f>IF(ATALI[[#This Row],[ID NOTA]]="","",INDEX(Table1[QB],MATCH(ATALI[[#This Row],[ID NOTA]],Table1[ID],0)))</f>
        <v/>
      </c>
      <c r="E3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8" s="6"/>
      <c r="G328" s="3" t="str">
        <f>IF(ATALI[[#This Row],[ID NOTA]]="","",INDEX([2]!NOTA[TGL_H],MATCH(ATALI[[#This Row],[ID NOTA]],[2]!NOTA[ID],0)))</f>
        <v/>
      </c>
      <c r="H328" s="3" t="str">
        <f>IF(ATALI[[#This Row],[ID NOTA]]="","",INDEX([2]!NOTA[TGL.NOTA],MATCH(ATALI[[#This Row],[ID NOTA]],[2]!NOTA[ID],0)))</f>
        <v/>
      </c>
      <c r="I328" s="4" t="str">
        <f>IF(ATALI[[#This Row],[ID NOTA]]="","",INDEX([2]!NOTA[NO.NOTA],MATCH(ATALI[[#This Row],[ID NOTA]],[2]!NOTA[ID],0)))</f>
        <v/>
      </c>
      <c r="J328" s="4" t="str">
        <f ca="1">IF(ATALI[[#This Row],[//]]="","",INDEX([4]!db[NB PAJAK],ATALI[[#This Row],[stt]]-1))</f>
        <v/>
      </c>
      <c r="K328" s="6" t="str">
        <f ca="1">IF(ATALI[[#This Row],[//]]="","",IF(INDEX([2]!NOTA[C],ATALI[[#This Row],[//]]-2)="","",INDEX([2]!NOTA[C],ATALI[[#This Row],[//]]-2)))</f>
        <v/>
      </c>
      <c r="L328" s="6" t="str">
        <f ca="1">IF(ATALI[[#This Row],[//]]="","",INDEX([2]!NOTA[QTY],ATALI[[#This Row],[//]]-2))</f>
        <v/>
      </c>
      <c r="M328" s="6" t="str">
        <f ca="1">IF(ATALI[[#This Row],[//]]="","",INDEX([2]!NOTA[STN],ATALI[[#This Row],[//]]-2))</f>
        <v/>
      </c>
      <c r="N328" s="5" t="str">
        <f ca="1">IF(ATALI[[#This Row],[//]]="","",INDEX([2]!NOTA[HARGA SATUAN],ATALI[[#This Row],[//]]-2))</f>
        <v/>
      </c>
      <c r="O328" s="7" t="str">
        <f ca="1">IF(ATALI[[#This Row],[//]]="","",INDEX([2]!NOTA[DISC 1],ATALI[[#This Row],[//]]-2))</f>
        <v/>
      </c>
      <c r="P328" s="7" t="str">
        <f ca="1">IF(ATALI[[#This Row],[//]]="","",INDEX([2]!NOTA[DISC 2],ATALI[[#This Row],[//]]-2))</f>
        <v/>
      </c>
      <c r="Q328" s="5" t="str">
        <f ca="1">IF(ATALI[[#This Row],[//]]="","",INDEX([2]!NOTA[TOTAL],ATALI[[#This Row],[//]]-2))</f>
        <v/>
      </c>
      <c r="R3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8" s="4" t="str">
        <f ca="1">IF(ATALI[[#This Row],[//]]="","",INDEX([2]!NOTA[NAMA BARANG],ATALI[[#This Row],[//]]-2))</f>
        <v/>
      </c>
      <c r="V328" s="4" t="str">
        <f ca="1">LOWER(SUBSTITUTE(SUBSTITUTE(SUBSTITUTE(SUBSTITUTE(SUBSTITUTE(SUBSTITUTE(SUBSTITUTE(ATALI[[#This Row],[N.B.nota]]," ",""),"-",""),"(",""),")",""),".",""),",",""),"/",""))</f>
        <v/>
      </c>
      <c r="W328" s="4" t="str">
        <f ca="1">IF(ATALI[[#This Row],[concat]]="","",MATCH(ATALI[[#This Row],[concat]],[4]!db[NB NOTA_C],0)+1)</f>
        <v/>
      </c>
      <c r="X328" s="4" t="str">
        <f ca="1">IF(ATALI[[#This Row],[N.B.nota]]="","",ADDRESS(ROW(ATALI[QB]),COLUMN(ATALI[QB]))&amp;":"&amp;ADDRESS(ROW(),COLUMN(ATALI[QB])))</f>
        <v/>
      </c>
      <c r="Y328" s="13" t="str">
        <f ca="1">IF(ATALI[[#This Row],[//]]="","",HYPERLINK("[../DB.xlsx]DB!e"&amp;MATCH(ATALI[[#This Row],[concat]],[4]!db[NB NOTA_C],0)+1,"&gt;"))</f>
        <v/>
      </c>
    </row>
    <row r="329" spans="1:25" x14ac:dyDescent="0.25">
      <c r="A329" s="4"/>
      <c r="B329" s="6" t="str">
        <f>IF(ATALI[[#This Row],[N_ID]]="","",INDEX(Table1[ID],MATCH(ATALI[[#This Row],[N_ID]],Table1[N_ID],0)))</f>
        <v/>
      </c>
      <c r="C329" s="6" t="str">
        <f>IF(ATALI[[#This Row],[ID NOTA]]="","",HYPERLINK("[NOTA_.xlsx]NOTA!e"&amp;INDEX([2]!PAJAK[//],MATCH(ATALI[[#This Row],[ID NOTA]],[2]!PAJAK[ID],0)),"&gt;") )</f>
        <v/>
      </c>
      <c r="D329" s="6" t="str">
        <f>IF(ATALI[[#This Row],[ID NOTA]]="","",INDEX(Table1[QB],MATCH(ATALI[[#This Row],[ID NOTA]],Table1[ID],0)))</f>
        <v/>
      </c>
      <c r="E3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9" s="6"/>
      <c r="G329" s="3" t="str">
        <f>IF(ATALI[[#This Row],[ID NOTA]]="","",INDEX([2]!NOTA[TGL_H],MATCH(ATALI[[#This Row],[ID NOTA]],[2]!NOTA[ID],0)))</f>
        <v/>
      </c>
      <c r="H329" s="3" t="str">
        <f>IF(ATALI[[#This Row],[ID NOTA]]="","",INDEX([2]!NOTA[TGL.NOTA],MATCH(ATALI[[#This Row],[ID NOTA]],[2]!NOTA[ID],0)))</f>
        <v/>
      </c>
      <c r="I329" s="4" t="str">
        <f>IF(ATALI[[#This Row],[ID NOTA]]="","",INDEX([2]!NOTA[NO.NOTA],MATCH(ATALI[[#This Row],[ID NOTA]],[2]!NOTA[ID],0)))</f>
        <v/>
      </c>
      <c r="J329" s="4" t="str">
        <f ca="1">IF(ATALI[[#This Row],[//]]="","",INDEX([4]!db[NB PAJAK],ATALI[[#This Row],[stt]]-1))</f>
        <v/>
      </c>
      <c r="K329" s="6" t="str">
        <f ca="1">IF(ATALI[[#This Row],[//]]="","",IF(INDEX([2]!NOTA[C],ATALI[[#This Row],[//]]-2)="","",INDEX([2]!NOTA[C],ATALI[[#This Row],[//]]-2)))</f>
        <v/>
      </c>
      <c r="L329" s="6" t="str">
        <f ca="1">IF(ATALI[[#This Row],[//]]="","",INDEX([2]!NOTA[QTY],ATALI[[#This Row],[//]]-2))</f>
        <v/>
      </c>
      <c r="M329" s="6" t="str">
        <f ca="1">IF(ATALI[[#This Row],[//]]="","",INDEX([2]!NOTA[STN],ATALI[[#This Row],[//]]-2))</f>
        <v/>
      </c>
      <c r="N329" s="5" t="str">
        <f ca="1">IF(ATALI[[#This Row],[//]]="","",INDEX([2]!NOTA[HARGA SATUAN],ATALI[[#This Row],[//]]-2))</f>
        <v/>
      </c>
      <c r="O329" s="7" t="str">
        <f ca="1">IF(ATALI[[#This Row],[//]]="","",INDEX([2]!NOTA[DISC 1],ATALI[[#This Row],[//]]-2))</f>
        <v/>
      </c>
      <c r="P329" s="7" t="str">
        <f ca="1">IF(ATALI[[#This Row],[//]]="","",INDEX([2]!NOTA[DISC 2],ATALI[[#This Row],[//]]-2))</f>
        <v/>
      </c>
      <c r="Q329" s="5" t="str">
        <f ca="1">IF(ATALI[[#This Row],[//]]="","",INDEX([2]!NOTA[TOTAL],ATALI[[#This Row],[//]]-2))</f>
        <v/>
      </c>
      <c r="R3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9" s="4" t="str">
        <f ca="1">IF(ATALI[[#This Row],[//]]="","",INDEX([2]!NOTA[NAMA BARANG],ATALI[[#This Row],[//]]-2))</f>
        <v/>
      </c>
      <c r="V329" s="4" t="str">
        <f ca="1">LOWER(SUBSTITUTE(SUBSTITUTE(SUBSTITUTE(SUBSTITUTE(SUBSTITUTE(SUBSTITUTE(SUBSTITUTE(ATALI[[#This Row],[N.B.nota]]," ",""),"-",""),"(",""),")",""),".",""),",",""),"/",""))</f>
        <v/>
      </c>
      <c r="W329" s="4" t="str">
        <f ca="1">IF(ATALI[[#This Row],[concat]]="","",MATCH(ATALI[[#This Row],[concat]],[4]!db[NB NOTA_C],0)+1)</f>
        <v/>
      </c>
      <c r="X329" s="4" t="str">
        <f ca="1">IF(ATALI[[#This Row],[N.B.nota]]="","",ADDRESS(ROW(ATALI[QB]),COLUMN(ATALI[QB]))&amp;":"&amp;ADDRESS(ROW(),COLUMN(ATALI[QB])))</f>
        <v/>
      </c>
      <c r="Y329" s="13" t="str">
        <f ca="1">IF(ATALI[[#This Row],[//]]="","",HYPERLINK("[../DB.xlsx]DB!e"&amp;MATCH(ATALI[[#This Row],[concat]],[4]!db[NB NOTA_C],0)+1,"&gt;"))</f>
        <v/>
      </c>
    </row>
    <row r="330" spans="1:25" x14ac:dyDescent="0.25">
      <c r="A330" s="4"/>
      <c r="B330" s="6" t="str">
        <f>IF(ATALI[[#This Row],[N_ID]]="","",INDEX(Table1[ID],MATCH(ATALI[[#This Row],[N_ID]],Table1[N_ID],0)))</f>
        <v/>
      </c>
      <c r="C330" s="6" t="str">
        <f>IF(ATALI[[#This Row],[ID NOTA]]="","",HYPERLINK("[NOTA_.xlsx]NOTA!e"&amp;INDEX([2]!PAJAK[//],MATCH(ATALI[[#This Row],[ID NOTA]],[2]!PAJAK[ID],0)),"&gt;") )</f>
        <v/>
      </c>
      <c r="D330" s="6" t="str">
        <f>IF(ATALI[[#This Row],[ID NOTA]]="","",INDEX(Table1[QB],MATCH(ATALI[[#This Row],[ID NOTA]],Table1[ID],0)))</f>
        <v/>
      </c>
      <c r="E3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0" s="6"/>
      <c r="G330" s="3" t="str">
        <f>IF(ATALI[[#This Row],[ID NOTA]]="","",INDEX([2]!NOTA[TGL_H],MATCH(ATALI[[#This Row],[ID NOTA]],[2]!NOTA[ID],0)))</f>
        <v/>
      </c>
      <c r="H330" s="3" t="str">
        <f>IF(ATALI[[#This Row],[ID NOTA]]="","",INDEX([2]!NOTA[TGL.NOTA],MATCH(ATALI[[#This Row],[ID NOTA]],[2]!NOTA[ID],0)))</f>
        <v/>
      </c>
      <c r="I330" s="4" t="str">
        <f>IF(ATALI[[#This Row],[ID NOTA]]="","",INDEX([2]!NOTA[NO.NOTA],MATCH(ATALI[[#This Row],[ID NOTA]],[2]!NOTA[ID],0)))</f>
        <v/>
      </c>
      <c r="J330" s="4" t="str">
        <f ca="1">IF(ATALI[[#This Row],[//]]="","",INDEX([4]!db[NB PAJAK],ATALI[[#This Row],[stt]]-1))</f>
        <v/>
      </c>
      <c r="K330" s="6" t="str">
        <f ca="1">IF(ATALI[[#This Row],[//]]="","",IF(INDEX([2]!NOTA[C],ATALI[[#This Row],[//]]-2)="","",INDEX([2]!NOTA[C],ATALI[[#This Row],[//]]-2)))</f>
        <v/>
      </c>
      <c r="L330" s="6" t="str">
        <f ca="1">IF(ATALI[[#This Row],[//]]="","",INDEX([2]!NOTA[QTY],ATALI[[#This Row],[//]]-2))</f>
        <v/>
      </c>
      <c r="M330" s="6" t="str">
        <f ca="1">IF(ATALI[[#This Row],[//]]="","",INDEX([2]!NOTA[STN],ATALI[[#This Row],[//]]-2))</f>
        <v/>
      </c>
      <c r="N330" s="5" t="str">
        <f ca="1">IF(ATALI[[#This Row],[//]]="","",INDEX([2]!NOTA[HARGA SATUAN],ATALI[[#This Row],[//]]-2))</f>
        <v/>
      </c>
      <c r="O330" s="7" t="str">
        <f ca="1">IF(ATALI[[#This Row],[//]]="","",INDEX([2]!NOTA[DISC 1],ATALI[[#This Row],[//]]-2))</f>
        <v/>
      </c>
      <c r="P330" s="7" t="str">
        <f ca="1">IF(ATALI[[#This Row],[//]]="","",INDEX([2]!NOTA[DISC 2],ATALI[[#This Row],[//]]-2))</f>
        <v/>
      </c>
      <c r="Q330" s="5" t="str">
        <f ca="1">IF(ATALI[[#This Row],[//]]="","",INDEX([2]!NOTA[TOTAL],ATALI[[#This Row],[//]]-2))</f>
        <v/>
      </c>
      <c r="R3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0" s="4" t="str">
        <f ca="1">IF(ATALI[[#This Row],[//]]="","",INDEX([2]!NOTA[NAMA BARANG],ATALI[[#This Row],[//]]-2))</f>
        <v/>
      </c>
      <c r="V330" s="4" t="str">
        <f ca="1">LOWER(SUBSTITUTE(SUBSTITUTE(SUBSTITUTE(SUBSTITUTE(SUBSTITUTE(SUBSTITUTE(SUBSTITUTE(ATALI[[#This Row],[N.B.nota]]," ",""),"-",""),"(",""),")",""),".",""),",",""),"/",""))</f>
        <v/>
      </c>
      <c r="W330" s="4" t="str">
        <f ca="1">IF(ATALI[[#This Row],[concat]]="","",MATCH(ATALI[[#This Row],[concat]],[4]!db[NB NOTA_C],0)+1)</f>
        <v/>
      </c>
      <c r="X330" s="4" t="str">
        <f ca="1">IF(ATALI[[#This Row],[N.B.nota]]="","",ADDRESS(ROW(ATALI[QB]),COLUMN(ATALI[QB]))&amp;":"&amp;ADDRESS(ROW(),COLUMN(ATALI[QB])))</f>
        <v/>
      </c>
      <c r="Y330" s="13" t="str">
        <f ca="1">IF(ATALI[[#This Row],[//]]="","",HYPERLINK("[../DB.xlsx]DB!e"&amp;MATCH(ATALI[[#This Row],[concat]],[4]!db[NB NOTA_C],0)+1,"&gt;"))</f>
        <v/>
      </c>
    </row>
    <row r="331" spans="1:25" x14ac:dyDescent="0.25">
      <c r="A331" s="4"/>
      <c r="B331" s="6" t="str">
        <f>IF(ATALI[[#This Row],[N_ID]]="","",INDEX(Table1[ID],MATCH(ATALI[[#This Row],[N_ID]],Table1[N_ID],0)))</f>
        <v/>
      </c>
      <c r="C331" s="6" t="s">
        <v>59</v>
      </c>
      <c r="D331" s="6" t="str">
        <f>IF(ATALI[[#This Row],[ID NOTA]]="","",INDEX(Table1[QB],MATCH(ATALI[[#This Row],[ID NOTA]],Table1[ID],0)))</f>
        <v/>
      </c>
      <c r="E3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1" s="6"/>
      <c r="G331" s="3" t="str">
        <f>IF(ATALI[[#This Row],[ID NOTA]]="","",INDEX([2]!NOTA[TGL_H],MATCH(ATALI[[#This Row],[ID NOTA]],[2]!NOTA[ID],0)))</f>
        <v/>
      </c>
      <c r="H331" s="3" t="str">
        <f>IF(ATALI[[#This Row],[ID NOTA]]="","",INDEX([2]!NOTA[TGL.NOTA],MATCH(ATALI[[#This Row],[ID NOTA]],[2]!NOTA[ID],0)))</f>
        <v/>
      </c>
      <c r="I331" s="4" t="str">
        <f>IF(ATALI[[#This Row],[ID NOTA]]="","",INDEX([2]!NOTA[NO.NOTA],MATCH(ATALI[[#This Row],[ID NOTA]],[2]!NOTA[ID],0)))</f>
        <v/>
      </c>
      <c r="J331" s="4" t="str">
        <f ca="1">IF(ATALI[[#This Row],[//]]="","",INDEX([4]!db[NB PAJAK],ATALI[[#This Row],[stt]]-1))</f>
        <v/>
      </c>
      <c r="K331" s="6" t="str">
        <f ca="1">IF(ATALI[[#This Row],[//]]="","",IF(INDEX([2]!NOTA[C],ATALI[[#This Row],[//]]-2)="","",INDEX([2]!NOTA[C],ATALI[[#This Row],[//]]-2)))</f>
        <v/>
      </c>
      <c r="L331" s="6" t="str">
        <f ca="1">IF(ATALI[[#This Row],[//]]="","",INDEX([2]!NOTA[QTY],ATALI[[#This Row],[//]]-2))</f>
        <v/>
      </c>
      <c r="M331" s="6" t="str">
        <f ca="1">IF(ATALI[[#This Row],[//]]="","",INDEX([2]!NOTA[STN],ATALI[[#This Row],[//]]-2))</f>
        <v/>
      </c>
      <c r="N331" s="5" t="str">
        <f ca="1">IF(ATALI[[#This Row],[//]]="","",INDEX([2]!NOTA[HARGA SATUAN],ATALI[[#This Row],[//]]-2))</f>
        <v/>
      </c>
      <c r="O331" s="7" t="str">
        <f ca="1">IF(ATALI[[#This Row],[//]]="","",INDEX([2]!NOTA[DISC 1],ATALI[[#This Row],[//]]-2))</f>
        <v/>
      </c>
      <c r="P331" s="7" t="str">
        <f ca="1">IF(ATALI[[#This Row],[//]]="","",INDEX([2]!NOTA[DISC 2],ATALI[[#This Row],[//]]-2))</f>
        <v/>
      </c>
      <c r="Q331" s="5" t="str">
        <f ca="1">IF(ATALI[[#This Row],[//]]="","",INDEX([2]!NOTA[TOTAL],ATALI[[#This Row],[//]]-2))</f>
        <v/>
      </c>
      <c r="R3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1" s="4" t="str">
        <f ca="1">IF(ATALI[[#This Row],[//]]="","",INDEX([2]!NOTA[NAMA BARANG],ATALI[[#This Row],[//]]-2))</f>
        <v/>
      </c>
      <c r="V331" s="4" t="str">
        <f ca="1">LOWER(SUBSTITUTE(SUBSTITUTE(SUBSTITUTE(SUBSTITUTE(SUBSTITUTE(SUBSTITUTE(SUBSTITUTE(ATALI[[#This Row],[N.B.nota]]," ",""),"-",""),"(",""),")",""),".",""),",",""),"/",""))</f>
        <v/>
      </c>
      <c r="W331" s="4" t="str">
        <f ca="1">IF(ATALI[[#This Row],[concat]]="","",MATCH(ATALI[[#This Row],[concat]],[4]!db[NB NOTA_C],0)+1)</f>
        <v/>
      </c>
      <c r="X331" s="4" t="str">
        <f ca="1">IF(ATALI[[#This Row],[N.B.nota]]="","",ADDRESS(ROW(ATALI[QB]),COLUMN(ATALI[QB]))&amp;":"&amp;ADDRESS(ROW(),COLUMN(ATALI[QB])))</f>
        <v/>
      </c>
      <c r="Y331" s="13" t="str">
        <f ca="1">IF(ATALI[[#This Row],[//]]="","",HYPERLINK("[../DB.xlsx]DB!e"&amp;MATCH(ATALI[[#This Row],[concat]],[4]!db[NB NOTA_C],0)+1,"&gt;"))</f>
        <v/>
      </c>
    </row>
    <row r="332" spans="1:25" x14ac:dyDescent="0.25">
      <c r="A332" s="4"/>
      <c r="B332" s="6" t="str">
        <f>IF(ATALI[[#This Row],[N_ID]]="","",INDEX(Table1[ID],MATCH(ATALI[[#This Row],[N_ID]],Table1[N_ID],0)))</f>
        <v/>
      </c>
      <c r="C332" s="6" t="str">
        <f>IF(ATALI[[#This Row],[ID NOTA]]="","",HYPERLINK("[NOTA_.xlsx]NOTA!e"&amp;INDEX([2]!PAJAK[//],MATCH(ATALI[[#This Row],[ID NOTA]],[2]!PAJAK[ID],0)),"&gt;") )</f>
        <v/>
      </c>
      <c r="D332" s="6" t="str">
        <f>IF(ATALI[[#This Row],[ID NOTA]]="","",INDEX(Table1[QB],MATCH(ATALI[[#This Row],[ID NOTA]],Table1[ID],0)))</f>
        <v/>
      </c>
      <c r="E3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2" s="6"/>
      <c r="G332" s="3" t="str">
        <f>IF(ATALI[[#This Row],[ID NOTA]]="","",INDEX([2]!NOTA[TGL_H],MATCH(ATALI[[#This Row],[ID NOTA]],[2]!NOTA[ID],0)))</f>
        <v/>
      </c>
      <c r="H332" s="3" t="str">
        <f>IF(ATALI[[#This Row],[ID NOTA]]="","",INDEX([2]!NOTA[TGL.NOTA],MATCH(ATALI[[#This Row],[ID NOTA]],[2]!NOTA[ID],0)))</f>
        <v/>
      </c>
      <c r="I332" s="4" t="str">
        <f>IF(ATALI[[#This Row],[ID NOTA]]="","",INDEX([2]!NOTA[NO.NOTA],MATCH(ATALI[[#This Row],[ID NOTA]],[2]!NOTA[ID],0)))</f>
        <v/>
      </c>
      <c r="J332" s="4" t="str">
        <f ca="1">IF(ATALI[[#This Row],[//]]="","",INDEX([4]!db[NB PAJAK],ATALI[[#This Row],[stt]]-1))</f>
        <v/>
      </c>
      <c r="K332" s="6" t="str">
        <f ca="1">IF(ATALI[[#This Row],[//]]="","",IF(INDEX([2]!NOTA[C],ATALI[[#This Row],[//]]-2)="","",INDEX([2]!NOTA[C],ATALI[[#This Row],[//]]-2)))</f>
        <v/>
      </c>
      <c r="L332" s="6" t="str">
        <f ca="1">IF(ATALI[[#This Row],[//]]="","",INDEX([2]!NOTA[QTY],ATALI[[#This Row],[//]]-2))</f>
        <v/>
      </c>
      <c r="M332" s="6" t="str">
        <f ca="1">IF(ATALI[[#This Row],[//]]="","",INDEX([2]!NOTA[STN],ATALI[[#This Row],[//]]-2))</f>
        <v/>
      </c>
      <c r="N332" s="5" t="str">
        <f ca="1">IF(ATALI[[#This Row],[//]]="","",INDEX([2]!NOTA[HARGA SATUAN],ATALI[[#This Row],[//]]-2))</f>
        <v/>
      </c>
      <c r="O332" s="7" t="str">
        <f ca="1">IF(ATALI[[#This Row],[//]]="","",INDEX([2]!NOTA[DISC 1],ATALI[[#This Row],[//]]-2))</f>
        <v/>
      </c>
      <c r="P332" s="7" t="str">
        <f ca="1">IF(ATALI[[#This Row],[//]]="","",INDEX([2]!NOTA[DISC 2],ATALI[[#This Row],[//]]-2))</f>
        <v/>
      </c>
      <c r="Q332" s="5" t="str">
        <f ca="1">IF(ATALI[[#This Row],[//]]="","",INDEX([2]!NOTA[TOTAL],ATALI[[#This Row],[//]]-2))</f>
        <v/>
      </c>
      <c r="R3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2" s="4" t="str">
        <f ca="1">IF(ATALI[[#This Row],[//]]="","",INDEX([2]!NOTA[NAMA BARANG],ATALI[[#This Row],[//]]-2))</f>
        <v/>
      </c>
      <c r="V332" s="4" t="str">
        <f ca="1">LOWER(SUBSTITUTE(SUBSTITUTE(SUBSTITUTE(SUBSTITUTE(SUBSTITUTE(SUBSTITUTE(SUBSTITUTE(ATALI[[#This Row],[N.B.nota]]," ",""),"-",""),"(",""),")",""),".",""),",",""),"/",""))</f>
        <v/>
      </c>
      <c r="W332" s="4" t="str">
        <f ca="1">IF(ATALI[[#This Row],[concat]]="","",MATCH(ATALI[[#This Row],[concat]],[4]!db[NB NOTA_C],0)+1)</f>
        <v/>
      </c>
      <c r="X332" s="4" t="str">
        <f ca="1">IF(ATALI[[#This Row],[N.B.nota]]="","",ADDRESS(ROW(ATALI[QB]),COLUMN(ATALI[QB]))&amp;":"&amp;ADDRESS(ROW(),COLUMN(ATALI[QB])))</f>
        <v/>
      </c>
      <c r="Y332" s="13" t="str">
        <f ca="1">IF(ATALI[[#This Row],[//]]="","",HYPERLINK("[../DB.xlsx]DB!e"&amp;MATCH(ATALI[[#This Row],[concat]],[4]!db[NB NOTA_C],0)+1,"&gt;"))</f>
        <v/>
      </c>
    </row>
    <row r="333" spans="1:25" x14ac:dyDescent="0.25">
      <c r="A333" s="4"/>
      <c r="B333" s="6" t="str">
        <f>IF(ATALI[[#This Row],[N_ID]]="","",INDEX(Table1[ID],MATCH(ATALI[[#This Row],[N_ID]],Table1[N_ID],0)))</f>
        <v/>
      </c>
      <c r="C333" s="6" t="str">
        <f>IF(ATALI[[#This Row],[ID NOTA]]="","",HYPERLINK("[NOTA_.xlsx]NOTA!e"&amp;INDEX([2]!PAJAK[//],MATCH(ATALI[[#This Row],[ID NOTA]],[2]!PAJAK[ID],0)),"&gt;") )</f>
        <v/>
      </c>
      <c r="D333" s="6" t="str">
        <f>IF(ATALI[[#This Row],[ID NOTA]]="","",INDEX(Table1[QB],MATCH(ATALI[[#This Row],[ID NOTA]],Table1[ID],0)))</f>
        <v/>
      </c>
      <c r="E3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3" s="6"/>
      <c r="G333" s="3" t="str">
        <f>IF(ATALI[[#This Row],[ID NOTA]]="","",INDEX([2]!NOTA[TGL_H],MATCH(ATALI[[#This Row],[ID NOTA]],[2]!NOTA[ID],0)))</f>
        <v/>
      </c>
      <c r="H333" s="3" t="str">
        <f>IF(ATALI[[#This Row],[ID NOTA]]="","",INDEX([2]!NOTA[TGL.NOTA],MATCH(ATALI[[#This Row],[ID NOTA]],[2]!NOTA[ID],0)))</f>
        <v/>
      </c>
      <c r="I333" s="4" t="str">
        <f>IF(ATALI[[#This Row],[ID NOTA]]="","",INDEX([2]!NOTA[NO.NOTA],MATCH(ATALI[[#This Row],[ID NOTA]],[2]!NOTA[ID],0)))</f>
        <v/>
      </c>
      <c r="J333" s="4" t="str">
        <f ca="1">IF(ATALI[[#This Row],[//]]="","",INDEX([4]!db[NB PAJAK],ATALI[[#This Row],[stt]]-1))</f>
        <v/>
      </c>
      <c r="K333" s="6" t="str">
        <f ca="1">IF(ATALI[[#This Row],[//]]="","",IF(INDEX([2]!NOTA[C],ATALI[[#This Row],[//]]-2)="","",INDEX([2]!NOTA[C],ATALI[[#This Row],[//]]-2)))</f>
        <v/>
      </c>
      <c r="L333" s="6" t="str">
        <f ca="1">IF(ATALI[[#This Row],[//]]="","",INDEX([2]!NOTA[QTY],ATALI[[#This Row],[//]]-2))</f>
        <v/>
      </c>
      <c r="M333" s="6" t="str">
        <f ca="1">IF(ATALI[[#This Row],[//]]="","",INDEX([2]!NOTA[STN],ATALI[[#This Row],[//]]-2))</f>
        <v/>
      </c>
      <c r="N333" s="5" t="str">
        <f ca="1">IF(ATALI[[#This Row],[//]]="","",INDEX([2]!NOTA[HARGA SATUAN],ATALI[[#This Row],[//]]-2))</f>
        <v/>
      </c>
      <c r="O333" s="7" t="str">
        <f ca="1">IF(ATALI[[#This Row],[//]]="","",INDEX([2]!NOTA[DISC 1],ATALI[[#This Row],[//]]-2))</f>
        <v/>
      </c>
      <c r="P333" s="7" t="str">
        <f ca="1">IF(ATALI[[#This Row],[//]]="","",INDEX([2]!NOTA[DISC 2],ATALI[[#This Row],[//]]-2))</f>
        <v/>
      </c>
      <c r="Q333" s="5" t="str">
        <f ca="1">IF(ATALI[[#This Row],[//]]="","",INDEX([2]!NOTA[TOTAL],ATALI[[#This Row],[//]]-2))</f>
        <v/>
      </c>
      <c r="R3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3" s="4" t="str">
        <f ca="1">IF(ATALI[[#This Row],[//]]="","",INDEX([2]!NOTA[NAMA BARANG],ATALI[[#This Row],[//]]-2))</f>
        <v/>
      </c>
      <c r="V333" s="4" t="str">
        <f ca="1">LOWER(SUBSTITUTE(SUBSTITUTE(SUBSTITUTE(SUBSTITUTE(SUBSTITUTE(SUBSTITUTE(SUBSTITUTE(ATALI[[#This Row],[N.B.nota]]," ",""),"-",""),"(",""),")",""),".",""),",",""),"/",""))</f>
        <v/>
      </c>
      <c r="W333" s="4" t="str">
        <f ca="1">IF(ATALI[[#This Row],[concat]]="","",MATCH(ATALI[[#This Row],[concat]],[4]!db[NB NOTA_C],0)+1)</f>
        <v/>
      </c>
      <c r="X333" s="4" t="str">
        <f ca="1">IF(ATALI[[#This Row],[N.B.nota]]="","",ADDRESS(ROW(ATALI[QB]),COLUMN(ATALI[QB]))&amp;":"&amp;ADDRESS(ROW(),COLUMN(ATALI[QB])))</f>
        <v/>
      </c>
      <c r="Y333" s="13" t="str">
        <f ca="1">IF(ATALI[[#This Row],[//]]="","",HYPERLINK("[../DB.xlsx]DB!e"&amp;MATCH(ATALI[[#This Row],[concat]],[4]!db[NB NOTA_C],0)+1,"&gt;"))</f>
        <v/>
      </c>
    </row>
    <row r="334" spans="1:25" x14ac:dyDescent="0.25">
      <c r="A334" s="4"/>
      <c r="B334" s="6" t="str">
        <f>IF(ATALI[[#This Row],[N_ID]]="","",INDEX(Table1[ID],MATCH(ATALI[[#This Row],[N_ID]],Table1[N_ID],0)))</f>
        <v/>
      </c>
      <c r="C334" s="6" t="str">
        <f>IF(ATALI[[#This Row],[ID NOTA]]="","",HYPERLINK("[NOTA_.xlsx]NOTA!e"&amp;INDEX([2]!PAJAK[//],MATCH(ATALI[[#This Row],[ID NOTA]],[2]!PAJAK[ID],0)),"&gt;") )</f>
        <v/>
      </c>
      <c r="D334" s="6" t="str">
        <f>IF(ATALI[[#This Row],[ID NOTA]]="","",INDEX(Table1[QB],MATCH(ATALI[[#This Row],[ID NOTA]],Table1[ID],0)))</f>
        <v/>
      </c>
      <c r="E3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4" s="6"/>
      <c r="G334" s="3" t="str">
        <f>IF(ATALI[[#This Row],[ID NOTA]]="","",INDEX([2]!NOTA[TGL_H],MATCH(ATALI[[#This Row],[ID NOTA]],[2]!NOTA[ID],0)))</f>
        <v/>
      </c>
      <c r="H334" s="3" t="str">
        <f>IF(ATALI[[#This Row],[ID NOTA]]="","",INDEX([2]!NOTA[TGL.NOTA],MATCH(ATALI[[#This Row],[ID NOTA]],[2]!NOTA[ID],0)))</f>
        <v/>
      </c>
      <c r="I334" s="4" t="str">
        <f>IF(ATALI[[#This Row],[ID NOTA]]="","",INDEX([2]!NOTA[NO.NOTA],MATCH(ATALI[[#This Row],[ID NOTA]],[2]!NOTA[ID],0)))</f>
        <v/>
      </c>
      <c r="J334" s="4" t="str">
        <f ca="1">IF(ATALI[[#This Row],[//]]="","",INDEX([4]!db[NB PAJAK],ATALI[[#This Row],[stt]]-1))</f>
        <v/>
      </c>
      <c r="K334" s="6" t="str">
        <f ca="1">IF(ATALI[[#This Row],[//]]="","",IF(INDEX([2]!NOTA[C],ATALI[[#This Row],[//]]-2)="","",INDEX([2]!NOTA[C],ATALI[[#This Row],[//]]-2)))</f>
        <v/>
      </c>
      <c r="L334" s="6" t="str">
        <f ca="1">IF(ATALI[[#This Row],[//]]="","",INDEX([2]!NOTA[QTY],ATALI[[#This Row],[//]]-2))</f>
        <v/>
      </c>
      <c r="M334" s="6" t="str">
        <f ca="1">IF(ATALI[[#This Row],[//]]="","",INDEX([2]!NOTA[STN],ATALI[[#This Row],[//]]-2))</f>
        <v/>
      </c>
      <c r="N334" s="5" t="str">
        <f ca="1">IF(ATALI[[#This Row],[//]]="","",INDEX([2]!NOTA[HARGA SATUAN],ATALI[[#This Row],[//]]-2))</f>
        <v/>
      </c>
      <c r="O334" s="7" t="str">
        <f ca="1">IF(ATALI[[#This Row],[//]]="","",INDEX([2]!NOTA[DISC 1],ATALI[[#This Row],[//]]-2))</f>
        <v/>
      </c>
      <c r="P334" s="7" t="str">
        <f ca="1">IF(ATALI[[#This Row],[//]]="","",INDEX([2]!NOTA[DISC 2],ATALI[[#This Row],[//]]-2))</f>
        <v/>
      </c>
      <c r="Q334" s="5" t="str">
        <f ca="1">IF(ATALI[[#This Row],[//]]="","",INDEX([2]!NOTA[TOTAL],ATALI[[#This Row],[//]]-2))</f>
        <v/>
      </c>
      <c r="R3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4" s="4" t="str">
        <f ca="1">IF(ATALI[[#This Row],[//]]="","",INDEX([2]!NOTA[NAMA BARANG],ATALI[[#This Row],[//]]-2))</f>
        <v/>
      </c>
      <c r="V334" s="4" t="str">
        <f ca="1">LOWER(SUBSTITUTE(SUBSTITUTE(SUBSTITUTE(SUBSTITUTE(SUBSTITUTE(SUBSTITUTE(SUBSTITUTE(ATALI[[#This Row],[N.B.nota]]," ",""),"-",""),"(",""),")",""),".",""),",",""),"/",""))</f>
        <v/>
      </c>
      <c r="W334" s="4" t="str">
        <f ca="1">IF(ATALI[[#This Row],[concat]]="","",MATCH(ATALI[[#This Row],[concat]],[4]!db[NB NOTA_C],0)+1)</f>
        <v/>
      </c>
      <c r="X334" s="4" t="str">
        <f ca="1">IF(ATALI[[#This Row],[N.B.nota]]="","",ADDRESS(ROW(ATALI[QB]),COLUMN(ATALI[QB]))&amp;":"&amp;ADDRESS(ROW(),COLUMN(ATALI[QB])))</f>
        <v/>
      </c>
      <c r="Y334" s="13" t="str">
        <f ca="1">IF(ATALI[[#This Row],[//]]="","",HYPERLINK("[../DB.xlsx]DB!e"&amp;MATCH(ATALI[[#This Row],[concat]],[4]!db[NB NOTA_C],0)+1,"&gt;"))</f>
        <v/>
      </c>
    </row>
    <row r="335" spans="1:25" x14ac:dyDescent="0.25">
      <c r="A335" s="4"/>
      <c r="B335" s="6" t="str">
        <f>IF(ATALI[[#This Row],[N_ID]]="","",INDEX(Table1[ID],MATCH(ATALI[[#This Row],[N_ID]],Table1[N_ID],0)))</f>
        <v/>
      </c>
      <c r="C335" s="6" t="str">
        <f>IF(ATALI[[#This Row],[ID NOTA]]="","",HYPERLINK("[NOTA_.xlsx]NOTA!e"&amp;INDEX([2]!PAJAK[//],MATCH(ATALI[[#This Row],[ID NOTA]],[2]!PAJAK[ID],0)),"&gt;") )</f>
        <v/>
      </c>
      <c r="D335" s="6" t="str">
        <f>IF(ATALI[[#This Row],[ID NOTA]]="","",INDEX(Table1[QB],MATCH(ATALI[[#This Row],[ID NOTA]],Table1[ID],0)))</f>
        <v/>
      </c>
      <c r="E3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5" s="6"/>
      <c r="G335" s="3" t="str">
        <f>IF(ATALI[[#This Row],[ID NOTA]]="","",INDEX([2]!NOTA[TGL_H],MATCH(ATALI[[#This Row],[ID NOTA]],[2]!NOTA[ID],0)))</f>
        <v/>
      </c>
      <c r="H335" s="3" t="str">
        <f>IF(ATALI[[#This Row],[ID NOTA]]="","",INDEX([2]!NOTA[TGL.NOTA],MATCH(ATALI[[#This Row],[ID NOTA]],[2]!NOTA[ID],0)))</f>
        <v/>
      </c>
      <c r="I335" s="4" t="str">
        <f>IF(ATALI[[#This Row],[ID NOTA]]="","",INDEX([2]!NOTA[NO.NOTA],MATCH(ATALI[[#This Row],[ID NOTA]],[2]!NOTA[ID],0)))</f>
        <v/>
      </c>
      <c r="J335" s="4" t="str">
        <f ca="1">IF(ATALI[[#This Row],[//]]="","",INDEX([4]!db[NB PAJAK],ATALI[[#This Row],[stt]]-1))</f>
        <v/>
      </c>
      <c r="K335" s="6" t="str">
        <f ca="1">IF(ATALI[[#This Row],[//]]="","",IF(INDEX([2]!NOTA[C],ATALI[[#This Row],[//]]-2)="","",INDEX([2]!NOTA[C],ATALI[[#This Row],[//]]-2)))</f>
        <v/>
      </c>
      <c r="L335" s="6" t="str">
        <f ca="1">IF(ATALI[[#This Row],[//]]="","",INDEX([2]!NOTA[QTY],ATALI[[#This Row],[//]]-2))</f>
        <v/>
      </c>
      <c r="M335" s="6" t="str">
        <f ca="1">IF(ATALI[[#This Row],[//]]="","",INDEX([2]!NOTA[STN],ATALI[[#This Row],[//]]-2))</f>
        <v/>
      </c>
      <c r="N335" s="5" t="str">
        <f ca="1">IF(ATALI[[#This Row],[//]]="","",INDEX([2]!NOTA[HARGA SATUAN],ATALI[[#This Row],[//]]-2))</f>
        <v/>
      </c>
      <c r="O335" s="7" t="str">
        <f ca="1">IF(ATALI[[#This Row],[//]]="","",INDEX([2]!NOTA[DISC 1],ATALI[[#This Row],[//]]-2))</f>
        <v/>
      </c>
      <c r="P335" s="7" t="str">
        <f ca="1">IF(ATALI[[#This Row],[//]]="","",INDEX([2]!NOTA[DISC 2],ATALI[[#This Row],[//]]-2))</f>
        <v/>
      </c>
      <c r="Q335" s="5" t="str">
        <f ca="1">IF(ATALI[[#This Row],[//]]="","",INDEX([2]!NOTA[TOTAL],ATALI[[#This Row],[//]]-2))</f>
        <v/>
      </c>
      <c r="R3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5" s="4" t="str">
        <f ca="1">IF(ATALI[[#This Row],[//]]="","",INDEX([2]!NOTA[NAMA BARANG],ATALI[[#This Row],[//]]-2))</f>
        <v/>
      </c>
      <c r="V335" s="4" t="str">
        <f ca="1">LOWER(SUBSTITUTE(SUBSTITUTE(SUBSTITUTE(SUBSTITUTE(SUBSTITUTE(SUBSTITUTE(SUBSTITUTE(ATALI[[#This Row],[N.B.nota]]," ",""),"-",""),"(",""),")",""),".",""),",",""),"/",""))</f>
        <v/>
      </c>
      <c r="W335" s="4" t="str">
        <f ca="1">IF(ATALI[[#This Row],[concat]]="","",MATCH(ATALI[[#This Row],[concat]],[4]!db[NB NOTA_C],0)+1)</f>
        <v/>
      </c>
      <c r="X335" s="4" t="str">
        <f ca="1">IF(ATALI[[#This Row],[N.B.nota]]="","",ADDRESS(ROW(ATALI[QB]),COLUMN(ATALI[QB]))&amp;":"&amp;ADDRESS(ROW(),COLUMN(ATALI[QB])))</f>
        <v/>
      </c>
      <c r="Y335" s="13" t="str">
        <f ca="1">IF(ATALI[[#This Row],[//]]="","",HYPERLINK("[../DB.xlsx]DB!e"&amp;MATCH(ATALI[[#This Row],[concat]],[4]!db[NB NOTA_C],0)+1,"&gt;"))</f>
        <v/>
      </c>
    </row>
    <row r="336" spans="1:25" x14ac:dyDescent="0.25">
      <c r="A336" s="4"/>
      <c r="B336" s="6" t="str">
        <f>IF(ATALI[[#This Row],[N_ID]]="","",INDEX(Table1[ID],MATCH(ATALI[[#This Row],[N_ID]],Table1[N_ID],0)))</f>
        <v/>
      </c>
      <c r="C336" s="6" t="str">
        <f>IF(ATALI[[#This Row],[ID NOTA]]="","",HYPERLINK("[NOTA_.xlsx]NOTA!e"&amp;INDEX([2]!PAJAK[//],MATCH(ATALI[[#This Row],[ID NOTA]],[2]!PAJAK[ID],0)),"&gt;") )</f>
        <v/>
      </c>
      <c r="D336" s="6" t="str">
        <f>IF(ATALI[[#This Row],[ID NOTA]]="","",INDEX(Table1[QB],MATCH(ATALI[[#This Row],[ID NOTA]],Table1[ID],0)))</f>
        <v/>
      </c>
      <c r="E3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6" s="6"/>
      <c r="G336" s="3" t="str">
        <f>IF(ATALI[[#This Row],[ID NOTA]]="","",INDEX([2]!NOTA[TGL_H],MATCH(ATALI[[#This Row],[ID NOTA]],[2]!NOTA[ID],0)))</f>
        <v/>
      </c>
      <c r="H336" s="3" t="str">
        <f>IF(ATALI[[#This Row],[ID NOTA]]="","",INDEX([2]!NOTA[TGL.NOTA],MATCH(ATALI[[#This Row],[ID NOTA]],[2]!NOTA[ID],0)))</f>
        <v/>
      </c>
      <c r="I336" s="4" t="str">
        <f>IF(ATALI[[#This Row],[ID NOTA]]="","",INDEX([2]!NOTA[NO.NOTA],MATCH(ATALI[[#This Row],[ID NOTA]],[2]!NOTA[ID],0)))</f>
        <v/>
      </c>
      <c r="J336" s="4" t="str">
        <f ca="1">IF(ATALI[[#This Row],[//]]="","",INDEX([4]!db[NB PAJAK],ATALI[[#This Row],[stt]]-1))</f>
        <v/>
      </c>
      <c r="K336" s="6" t="str">
        <f ca="1">IF(ATALI[[#This Row],[//]]="","",IF(INDEX([2]!NOTA[C],ATALI[[#This Row],[//]]-2)="","",INDEX([2]!NOTA[C],ATALI[[#This Row],[//]]-2)))</f>
        <v/>
      </c>
      <c r="L336" s="6" t="str">
        <f ca="1">IF(ATALI[[#This Row],[//]]="","",INDEX([2]!NOTA[QTY],ATALI[[#This Row],[//]]-2))</f>
        <v/>
      </c>
      <c r="M336" s="6" t="str">
        <f ca="1">IF(ATALI[[#This Row],[//]]="","",INDEX([2]!NOTA[STN],ATALI[[#This Row],[//]]-2))</f>
        <v/>
      </c>
      <c r="N336" s="5" t="str">
        <f ca="1">IF(ATALI[[#This Row],[//]]="","",INDEX([2]!NOTA[HARGA SATUAN],ATALI[[#This Row],[//]]-2))</f>
        <v/>
      </c>
      <c r="O336" s="7" t="str">
        <f ca="1">IF(ATALI[[#This Row],[//]]="","",INDEX([2]!NOTA[DISC 1],ATALI[[#This Row],[//]]-2))</f>
        <v/>
      </c>
      <c r="P336" s="7" t="str">
        <f ca="1">IF(ATALI[[#This Row],[//]]="","",INDEX([2]!NOTA[DISC 2],ATALI[[#This Row],[//]]-2))</f>
        <v/>
      </c>
      <c r="Q336" s="5" t="str">
        <f ca="1">IF(ATALI[[#This Row],[//]]="","",INDEX([2]!NOTA[TOTAL],ATALI[[#This Row],[//]]-2))</f>
        <v/>
      </c>
      <c r="R3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6" s="4" t="str">
        <f ca="1">IF(ATALI[[#This Row],[//]]="","",INDEX([2]!NOTA[NAMA BARANG],ATALI[[#This Row],[//]]-2))</f>
        <v/>
      </c>
      <c r="V336" s="4" t="str">
        <f ca="1">LOWER(SUBSTITUTE(SUBSTITUTE(SUBSTITUTE(SUBSTITUTE(SUBSTITUTE(SUBSTITUTE(SUBSTITUTE(ATALI[[#This Row],[N.B.nota]]," ",""),"-",""),"(",""),")",""),".",""),",",""),"/",""))</f>
        <v/>
      </c>
      <c r="W336" s="4" t="str">
        <f ca="1">IF(ATALI[[#This Row],[concat]]="","",MATCH(ATALI[[#This Row],[concat]],[4]!db[NB NOTA_C],0)+1)</f>
        <v/>
      </c>
      <c r="X336" s="4" t="str">
        <f ca="1">IF(ATALI[[#This Row],[N.B.nota]]="","",ADDRESS(ROW(ATALI[QB]),COLUMN(ATALI[QB]))&amp;":"&amp;ADDRESS(ROW(),COLUMN(ATALI[QB])))</f>
        <v/>
      </c>
      <c r="Y336" s="13" t="str">
        <f ca="1">IF(ATALI[[#This Row],[//]]="","",HYPERLINK("[../DB.xlsx]DB!e"&amp;MATCH(ATALI[[#This Row],[concat]],[4]!db[NB NOTA_C],0)+1,"&gt;"))</f>
        <v/>
      </c>
    </row>
    <row r="337" spans="1:25" x14ac:dyDescent="0.25">
      <c r="A337" s="4"/>
      <c r="B337" s="6" t="str">
        <f>IF(ATALI[[#This Row],[N_ID]]="","",INDEX(Table1[ID],MATCH(ATALI[[#This Row],[N_ID]],Table1[N_ID],0)))</f>
        <v/>
      </c>
      <c r="C337" s="6" t="str">
        <f>IF(ATALI[[#This Row],[ID NOTA]]="","",HYPERLINK("[NOTA_.xlsx]NOTA!e"&amp;INDEX([2]!PAJAK[//],MATCH(ATALI[[#This Row],[ID NOTA]],[2]!PAJAK[ID],0)),"&gt;") )</f>
        <v/>
      </c>
      <c r="D337" s="6" t="str">
        <f>IF(ATALI[[#This Row],[ID NOTA]]="","",INDEX(Table1[QB],MATCH(ATALI[[#This Row],[ID NOTA]],Table1[ID],0)))</f>
        <v/>
      </c>
      <c r="E3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7" s="6"/>
      <c r="G337" s="3" t="str">
        <f>IF(ATALI[[#This Row],[ID NOTA]]="","",INDEX([2]!NOTA[TGL_H],MATCH(ATALI[[#This Row],[ID NOTA]],[2]!NOTA[ID],0)))</f>
        <v/>
      </c>
      <c r="H337" s="3" t="str">
        <f>IF(ATALI[[#This Row],[ID NOTA]]="","",INDEX([2]!NOTA[TGL.NOTA],MATCH(ATALI[[#This Row],[ID NOTA]],[2]!NOTA[ID],0)))</f>
        <v/>
      </c>
      <c r="I337" s="4" t="str">
        <f>IF(ATALI[[#This Row],[ID NOTA]]="","",INDEX([2]!NOTA[NO.NOTA],MATCH(ATALI[[#This Row],[ID NOTA]],[2]!NOTA[ID],0)))</f>
        <v/>
      </c>
      <c r="J337" s="4" t="str">
        <f ca="1">IF(ATALI[[#This Row],[//]]="","",INDEX([4]!db[NB PAJAK],ATALI[[#This Row],[stt]]-1))</f>
        <v/>
      </c>
      <c r="K337" s="6" t="str">
        <f ca="1">IF(ATALI[[#This Row],[//]]="","",IF(INDEX([2]!NOTA[C],ATALI[[#This Row],[//]]-2)="","",INDEX([2]!NOTA[C],ATALI[[#This Row],[//]]-2)))</f>
        <v/>
      </c>
      <c r="L337" s="6" t="str">
        <f ca="1">IF(ATALI[[#This Row],[//]]="","",INDEX([2]!NOTA[QTY],ATALI[[#This Row],[//]]-2))</f>
        <v/>
      </c>
      <c r="M337" s="6" t="str">
        <f ca="1">IF(ATALI[[#This Row],[//]]="","",INDEX([2]!NOTA[STN],ATALI[[#This Row],[//]]-2))</f>
        <v/>
      </c>
      <c r="N337" s="5" t="str">
        <f ca="1">IF(ATALI[[#This Row],[//]]="","",INDEX([2]!NOTA[HARGA SATUAN],ATALI[[#This Row],[//]]-2))</f>
        <v/>
      </c>
      <c r="O337" s="7" t="str">
        <f ca="1">IF(ATALI[[#This Row],[//]]="","",INDEX([2]!NOTA[DISC 1],ATALI[[#This Row],[//]]-2))</f>
        <v/>
      </c>
      <c r="P337" s="7" t="str">
        <f ca="1">IF(ATALI[[#This Row],[//]]="","",INDEX([2]!NOTA[DISC 2],ATALI[[#This Row],[//]]-2))</f>
        <v/>
      </c>
      <c r="Q337" s="5" t="str">
        <f ca="1">IF(ATALI[[#This Row],[//]]="","",INDEX([2]!NOTA[TOTAL],ATALI[[#This Row],[//]]-2))</f>
        <v/>
      </c>
      <c r="R3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7" s="4" t="str">
        <f ca="1">IF(ATALI[[#This Row],[//]]="","",INDEX([2]!NOTA[NAMA BARANG],ATALI[[#This Row],[//]]-2))</f>
        <v/>
      </c>
      <c r="V337" s="4" t="str">
        <f ca="1">LOWER(SUBSTITUTE(SUBSTITUTE(SUBSTITUTE(SUBSTITUTE(SUBSTITUTE(SUBSTITUTE(SUBSTITUTE(ATALI[[#This Row],[N.B.nota]]," ",""),"-",""),"(",""),")",""),".",""),",",""),"/",""))</f>
        <v/>
      </c>
      <c r="W337" s="4" t="str">
        <f ca="1">IF(ATALI[[#This Row],[concat]]="","",MATCH(ATALI[[#This Row],[concat]],[4]!db[NB NOTA_C],0)+1)</f>
        <v/>
      </c>
      <c r="X337" s="4" t="str">
        <f ca="1">IF(ATALI[[#This Row],[N.B.nota]]="","",ADDRESS(ROW(ATALI[QB]),COLUMN(ATALI[QB]))&amp;":"&amp;ADDRESS(ROW(),COLUMN(ATALI[QB])))</f>
        <v/>
      </c>
      <c r="Y337" s="13" t="str">
        <f ca="1">IF(ATALI[[#This Row],[//]]="","",HYPERLINK("[../DB.xlsx]DB!e"&amp;MATCH(ATALI[[#This Row],[concat]],[4]!db[NB NOTA_C],0)+1,"&gt;"))</f>
        <v/>
      </c>
    </row>
    <row r="338" spans="1:25" x14ac:dyDescent="0.25">
      <c r="A338" s="4"/>
      <c r="B338" s="6" t="str">
        <f>IF(ATALI[[#This Row],[N_ID]]="","",INDEX(Table1[ID],MATCH(ATALI[[#This Row],[N_ID]],Table1[N_ID],0)))</f>
        <v/>
      </c>
      <c r="C338" s="6" t="str">
        <f>IF(ATALI[[#This Row],[ID NOTA]]="","",HYPERLINK("[NOTA_.xlsx]NOTA!e"&amp;INDEX([2]!PAJAK[//],MATCH(ATALI[[#This Row],[ID NOTA]],[2]!PAJAK[ID],0)),"&gt;") )</f>
        <v/>
      </c>
      <c r="D338" s="6" t="str">
        <f>IF(ATALI[[#This Row],[ID NOTA]]="","",INDEX(Table1[QB],MATCH(ATALI[[#This Row],[ID NOTA]],Table1[ID],0)))</f>
        <v/>
      </c>
      <c r="E3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8" s="6"/>
      <c r="G338" s="3" t="str">
        <f>IF(ATALI[[#This Row],[ID NOTA]]="","",INDEX([2]!NOTA[TGL_H],MATCH(ATALI[[#This Row],[ID NOTA]],[2]!NOTA[ID],0)))</f>
        <v/>
      </c>
      <c r="H338" s="3" t="str">
        <f>IF(ATALI[[#This Row],[ID NOTA]]="","",INDEX([2]!NOTA[TGL.NOTA],MATCH(ATALI[[#This Row],[ID NOTA]],[2]!NOTA[ID],0)))</f>
        <v/>
      </c>
      <c r="I338" s="4" t="str">
        <f>IF(ATALI[[#This Row],[ID NOTA]]="","",INDEX([2]!NOTA[NO.NOTA],MATCH(ATALI[[#This Row],[ID NOTA]],[2]!NOTA[ID],0)))</f>
        <v/>
      </c>
      <c r="J338" s="4" t="str">
        <f ca="1">IF(ATALI[[#This Row],[//]]="","",INDEX([4]!db[NB PAJAK],ATALI[[#This Row],[stt]]-1))</f>
        <v/>
      </c>
      <c r="K338" s="6" t="str">
        <f ca="1">IF(ATALI[[#This Row],[//]]="","",IF(INDEX([2]!NOTA[C],ATALI[[#This Row],[//]]-2)="","",INDEX([2]!NOTA[C],ATALI[[#This Row],[//]]-2)))</f>
        <v/>
      </c>
      <c r="L338" s="6" t="str">
        <f ca="1">IF(ATALI[[#This Row],[//]]="","",INDEX([2]!NOTA[QTY],ATALI[[#This Row],[//]]-2))</f>
        <v/>
      </c>
      <c r="M338" s="6" t="str">
        <f ca="1">IF(ATALI[[#This Row],[//]]="","",INDEX([2]!NOTA[STN],ATALI[[#This Row],[//]]-2))</f>
        <v/>
      </c>
      <c r="N338" s="5" t="str">
        <f ca="1">IF(ATALI[[#This Row],[//]]="","",INDEX([2]!NOTA[HARGA SATUAN],ATALI[[#This Row],[//]]-2))</f>
        <v/>
      </c>
      <c r="O338" s="7" t="str">
        <f ca="1">IF(ATALI[[#This Row],[//]]="","",INDEX([2]!NOTA[DISC 1],ATALI[[#This Row],[//]]-2))</f>
        <v/>
      </c>
      <c r="P338" s="7" t="str">
        <f ca="1">IF(ATALI[[#This Row],[//]]="","",INDEX([2]!NOTA[DISC 2],ATALI[[#This Row],[//]]-2))</f>
        <v/>
      </c>
      <c r="Q338" s="5" t="str">
        <f ca="1">IF(ATALI[[#This Row],[//]]="","",INDEX([2]!NOTA[TOTAL],ATALI[[#This Row],[//]]-2))</f>
        <v/>
      </c>
      <c r="R3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8" s="4" t="str">
        <f ca="1">IF(ATALI[[#This Row],[//]]="","",INDEX([2]!NOTA[NAMA BARANG],ATALI[[#This Row],[//]]-2))</f>
        <v/>
      </c>
      <c r="V338" s="4" t="str">
        <f ca="1">LOWER(SUBSTITUTE(SUBSTITUTE(SUBSTITUTE(SUBSTITUTE(SUBSTITUTE(SUBSTITUTE(SUBSTITUTE(ATALI[[#This Row],[N.B.nota]]," ",""),"-",""),"(",""),")",""),".",""),",",""),"/",""))</f>
        <v/>
      </c>
      <c r="W338" s="4" t="str">
        <f ca="1">IF(ATALI[[#This Row],[concat]]="","",MATCH(ATALI[[#This Row],[concat]],[4]!db[NB NOTA_C],0)+1)</f>
        <v/>
      </c>
      <c r="X338" s="4" t="str">
        <f ca="1">IF(ATALI[[#This Row],[N.B.nota]]="","",ADDRESS(ROW(ATALI[QB]),COLUMN(ATALI[QB]))&amp;":"&amp;ADDRESS(ROW(),COLUMN(ATALI[QB])))</f>
        <v/>
      </c>
      <c r="Y338" s="13" t="str">
        <f ca="1">IF(ATALI[[#This Row],[//]]="","",HYPERLINK("[../DB.xlsx]DB!e"&amp;MATCH(ATALI[[#This Row],[concat]],[4]!db[NB NOTA_C],0)+1,"&gt;"))</f>
        <v/>
      </c>
    </row>
    <row r="339" spans="1:25" x14ac:dyDescent="0.25">
      <c r="A339" s="4"/>
      <c r="B339" s="6" t="str">
        <f>IF(ATALI[[#This Row],[N_ID]]="","",INDEX(Table1[ID],MATCH(ATALI[[#This Row],[N_ID]],Table1[N_ID],0)))</f>
        <v/>
      </c>
      <c r="C339" s="6" t="str">
        <f>IF(ATALI[[#This Row],[ID NOTA]]="","",HYPERLINK("[NOTA_.xlsx]NOTA!e"&amp;INDEX([2]!PAJAK[//],MATCH(ATALI[[#This Row],[ID NOTA]],[2]!PAJAK[ID],0)),"&gt;") )</f>
        <v/>
      </c>
      <c r="D339" s="6" t="str">
        <f>IF(ATALI[[#This Row],[ID NOTA]]="","",INDEX(Table1[QB],MATCH(ATALI[[#This Row],[ID NOTA]],Table1[ID],0)))</f>
        <v/>
      </c>
      <c r="E3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9" s="6"/>
      <c r="G339" s="3" t="str">
        <f>IF(ATALI[[#This Row],[ID NOTA]]="","",INDEX([2]!NOTA[TGL_H],MATCH(ATALI[[#This Row],[ID NOTA]],[2]!NOTA[ID],0)))</f>
        <v/>
      </c>
      <c r="H339" s="3" t="str">
        <f>IF(ATALI[[#This Row],[ID NOTA]]="","",INDEX([2]!NOTA[TGL.NOTA],MATCH(ATALI[[#This Row],[ID NOTA]],[2]!NOTA[ID],0)))</f>
        <v/>
      </c>
      <c r="I339" s="4" t="str">
        <f>IF(ATALI[[#This Row],[ID NOTA]]="","",INDEX([2]!NOTA[NO.NOTA],MATCH(ATALI[[#This Row],[ID NOTA]],[2]!NOTA[ID],0)))</f>
        <v/>
      </c>
      <c r="J339" s="4" t="str">
        <f ca="1">IF(ATALI[[#This Row],[//]]="","",INDEX([4]!db[NB PAJAK],ATALI[[#This Row],[stt]]-1))</f>
        <v/>
      </c>
      <c r="K339" s="6" t="str">
        <f ca="1">IF(ATALI[[#This Row],[//]]="","",IF(INDEX([2]!NOTA[C],ATALI[[#This Row],[//]]-2)="","",INDEX([2]!NOTA[C],ATALI[[#This Row],[//]]-2)))</f>
        <v/>
      </c>
      <c r="L339" s="6" t="str">
        <f ca="1">IF(ATALI[[#This Row],[//]]="","",INDEX([2]!NOTA[QTY],ATALI[[#This Row],[//]]-2))</f>
        <v/>
      </c>
      <c r="M339" s="6" t="str">
        <f ca="1">IF(ATALI[[#This Row],[//]]="","",INDEX([2]!NOTA[STN],ATALI[[#This Row],[//]]-2))</f>
        <v/>
      </c>
      <c r="N339" s="5" t="str">
        <f ca="1">IF(ATALI[[#This Row],[//]]="","",INDEX([2]!NOTA[HARGA SATUAN],ATALI[[#This Row],[//]]-2))</f>
        <v/>
      </c>
      <c r="O339" s="7" t="str">
        <f ca="1">IF(ATALI[[#This Row],[//]]="","",INDEX([2]!NOTA[DISC 1],ATALI[[#This Row],[//]]-2))</f>
        <v/>
      </c>
      <c r="P339" s="7" t="str">
        <f ca="1">IF(ATALI[[#This Row],[//]]="","",INDEX([2]!NOTA[DISC 2],ATALI[[#This Row],[//]]-2))</f>
        <v/>
      </c>
      <c r="Q339" s="5" t="str">
        <f ca="1">IF(ATALI[[#This Row],[//]]="","",INDEX([2]!NOTA[TOTAL],ATALI[[#This Row],[//]]-2))</f>
        <v/>
      </c>
      <c r="R3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9" s="4" t="str">
        <f ca="1">IF(ATALI[[#This Row],[//]]="","",INDEX([2]!NOTA[NAMA BARANG],ATALI[[#This Row],[//]]-2))</f>
        <v/>
      </c>
      <c r="V339" s="4" t="str">
        <f ca="1">LOWER(SUBSTITUTE(SUBSTITUTE(SUBSTITUTE(SUBSTITUTE(SUBSTITUTE(SUBSTITUTE(SUBSTITUTE(ATALI[[#This Row],[N.B.nota]]," ",""),"-",""),"(",""),")",""),".",""),",",""),"/",""))</f>
        <v/>
      </c>
      <c r="W339" s="4" t="str">
        <f ca="1">IF(ATALI[[#This Row],[concat]]="","",MATCH(ATALI[[#This Row],[concat]],[4]!db[NB NOTA_C],0)+1)</f>
        <v/>
      </c>
      <c r="X339" s="4" t="str">
        <f ca="1">IF(ATALI[[#This Row],[N.B.nota]]="","",ADDRESS(ROW(ATALI[QB]),COLUMN(ATALI[QB]))&amp;":"&amp;ADDRESS(ROW(),COLUMN(ATALI[QB])))</f>
        <v/>
      </c>
      <c r="Y339" s="13" t="str">
        <f ca="1">IF(ATALI[[#This Row],[//]]="","",HYPERLINK("[../DB.xlsx]DB!e"&amp;MATCH(ATALI[[#This Row],[concat]],[4]!db[NB NOTA_C],0)+1,"&gt;"))</f>
        <v/>
      </c>
    </row>
    <row r="340" spans="1:25" x14ac:dyDescent="0.25">
      <c r="A340" s="4"/>
      <c r="B340" s="6" t="str">
        <f>IF(ATALI[[#This Row],[N_ID]]="","",INDEX(Table1[ID],MATCH(ATALI[[#This Row],[N_ID]],Table1[N_ID],0)))</f>
        <v/>
      </c>
      <c r="C340" s="6" t="str">
        <f>IF(ATALI[[#This Row],[ID NOTA]]="","",HYPERLINK("[NOTA_.xlsx]NOTA!e"&amp;INDEX([2]!PAJAK[//],MATCH(ATALI[[#This Row],[ID NOTA]],[2]!PAJAK[ID],0)),"&gt;") )</f>
        <v/>
      </c>
      <c r="D340" s="6" t="str">
        <f>IF(ATALI[[#This Row],[ID NOTA]]="","",INDEX(Table1[QB],MATCH(ATALI[[#This Row],[ID NOTA]],Table1[ID],0)))</f>
        <v/>
      </c>
      <c r="E3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0" s="6"/>
      <c r="G340" s="3" t="str">
        <f>IF(ATALI[[#This Row],[ID NOTA]]="","",INDEX([2]!NOTA[TGL_H],MATCH(ATALI[[#This Row],[ID NOTA]],[2]!NOTA[ID],0)))</f>
        <v/>
      </c>
      <c r="H340" s="3" t="str">
        <f>IF(ATALI[[#This Row],[ID NOTA]]="","",INDEX([2]!NOTA[TGL.NOTA],MATCH(ATALI[[#This Row],[ID NOTA]],[2]!NOTA[ID],0)))</f>
        <v/>
      </c>
      <c r="I340" s="4" t="str">
        <f>IF(ATALI[[#This Row],[ID NOTA]]="","",INDEX([2]!NOTA[NO.NOTA],MATCH(ATALI[[#This Row],[ID NOTA]],[2]!NOTA[ID],0)))</f>
        <v/>
      </c>
      <c r="J340" s="4" t="str">
        <f ca="1">IF(ATALI[[#This Row],[//]]="","",INDEX([4]!db[NB PAJAK],ATALI[[#This Row],[stt]]-1))</f>
        <v/>
      </c>
      <c r="K340" s="6" t="str">
        <f ca="1">IF(ATALI[[#This Row],[//]]="","",IF(INDEX([2]!NOTA[C],ATALI[[#This Row],[//]]-2)="","",INDEX([2]!NOTA[C],ATALI[[#This Row],[//]]-2)))</f>
        <v/>
      </c>
      <c r="L340" s="6" t="str">
        <f ca="1">IF(ATALI[[#This Row],[//]]="","",INDEX([2]!NOTA[QTY],ATALI[[#This Row],[//]]-2))</f>
        <v/>
      </c>
      <c r="M340" s="6" t="str">
        <f ca="1">IF(ATALI[[#This Row],[//]]="","",INDEX([2]!NOTA[STN],ATALI[[#This Row],[//]]-2))</f>
        <v/>
      </c>
      <c r="N340" s="5" t="str">
        <f ca="1">IF(ATALI[[#This Row],[//]]="","",INDEX([2]!NOTA[HARGA SATUAN],ATALI[[#This Row],[//]]-2))</f>
        <v/>
      </c>
      <c r="O340" s="7" t="str">
        <f ca="1">IF(ATALI[[#This Row],[//]]="","",INDEX([2]!NOTA[DISC 1],ATALI[[#This Row],[//]]-2))</f>
        <v/>
      </c>
      <c r="P340" s="7" t="str">
        <f ca="1">IF(ATALI[[#This Row],[//]]="","",INDEX([2]!NOTA[DISC 2],ATALI[[#This Row],[//]]-2))</f>
        <v/>
      </c>
      <c r="Q340" s="5" t="str">
        <f ca="1">IF(ATALI[[#This Row],[//]]="","",INDEX([2]!NOTA[TOTAL],ATALI[[#This Row],[//]]-2))</f>
        <v/>
      </c>
      <c r="R3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0" s="4" t="str">
        <f ca="1">IF(ATALI[[#This Row],[//]]="","",INDEX([2]!NOTA[NAMA BARANG],ATALI[[#This Row],[//]]-2))</f>
        <v/>
      </c>
      <c r="V340" s="4" t="str">
        <f ca="1">LOWER(SUBSTITUTE(SUBSTITUTE(SUBSTITUTE(SUBSTITUTE(SUBSTITUTE(SUBSTITUTE(SUBSTITUTE(ATALI[[#This Row],[N.B.nota]]," ",""),"-",""),"(",""),")",""),".",""),",",""),"/",""))</f>
        <v/>
      </c>
      <c r="W340" s="4" t="str">
        <f ca="1">IF(ATALI[[#This Row],[concat]]="","",MATCH(ATALI[[#This Row],[concat]],[4]!db[NB NOTA_C],0)+1)</f>
        <v/>
      </c>
      <c r="X340" s="4" t="str">
        <f ca="1">IF(ATALI[[#This Row],[N.B.nota]]="","",ADDRESS(ROW(ATALI[QB]),COLUMN(ATALI[QB]))&amp;":"&amp;ADDRESS(ROW(),COLUMN(ATALI[QB])))</f>
        <v/>
      </c>
      <c r="Y340" s="13" t="str">
        <f ca="1">IF(ATALI[[#This Row],[//]]="","",HYPERLINK("[../DB.xlsx]DB!e"&amp;MATCH(ATALI[[#This Row],[concat]],[4]!db[NB NOTA_C],0)+1,"&gt;"))</f>
        <v/>
      </c>
    </row>
    <row r="341" spans="1:25" x14ac:dyDescent="0.25">
      <c r="A341" s="4"/>
      <c r="B341" s="6" t="str">
        <f>IF(ATALI[[#This Row],[N_ID]]="","",INDEX(Table1[ID],MATCH(ATALI[[#This Row],[N_ID]],Table1[N_ID],0)))</f>
        <v/>
      </c>
      <c r="C341" s="6" t="str">
        <f>IF(ATALI[[#This Row],[ID NOTA]]="","",HYPERLINK("[NOTA_.xlsx]NOTA!e"&amp;INDEX([2]!PAJAK[//],MATCH(ATALI[[#This Row],[ID NOTA]],[2]!PAJAK[ID],0)),"&gt;") )</f>
        <v/>
      </c>
      <c r="D341" s="6" t="str">
        <f>IF(ATALI[[#This Row],[ID NOTA]]="","",INDEX(Table1[QB],MATCH(ATALI[[#This Row],[ID NOTA]],Table1[ID],0)))</f>
        <v/>
      </c>
      <c r="E3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1" s="6"/>
      <c r="G341" s="3" t="str">
        <f>IF(ATALI[[#This Row],[ID NOTA]]="","",INDEX([2]!NOTA[TGL_H],MATCH(ATALI[[#This Row],[ID NOTA]],[2]!NOTA[ID],0)))</f>
        <v/>
      </c>
      <c r="H341" s="3" t="str">
        <f>IF(ATALI[[#This Row],[ID NOTA]]="","",INDEX([2]!NOTA[TGL.NOTA],MATCH(ATALI[[#This Row],[ID NOTA]],[2]!NOTA[ID],0)))</f>
        <v/>
      </c>
      <c r="I341" s="4" t="str">
        <f>IF(ATALI[[#This Row],[ID NOTA]]="","",INDEX([2]!NOTA[NO.NOTA],MATCH(ATALI[[#This Row],[ID NOTA]],[2]!NOTA[ID],0)))</f>
        <v/>
      </c>
      <c r="J341" s="4" t="str">
        <f ca="1">IF(ATALI[[#This Row],[//]]="","",INDEX([4]!db[NB PAJAK],ATALI[[#This Row],[stt]]-1))</f>
        <v/>
      </c>
      <c r="K341" s="6" t="str">
        <f ca="1">IF(ATALI[[#This Row],[//]]="","",IF(INDEX([2]!NOTA[C],ATALI[[#This Row],[//]]-2)="","",INDEX([2]!NOTA[C],ATALI[[#This Row],[//]]-2)))</f>
        <v/>
      </c>
      <c r="L341" s="6" t="str">
        <f ca="1">IF(ATALI[[#This Row],[//]]="","",INDEX([2]!NOTA[QTY],ATALI[[#This Row],[//]]-2))</f>
        <v/>
      </c>
      <c r="M341" s="6" t="str">
        <f ca="1">IF(ATALI[[#This Row],[//]]="","",INDEX([2]!NOTA[STN],ATALI[[#This Row],[//]]-2))</f>
        <v/>
      </c>
      <c r="N341" s="5" t="str">
        <f ca="1">IF(ATALI[[#This Row],[//]]="","",INDEX([2]!NOTA[HARGA SATUAN],ATALI[[#This Row],[//]]-2))</f>
        <v/>
      </c>
      <c r="O341" s="7" t="str">
        <f ca="1">IF(ATALI[[#This Row],[//]]="","",INDEX([2]!NOTA[DISC 1],ATALI[[#This Row],[//]]-2))</f>
        <v/>
      </c>
      <c r="P341" s="7" t="str">
        <f ca="1">IF(ATALI[[#This Row],[//]]="","",INDEX([2]!NOTA[DISC 2],ATALI[[#This Row],[//]]-2))</f>
        <v/>
      </c>
      <c r="Q341" s="5" t="str">
        <f ca="1">IF(ATALI[[#This Row],[//]]="","",INDEX([2]!NOTA[TOTAL],ATALI[[#This Row],[//]]-2))</f>
        <v/>
      </c>
      <c r="R3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1" s="4" t="str">
        <f ca="1">IF(ATALI[[#This Row],[//]]="","",INDEX([2]!NOTA[NAMA BARANG],ATALI[[#This Row],[//]]-2))</f>
        <v/>
      </c>
      <c r="V341" s="4" t="str">
        <f ca="1">LOWER(SUBSTITUTE(SUBSTITUTE(SUBSTITUTE(SUBSTITUTE(SUBSTITUTE(SUBSTITUTE(SUBSTITUTE(ATALI[[#This Row],[N.B.nota]]," ",""),"-",""),"(",""),")",""),".",""),",",""),"/",""))</f>
        <v/>
      </c>
      <c r="W341" s="4" t="str">
        <f ca="1">IF(ATALI[[#This Row],[concat]]="","",MATCH(ATALI[[#This Row],[concat]],[4]!db[NB NOTA_C],0)+1)</f>
        <v/>
      </c>
      <c r="X341" s="4" t="str">
        <f ca="1">IF(ATALI[[#This Row],[N.B.nota]]="","",ADDRESS(ROW(ATALI[QB]),COLUMN(ATALI[QB]))&amp;":"&amp;ADDRESS(ROW(),COLUMN(ATALI[QB])))</f>
        <v/>
      </c>
      <c r="Y341" s="13" t="str">
        <f ca="1">IF(ATALI[[#This Row],[//]]="","",HYPERLINK("[../DB.xlsx]DB!e"&amp;MATCH(ATALI[[#This Row],[concat]],[4]!db[NB NOTA_C],0)+1,"&gt;"))</f>
        <v/>
      </c>
    </row>
    <row r="342" spans="1:25" x14ac:dyDescent="0.25">
      <c r="A342" s="4"/>
      <c r="B342" s="6" t="str">
        <f>IF(ATALI[[#This Row],[N_ID]]="","",INDEX(Table1[ID],MATCH(ATALI[[#This Row],[N_ID]],Table1[N_ID],0)))</f>
        <v/>
      </c>
      <c r="C342" s="6" t="str">
        <f>IF(ATALI[[#This Row],[ID NOTA]]="","",HYPERLINK("[NOTA_.xlsx]NOTA!e"&amp;INDEX([2]!PAJAK[//],MATCH(ATALI[[#This Row],[ID NOTA]],[2]!PAJAK[ID],0)),"&gt;") )</f>
        <v/>
      </c>
      <c r="D342" s="6" t="str">
        <f>IF(ATALI[[#This Row],[ID NOTA]]="","",INDEX(Table1[QB],MATCH(ATALI[[#This Row],[ID NOTA]],Table1[ID],0)))</f>
        <v/>
      </c>
      <c r="E3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2" s="6"/>
      <c r="G342" s="3" t="str">
        <f>IF(ATALI[[#This Row],[ID NOTA]]="","",INDEX([2]!NOTA[TGL_H],MATCH(ATALI[[#This Row],[ID NOTA]],[2]!NOTA[ID],0)))</f>
        <v/>
      </c>
      <c r="H342" s="3" t="str">
        <f>IF(ATALI[[#This Row],[ID NOTA]]="","",INDEX([2]!NOTA[TGL.NOTA],MATCH(ATALI[[#This Row],[ID NOTA]],[2]!NOTA[ID],0)))</f>
        <v/>
      </c>
      <c r="I342" s="4" t="str">
        <f>IF(ATALI[[#This Row],[ID NOTA]]="","",INDEX([2]!NOTA[NO.NOTA],MATCH(ATALI[[#This Row],[ID NOTA]],[2]!NOTA[ID],0)))</f>
        <v/>
      </c>
      <c r="J342" s="4" t="str">
        <f ca="1">IF(ATALI[[#This Row],[//]]="","",INDEX([4]!db[NB PAJAK],ATALI[[#This Row],[stt]]-1))</f>
        <v/>
      </c>
      <c r="K342" s="6" t="str">
        <f ca="1">IF(ATALI[[#This Row],[//]]="","",IF(INDEX([2]!NOTA[C],ATALI[[#This Row],[//]]-2)="","",INDEX([2]!NOTA[C],ATALI[[#This Row],[//]]-2)))</f>
        <v/>
      </c>
      <c r="L342" s="6" t="str">
        <f ca="1">IF(ATALI[[#This Row],[//]]="","",INDEX([2]!NOTA[QTY],ATALI[[#This Row],[//]]-2))</f>
        <v/>
      </c>
      <c r="M342" s="6" t="str">
        <f ca="1">IF(ATALI[[#This Row],[//]]="","",INDEX([2]!NOTA[STN],ATALI[[#This Row],[//]]-2))</f>
        <v/>
      </c>
      <c r="N342" s="5" t="str">
        <f ca="1">IF(ATALI[[#This Row],[//]]="","",INDEX([2]!NOTA[HARGA SATUAN],ATALI[[#This Row],[//]]-2))</f>
        <v/>
      </c>
      <c r="O342" s="7" t="str">
        <f ca="1">IF(ATALI[[#This Row],[//]]="","",INDEX([2]!NOTA[DISC 1],ATALI[[#This Row],[//]]-2))</f>
        <v/>
      </c>
      <c r="P342" s="7" t="str">
        <f ca="1">IF(ATALI[[#This Row],[//]]="","",INDEX([2]!NOTA[DISC 2],ATALI[[#This Row],[//]]-2))</f>
        <v/>
      </c>
      <c r="Q342" s="5" t="str">
        <f ca="1">IF(ATALI[[#This Row],[//]]="","",INDEX([2]!NOTA[TOTAL],ATALI[[#This Row],[//]]-2))</f>
        <v/>
      </c>
      <c r="R3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2" s="4" t="str">
        <f ca="1">IF(ATALI[[#This Row],[//]]="","",INDEX([2]!NOTA[NAMA BARANG],ATALI[[#This Row],[//]]-2))</f>
        <v/>
      </c>
      <c r="V342" s="4" t="str">
        <f ca="1">LOWER(SUBSTITUTE(SUBSTITUTE(SUBSTITUTE(SUBSTITUTE(SUBSTITUTE(SUBSTITUTE(SUBSTITUTE(ATALI[[#This Row],[N.B.nota]]," ",""),"-",""),"(",""),")",""),".",""),",",""),"/",""))</f>
        <v/>
      </c>
      <c r="W342" s="4" t="str">
        <f ca="1">IF(ATALI[[#This Row],[concat]]="","",MATCH(ATALI[[#This Row],[concat]],[4]!db[NB NOTA_C],0)+1)</f>
        <v/>
      </c>
      <c r="X342" s="4" t="str">
        <f ca="1">IF(ATALI[[#This Row],[N.B.nota]]="","",ADDRESS(ROW(ATALI[QB]),COLUMN(ATALI[QB]))&amp;":"&amp;ADDRESS(ROW(),COLUMN(ATALI[QB])))</f>
        <v/>
      </c>
      <c r="Y342" s="13" t="str">
        <f ca="1">IF(ATALI[[#This Row],[//]]="","",HYPERLINK("[../DB.xlsx]DB!e"&amp;MATCH(ATALI[[#This Row],[concat]],[4]!db[NB NOTA_C],0)+1,"&gt;"))</f>
        <v/>
      </c>
    </row>
    <row r="343" spans="1:25" x14ac:dyDescent="0.25">
      <c r="A343" s="4"/>
      <c r="B343" s="6" t="str">
        <f>IF(ATALI[[#This Row],[N_ID]]="","",INDEX(Table1[ID],MATCH(ATALI[[#This Row],[N_ID]],Table1[N_ID],0)))</f>
        <v/>
      </c>
      <c r="C343" s="6" t="str">
        <f>IF(ATALI[[#This Row],[ID NOTA]]="","",HYPERLINK("[NOTA_.xlsx]NOTA!e"&amp;INDEX([2]!PAJAK[//],MATCH(ATALI[[#This Row],[ID NOTA]],[2]!PAJAK[ID],0)),"&gt;") )</f>
        <v/>
      </c>
      <c r="D343" s="6" t="str">
        <f>IF(ATALI[[#This Row],[ID NOTA]]="","",INDEX(Table1[QB],MATCH(ATALI[[#This Row],[ID NOTA]],Table1[ID],0)))</f>
        <v/>
      </c>
      <c r="E3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3" s="6"/>
      <c r="G343" s="3" t="str">
        <f>IF(ATALI[[#This Row],[ID NOTA]]="","",INDEX([2]!NOTA[TGL_H],MATCH(ATALI[[#This Row],[ID NOTA]],[2]!NOTA[ID],0)))</f>
        <v/>
      </c>
      <c r="H343" s="3" t="str">
        <f>IF(ATALI[[#This Row],[ID NOTA]]="","",INDEX([2]!NOTA[TGL.NOTA],MATCH(ATALI[[#This Row],[ID NOTA]],[2]!NOTA[ID],0)))</f>
        <v/>
      </c>
      <c r="I343" s="4" t="str">
        <f>IF(ATALI[[#This Row],[ID NOTA]]="","",INDEX([2]!NOTA[NO.NOTA],MATCH(ATALI[[#This Row],[ID NOTA]],[2]!NOTA[ID],0)))</f>
        <v/>
      </c>
      <c r="J343" s="4" t="str">
        <f ca="1">IF(ATALI[[#This Row],[//]]="","",INDEX([4]!db[NB PAJAK],ATALI[[#This Row],[stt]]-1))</f>
        <v/>
      </c>
      <c r="K343" s="6" t="str">
        <f ca="1">IF(ATALI[[#This Row],[//]]="","",IF(INDEX([2]!NOTA[C],ATALI[[#This Row],[//]]-2)="","",INDEX([2]!NOTA[C],ATALI[[#This Row],[//]]-2)))</f>
        <v/>
      </c>
      <c r="L343" s="6" t="str">
        <f ca="1">IF(ATALI[[#This Row],[//]]="","",INDEX([2]!NOTA[QTY],ATALI[[#This Row],[//]]-2))</f>
        <v/>
      </c>
      <c r="M343" s="6" t="str">
        <f ca="1">IF(ATALI[[#This Row],[//]]="","",INDEX([2]!NOTA[STN],ATALI[[#This Row],[//]]-2))</f>
        <v/>
      </c>
      <c r="N343" s="5" t="str">
        <f ca="1">IF(ATALI[[#This Row],[//]]="","",INDEX([2]!NOTA[HARGA SATUAN],ATALI[[#This Row],[//]]-2))</f>
        <v/>
      </c>
      <c r="O343" s="7" t="str">
        <f ca="1">IF(ATALI[[#This Row],[//]]="","",INDEX([2]!NOTA[DISC 1],ATALI[[#This Row],[//]]-2))</f>
        <v/>
      </c>
      <c r="P343" s="7" t="str">
        <f ca="1">IF(ATALI[[#This Row],[//]]="","",INDEX([2]!NOTA[DISC 2],ATALI[[#This Row],[//]]-2))</f>
        <v/>
      </c>
      <c r="Q343" s="5" t="str">
        <f ca="1">IF(ATALI[[#This Row],[//]]="","",INDEX([2]!NOTA[TOTAL],ATALI[[#This Row],[//]]-2))</f>
        <v/>
      </c>
      <c r="R3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3" s="4" t="str">
        <f ca="1">IF(ATALI[[#This Row],[//]]="","",INDEX([2]!NOTA[NAMA BARANG],ATALI[[#This Row],[//]]-2))</f>
        <v/>
      </c>
      <c r="V343" s="4" t="str">
        <f ca="1">LOWER(SUBSTITUTE(SUBSTITUTE(SUBSTITUTE(SUBSTITUTE(SUBSTITUTE(SUBSTITUTE(SUBSTITUTE(ATALI[[#This Row],[N.B.nota]]," ",""),"-",""),"(",""),")",""),".",""),",",""),"/",""))</f>
        <v/>
      </c>
      <c r="W343" s="4" t="str">
        <f ca="1">IF(ATALI[[#This Row],[concat]]="","",MATCH(ATALI[[#This Row],[concat]],[4]!db[NB NOTA_C],0)+1)</f>
        <v/>
      </c>
      <c r="X343" s="4" t="str">
        <f ca="1">IF(ATALI[[#This Row],[N.B.nota]]="","",ADDRESS(ROW(ATALI[QB]),COLUMN(ATALI[QB]))&amp;":"&amp;ADDRESS(ROW(),COLUMN(ATALI[QB])))</f>
        <v/>
      </c>
      <c r="Y343" s="13" t="str">
        <f ca="1">IF(ATALI[[#This Row],[//]]="","",HYPERLINK("[../DB.xlsx]DB!e"&amp;MATCH(ATALI[[#This Row],[concat]],[4]!db[NB NOTA_C],0)+1,"&gt;"))</f>
        <v/>
      </c>
    </row>
    <row r="344" spans="1:25" x14ac:dyDescent="0.25">
      <c r="A344" s="4"/>
      <c r="B344" s="6" t="str">
        <f>IF(ATALI[[#This Row],[N_ID]]="","",INDEX(Table1[ID],MATCH(ATALI[[#This Row],[N_ID]],Table1[N_ID],0)))</f>
        <v/>
      </c>
      <c r="C344" s="6" t="str">
        <f>IF(ATALI[[#This Row],[ID NOTA]]="","",HYPERLINK("[NOTA_.xlsx]NOTA!e"&amp;INDEX([2]!PAJAK[//],MATCH(ATALI[[#This Row],[ID NOTA]],[2]!PAJAK[ID],0)),"&gt;") )</f>
        <v/>
      </c>
      <c r="D344" s="6" t="str">
        <f>IF(ATALI[[#This Row],[ID NOTA]]="","",INDEX(Table1[QB],MATCH(ATALI[[#This Row],[ID NOTA]],Table1[ID],0)))</f>
        <v/>
      </c>
      <c r="E3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4" s="6"/>
      <c r="G344" s="3" t="str">
        <f>IF(ATALI[[#This Row],[ID NOTA]]="","",INDEX([2]!NOTA[TGL_H],MATCH(ATALI[[#This Row],[ID NOTA]],[2]!NOTA[ID],0)))</f>
        <v/>
      </c>
      <c r="H344" s="3" t="str">
        <f>IF(ATALI[[#This Row],[ID NOTA]]="","",INDEX([2]!NOTA[TGL.NOTA],MATCH(ATALI[[#This Row],[ID NOTA]],[2]!NOTA[ID],0)))</f>
        <v/>
      </c>
      <c r="I344" s="4" t="str">
        <f>IF(ATALI[[#This Row],[ID NOTA]]="","",INDEX([2]!NOTA[NO.NOTA],MATCH(ATALI[[#This Row],[ID NOTA]],[2]!NOTA[ID],0)))</f>
        <v/>
      </c>
      <c r="J344" s="4" t="str">
        <f ca="1">IF(ATALI[[#This Row],[//]]="","",INDEX([4]!db[NB PAJAK],ATALI[[#This Row],[stt]]-1))</f>
        <v/>
      </c>
      <c r="K344" s="6" t="str">
        <f ca="1">IF(ATALI[[#This Row],[//]]="","",IF(INDEX([2]!NOTA[C],ATALI[[#This Row],[//]]-2)="","",INDEX([2]!NOTA[C],ATALI[[#This Row],[//]]-2)))</f>
        <v/>
      </c>
      <c r="L344" s="6" t="str">
        <f ca="1">IF(ATALI[[#This Row],[//]]="","",INDEX([2]!NOTA[QTY],ATALI[[#This Row],[//]]-2))</f>
        <v/>
      </c>
      <c r="M344" s="6" t="str">
        <f ca="1">IF(ATALI[[#This Row],[//]]="","",INDEX([2]!NOTA[STN],ATALI[[#This Row],[//]]-2))</f>
        <v/>
      </c>
      <c r="N344" s="5" t="str">
        <f ca="1">IF(ATALI[[#This Row],[//]]="","",INDEX([2]!NOTA[HARGA SATUAN],ATALI[[#This Row],[//]]-2))</f>
        <v/>
      </c>
      <c r="O344" s="7" t="str">
        <f ca="1">IF(ATALI[[#This Row],[//]]="","",INDEX([2]!NOTA[DISC 1],ATALI[[#This Row],[//]]-2))</f>
        <v/>
      </c>
      <c r="P344" s="7" t="str">
        <f ca="1">IF(ATALI[[#This Row],[//]]="","",INDEX([2]!NOTA[DISC 2],ATALI[[#This Row],[//]]-2))</f>
        <v/>
      </c>
      <c r="Q344" s="5" t="str">
        <f ca="1">IF(ATALI[[#This Row],[//]]="","",INDEX([2]!NOTA[TOTAL],ATALI[[#This Row],[//]]-2))</f>
        <v/>
      </c>
      <c r="R3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4" s="4" t="str">
        <f ca="1">IF(ATALI[[#This Row],[//]]="","",INDEX([2]!NOTA[NAMA BARANG],ATALI[[#This Row],[//]]-2))</f>
        <v/>
      </c>
      <c r="V344" s="4" t="str">
        <f ca="1">LOWER(SUBSTITUTE(SUBSTITUTE(SUBSTITUTE(SUBSTITUTE(SUBSTITUTE(SUBSTITUTE(SUBSTITUTE(ATALI[[#This Row],[N.B.nota]]," ",""),"-",""),"(",""),")",""),".",""),",",""),"/",""))</f>
        <v/>
      </c>
      <c r="W344" s="4" t="str">
        <f ca="1">IF(ATALI[[#This Row],[concat]]="","",MATCH(ATALI[[#This Row],[concat]],[4]!db[NB NOTA_C],0)+1)</f>
        <v/>
      </c>
      <c r="X344" s="4" t="str">
        <f ca="1">IF(ATALI[[#This Row],[N.B.nota]]="","",ADDRESS(ROW(ATALI[QB]),COLUMN(ATALI[QB]))&amp;":"&amp;ADDRESS(ROW(),COLUMN(ATALI[QB])))</f>
        <v/>
      </c>
      <c r="Y344" s="13" t="str">
        <f ca="1">IF(ATALI[[#This Row],[//]]="","",HYPERLINK("[../DB.xlsx]DB!e"&amp;MATCH(ATALI[[#This Row],[concat]],[4]!db[NB NOTA_C],0)+1,"&gt;"))</f>
        <v/>
      </c>
    </row>
    <row r="345" spans="1:25" x14ac:dyDescent="0.25">
      <c r="A345" s="4"/>
      <c r="B345" s="6" t="str">
        <f>IF(ATALI[[#This Row],[N_ID]]="","",INDEX(Table1[ID],MATCH(ATALI[[#This Row],[N_ID]],Table1[N_ID],0)))</f>
        <v/>
      </c>
      <c r="C345" s="6" t="str">
        <f>IF(ATALI[[#This Row],[ID NOTA]]="","",HYPERLINK("[NOTA_.xlsx]NOTA!e"&amp;INDEX([2]!PAJAK[//],MATCH(ATALI[[#This Row],[ID NOTA]],[2]!PAJAK[ID],0)),"&gt;") )</f>
        <v/>
      </c>
      <c r="D345" s="6" t="str">
        <f>IF(ATALI[[#This Row],[ID NOTA]]="","",INDEX(Table1[QB],MATCH(ATALI[[#This Row],[ID NOTA]],Table1[ID],0)))</f>
        <v/>
      </c>
      <c r="E3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5" s="6"/>
      <c r="G345" s="3" t="str">
        <f>IF(ATALI[[#This Row],[ID NOTA]]="","",INDEX([2]!NOTA[TGL_H],MATCH(ATALI[[#This Row],[ID NOTA]],[2]!NOTA[ID],0)))</f>
        <v/>
      </c>
      <c r="H345" s="3" t="str">
        <f>IF(ATALI[[#This Row],[ID NOTA]]="","",INDEX([2]!NOTA[TGL.NOTA],MATCH(ATALI[[#This Row],[ID NOTA]],[2]!NOTA[ID],0)))</f>
        <v/>
      </c>
      <c r="I345" s="4" t="str">
        <f>IF(ATALI[[#This Row],[ID NOTA]]="","",INDEX([2]!NOTA[NO.NOTA],MATCH(ATALI[[#This Row],[ID NOTA]],[2]!NOTA[ID],0)))</f>
        <v/>
      </c>
      <c r="J345" s="4" t="str">
        <f ca="1">IF(ATALI[[#This Row],[//]]="","",INDEX([4]!db[NB PAJAK],ATALI[[#This Row],[stt]]-1))</f>
        <v/>
      </c>
      <c r="K345" s="6" t="str">
        <f ca="1">IF(ATALI[[#This Row],[//]]="","",IF(INDEX([2]!NOTA[C],ATALI[[#This Row],[//]]-2)="","",INDEX([2]!NOTA[C],ATALI[[#This Row],[//]]-2)))</f>
        <v/>
      </c>
      <c r="L345" s="6" t="str">
        <f ca="1">IF(ATALI[[#This Row],[//]]="","",INDEX([2]!NOTA[QTY],ATALI[[#This Row],[//]]-2))</f>
        <v/>
      </c>
      <c r="M345" s="6" t="str">
        <f ca="1">IF(ATALI[[#This Row],[//]]="","",INDEX([2]!NOTA[STN],ATALI[[#This Row],[//]]-2))</f>
        <v/>
      </c>
      <c r="N345" s="5" t="str">
        <f ca="1">IF(ATALI[[#This Row],[//]]="","",INDEX([2]!NOTA[HARGA SATUAN],ATALI[[#This Row],[//]]-2))</f>
        <v/>
      </c>
      <c r="O345" s="7" t="str">
        <f ca="1">IF(ATALI[[#This Row],[//]]="","",INDEX([2]!NOTA[DISC 1],ATALI[[#This Row],[//]]-2))</f>
        <v/>
      </c>
      <c r="P345" s="7" t="str">
        <f ca="1">IF(ATALI[[#This Row],[//]]="","",INDEX([2]!NOTA[DISC 2],ATALI[[#This Row],[//]]-2))</f>
        <v/>
      </c>
      <c r="Q345" s="5" t="str">
        <f ca="1">IF(ATALI[[#This Row],[//]]="","",INDEX([2]!NOTA[TOTAL],ATALI[[#This Row],[//]]-2))</f>
        <v/>
      </c>
      <c r="R3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5" s="4" t="str">
        <f ca="1">IF(ATALI[[#This Row],[//]]="","",INDEX([2]!NOTA[NAMA BARANG],ATALI[[#This Row],[//]]-2))</f>
        <v/>
      </c>
      <c r="V345" s="4" t="str">
        <f ca="1">LOWER(SUBSTITUTE(SUBSTITUTE(SUBSTITUTE(SUBSTITUTE(SUBSTITUTE(SUBSTITUTE(SUBSTITUTE(ATALI[[#This Row],[N.B.nota]]," ",""),"-",""),"(",""),")",""),".",""),",",""),"/",""))</f>
        <v/>
      </c>
      <c r="W345" s="4" t="str">
        <f ca="1">IF(ATALI[[#This Row],[concat]]="","",MATCH(ATALI[[#This Row],[concat]],[4]!db[NB NOTA_C],0)+1)</f>
        <v/>
      </c>
      <c r="X345" s="4" t="str">
        <f ca="1">IF(ATALI[[#This Row],[N.B.nota]]="","",ADDRESS(ROW(ATALI[QB]),COLUMN(ATALI[QB]))&amp;":"&amp;ADDRESS(ROW(),COLUMN(ATALI[QB])))</f>
        <v/>
      </c>
      <c r="Y345" s="13" t="str">
        <f ca="1">IF(ATALI[[#This Row],[//]]="","",HYPERLINK("[../DB.xlsx]DB!e"&amp;MATCH(ATALI[[#This Row],[concat]],[4]!db[NB NOTA_C],0)+1,"&gt;"))</f>
        <v/>
      </c>
    </row>
    <row r="346" spans="1:25" x14ac:dyDescent="0.25">
      <c r="A346" s="4"/>
      <c r="B346" s="6" t="str">
        <f>IF(ATALI[[#This Row],[N_ID]]="","",INDEX(Table1[ID],MATCH(ATALI[[#This Row],[N_ID]],Table1[N_ID],0)))</f>
        <v/>
      </c>
      <c r="C346" s="6" t="str">
        <f>IF(ATALI[[#This Row],[ID NOTA]]="","",HYPERLINK("[NOTA_.xlsx]NOTA!e"&amp;INDEX([2]!PAJAK[//],MATCH(ATALI[[#This Row],[ID NOTA]],[2]!PAJAK[ID],0)),"&gt;") )</f>
        <v/>
      </c>
      <c r="D346" s="6" t="str">
        <f>IF(ATALI[[#This Row],[ID NOTA]]="","",INDEX(Table1[QB],MATCH(ATALI[[#This Row],[ID NOTA]],Table1[ID],0)))</f>
        <v/>
      </c>
      <c r="E3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6" s="6"/>
      <c r="G346" s="3" t="str">
        <f>IF(ATALI[[#This Row],[ID NOTA]]="","",INDEX([2]!NOTA[TGL_H],MATCH(ATALI[[#This Row],[ID NOTA]],[2]!NOTA[ID],0)))</f>
        <v/>
      </c>
      <c r="H346" s="3" t="str">
        <f>IF(ATALI[[#This Row],[ID NOTA]]="","",INDEX([2]!NOTA[TGL.NOTA],MATCH(ATALI[[#This Row],[ID NOTA]],[2]!NOTA[ID],0)))</f>
        <v/>
      </c>
      <c r="I346" s="4" t="str">
        <f>IF(ATALI[[#This Row],[ID NOTA]]="","",INDEX([2]!NOTA[NO.NOTA],MATCH(ATALI[[#This Row],[ID NOTA]],[2]!NOTA[ID],0)))</f>
        <v/>
      </c>
      <c r="J346" s="4" t="str">
        <f ca="1">IF(ATALI[[#This Row],[//]]="","",INDEX([4]!db[NB PAJAK],ATALI[[#This Row],[stt]]-1))</f>
        <v/>
      </c>
      <c r="K346" s="6" t="str">
        <f ca="1">IF(ATALI[[#This Row],[//]]="","",IF(INDEX([2]!NOTA[C],ATALI[[#This Row],[//]]-2)="","",INDEX([2]!NOTA[C],ATALI[[#This Row],[//]]-2)))</f>
        <v/>
      </c>
      <c r="L346" s="6" t="str">
        <f ca="1">IF(ATALI[[#This Row],[//]]="","",INDEX([2]!NOTA[QTY],ATALI[[#This Row],[//]]-2))</f>
        <v/>
      </c>
      <c r="M346" s="6" t="str">
        <f ca="1">IF(ATALI[[#This Row],[//]]="","",INDEX([2]!NOTA[STN],ATALI[[#This Row],[//]]-2))</f>
        <v/>
      </c>
      <c r="N346" s="5" t="str">
        <f ca="1">IF(ATALI[[#This Row],[//]]="","",INDEX([2]!NOTA[HARGA SATUAN],ATALI[[#This Row],[//]]-2))</f>
        <v/>
      </c>
      <c r="O346" s="7" t="str">
        <f ca="1">IF(ATALI[[#This Row],[//]]="","",INDEX([2]!NOTA[DISC 1],ATALI[[#This Row],[//]]-2))</f>
        <v/>
      </c>
      <c r="P346" s="7" t="str">
        <f ca="1">IF(ATALI[[#This Row],[//]]="","",INDEX([2]!NOTA[DISC 2],ATALI[[#This Row],[//]]-2))</f>
        <v/>
      </c>
      <c r="Q346" s="5" t="str">
        <f ca="1">IF(ATALI[[#This Row],[//]]="","",INDEX([2]!NOTA[TOTAL],ATALI[[#This Row],[//]]-2))</f>
        <v/>
      </c>
      <c r="R3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6" s="4" t="str">
        <f ca="1">IF(ATALI[[#This Row],[//]]="","",INDEX([2]!NOTA[NAMA BARANG],ATALI[[#This Row],[//]]-2))</f>
        <v/>
      </c>
      <c r="V346" s="4" t="str">
        <f ca="1">LOWER(SUBSTITUTE(SUBSTITUTE(SUBSTITUTE(SUBSTITUTE(SUBSTITUTE(SUBSTITUTE(SUBSTITUTE(ATALI[[#This Row],[N.B.nota]]," ",""),"-",""),"(",""),")",""),".",""),",",""),"/",""))</f>
        <v/>
      </c>
      <c r="W346" s="4" t="str">
        <f ca="1">IF(ATALI[[#This Row],[concat]]="","",MATCH(ATALI[[#This Row],[concat]],[4]!db[NB NOTA_C],0)+1)</f>
        <v/>
      </c>
      <c r="X346" s="4" t="str">
        <f ca="1">IF(ATALI[[#This Row],[N.B.nota]]="","",ADDRESS(ROW(ATALI[QB]),COLUMN(ATALI[QB]))&amp;":"&amp;ADDRESS(ROW(),COLUMN(ATALI[QB])))</f>
        <v/>
      </c>
      <c r="Y346" s="13" t="str">
        <f ca="1">IF(ATALI[[#This Row],[//]]="","",HYPERLINK("[../DB.xlsx]DB!e"&amp;MATCH(ATALI[[#This Row],[concat]],[4]!db[NB NOTA_C],0)+1,"&gt;"))</f>
        <v/>
      </c>
    </row>
    <row r="347" spans="1:25" x14ac:dyDescent="0.25">
      <c r="A347" s="4"/>
      <c r="B347" s="6" t="str">
        <f>IF(ATALI[[#This Row],[N_ID]]="","",INDEX(Table1[ID],MATCH(ATALI[[#This Row],[N_ID]],Table1[N_ID],0)))</f>
        <v/>
      </c>
      <c r="C347" s="6" t="str">
        <f>IF(ATALI[[#This Row],[ID NOTA]]="","",HYPERLINK("[NOTA_.xlsx]NOTA!e"&amp;INDEX([2]!PAJAK[//],MATCH(ATALI[[#This Row],[ID NOTA]],[2]!PAJAK[ID],0)),"&gt;") )</f>
        <v/>
      </c>
      <c r="D347" s="6" t="str">
        <f>IF(ATALI[[#This Row],[ID NOTA]]="","",INDEX(Table1[QB],MATCH(ATALI[[#This Row],[ID NOTA]],Table1[ID],0)))</f>
        <v/>
      </c>
      <c r="E3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7" s="6"/>
      <c r="G347" s="3" t="str">
        <f>IF(ATALI[[#This Row],[ID NOTA]]="","",INDEX([2]!NOTA[TGL_H],MATCH(ATALI[[#This Row],[ID NOTA]],[2]!NOTA[ID],0)))</f>
        <v/>
      </c>
      <c r="H347" s="3" t="str">
        <f>IF(ATALI[[#This Row],[ID NOTA]]="","",INDEX([2]!NOTA[TGL.NOTA],MATCH(ATALI[[#This Row],[ID NOTA]],[2]!NOTA[ID],0)))</f>
        <v/>
      </c>
      <c r="I347" s="4" t="str">
        <f>IF(ATALI[[#This Row],[ID NOTA]]="","",INDEX([2]!NOTA[NO.NOTA],MATCH(ATALI[[#This Row],[ID NOTA]],[2]!NOTA[ID],0)))</f>
        <v/>
      </c>
      <c r="J347" s="4" t="str">
        <f ca="1">IF(ATALI[[#This Row],[//]]="","",INDEX([4]!db[NB PAJAK],ATALI[[#This Row],[stt]]-1))</f>
        <v/>
      </c>
      <c r="K347" s="6" t="str">
        <f ca="1">IF(ATALI[[#This Row],[//]]="","",IF(INDEX([2]!NOTA[C],ATALI[[#This Row],[//]]-2)="","",INDEX([2]!NOTA[C],ATALI[[#This Row],[//]]-2)))</f>
        <v/>
      </c>
      <c r="L347" s="6" t="str">
        <f ca="1">IF(ATALI[[#This Row],[//]]="","",INDEX([2]!NOTA[QTY],ATALI[[#This Row],[//]]-2))</f>
        <v/>
      </c>
      <c r="M347" s="6" t="str">
        <f ca="1">IF(ATALI[[#This Row],[//]]="","",INDEX([2]!NOTA[STN],ATALI[[#This Row],[//]]-2))</f>
        <v/>
      </c>
      <c r="N347" s="5" t="str">
        <f ca="1">IF(ATALI[[#This Row],[//]]="","",INDEX([2]!NOTA[HARGA SATUAN],ATALI[[#This Row],[//]]-2))</f>
        <v/>
      </c>
      <c r="O347" s="7" t="str">
        <f ca="1">IF(ATALI[[#This Row],[//]]="","",INDEX([2]!NOTA[DISC 1],ATALI[[#This Row],[//]]-2))</f>
        <v/>
      </c>
      <c r="P347" s="7" t="str">
        <f ca="1">IF(ATALI[[#This Row],[//]]="","",INDEX([2]!NOTA[DISC 2],ATALI[[#This Row],[//]]-2))</f>
        <v/>
      </c>
      <c r="Q347" s="5" t="str">
        <f ca="1">IF(ATALI[[#This Row],[//]]="","",INDEX([2]!NOTA[TOTAL],ATALI[[#This Row],[//]]-2))</f>
        <v/>
      </c>
      <c r="R3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7" s="4" t="str">
        <f ca="1">IF(ATALI[[#This Row],[//]]="","",INDEX([2]!NOTA[NAMA BARANG],ATALI[[#This Row],[//]]-2))</f>
        <v/>
      </c>
      <c r="V347" s="4" t="str">
        <f ca="1">LOWER(SUBSTITUTE(SUBSTITUTE(SUBSTITUTE(SUBSTITUTE(SUBSTITUTE(SUBSTITUTE(SUBSTITUTE(ATALI[[#This Row],[N.B.nota]]," ",""),"-",""),"(",""),")",""),".",""),",",""),"/",""))</f>
        <v/>
      </c>
      <c r="W347" s="4" t="str">
        <f ca="1">IF(ATALI[[#This Row],[concat]]="","",MATCH(ATALI[[#This Row],[concat]],[4]!db[NB NOTA_C],0)+1)</f>
        <v/>
      </c>
      <c r="X347" s="4" t="str">
        <f ca="1">IF(ATALI[[#This Row],[N.B.nota]]="","",ADDRESS(ROW(ATALI[QB]),COLUMN(ATALI[QB]))&amp;":"&amp;ADDRESS(ROW(),COLUMN(ATALI[QB])))</f>
        <v/>
      </c>
      <c r="Y347" s="13" t="str">
        <f ca="1">IF(ATALI[[#This Row],[//]]="","",HYPERLINK("[../DB.xlsx]DB!e"&amp;MATCH(ATALI[[#This Row],[concat]],[4]!db[NB NOTA_C],0)+1,"&gt;"))</f>
        <v/>
      </c>
    </row>
    <row r="348" spans="1:25" x14ac:dyDescent="0.25">
      <c r="A348" s="4"/>
      <c r="B348" s="6" t="str">
        <f>IF(ATALI[[#This Row],[N_ID]]="","",INDEX(Table1[ID],MATCH(ATALI[[#This Row],[N_ID]],Table1[N_ID],0)))</f>
        <v/>
      </c>
      <c r="C348" s="6" t="str">
        <f>IF(ATALI[[#This Row],[ID NOTA]]="","",HYPERLINK("[NOTA_.xlsx]NOTA!e"&amp;INDEX([2]!PAJAK[//],MATCH(ATALI[[#This Row],[ID NOTA]],[2]!PAJAK[ID],0)),"&gt;") )</f>
        <v/>
      </c>
      <c r="D348" s="6" t="str">
        <f>IF(ATALI[[#This Row],[ID NOTA]]="","",INDEX(Table1[QB],MATCH(ATALI[[#This Row],[ID NOTA]],Table1[ID],0)))</f>
        <v/>
      </c>
      <c r="E3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8" s="6"/>
      <c r="G348" s="3" t="str">
        <f>IF(ATALI[[#This Row],[ID NOTA]]="","",INDEX([2]!NOTA[TGL_H],MATCH(ATALI[[#This Row],[ID NOTA]],[2]!NOTA[ID],0)))</f>
        <v/>
      </c>
      <c r="H348" s="3" t="str">
        <f>IF(ATALI[[#This Row],[ID NOTA]]="","",INDEX([2]!NOTA[TGL.NOTA],MATCH(ATALI[[#This Row],[ID NOTA]],[2]!NOTA[ID],0)))</f>
        <v/>
      </c>
      <c r="I348" s="4" t="str">
        <f>IF(ATALI[[#This Row],[ID NOTA]]="","",INDEX([2]!NOTA[NO.NOTA],MATCH(ATALI[[#This Row],[ID NOTA]],[2]!NOTA[ID],0)))</f>
        <v/>
      </c>
      <c r="J348" s="4" t="str">
        <f ca="1">IF(ATALI[[#This Row],[//]]="","",INDEX([4]!db[NB PAJAK],ATALI[[#This Row],[stt]]-1))</f>
        <v/>
      </c>
      <c r="K348" s="6" t="str">
        <f ca="1">IF(ATALI[[#This Row],[//]]="","",IF(INDEX([2]!NOTA[C],ATALI[[#This Row],[//]]-2)="","",INDEX([2]!NOTA[C],ATALI[[#This Row],[//]]-2)))</f>
        <v/>
      </c>
      <c r="L348" s="6" t="str">
        <f ca="1">IF(ATALI[[#This Row],[//]]="","",INDEX([2]!NOTA[QTY],ATALI[[#This Row],[//]]-2))</f>
        <v/>
      </c>
      <c r="M348" s="6" t="str">
        <f ca="1">IF(ATALI[[#This Row],[//]]="","",INDEX([2]!NOTA[STN],ATALI[[#This Row],[//]]-2))</f>
        <v/>
      </c>
      <c r="N348" s="5" t="str">
        <f ca="1">IF(ATALI[[#This Row],[//]]="","",INDEX([2]!NOTA[HARGA SATUAN],ATALI[[#This Row],[//]]-2))</f>
        <v/>
      </c>
      <c r="O348" s="7" t="str">
        <f ca="1">IF(ATALI[[#This Row],[//]]="","",INDEX([2]!NOTA[DISC 1],ATALI[[#This Row],[//]]-2))</f>
        <v/>
      </c>
      <c r="P348" s="7" t="str">
        <f ca="1">IF(ATALI[[#This Row],[//]]="","",INDEX([2]!NOTA[DISC 2],ATALI[[#This Row],[//]]-2))</f>
        <v/>
      </c>
      <c r="Q348" s="5" t="str">
        <f ca="1">IF(ATALI[[#This Row],[//]]="","",INDEX([2]!NOTA[TOTAL],ATALI[[#This Row],[//]]-2))</f>
        <v/>
      </c>
      <c r="R3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8" s="4" t="str">
        <f ca="1">IF(ATALI[[#This Row],[//]]="","",INDEX([2]!NOTA[NAMA BARANG],ATALI[[#This Row],[//]]-2))</f>
        <v/>
      </c>
      <c r="V348" s="4" t="str">
        <f ca="1">LOWER(SUBSTITUTE(SUBSTITUTE(SUBSTITUTE(SUBSTITUTE(SUBSTITUTE(SUBSTITUTE(SUBSTITUTE(ATALI[[#This Row],[N.B.nota]]," ",""),"-",""),"(",""),")",""),".",""),",",""),"/",""))</f>
        <v/>
      </c>
      <c r="W348" s="4" t="str">
        <f ca="1">IF(ATALI[[#This Row],[concat]]="","",MATCH(ATALI[[#This Row],[concat]],[4]!db[NB NOTA_C],0)+1)</f>
        <v/>
      </c>
      <c r="X348" s="4" t="str">
        <f ca="1">IF(ATALI[[#This Row],[N.B.nota]]="","",ADDRESS(ROW(ATALI[QB]),COLUMN(ATALI[QB]))&amp;":"&amp;ADDRESS(ROW(),COLUMN(ATALI[QB])))</f>
        <v/>
      </c>
      <c r="Y348" s="13" t="str">
        <f ca="1">IF(ATALI[[#This Row],[//]]="","",HYPERLINK("[../DB.xlsx]DB!e"&amp;MATCH(ATALI[[#This Row],[concat]],[4]!db[NB NOTA_C],0)+1,"&gt;"))</f>
        <v/>
      </c>
    </row>
    <row r="349" spans="1:25" x14ac:dyDescent="0.25">
      <c r="A349" s="4"/>
      <c r="B349" s="6" t="str">
        <f>IF(ATALI[[#This Row],[N_ID]]="","",INDEX(Table1[ID],MATCH(ATALI[[#This Row],[N_ID]],Table1[N_ID],0)))</f>
        <v/>
      </c>
      <c r="C349" s="6" t="str">
        <f>IF(ATALI[[#This Row],[ID NOTA]]="","",HYPERLINK("[NOTA_.xlsx]NOTA!e"&amp;INDEX([2]!PAJAK[//],MATCH(ATALI[[#This Row],[ID NOTA]],[2]!PAJAK[ID],0)),"&gt;") )</f>
        <v/>
      </c>
      <c r="D349" s="6" t="str">
        <f>IF(ATALI[[#This Row],[ID NOTA]]="","",INDEX(Table1[QB],MATCH(ATALI[[#This Row],[ID NOTA]],Table1[ID],0)))</f>
        <v/>
      </c>
      <c r="E3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9" s="6"/>
      <c r="G349" s="3" t="str">
        <f>IF(ATALI[[#This Row],[ID NOTA]]="","",INDEX([2]!NOTA[TGL_H],MATCH(ATALI[[#This Row],[ID NOTA]],[2]!NOTA[ID],0)))</f>
        <v/>
      </c>
      <c r="H349" s="3" t="str">
        <f>IF(ATALI[[#This Row],[ID NOTA]]="","",INDEX([2]!NOTA[TGL.NOTA],MATCH(ATALI[[#This Row],[ID NOTA]],[2]!NOTA[ID],0)))</f>
        <v/>
      </c>
      <c r="I349" s="4" t="str">
        <f>IF(ATALI[[#This Row],[ID NOTA]]="","",INDEX([2]!NOTA[NO.NOTA],MATCH(ATALI[[#This Row],[ID NOTA]],[2]!NOTA[ID],0)))</f>
        <v/>
      </c>
      <c r="J349" s="4" t="str">
        <f ca="1">IF(ATALI[[#This Row],[//]]="","",INDEX([4]!db[NB PAJAK],ATALI[[#This Row],[stt]]-1))</f>
        <v/>
      </c>
      <c r="K349" s="6" t="str">
        <f ca="1">IF(ATALI[[#This Row],[//]]="","",IF(INDEX([2]!NOTA[C],ATALI[[#This Row],[//]]-2)="","",INDEX([2]!NOTA[C],ATALI[[#This Row],[//]]-2)))</f>
        <v/>
      </c>
      <c r="L349" s="6" t="str">
        <f ca="1">IF(ATALI[[#This Row],[//]]="","",INDEX([2]!NOTA[QTY],ATALI[[#This Row],[//]]-2))</f>
        <v/>
      </c>
      <c r="M349" s="6" t="str">
        <f ca="1">IF(ATALI[[#This Row],[//]]="","",INDEX([2]!NOTA[STN],ATALI[[#This Row],[//]]-2))</f>
        <v/>
      </c>
      <c r="N349" s="5" t="str">
        <f ca="1">IF(ATALI[[#This Row],[//]]="","",INDEX([2]!NOTA[HARGA SATUAN],ATALI[[#This Row],[//]]-2))</f>
        <v/>
      </c>
      <c r="O349" s="7" t="str">
        <f ca="1">IF(ATALI[[#This Row],[//]]="","",INDEX([2]!NOTA[DISC 1],ATALI[[#This Row],[//]]-2))</f>
        <v/>
      </c>
      <c r="P349" s="7" t="str">
        <f ca="1">IF(ATALI[[#This Row],[//]]="","",INDEX([2]!NOTA[DISC 2],ATALI[[#This Row],[//]]-2))</f>
        <v/>
      </c>
      <c r="Q349" s="5" t="str">
        <f ca="1">IF(ATALI[[#This Row],[//]]="","",INDEX([2]!NOTA[TOTAL],ATALI[[#This Row],[//]]-2))</f>
        <v/>
      </c>
      <c r="R3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9" s="4" t="str">
        <f ca="1">IF(ATALI[[#This Row],[//]]="","",INDEX([2]!NOTA[NAMA BARANG],ATALI[[#This Row],[//]]-2))</f>
        <v/>
      </c>
      <c r="V349" s="4" t="str">
        <f ca="1">LOWER(SUBSTITUTE(SUBSTITUTE(SUBSTITUTE(SUBSTITUTE(SUBSTITUTE(SUBSTITUTE(SUBSTITUTE(ATALI[[#This Row],[N.B.nota]]," ",""),"-",""),"(",""),")",""),".",""),",",""),"/",""))</f>
        <v/>
      </c>
      <c r="W349" s="4" t="str">
        <f ca="1">IF(ATALI[[#This Row],[concat]]="","",MATCH(ATALI[[#This Row],[concat]],[4]!db[NB NOTA_C],0)+1)</f>
        <v/>
      </c>
      <c r="X349" s="4" t="str">
        <f ca="1">IF(ATALI[[#This Row],[N.B.nota]]="","",ADDRESS(ROW(ATALI[QB]),COLUMN(ATALI[QB]))&amp;":"&amp;ADDRESS(ROW(),COLUMN(ATALI[QB])))</f>
        <v/>
      </c>
      <c r="Y349" s="13" t="str">
        <f ca="1">IF(ATALI[[#This Row],[//]]="","",HYPERLINK("[../DB.xlsx]DB!e"&amp;MATCH(ATALI[[#This Row],[concat]],[4]!db[NB NOTA_C],0)+1,"&gt;"))</f>
        <v/>
      </c>
    </row>
    <row r="350" spans="1:25" x14ac:dyDescent="0.25">
      <c r="A350" s="4"/>
      <c r="B350" s="6" t="str">
        <f>IF(ATALI[[#This Row],[N_ID]]="","",INDEX(Table1[ID],MATCH(ATALI[[#This Row],[N_ID]],Table1[N_ID],0)))</f>
        <v/>
      </c>
      <c r="C350" s="6" t="str">
        <f>IF(ATALI[[#This Row],[ID NOTA]]="","",HYPERLINK("[NOTA_.xlsx]NOTA!e"&amp;INDEX([2]!PAJAK[//],MATCH(ATALI[[#This Row],[ID NOTA]],[2]!PAJAK[ID],0)),"&gt;") )</f>
        <v/>
      </c>
      <c r="D350" s="6" t="str">
        <f>IF(ATALI[[#This Row],[ID NOTA]]="","",INDEX(Table1[QB],MATCH(ATALI[[#This Row],[ID NOTA]],Table1[ID],0)))</f>
        <v/>
      </c>
      <c r="E3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0" s="6"/>
      <c r="G350" s="3" t="str">
        <f>IF(ATALI[[#This Row],[ID NOTA]]="","",INDEX([2]!NOTA[TGL_H],MATCH(ATALI[[#This Row],[ID NOTA]],[2]!NOTA[ID],0)))</f>
        <v/>
      </c>
      <c r="H350" s="3" t="str">
        <f>IF(ATALI[[#This Row],[ID NOTA]]="","",INDEX([2]!NOTA[TGL.NOTA],MATCH(ATALI[[#This Row],[ID NOTA]],[2]!NOTA[ID],0)))</f>
        <v/>
      </c>
      <c r="I350" s="4" t="str">
        <f>IF(ATALI[[#This Row],[ID NOTA]]="","",INDEX([2]!NOTA[NO.NOTA],MATCH(ATALI[[#This Row],[ID NOTA]],[2]!NOTA[ID],0)))</f>
        <v/>
      </c>
      <c r="J350" s="4" t="str">
        <f ca="1">IF(ATALI[[#This Row],[//]]="","",INDEX([4]!db[NB PAJAK],ATALI[[#This Row],[stt]]-1))</f>
        <v/>
      </c>
      <c r="K350" s="6" t="str">
        <f ca="1">IF(ATALI[[#This Row],[//]]="","",IF(INDEX([2]!NOTA[C],ATALI[[#This Row],[//]]-2)="","",INDEX([2]!NOTA[C],ATALI[[#This Row],[//]]-2)))</f>
        <v/>
      </c>
      <c r="L350" s="6" t="str">
        <f ca="1">IF(ATALI[[#This Row],[//]]="","",INDEX([2]!NOTA[QTY],ATALI[[#This Row],[//]]-2))</f>
        <v/>
      </c>
      <c r="M350" s="6" t="str">
        <f ca="1">IF(ATALI[[#This Row],[//]]="","",INDEX([2]!NOTA[STN],ATALI[[#This Row],[//]]-2))</f>
        <v/>
      </c>
      <c r="N350" s="5" t="str">
        <f ca="1">IF(ATALI[[#This Row],[//]]="","",INDEX([2]!NOTA[HARGA SATUAN],ATALI[[#This Row],[//]]-2))</f>
        <v/>
      </c>
      <c r="O350" s="7" t="str">
        <f ca="1">IF(ATALI[[#This Row],[//]]="","",INDEX([2]!NOTA[DISC 1],ATALI[[#This Row],[//]]-2))</f>
        <v/>
      </c>
      <c r="P350" s="7" t="str">
        <f ca="1">IF(ATALI[[#This Row],[//]]="","",INDEX([2]!NOTA[DISC 2],ATALI[[#This Row],[//]]-2))</f>
        <v/>
      </c>
      <c r="Q350" s="5" t="str">
        <f ca="1">IF(ATALI[[#This Row],[//]]="","",INDEX([2]!NOTA[TOTAL],ATALI[[#This Row],[//]]-2))</f>
        <v/>
      </c>
      <c r="R3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0" s="4" t="str">
        <f ca="1">IF(ATALI[[#This Row],[//]]="","",INDEX([2]!NOTA[NAMA BARANG],ATALI[[#This Row],[//]]-2))</f>
        <v/>
      </c>
      <c r="V350" s="4" t="str">
        <f ca="1">LOWER(SUBSTITUTE(SUBSTITUTE(SUBSTITUTE(SUBSTITUTE(SUBSTITUTE(SUBSTITUTE(SUBSTITUTE(ATALI[[#This Row],[N.B.nota]]," ",""),"-",""),"(",""),")",""),".",""),",",""),"/",""))</f>
        <v/>
      </c>
      <c r="W350" s="4" t="str">
        <f ca="1">IF(ATALI[[#This Row],[concat]]="","",MATCH(ATALI[[#This Row],[concat]],[4]!db[NB NOTA_C],0)+1)</f>
        <v/>
      </c>
      <c r="X350" s="4" t="str">
        <f ca="1">IF(ATALI[[#This Row],[N.B.nota]]="","",ADDRESS(ROW(ATALI[QB]),COLUMN(ATALI[QB]))&amp;":"&amp;ADDRESS(ROW(),COLUMN(ATALI[QB])))</f>
        <v/>
      </c>
      <c r="Y350" s="13" t="str">
        <f ca="1">IF(ATALI[[#This Row],[//]]="","",HYPERLINK("[../DB.xlsx]DB!e"&amp;MATCH(ATALI[[#This Row],[concat]],[4]!db[NB NOTA_C],0)+1,"&gt;"))</f>
        <v/>
      </c>
    </row>
    <row r="351" spans="1:25" x14ac:dyDescent="0.25">
      <c r="A351" s="4"/>
      <c r="B351" s="6" t="str">
        <f>IF(ATALI[[#This Row],[N_ID]]="","",INDEX(Table1[ID],MATCH(ATALI[[#This Row],[N_ID]],Table1[N_ID],0)))</f>
        <v/>
      </c>
      <c r="C351" s="6" t="str">
        <f>IF(ATALI[[#This Row],[ID NOTA]]="","",HYPERLINK("[NOTA_.xlsx]NOTA!e"&amp;INDEX([2]!PAJAK[//],MATCH(ATALI[[#This Row],[ID NOTA]],[2]!PAJAK[ID],0)),"&gt;") )</f>
        <v/>
      </c>
      <c r="D351" s="6" t="str">
        <f>IF(ATALI[[#This Row],[ID NOTA]]="","",INDEX(Table1[QB],MATCH(ATALI[[#This Row],[ID NOTA]],Table1[ID],0)))</f>
        <v/>
      </c>
      <c r="E3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1" s="6"/>
      <c r="G351" s="3" t="str">
        <f>IF(ATALI[[#This Row],[ID NOTA]]="","",INDEX([2]!NOTA[TGL_H],MATCH(ATALI[[#This Row],[ID NOTA]],[2]!NOTA[ID],0)))</f>
        <v/>
      </c>
      <c r="H351" s="3" t="str">
        <f>IF(ATALI[[#This Row],[ID NOTA]]="","",INDEX([2]!NOTA[TGL.NOTA],MATCH(ATALI[[#This Row],[ID NOTA]],[2]!NOTA[ID],0)))</f>
        <v/>
      </c>
      <c r="I351" s="4" t="str">
        <f>IF(ATALI[[#This Row],[ID NOTA]]="","",INDEX([2]!NOTA[NO.NOTA],MATCH(ATALI[[#This Row],[ID NOTA]],[2]!NOTA[ID],0)))</f>
        <v/>
      </c>
      <c r="J351" s="4" t="str">
        <f ca="1">IF(ATALI[[#This Row],[//]]="","",INDEX([4]!db[NB PAJAK],ATALI[[#This Row],[stt]]-1))</f>
        <v/>
      </c>
      <c r="K351" s="6" t="str">
        <f ca="1">IF(ATALI[[#This Row],[//]]="","",IF(INDEX([2]!NOTA[C],ATALI[[#This Row],[//]]-2)="","",INDEX([2]!NOTA[C],ATALI[[#This Row],[//]]-2)))</f>
        <v/>
      </c>
      <c r="L351" s="6" t="str">
        <f ca="1">IF(ATALI[[#This Row],[//]]="","",INDEX([2]!NOTA[QTY],ATALI[[#This Row],[//]]-2))</f>
        <v/>
      </c>
      <c r="M351" s="6" t="str">
        <f ca="1">IF(ATALI[[#This Row],[//]]="","",INDEX([2]!NOTA[STN],ATALI[[#This Row],[//]]-2))</f>
        <v/>
      </c>
      <c r="N351" s="5" t="str">
        <f ca="1">IF(ATALI[[#This Row],[//]]="","",INDEX([2]!NOTA[HARGA SATUAN],ATALI[[#This Row],[//]]-2))</f>
        <v/>
      </c>
      <c r="O351" s="7" t="str">
        <f ca="1">IF(ATALI[[#This Row],[//]]="","",INDEX([2]!NOTA[DISC 1],ATALI[[#This Row],[//]]-2))</f>
        <v/>
      </c>
      <c r="P351" s="7" t="str">
        <f ca="1">IF(ATALI[[#This Row],[//]]="","",INDEX([2]!NOTA[DISC 2],ATALI[[#This Row],[//]]-2))</f>
        <v/>
      </c>
      <c r="Q351" s="5" t="str">
        <f ca="1">IF(ATALI[[#This Row],[//]]="","",INDEX([2]!NOTA[TOTAL],ATALI[[#This Row],[//]]-2))</f>
        <v/>
      </c>
      <c r="R3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1" s="4" t="str">
        <f ca="1">IF(ATALI[[#This Row],[//]]="","",INDEX([2]!NOTA[NAMA BARANG],ATALI[[#This Row],[//]]-2))</f>
        <v/>
      </c>
      <c r="V351" s="4" t="str">
        <f ca="1">LOWER(SUBSTITUTE(SUBSTITUTE(SUBSTITUTE(SUBSTITUTE(SUBSTITUTE(SUBSTITUTE(SUBSTITUTE(ATALI[[#This Row],[N.B.nota]]," ",""),"-",""),"(",""),")",""),".",""),",",""),"/",""))</f>
        <v/>
      </c>
      <c r="W351" s="4" t="str">
        <f ca="1">IF(ATALI[[#This Row],[concat]]="","",MATCH(ATALI[[#This Row],[concat]],[4]!db[NB NOTA_C],0)+1)</f>
        <v/>
      </c>
      <c r="X351" s="4" t="str">
        <f ca="1">IF(ATALI[[#This Row],[N.B.nota]]="","",ADDRESS(ROW(ATALI[QB]),COLUMN(ATALI[QB]))&amp;":"&amp;ADDRESS(ROW(),COLUMN(ATALI[QB])))</f>
        <v/>
      </c>
      <c r="Y351" s="13" t="str">
        <f ca="1">IF(ATALI[[#This Row],[//]]="","",HYPERLINK("[../DB.xlsx]DB!e"&amp;MATCH(ATALI[[#This Row],[concat]],[4]!db[NB NOTA_C],0)+1,"&gt;"))</f>
        <v/>
      </c>
    </row>
    <row r="352" spans="1:25" x14ac:dyDescent="0.25">
      <c r="A352" s="4"/>
      <c r="B352" s="6" t="str">
        <f>IF(ATALI[[#This Row],[N_ID]]="","",INDEX(Table1[ID],MATCH(ATALI[[#This Row],[N_ID]],Table1[N_ID],0)))</f>
        <v/>
      </c>
      <c r="C352" s="6" t="str">
        <f>IF(ATALI[[#This Row],[ID NOTA]]="","",HYPERLINK("[NOTA_.xlsx]NOTA!e"&amp;INDEX([2]!PAJAK[//],MATCH(ATALI[[#This Row],[ID NOTA]],[2]!PAJAK[ID],0)),"&gt;") )</f>
        <v/>
      </c>
      <c r="D352" s="6" t="str">
        <f>IF(ATALI[[#This Row],[ID NOTA]]="","",INDEX(Table1[QB],MATCH(ATALI[[#This Row],[ID NOTA]],Table1[ID],0)))</f>
        <v/>
      </c>
      <c r="E3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2" s="6"/>
      <c r="G352" s="3" t="str">
        <f>IF(ATALI[[#This Row],[ID NOTA]]="","",INDEX([2]!NOTA[TGL_H],MATCH(ATALI[[#This Row],[ID NOTA]],[2]!NOTA[ID],0)))</f>
        <v/>
      </c>
      <c r="H352" s="3" t="str">
        <f>IF(ATALI[[#This Row],[ID NOTA]]="","",INDEX([2]!NOTA[TGL.NOTA],MATCH(ATALI[[#This Row],[ID NOTA]],[2]!NOTA[ID],0)))</f>
        <v/>
      </c>
      <c r="I352" s="4" t="str">
        <f>IF(ATALI[[#This Row],[ID NOTA]]="","",INDEX([2]!NOTA[NO.NOTA],MATCH(ATALI[[#This Row],[ID NOTA]],[2]!NOTA[ID],0)))</f>
        <v/>
      </c>
      <c r="J352" s="4" t="str">
        <f ca="1">IF(ATALI[[#This Row],[//]]="","",INDEX([4]!db[NB PAJAK],ATALI[[#This Row],[stt]]-1))</f>
        <v/>
      </c>
      <c r="K352" s="6" t="str">
        <f ca="1">IF(ATALI[[#This Row],[//]]="","",IF(INDEX([2]!NOTA[C],ATALI[[#This Row],[//]]-2)="","",INDEX([2]!NOTA[C],ATALI[[#This Row],[//]]-2)))</f>
        <v/>
      </c>
      <c r="L352" s="6" t="str">
        <f ca="1">IF(ATALI[[#This Row],[//]]="","",INDEX([2]!NOTA[QTY],ATALI[[#This Row],[//]]-2))</f>
        <v/>
      </c>
      <c r="M352" s="6" t="str">
        <f ca="1">IF(ATALI[[#This Row],[//]]="","",INDEX([2]!NOTA[STN],ATALI[[#This Row],[//]]-2))</f>
        <v/>
      </c>
      <c r="N352" s="5" t="str">
        <f ca="1">IF(ATALI[[#This Row],[//]]="","",INDEX([2]!NOTA[HARGA SATUAN],ATALI[[#This Row],[//]]-2))</f>
        <v/>
      </c>
      <c r="O352" s="7" t="str">
        <f ca="1">IF(ATALI[[#This Row],[//]]="","",INDEX([2]!NOTA[DISC 1],ATALI[[#This Row],[//]]-2))</f>
        <v/>
      </c>
      <c r="P352" s="7" t="str">
        <f ca="1">IF(ATALI[[#This Row],[//]]="","",INDEX([2]!NOTA[DISC 2],ATALI[[#This Row],[//]]-2))</f>
        <v/>
      </c>
      <c r="Q352" s="5" t="str">
        <f ca="1">IF(ATALI[[#This Row],[//]]="","",INDEX([2]!NOTA[TOTAL],ATALI[[#This Row],[//]]-2))</f>
        <v/>
      </c>
      <c r="R3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2" s="4" t="str">
        <f ca="1">IF(ATALI[[#This Row],[//]]="","",INDEX([2]!NOTA[NAMA BARANG],ATALI[[#This Row],[//]]-2))</f>
        <v/>
      </c>
      <c r="V352" s="4" t="str">
        <f ca="1">LOWER(SUBSTITUTE(SUBSTITUTE(SUBSTITUTE(SUBSTITUTE(SUBSTITUTE(SUBSTITUTE(SUBSTITUTE(ATALI[[#This Row],[N.B.nota]]," ",""),"-",""),"(",""),")",""),".",""),",",""),"/",""))</f>
        <v/>
      </c>
      <c r="W352" s="4" t="str">
        <f ca="1">IF(ATALI[[#This Row],[concat]]="","",MATCH(ATALI[[#This Row],[concat]],[4]!db[NB NOTA_C],0)+1)</f>
        <v/>
      </c>
      <c r="X352" s="4" t="str">
        <f ca="1">IF(ATALI[[#This Row],[N.B.nota]]="","",ADDRESS(ROW(ATALI[QB]),COLUMN(ATALI[QB]))&amp;":"&amp;ADDRESS(ROW(),COLUMN(ATALI[QB])))</f>
        <v/>
      </c>
      <c r="Y352" s="13" t="str">
        <f ca="1">IF(ATALI[[#This Row],[//]]="","",HYPERLINK("[../DB.xlsx]DB!e"&amp;MATCH(ATALI[[#This Row],[concat]],[4]!db[NB NOTA_C],0)+1,"&gt;"))</f>
        <v/>
      </c>
    </row>
    <row r="353" spans="1:25" x14ac:dyDescent="0.25">
      <c r="A353" s="4"/>
      <c r="B353" s="6" t="str">
        <f>IF(ATALI[[#This Row],[N_ID]]="","",INDEX(Table1[ID],MATCH(ATALI[[#This Row],[N_ID]],Table1[N_ID],0)))</f>
        <v/>
      </c>
      <c r="C353" s="6" t="str">
        <f>IF(ATALI[[#This Row],[ID NOTA]]="","",HYPERLINK("[NOTA_.xlsx]NOTA!e"&amp;INDEX([2]!PAJAK[//],MATCH(ATALI[[#This Row],[ID NOTA]],[2]!PAJAK[ID],0)),"&gt;") )</f>
        <v/>
      </c>
      <c r="D353" s="6" t="str">
        <f>IF(ATALI[[#This Row],[ID NOTA]]="","",INDEX(Table1[QB],MATCH(ATALI[[#This Row],[ID NOTA]],Table1[ID],0)))</f>
        <v/>
      </c>
      <c r="E3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3" s="6"/>
      <c r="G353" s="3" t="str">
        <f>IF(ATALI[[#This Row],[ID NOTA]]="","",INDEX([2]!NOTA[TGL_H],MATCH(ATALI[[#This Row],[ID NOTA]],[2]!NOTA[ID],0)))</f>
        <v/>
      </c>
      <c r="H353" s="3" t="str">
        <f>IF(ATALI[[#This Row],[ID NOTA]]="","",INDEX([2]!NOTA[TGL.NOTA],MATCH(ATALI[[#This Row],[ID NOTA]],[2]!NOTA[ID],0)))</f>
        <v/>
      </c>
      <c r="I353" s="4" t="str">
        <f>IF(ATALI[[#This Row],[ID NOTA]]="","",INDEX([2]!NOTA[NO.NOTA],MATCH(ATALI[[#This Row],[ID NOTA]],[2]!NOTA[ID],0)))</f>
        <v/>
      </c>
      <c r="J353" s="4" t="str">
        <f ca="1">IF(ATALI[[#This Row],[//]]="","",INDEX([4]!db[NB PAJAK],ATALI[[#This Row],[stt]]-1))</f>
        <v/>
      </c>
      <c r="K353" s="6" t="str">
        <f ca="1">IF(ATALI[[#This Row],[//]]="","",IF(INDEX([2]!NOTA[C],ATALI[[#This Row],[//]]-2)="","",INDEX([2]!NOTA[C],ATALI[[#This Row],[//]]-2)))</f>
        <v/>
      </c>
      <c r="L353" s="6" t="str">
        <f ca="1">IF(ATALI[[#This Row],[//]]="","",INDEX([2]!NOTA[QTY],ATALI[[#This Row],[//]]-2))</f>
        <v/>
      </c>
      <c r="M353" s="6" t="str">
        <f ca="1">IF(ATALI[[#This Row],[//]]="","",INDEX([2]!NOTA[STN],ATALI[[#This Row],[//]]-2))</f>
        <v/>
      </c>
      <c r="N353" s="5" t="str">
        <f ca="1">IF(ATALI[[#This Row],[//]]="","",INDEX([2]!NOTA[HARGA SATUAN],ATALI[[#This Row],[//]]-2))</f>
        <v/>
      </c>
      <c r="O353" s="7" t="str">
        <f ca="1">IF(ATALI[[#This Row],[//]]="","",INDEX([2]!NOTA[DISC 1],ATALI[[#This Row],[//]]-2))</f>
        <v/>
      </c>
      <c r="P353" s="7" t="str">
        <f ca="1">IF(ATALI[[#This Row],[//]]="","",INDEX([2]!NOTA[DISC 2],ATALI[[#This Row],[//]]-2))</f>
        <v/>
      </c>
      <c r="Q353" s="5" t="str">
        <f ca="1">IF(ATALI[[#This Row],[//]]="","",INDEX([2]!NOTA[TOTAL],ATALI[[#This Row],[//]]-2))</f>
        <v/>
      </c>
      <c r="R3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3" s="4" t="str">
        <f ca="1">IF(ATALI[[#This Row],[//]]="","",INDEX([2]!NOTA[NAMA BARANG],ATALI[[#This Row],[//]]-2))</f>
        <v/>
      </c>
      <c r="V353" s="4" t="str">
        <f ca="1">LOWER(SUBSTITUTE(SUBSTITUTE(SUBSTITUTE(SUBSTITUTE(SUBSTITUTE(SUBSTITUTE(SUBSTITUTE(ATALI[[#This Row],[N.B.nota]]," ",""),"-",""),"(",""),")",""),".",""),",",""),"/",""))</f>
        <v/>
      </c>
      <c r="W353" s="4" t="str">
        <f ca="1">IF(ATALI[[#This Row],[concat]]="","",MATCH(ATALI[[#This Row],[concat]],[4]!db[NB NOTA_C],0)+1)</f>
        <v/>
      </c>
      <c r="X353" s="4" t="str">
        <f ca="1">IF(ATALI[[#This Row],[N.B.nota]]="","",ADDRESS(ROW(ATALI[QB]),COLUMN(ATALI[QB]))&amp;":"&amp;ADDRESS(ROW(),COLUMN(ATALI[QB])))</f>
        <v/>
      </c>
      <c r="Y353" s="13" t="str">
        <f ca="1">IF(ATALI[[#This Row],[//]]="","",HYPERLINK("[../DB.xlsx]DB!e"&amp;MATCH(ATALI[[#This Row],[concat]],[4]!db[NB NOTA_C],0)+1,"&gt;"))</f>
        <v/>
      </c>
    </row>
    <row r="354" spans="1:25" x14ac:dyDescent="0.25">
      <c r="A354" s="4"/>
      <c r="B354" s="6" t="str">
        <f>IF(ATALI[[#This Row],[N_ID]]="","",INDEX(Table1[ID],MATCH(ATALI[[#This Row],[N_ID]],Table1[N_ID],0)))</f>
        <v/>
      </c>
      <c r="C354" s="6" t="str">
        <f>IF(ATALI[[#This Row],[ID NOTA]]="","",HYPERLINK("[NOTA_.xlsx]NOTA!e"&amp;INDEX([2]!PAJAK[//],MATCH(ATALI[[#This Row],[ID NOTA]],[2]!PAJAK[ID],0)),"&gt;") )</f>
        <v/>
      </c>
      <c r="D354" s="6" t="str">
        <f>IF(ATALI[[#This Row],[ID NOTA]]="","",INDEX(Table1[QB],MATCH(ATALI[[#This Row],[ID NOTA]],Table1[ID],0)))</f>
        <v/>
      </c>
      <c r="E3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4" s="6"/>
      <c r="G354" s="3" t="str">
        <f>IF(ATALI[[#This Row],[ID NOTA]]="","",INDEX([2]!NOTA[TGL_H],MATCH(ATALI[[#This Row],[ID NOTA]],[2]!NOTA[ID],0)))</f>
        <v/>
      </c>
      <c r="H354" s="3" t="str">
        <f>IF(ATALI[[#This Row],[ID NOTA]]="","",INDEX([2]!NOTA[TGL.NOTA],MATCH(ATALI[[#This Row],[ID NOTA]],[2]!NOTA[ID],0)))</f>
        <v/>
      </c>
      <c r="I354" s="4" t="str">
        <f>IF(ATALI[[#This Row],[ID NOTA]]="","",INDEX([2]!NOTA[NO.NOTA],MATCH(ATALI[[#This Row],[ID NOTA]],[2]!NOTA[ID],0)))</f>
        <v/>
      </c>
      <c r="J354" s="4" t="str">
        <f ca="1">IF(ATALI[[#This Row],[//]]="","",INDEX([4]!db[NB PAJAK],ATALI[[#This Row],[stt]]-1))</f>
        <v/>
      </c>
      <c r="K354" s="6" t="str">
        <f ca="1">IF(ATALI[[#This Row],[//]]="","",IF(INDEX([2]!NOTA[C],ATALI[[#This Row],[//]]-2)="","",INDEX([2]!NOTA[C],ATALI[[#This Row],[//]]-2)))</f>
        <v/>
      </c>
      <c r="L354" s="6" t="str">
        <f ca="1">IF(ATALI[[#This Row],[//]]="","",INDEX([2]!NOTA[QTY],ATALI[[#This Row],[//]]-2))</f>
        <v/>
      </c>
      <c r="M354" s="6" t="str">
        <f ca="1">IF(ATALI[[#This Row],[//]]="","",INDEX([2]!NOTA[STN],ATALI[[#This Row],[//]]-2))</f>
        <v/>
      </c>
      <c r="N354" s="5" t="str">
        <f ca="1">IF(ATALI[[#This Row],[//]]="","",INDEX([2]!NOTA[HARGA SATUAN],ATALI[[#This Row],[//]]-2))</f>
        <v/>
      </c>
      <c r="O354" s="7" t="str">
        <f ca="1">IF(ATALI[[#This Row],[//]]="","",INDEX([2]!NOTA[DISC 1],ATALI[[#This Row],[//]]-2))</f>
        <v/>
      </c>
      <c r="P354" s="7" t="str">
        <f ca="1">IF(ATALI[[#This Row],[//]]="","",INDEX([2]!NOTA[DISC 2],ATALI[[#This Row],[//]]-2))</f>
        <v/>
      </c>
      <c r="Q354" s="5" t="str">
        <f ca="1">IF(ATALI[[#This Row],[//]]="","",INDEX([2]!NOTA[TOTAL],ATALI[[#This Row],[//]]-2))</f>
        <v/>
      </c>
      <c r="R3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4" s="4" t="str">
        <f ca="1">IF(ATALI[[#This Row],[//]]="","",INDEX([2]!NOTA[NAMA BARANG],ATALI[[#This Row],[//]]-2))</f>
        <v/>
      </c>
      <c r="V354" s="4" t="str">
        <f ca="1">LOWER(SUBSTITUTE(SUBSTITUTE(SUBSTITUTE(SUBSTITUTE(SUBSTITUTE(SUBSTITUTE(SUBSTITUTE(ATALI[[#This Row],[N.B.nota]]," ",""),"-",""),"(",""),")",""),".",""),",",""),"/",""))</f>
        <v/>
      </c>
      <c r="W354" s="4" t="str">
        <f ca="1">IF(ATALI[[#This Row],[concat]]="","",MATCH(ATALI[[#This Row],[concat]],[4]!db[NB NOTA_C],0)+1)</f>
        <v/>
      </c>
      <c r="X354" s="4" t="str">
        <f ca="1">IF(ATALI[[#This Row],[N.B.nota]]="","",ADDRESS(ROW(ATALI[QB]),COLUMN(ATALI[QB]))&amp;":"&amp;ADDRESS(ROW(),COLUMN(ATALI[QB])))</f>
        <v/>
      </c>
      <c r="Y354" s="13" t="str">
        <f ca="1">IF(ATALI[[#This Row],[//]]="","",HYPERLINK("[../DB.xlsx]DB!e"&amp;MATCH(ATALI[[#This Row],[concat]],[4]!db[NB NOTA_C],0)+1,"&gt;"))</f>
        <v/>
      </c>
    </row>
    <row r="355" spans="1:25" x14ac:dyDescent="0.25">
      <c r="A355" s="4"/>
      <c r="B355" s="6" t="str">
        <f>IF(ATALI[[#This Row],[N_ID]]="","",INDEX(Table1[ID],MATCH(ATALI[[#This Row],[N_ID]],Table1[N_ID],0)))</f>
        <v/>
      </c>
      <c r="C355" s="6" t="str">
        <f>IF(ATALI[[#This Row],[ID NOTA]]="","",HYPERLINK("[NOTA_.xlsx]NOTA!e"&amp;INDEX([2]!PAJAK[//],MATCH(ATALI[[#This Row],[ID NOTA]],[2]!PAJAK[ID],0)),"&gt;") )</f>
        <v/>
      </c>
      <c r="D355" s="6" t="str">
        <f>IF(ATALI[[#This Row],[ID NOTA]]="","",INDEX(Table1[QB],MATCH(ATALI[[#This Row],[ID NOTA]],Table1[ID],0)))</f>
        <v/>
      </c>
      <c r="E3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5" s="6"/>
      <c r="G355" s="3" t="str">
        <f>IF(ATALI[[#This Row],[ID NOTA]]="","",INDEX([2]!NOTA[TGL_H],MATCH(ATALI[[#This Row],[ID NOTA]],[2]!NOTA[ID],0)))</f>
        <v/>
      </c>
      <c r="H355" s="3" t="str">
        <f>IF(ATALI[[#This Row],[ID NOTA]]="","",INDEX([2]!NOTA[TGL.NOTA],MATCH(ATALI[[#This Row],[ID NOTA]],[2]!NOTA[ID],0)))</f>
        <v/>
      </c>
      <c r="I355" s="4" t="str">
        <f>IF(ATALI[[#This Row],[ID NOTA]]="","",INDEX([2]!NOTA[NO.NOTA],MATCH(ATALI[[#This Row],[ID NOTA]],[2]!NOTA[ID],0)))</f>
        <v/>
      </c>
      <c r="J355" s="41" t="str">
        <f ca="1">IF(ATALI[[#This Row],[//]]="","",INDEX([4]!db[NB PAJAK],ATALI[[#This Row],[stt]]-1))</f>
        <v/>
      </c>
      <c r="K355" s="6" t="str">
        <f ca="1">IF(ATALI[[#This Row],[//]]="","",IF(INDEX([2]!NOTA[C],ATALI[[#This Row],[//]]-2)="","",INDEX([2]!NOTA[C],ATALI[[#This Row],[//]]-2)))</f>
        <v/>
      </c>
      <c r="L355" s="6" t="str">
        <f ca="1">IF(ATALI[[#This Row],[//]]="","",INDEX([2]!NOTA[QTY],ATALI[[#This Row],[//]]-2))</f>
        <v/>
      </c>
      <c r="M355" s="6" t="str">
        <f ca="1">IF(ATALI[[#This Row],[//]]="","",INDEX([2]!NOTA[STN],ATALI[[#This Row],[//]]-2))</f>
        <v/>
      </c>
      <c r="N355" s="5" t="str">
        <f ca="1">IF(ATALI[[#This Row],[//]]="","",INDEX([2]!NOTA[HARGA SATUAN],ATALI[[#This Row],[//]]-2))</f>
        <v/>
      </c>
      <c r="O355" s="7" t="str">
        <f ca="1">IF(ATALI[[#This Row],[//]]="","",INDEX([2]!NOTA[DISC 1],ATALI[[#This Row],[//]]-2))</f>
        <v/>
      </c>
      <c r="P355" s="7" t="str">
        <f ca="1">IF(ATALI[[#This Row],[//]]="","",INDEX([2]!NOTA[DISC 2],ATALI[[#This Row],[//]]-2))</f>
        <v/>
      </c>
      <c r="Q355" s="5" t="str">
        <f ca="1">IF(ATALI[[#This Row],[//]]="","",INDEX([2]!NOTA[TOTAL],ATALI[[#This Row],[//]]-2))</f>
        <v/>
      </c>
      <c r="R3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5" s="4" t="str">
        <f ca="1">IF(ATALI[[#This Row],[//]]="","",INDEX([2]!NOTA[NAMA BARANG],ATALI[[#This Row],[//]]-2))</f>
        <v/>
      </c>
      <c r="V355" s="4" t="str">
        <f ca="1">LOWER(SUBSTITUTE(SUBSTITUTE(SUBSTITUTE(SUBSTITUTE(SUBSTITUTE(SUBSTITUTE(SUBSTITUTE(ATALI[[#This Row],[N.B.nota]]," ",""),"-",""),"(",""),")",""),".",""),",",""),"/",""))</f>
        <v/>
      </c>
      <c r="W355" s="4" t="str">
        <f ca="1">IF(ATALI[[#This Row],[concat]]="","",MATCH(ATALI[[#This Row],[concat]],[4]!db[NB NOTA_C],0)+1)</f>
        <v/>
      </c>
      <c r="X355" s="4" t="str">
        <f ca="1">IF(ATALI[[#This Row],[N.B.nota]]="","",ADDRESS(ROW(ATALI[QB]),COLUMN(ATALI[QB]))&amp;":"&amp;ADDRESS(ROW(),COLUMN(ATALI[QB])))</f>
        <v/>
      </c>
      <c r="Y355" s="13" t="str">
        <f ca="1">IF(ATALI[[#This Row],[//]]="","",HYPERLINK("[../DB.xlsx]DB!e"&amp;MATCH(ATALI[[#This Row],[concat]],[4]!db[NB NOTA_C],0)+1,"&gt;"))</f>
        <v/>
      </c>
    </row>
    <row r="356" spans="1:25" x14ac:dyDescent="0.25">
      <c r="A356" s="4"/>
      <c r="B356" s="6" t="str">
        <f>IF(ATALI[[#This Row],[N_ID]]="","",INDEX(Table1[ID],MATCH(ATALI[[#This Row],[N_ID]],Table1[N_ID],0)))</f>
        <v/>
      </c>
      <c r="C356" s="6" t="str">
        <f>IF(ATALI[[#This Row],[ID NOTA]]="","",HYPERLINK("[NOTA_.xlsx]NOTA!e"&amp;INDEX([2]!PAJAK[//],MATCH(ATALI[[#This Row],[ID NOTA]],[2]!PAJAK[ID],0)),"&gt;") )</f>
        <v/>
      </c>
      <c r="D356" s="6" t="str">
        <f>IF(ATALI[[#This Row],[ID NOTA]]="","",INDEX(Table1[QB],MATCH(ATALI[[#This Row],[ID NOTA]],Table1[ID],0)))</f>
        <v/>
      </c>
      <c r="E3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6" s="6"/>
      <c r="G356" s="3" t="str">
        <f>IF(ATALI[[#This Row],[ID NOTA]]="","",INDEX([2]!NOTA[TGL_H],MATCH(ATALI[[#This Row],[ID NOTA]],[2]!NOTA[ID],0)))</f>
        <v/>
      </c>
      <c r="H356" s="3" t="str">
        <f>IF(ATALI[[#This Row],[ID NOTA]]="","",INDEX([2]!NOTA[TGL.NOTA],MATCH(ATALI[[#This Row],[ID NOTA]],[2]!NOTA[ID],0)))</f>
        <v/>
      </c>
      <c r="I356" s="4" t="str">
        <f>IF(ATALI[[#This Row],[ID NOTA]]="","",INDEX([2]!NOTA[NO.NOTA],MATCH(ATALI[[#This Row],[ID NOTA]],[2]!NOTA[ID],0)))</f>
        <v/>
      </c>
      <c r="J356" s="4" t="str">
        <f ca="1">IF(ATALI[[#This Row],[//]]="","",INDEX([4]!db[NB PAJAK],ATALI[[#This Row],[stt]]-1))</f>
        <v/>
      </c>
      <c r="K356" s="6" t="str">
        <f ca="1">IF(ATALI[[#This Row],[//]]="","",IF(INDEX([2]!NOTA[C],ATALI[[#This Row],[//]]-2)="","",INDEX([2]!NOTA[C],ATALI[[#This Row],[//]]-2)))</f>
        <v/>
      </c>
      <c r="L356" s="6" t="str">
        <f ca="1">IF(ATALI[[#This Row],[//]]="","",INDEX([2]!NOTA[QTY],ATALI[[#This Row],[//]]-2))</f>
        <v/>
      </c>
      <c r="M356" s="6" t="str">
        <f ca="1">IF(ATALI[[#This Row],[//]]="","",INDEX([2]!NOTA[STN],ATALI[[#This Row],[//]]-2))</f>
        <v/>
      </c>
      <c r="N356" s="5" t="str">
        <f ca="1">IF(ATALI[[#This Row],[//]]="","",INDEX([2]!NOTA[HARGA SATUAN],ATALI[[#This Row],[//]]-2))</f>
        <v/>
      </c>
      <c r="O356" s="7" t="str">
        <f ca="1">IF(ATALI[[#This Row],[//]]="","",INDEX([2]!NOTA[DISC 1],ATALI[[#This Row],[//]]-2))</f>
        <v/>
      </c>
      <c r="P356" s="7" t="str">
        <f ca="1">IF(ATALI[[#This Row],[//]]="","",INDEX([2]!NOTA[DISC 2],ATALI[[#This Row],[//]]-2))</f>
        <v/>
      </c>
      <c r="Q356" s="5" t="str">
        <f ca="1">IF(ATALI[[#This Row],[//]]="","",INDEX([2]!NOTA[TOTAL],ATALI[[#This Row],[//]]-2))</f>
        <v/>
      </c>
      <c r="R3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6" s="4" t="str">
        <f ca="1">IF(ATALI[[#This Row],[//]]="","",INDEX([2]!NOTA[NAMA BARANG],ATALI[[#This Row],[//]]-2))</f>
        <v/>
      </c>
      <c r="V356" s="4" t="str">
        <f ca="1">LOWER(SUBSTITUTE(SUBSTITUTE(SUBSTITUTE(SUBSTITUTE(SUBSTITUTE(SUBSTITUTE(SUBSTITUTE(ATALI[[#This Row],[N.B.nota]]," ",""),"-",""),"(",""),")",""),".",""),",",""),"/",""))</f>
        <v/>
      </c>
      <c r="W356" s="4" t="str">
        <f ca="1">IF(ATALI[[#This Row],[concat]]="","",MATCH(ATALI[[#This Row],[concat]],[4]!db[NB NOTA_C],0)+1)</f>
        <v/>
      </c>
      <c r="X356" s="4" t="str">
        <f ca="1">IF(ATALI[[#This Row],[N.B.nota]]="","",ADDRESS(ROW(ATALI[QB]),COLUMN(ATALI[QB]))&amp;":"&amp;ADDRESS(ROW(),COLUMN(ATALI[QB])))</f>
        <v/>
      </c>
      <c r="Y356" s="13" t="str">
        <f ca="1">IF(ATALI[[#This Row],[//]]="","",HYPERLINK("[../DB.xlsx]DB!e"&amp;MATCH(ATALI[[#This Row],[concat]],[4]!db[NB NOTA_C],0)+1,"&gt;"))</f>
        <v/>
      </c>
    </row>
    <row r="357" spans="1:25" x14ac:dyDescent="0.25">
      <c r="A357" s="4"/>
      <c r="B357" s="6" t="str">
        <f>IF(ATALI[[#This Row],[N_ID]]="","",INDEX(Table1[ID],MATCH(ATALI[[#This Row],[N_ID]],Table1[N_ID],0)))</f>
        <v/>
      </c>
      <c r="C357" s="6" t="str">
        <f>IF(ATALI[[#This Row],[ID NOTA]]="","",HYPERLINK("[NOTA_.xlsx]NOTA!e"&amp;INDEX([2]!PAJAK[//],MATCH(ATALI[[#This Row],[ID NOTA]],[2]!PAJAK[ID],0)),"&gt;") )</f>
        <v/>
      </c>
      <c r="D357" s="6" t="str">
        <f>IF(ATALI[[#This Row],[ID NOTA]]="","",INDEX(Table1[QB],MATCH(ATALI[[#This Row],[ID NOTA]],Table1[ID],0)))</f>
        <v/>
      </c>
      <c r="E3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7" s="6"/>
      <c r="G357" s="3" t="str">
        <f>IF(ATALI[[#This Row],[ID NOTA]]="","",INDEX([2]!NOTA[TGL_H],MATCH(ATALI[[#This Row],[ID NOTA]],[2]!NOTA[ID],0)))</f>
        <v/>
      </c>
      <c r="H357" s="3" t="str">
        <f>IF(ATALI[[#This Row],[ID NOTA]]="","",INDEX([2]!NOTA[TGL.NOTA],MATCH(ATALI[[#This Row],[ID NOTA]],[2]!NOTA[ID],0)))</f>
        <v/>
      </c>
      <c r="I357" s="4" t="str">
        <f>IF(ATALI[[#This Row],[ID NOTA]]="","",INDEX([2]!NOTA[NO.NOTA],MATCH(ATALI[[#This Row],[ID NOTA]],[2]!NOTA[ID],0)))</f>
        <v/>
      </c>
      <c r="J357" s="4" t="str">
        <f ca="1">IF(ATALI[[#This Row],[//]]="","",INDEX([4]!db[NB PAJAK],ATALI[[#This Row],[stt]]-1))</f>
        <v/>
      </c>
      <c r="K357" s="6" t="str">
        <f ca="1">IF(ATALI[[#This Row],[//]]="","",IF(INDEX([2]!NOTA[C],ATALI[[#This Row],[//]]-2)="","",INDEX([2]!NOTA[C],ATALI[[#This Row],[//]]-2)))</f>
        <v/>
      </c>
      <c r="L357" s="6" t="str">
        <f ca="1">IF(ATALI[[#This Row],[//]]="","",INDEX([2]!NOTA[QTY],ATALI[[#This Row],[//]]-2))</f>
        <v/>
      </c>
      <c r="M357" s="6" t="str">
        <f ca="1">IF(ATALI[[#This Row],[//]]="","",INDEX([2]!NOTA[STN],ATALI[[#This Row],[//]]-2))</f>
        <v/>
      </c>
      <c r="N357" s="5" t="str">
        <f ca="1">IF(ATALI[[#This Row],[//]]="","",INDEX([2]!NOTA[HARGA SATUAN],ATALI[[#This Row],[//]]-2))</f>
        <v/>
      </c>
      <c r="O357" s="7" t="str">
        <f ca="1">IF(ATALI[[#This Row],[//]]="","",INDEX([2]!NOTA[DISC 1],ATALI[[#This Row],[//]]-2))</f>
        <v/>
      </c>
      <c r="P357" s="7" t="str">
        <f ca="1">IF(ATALI[[#This Row],[//]]="","",INDEX([2]!NOTA[DISC 2],ATALI[[#This Row],[//]]-2))</f>
        <v/>
      </c>
      <c r="Q357" s="5" t="str">
        <f ca="1">IF(ATALI[[#This Row],[//]]="","",INDEX([2]!NOTA[TOTAL],ATALI[[#This Row],[//]]-2))</f>
        <v/>
      </c>
      <c r="R3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7" s="4" t="str">
        <f ca="1">IF(ATALI[[#This Row],[//]]="","",INDEX([2]!NOTA[NAMA BARANG],ATALI[[#This Row],[//]]-2))</f>
        <v/>
      </c>
      <c r="V357" s="4" t="str">
        <f ca="1">LOWER(SUBSTITUTE(SUBSTITUTE(SUBSTITUTE(SUBSTITUTE(SUBSTITUTE(SUBSTITUTE(SUBSTITUTE(ATALI[[#This Row],[N.B.nota]]," ",""),"-",""),"(",""),")",""),".",""),",",""),"/",""))</f>
        <v/>
      </c>
      <c r="W357" s="4" t="str">
        <f ca="1">IF(ATALI[[#This Row],[concat]]="","",MATCH(ATALI[[#This Row],[concat]],[4]!db[NB NOTA_C],0)+1)</f>
        <v/>
      </c>
      <c r="X357" s="4" t="str">
        <f ca="1">IF(ATALI[[#This Row],[N.B.nota]]="","",ADDRESS(ROW(ATALI[QB]),COLUMN(ATALI[QB]))&amp;":"&amp;ADDRESS(ROW(),COLUMN(ATALI[QB])))</f>
        <v/>
      </c>
      <c r="Y357" s="13" t="str">
        <f ca="1">IF(ATALI[[#This Row],[//]]="","",HYPERLINK("[../DB.xlsx]DB!e"&amp;MATCH(ATALI[[#This Row],[concat]],[4]!db[NB NOTA_C],0)+1,"&gt;"))</f>
        <v/>
      </c>
    </row>
    <row r="358" spans="1:25" x14ac:dyDescent="0.25">
      <c r="A358" s="4"/>
      <c r="B358" s="6" t="str">
        <f>IF(ATALI[[#This Row],[N_ID]]="","",INDEX(Table1[ID],MATCH(ATALI[[#This Row],[N_ID]],Table1[N_ID],0)))</f>
        <v/>
      </c>
      <c r="C358" s="6" t="str">
        <f>IF(ATALI[[#This Row],[ID NOTA]]="","",HYPERLINK("[NOTA_.xlsx]NOTA!e"&amp;INDEX([2]!PAJAK[//],MATCH(ATALI[[#This Row],[ID NOTA]],[2]!PAJAK[ID],0)),"&gt;") )</f>
        <v/>
      </c>
      <c r="D358" s="6" t="str">
        <f>IF(ATALI[[#This Row],[ID NOTA]]="","",INDEX(Table1[QB],MATCH(ATALI[[#This Row],[ID NOTA]],Table1[ID],0)))</f>
        <v/>
      </c>
      <c r="E3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8" s="6"/>
      <c r="G358" s="3" t="str">
        <f>IF(ATALI[[#This Row],[ID NOTA]]="","",INDEX([2]!NOTA[TGL_H],MATCH(ATALI[[#This Row],[ID NOTA]],[2]!NOTA[ID],0)))</f>
        <v/>
      </c>
      <c r="H358" s="3" t="str">
        <f>IF(ATALI[[#This Row],[ID NOTA]]="","",INDEX([2]!NOTA[TGL.NOTA],MATCH(ATALI[[#This Row],[ID NOTA]],[2]!NOTA[ID],0)))</f>
        <v/>
      </c>
      <c r="I358" s="4" t="str">
        <f>IF(ATALI[[#This Row],[ID NOTA]]="","",INDEX([2]!NOTA[NO.NOTA],MATCH(ATALI[[#This Row],[ID NOTA]],[2]!NOTA[ID],0)))</f>
        <v/>
      </c>
      <c r="J358" s="4" t="str">
        <f ca="1">IF(ATALI[[#This Row],[//]]="","",INDEX([4]!db[NB PAJAK],ATALI[[#This Row],[stt]]-1))</f>
        <v/>
      </c>
      <c r="K358" s="6" t="str">
        <f ca="1">IF(ATALI[[#This Row],[//]]="","",IF(INDEX([2]!NOTA[C],ATALI[[#This Row],[//]]-2)="","",INDEX([2]!NOTA[C],ATALI[[#This Row],[//]]-2)))</f>
        <v/>
      </c>
      <c r="L358" s="6" t="str">
        <f ca="1">IF(ATALI[[#This Row],[//]]="","",INDEX([2]!NOTA[QTY],ATALI[[#This Row],[//]]-2))</f>
        <v/>
      </c>
      <c r="M358" s="6" t="str">
        <f ca="1">IF(ATALI[[#This Row],[//]]="","",INDEX([2]!NOTA[STN],ATALI[[#This Row],[//]]-2))</f>
        <v/>
      </c>
      <c r="N358" s="5" t="str">
        <f ca="1">IF(ATALI[[#This Row],[//]]="","",INDEX([2]!NOTA[HARGA SATUAN],ATALI[[#This Row],[//]]-2))</f>
        <v/>
      </c>
      <c r="O358" s="7" t="str">
        <f ca="1">IF(ATALI[[#This Row],[//]]="","",INDEX([2]!NOTA[DISC 1],ATALI[[#This Row],[//]]-2))</f>
        <v/>
      </c>
      <c r="P358" s="7" t="str">
        <f ca="1">IF(ATALI[[#This Row],[//]]="","",INDEX([2]!NOTA[DISC 2],ATALI[[#This Row],[//]]-2))</f>
        <v/>
      </c>
      <c r="Q358" s="5" t="str">
        <f ca="1">IF(ATALI[[#This Row],[//]]="","",INDEX([2]!NOTA[TOTAL],ATALI[[#This Row],[//]]-2))</f>
        <v/>
      </c>
      <c r="R3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8" s="4" t="str">
        <f ca="1">IF(ATALI[[#This Row],[//]]="","",INDEX([2]!NOTA[NAMA BARANG],ATALI[[#This Row],[//]]-2))</f>
        <v/>
      </c>
      <c r="V358" s="4" t="str">
        <f ca="1">LOWER(SUBSTITUTE(SUBSTITUTE(SUBSTITUTE(SUBSTITUTE(SUBSTITUTE(SUBSTITUTE(SUBSTITUTE(ATALI[[#This Row],[N.B.nota]]," ",""),"-",""),"(",""),")",""),".",""),",",""),"/",""))</f>
        <v/>
      </c>
      <c r="W358" s="4" t="str">
        <f ca="1">IF(ATALI[[#This Row],[concat]]="","",MATCH(ATALI[[#This Row],[concat]],[4]!db[NB NOTA_C],0)+1)</f>
        <v/>
      </c>
      <c r="X358" s="4" t="str">
        <f ca="1">IF(ATALI[[#This Row],[N.B.nota]]="","",ADDRESS(ROW(ATALI[QB]),COLUMN(ATALI[QB]))&amp;":"&amp;ADDRESS(ROW(),COLUMN(ATALI[QB])))</f>
        <v/>
      </c>
      <c r="Y358" s="13" t="str">
        <f ca="1">IF(ATALI[[#This Row],[//]]="","",HYPERLINK("[../DB.xlsx]DB!e"&amp;MATCH(ATALI[[#This Row],[concat]],[4]!db[NB NOTA_C],0)+1,"&gt;"))</f>
        <v/>
      </c>
    </row>
    <row r="359" spans="1:25" x14ac:dyDescent="0.25">
      <c r="A359" s="4"/>
      <c r="B359" s="6" t="str">
        <f>IF(ATALI[[#This Row],[N_ID]]="","",INDEX(Table1[ID],MATCH(ATALI[[#This Row],[N_ID]],Table1[N_ID],0)))</f>
        <v/>
      </c>
      <c r="C359" s="6" t="str">
        <f>IF(ATALI[[#This Row],[ID NOTA]]="","",HYPERLINK("[NOTA_.xlsx]NOTA!e"&amp;INDEX([2]!PAJAK[//],MATCH(ATALI[[#This Row],[ID NOTA]],[2]!PAJAK[ID],0)),"&gt;") )</f>
        <v/>
      </c>
      <c r="D359" s="6" t="str">
        <f>IF(ATALI[[#This Row],[ID NOTA]]="","",INDEX(Table1[QB],MATCH(ATALI[[#This Row],[ID NOTA]],Table1[ID],0)))</f>
        <v/>
      </c>
      <c r="E3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9" s="6"/>
      <c r="G359" s="3" t="str">
        <f>IF(ATALI[[#This Row],[ID NOTA]]="","",INDEX([2]!NOTA[TGL_H],MATCH(ATALI[[#This Row],[ID NOTA]],[2]!NOTA[ID],0)))</f>
        <v/>
      </c>
      <c r="H359" s="3" t="str">
        <f>IF(ATALI[[#This Row],[ID NOTA]]="","",INDEX([2]!NOTA[TGL.NOTA],MATCH(ATALI[[#This Row],[ID NOTA]],[2]!NOTA[ID],0)))</f>
        <v/>
      </c>
      <c r="I359" s="4" t="str">
        <f>IF(ATALI[[#This Row],[ID NOTA]]="","",INDEX([2]!NOTA[NO.NOTA],MATCH(ATALI[[#This Row],[ID NOTA]],[2]!NOTA[ID],0)))</f>
        <v/>
      </c>
      <c r="J359" s="64" t="str">
        <f ca="1">IF(ATALI[[#This Row],[//]]="","",INDEX([4]!db[NB PAJAK],ATALI[[#This Row],[stt]]-1))</f>
        <v/>
      </c>
      <c r="K359" s="6" t="str">
        <f ca="1">IF(ATALI[[#This Row],[//]]="","",IF(INDEX([2]!NOTA[C],ATALI[[#This Row],[//]]-2)="","",INDEX([2]!NOTA[C],ATALI[[#This Row],[//]]-2)))</f>
        <v/>
      </c>
      <c r="L359" s="6" t="str">
        <f ca="1">IF(ATALI[[#This Row],[//]]="","",INDEX([2]!NOTA[QTY],ATALI[[#This Row],[//]]-2))</f>
        <v/>
      </c>
      <c r="M359" s="6" t="str">
        <f ca="1">IF(ATALI[[#This Row],[//]]="","",INDEX([2]!NOTA[STN],ATALI[[#This Row],[//]]-2))</f>
        <v/>
      </c>
      <c r="N359" s="5" t="str">
        <f ca="1">IF(ATALI[[#This Row],[//]]="","",INDEX([2]!NOTA[HARGA SATUAN],ATALI[[#This Row],[//]]-2))</f>
        <v/>
      </c>
      <c r="O359" s="7" t="str">
        <f ca="1">IF(ATALI[[#This Row],[//]]="","",INDEX([2]!NOTA[DISC 1],ATALI[[#This Row],[//]]-2))</f>
        <v/>
      </c>
      <c r="P359" s="7" t="str">
        <f ca="1">IF(ATALI[[#This Row],[//]]="","",INDEX([2]!NOTA[DISC 2],ATALI[[#This Row],[//]]-2))</f>
        <v/>
      </c>
      <c r="Q359" s="5" t="str">
        <f ca="1">IF(ATALI[[#This Row],[//]]="","",INDEX([2]!NOTA[TOTAL],ATALI[[#This Row],[//]]-2))</f>
        <v/>
      </c>
      <c r="R3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9" s="4" t="str">
        <f ca="1">IF(ATALI[[#This Row],[//]]="","",INDEX([2]!NOTA[NAMA BARANG],ATALI[[#This Row],[//]]-2))</f>
        <v/>
      </c>
      <c r="V359" s="4" t="str">
        <f ca="1">LOWER(SUBSTITUTE(SUBSTITUTE(SUBSTITUTE(SUBSTITUTE(SUBSTITUTE(SUBSTITUTE(SUBSTITUTE(ATALI[[#This Row],[N.B.nota]]," ",""),"-",""),"(",""),")",""),".",""),",",""),"/",""))</f>
        <v/>
      </c>
      <c r="W359" s="4" t="str">
        <f ca="1">IF(ATALI[[#This Row],[concat]]="","",MATCH(ATALI[[#This Row],[concat]],[4]!db[NB NOTA_C],0)+1)</f>
        <v/>
      </c>
      <c r="X359" s="4" t="str">
        <f ca="1">IF(ATALI[[#This Row],[N.B.nota]]="","",ADDRESS(ROW(ATALI[QB]),COLUMN(ATALI[QB]))&amp;":"&amp;ADDRESS(ROW(),COLUMN(ATALI[QB])))</f>
        <v/>
      </c>
      <c r="Y359" s="13" t="str">
        <f ca="1">IF(ATALI[[#This Row],[//]]="","",HYPERLINK("[../DB.xlsx]DB!e"&amp;MATCH(ATALI[[#This Row],[concat]],[4]!db[NB NOTA_C],0)+1,"&gt;"))</f>
        <v/>
      </c>
    </row>
    <row r="360" spans="1:25" x14ac:dyDescent="0.25">
      <c r="A360" s="4"/>
      <c r="B360" s="6" t="str">
        <f>IF(ATALI[[#This Row],[N_ID]]="","",INDEX(Table1[ID],MATCH(ATALI[[#This Row],[N_ID]],Table1[N_ID],0)))</f>
        <v/>
      </c>
      <c r="C360" s="6" t="str">
        <f>IF(ATALI[[#This Row],[ID NOTA]]="","",HYPERLINK("[NOTA_.xlsx]NOTA!e"&amp;INDEX([2]!PAJAK[//],MATCH(ATALI[[#This Row],[ID NOTA]],[2]!PAJAK[ID],0)),"&gt;") )</f>
        <v/>
      </c>
      <c r="D360" s="6" t="str">
        <f>IF(ATALI[[#This Row],[ID NOTA]]="","",INDEX(Table1[QB],MATCH(ATALI[[#This Row],[ID NOTA]],Table1[ID],0)))</f>
        <v/>
      </c>
      <c r="E3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0" s="6"/>
      <c r="G360" s="3" t="str">
        <f>IF(ATALI[[#This Row],[ID NOTA]]="","",INDEX([2]!NOTA[TGL_H],MATCH(ATALI[[#This Row],[ID NOTA]],[2]!NOTA[ID],0)))</f>
        <v/>
      </c>
      <c r="H360" s="3" t="str">
        <f>IF(ATALI[[#This Row],[ID NOTA]]="","",INDEX([2]!NOTA[TGL.NOTA],MATCH(ATALI[[#This Row],[ID NOTA]],[2]!NOTA[ID],0)))</f>
        <v/>
      </c>
      <c r="I360" s="4" t="str">
        <f>IF(ATALI[[#This Row],[ID NOTA]]="","",INDEX([2]!NOTA[NO.NOTA],MATCH(ATALI[[#This Row],[ID NOTA]],[2]!NOTA[ID],0)))</f>
        <v/>
      </c>
      <c r="J360" s="64" t="str">
        <f ca="1">IF(ATALI[[#This Row],[//]]="","",INDEX([4]!db[NB PAJAK],ATALI[[#This Row],[stt]]-1))</f>
        <v/>
      </c>
      <c r="K360" s="6" t="str">
        <f ca="1">IF(ATALI[[#This Row],[//]]="","",IF(INDEX([2]!NOTA[C],ATALI[[#This Row],[//]]-2)="","",INDEX([2]!NOTA[C],ATALI[[#This Row],[//]]-2)))</f>
        <v/>
      </c>
      <c r="L360" s="6" t="str">
        <f ca="1">IF(ATALI[[#This Row],[//]]="","",INDEX([2]!NOTA[QTY],ATALI[[#This Row],[//]]-2))</f>
        <v/>
      </c>
      <c r="M360" s="6" t="str">
        <f ca="1">IF(ATALI[[#This Row],[//]]="","",INDEX([2]!NOTA[STN],ATALI[[#This Row],[//]]-2))</f>
        <v/>
      </c>
      <c r="N360" s="5" t="str">
        <f ca="1">IF(ATALI[[#This Row],[//]]="","",INDEX([2]!NOTA[HARGA SATUAN],ATALI[[#This Row],[//]]-2))</f>
        <v/>
      </c>
      <c r="O360" s="7" t="str">
        <f ca="1">IF(ATALI[[#This Row],[//]]="","",INDEX([2]!NOTA[DISC 1],ATALI[[#This Row],[//]]-2))</f>
        <v/>
      </c>
      <c r="P360" s="7" t="str">
        <f ca="1">IF(ATALI[[#This Row],[//]]="","",INDEX([2]!NOTA[DISC 2],ATALI[[#This Row],[//]]-2))</f>
        <v/>
      </c>
      <c r="Q360" s="5" t="str">
        <f ca="1">IF(ATALI[[#This Row],[//]]="","",INDEX([2]!NOTA[TOTAL],ATALI[[#This Row],[//]]-2))</f>
        <v/>
      </c>
      <c r="R3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0" s="4" t="str">
        <f ca="1">IF(ATALI[[#This Row],[//]]="","",INDEX([2]!NOTA[NAMA BARANG],ATALI[[#This Row],[//]]-2))</f>
        <v/>
      </c>
      <c r="V360" s="4" t="str">
        <f ca="1">LOWER(SUBSTITUTE(SUBSTITUTE(SUBSTITUTE(SUBSTITUTE(SUBSTITUTE(SUBSTITUTE(SUBSTITUTE(ATALI[[#This Row],[N.B.nota]]," ",""),"-",""),"(",""),")",""),".",""),",",""),"/",""))</f>
        <v/>
      </c>
      <c r="W360" s="4" t="str">
        <f ca="1">IF(ATALI[[#This Row],[concat]]="","",MATCH(ATALI[[#This Row],[concat]],[4]!db[NB NOTA_C],0)+1)</f>
        <v/>
      </c>
      <c r="X360" s="4" t="str">
        <f ca="1">IF(ATALI[[#This Row],[N.B.nota]]="","",ADDRESS(ROW(ATALI[QB]),COLUMN(ATALI[QB]))&amp;":"&amp;ADDRESS(ROW(),COLUMN(ATALI[QB])))</f>
        <v/>
      </c>
      <c r="Y360" s="13" t="str">
        <f ca="1">IF(ATALI[[#This Row],[//]]="","",HYPERLINK("[../DB.xlsx]DB!e"&amp;MATCH(ATALI[[#This Row],[concat]],[4]!db[NB NOTA_C],0)+1,"&gt;"))</f>
        <v/>
      </c>
    </row>
    <row r="361" spans="1:25" x14ac:dyDescent="0.25">
      <c r="A361" s="4"/>
      <c r="B361" s="6" t="str">
        <f>IF(ATALI[[#This Row],[N_ID]]="","",INDEX(Table1[ID],MATCH(ATALI[[#This Row],[N_ID]],Table1[N_ID],0)))</f>
        <v/>
      </c>
      <c r="C361" s="6" t="str">
        <f>IF(ATALI[[#This Row],[ID NOTA]]="","",HYPERLINK("[NOTA_.xlsx]NOTA!e"&amp;INDEX([2]!PAJAK[//],MATCH(ATALI[[#This Row],[ID NOTA]],[2]!PAJAK[ID],0)),"&gt;") )</f>
        <v/>
      </c>
      <c r="D361" s="6" t="str">
        <f>IF(ATALI[[#This Row],[ID NOTA]]="","",INDEX(Table1[QB],MATCH(ATALI[[#This Row],[ID NOTA]],Table1[ID],0)))</f>
        <v/>
      </c>
      <c r="E3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1" s="6"/>
      <c r="G361" s="3" t="str">
        <f>IF(ATALI[[#This Row],[ID NOTA]]="","",INDEX([2]!NOTA[TGL_H],MATCH(ATALI[[#This Row],[ID NOTA]],[2]!NOTA[ID],0)))</f>
        <v/>
      </c>
      <c r="H361" s="3" t="str">
        <f>IF(ATALI[[#This Row],[ID NOTA]]="","",INDEX([2]!NOTA[TGL.NOTA],MATCH(ATALI[[#This Row],[ID NOTA]],[2]!NOTA[ID],0)))</f>
        <v/>
      </c>
      <c r="I361" s="4" t="str">
        <f>IF(ATALI[[#This Row],[ID NOTA]]="","",INDEX([2]!NOTA[NO.NOTA],MATCH(ATALI[[#This Row],[ID NOTA]],[2]!NOTA[ID],0)))</f>
        <v/>
      </c>
      <c r="J361" s="4" t="str">
        <f ca="1">IF(ATALI[[#This Row],[//]]="","",INDEX([4]!db[NB PAJAK],ATALI[[#This Row],[stt]]-1))</f>
        <v/>
      </c>
      <c r="K361" s="6" t="str">
        <f ca="1">IF(ATALI[[#This Row],[//]]="","",IF(INDEX([2]!NOTA[C],ATALI[[#This Row],[//]]-2)="","",INDEX([2]!NOTA[C],ATALI[[#This Row],[//]]-2)))</f>
        <v/>
      </c>
      <c r="L361" s="6" t="str">
        <f ca="1">IF(ATALI[[#This Row],[//]]="","",INDEX([2]!NOTA[QTY],ATALI[[#This Row],[//]]-2))</f>
        <v/>
      </c>
      <c r="M361" s="6" t="str">
        <f ca="1">IF(ATALI[[#This Row],[//]]="","",INDEX([2]!NOTA[STN],ATALI[[#This Row],[//]]-2))</f>
        <v/>
      </c>
      <c r="N361" s="5" t="str">
        <f ca="1">IF(ATALI[[#This Row],[//]]="","",INDEX([2]!NOTA[HARGA SATUAN],ATALI[[#This Row],[//]]-2))</f>
        <v/>
      </c>
      <c r="O361" s="7" t="str">
        <f ca="1">IF(ATALI[[#This Row],[//]]="","",INDEX([2]!NOTA[DISC 1],ATALI[[#This Row],[//]]-2))</f>
        <v/>
      </c>
      <c r="P361" s="7" t="str">
        <f ca="1">IF(ATALI[[#This Row],[//]]="","",INDEX([2]!NOTA[DISC 2],ATALI[[#This Row],[//]]-2))</f>
        <v/>
      </c>
      <c r="Q361" s="5" t="str">
        <f ca="1">IF(ATALI[[#This Row],[//]]="","",INDEX([2]!NOTA[TOTAL],ATALI[[#This Row],[//]]-2))</f>
        <v/>
      </c>
      <c r="R3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1" s="4" t="str">
        <f ca="1">IF(ATALI[[#This Row],[//]]="","",INDEX([2]!NOTA[NAMA BARANG],ATALI[[#This Row],[//]]-2))</f>
        <v/>
      </c>
      <c r="V361" s="4" t="str">
        <f ca="1">LOWER(SUBSTITUTE(SUBSTITUTE(SUBSTITUTE(SUBSTITUTE(SUBSTITUTE(SUBSTITUTE(SUBSTITUTE(ATALI[[#This Row],[N.B.nota]]," ",""),"-",""),"(",""),")",""),".",""),",",""),"/",""))</f>
        <v/>
      </c>
      <c r="W361" s="4" t="str">
        <f ca="1">IF(ATALI[[#This Row],[concat]]="","",MATCH(ATALI[[#This Row],[concat]],[4]!db[NB NOTA_C],0)+1)</f>
        <v/>
      </c>
      <c r="X361" s="4" t="str">
        <f ca="1">IF(ATALI[[#This Row],[N.B.nota]]="","",ADDRESS(ROW(ATALI[QB]),COLUMN(ATALI[QB]))&amp;":"&amp;ADDRESS(ROW(),COLUMN(ATALI[QB])))</f>
        <v/>
      </c>
      <c r="Y361" s="13" t="str">
        <f ca="1">IF(ATALI[[#This Row],[//]]="","",HYPERLINK("[../DB.xlsx]DB!e"&amp;MATCH(ATALI[[#This Row],[concat]],[4]!db[NB NOTA_C],0)+1,"&gt;"))</f>
        <v/>
      </c>
    </row>
    <row r="362" spans="1:25" x14ac:dyDescent="0.25">
      <c r="A362" s="4"/>
      <c r="B362" s="6" t="str">
        <f>IF(ATALI[[#This Row],[N_ID]]="","",INDEX(Table1[ID],MATCH(ATALI[[#This Row],[N_ID]],Table1[N_ID],0)))</f>
        <v/>
      </c>
      <c r="C362" s="6" t="str">
        <f>IF(ATALI[[#This Row],[ID NOTA]]="","",HYPERLINK("[NOTA_.xlsx]NOTA!e"&amp;INDEX([2]!PAJAK[//],MATCH(ATALI[[#This Row],[ID NOTA]],[2]!PAJAK[ID],0)),"&gt;") )</f>
        <v/>
      </c>
      <c r="D362" s="6" t="str">
        <f>IF(ATALI[[#This Row],[ID NOTA]]="","",INDEX(Table1[QB],MATCH(ATALI[[#This Row],[ID NOTA]],Table1[ID],0)))</f>
        <v/>
      </c>
      <c r="E3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2" s="6"/>
      <c r="G362" s="3" t="str">
        <f>IF(ATALI[[#This Row],[ID NOTA]]="","",INDEX([2]!NOTA[TGL_H],MATCH(ATALI[[#This Row],[ID NOTA]],[2]!NOTA[ID],0)))</f>
        <v/>
      </c>
      <c r="H362" s="3" t="str">
        <f>IF(ATALI[[#This Row],[ID NOTA]]="","",INDEX([2]!NOTA[TGL.NOTA],MATCH(ATALI[[#This Row],[ID NOTA]],[2]!NOTA[ID],0)))</f>
        <v/>
      </c>
      <c r="I362" s="4" t="str">
        <f>IF(ATALI[[#This Row],[ID NOTA]]="","",INDEX([2]!NOTA[NO.NOTA],MATCH(ATALI[[#This Row],[ID NOTA]],[2]!NOTA[ID],0)))</f>
        <v/>
      </c>
      <c r="J362" s="4" t="str">
        <f ca="1">IF(ATALI[[#This Row],[//]]="","",INDEX([4]!db[NB PAJAK],ATALI[[#This Row],[stt]]-1))</f>
        <v/>
      </c>
      <c r="K362" s="6" t="str">
        <f ca="1">IF(ATALI[[#This Row],[//]]="","",IF(INDEX([2]!NOTA[C],ATALI[[#This Row],[//]]-2)="","",INDEX([2]!NOTA[C],ATALI[[#This Row],[//]]-2)))</f>
        <v/>
      </c>
      <c r="L362" s="6" t="str">
        <f ca="1">IF(ATALI[[#This Row],[//]]="","",INDEX([2]!NOTA[QTY],ATALI[[#This Row],[//]]-2))</f>
        <v/>
      </c>
      <c r="M362" s="6" t="str">
        <f ca="1">IF(ATALI[[#This Row],[//]]="","",INDEX([2]!NOTA[STN],ATALI[[#This Row],[//]]-2))</f>
        <v/>
      </c>
      <c r="N362" s="5" t="str">
        <f ca="1">IF(ATALI[[#This Row],[//]]="","",INDEX([2]!NOTA[HARGA SATUAN],ATALI[[#This Row],[//]]-2))</f>
        <v/>
      </c>
      <c r="O362" s="7" t="str">
        <f ca="1">IF(ATALI[[#This Row],[//]]="","",INDEX([2]!NOTA[DISC 1],ATALI[[#This Row],[//]]-2))</f>
        <v/>
      </c>
      <c r="P362" s="7" t="str">
        <f ca="1">IF(ATALI[[#This Row],[//]]="","",INDEX([2]!NOTA[DISC 2],ATALI[[#This Row],[//]]-2))</f>
        <v/>
      </c>
      <c r="Q362" s="5" t="str">
        <f ca="1">IF(ATALI[[#This Row],[//]]="","",INDEX([2]!NOTA[TOTAL],ATALI[[#This Row],[//]]-2))</f>
        <v/>
      </c>
      <c r="R3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2" s="4" t="str">
        <f ca="1">IF(ATALI[[#This Row],[//]]="","",INDEX([2]!NOTA[NAMA BARANG],ATALI[[#This Row],[//]]-2))</f>
        <v/>
      </c>
      <c r="V362" s="4" t="str">
        <f ca="1">LOWER(SUBSTITUTE(SUBSTITUTE(SUBSTITUTE(SUBSTITUTE(SUBSTITUTE(SUBSTITUTE(SUBSTITUTE(ATALI[[#This Row],[N.B.nota]]," ",""),"-",""),"(",""),")",""),".",""),",",""),"/",""))</f>
        <v/>
      </c>
      <c r="W362" s="4" t="str">
        <f ca="1">IF(ATALI[[#This Row],[concat]]="","",MATCH(ATALI[[#This Row],[concat]],[4]!db[NB NOTA_C],0)+1)</f>
        <v/>
      </c>
      <c r="X362" s="4" t="str">
        <f ca="1">IF(ATALI[[#This Row],[N.B.nota]]="","",ADDRESS(ROW(ATALI[QB]),COLUMN(ATALI[QB]))&amp;":"&amp;ADDRESS(ROW(),COLUMN(ATALI[QB])))</f>
        <v/>
      </c>
      <c r="Y362" s="13" t="str">
        <f ca="1">IF(ATALI[[#This Row],[//]]="","",HYPERLINK("[../DB.xlsx]DB!e"&amp;MATCH(ATALI[[#This Row],[concat]],[4]!db[NB NOTA_C],0)+1,"&gt;"))</f>
        <v/>
      </c>
    </row>
    <row r="363" spans="1:25" x14ac:dyDescent="0.25">
      <c r="A363" s="4"/>
      <c r="B363" s="6" t="str">
        <f>IF(ATALI[[#This Row],[N_ID]]="","",INDEX(Table1[ID],MATCH(ATALI[[#This Row],[N_ID]],Table1[N_ID],0)))</f>
        <v/>
      </c>
      <c r="C363" s="6" t="str">
        <f>IF(ATALI[[#This Row],[ID NOTA]]="","",HYPERLINK("[NOTA_.xlsx]NOTA!e"&amp;INDEX([2]!PAJAK[//],MATCH(ATALI[[#This Row],[ID NOTA]],[2]!PAJAK[ID],0)),"&gt;") )</f>
        <v/>
      </c>
      <c r="D363" s="6" t="str">
        <f>IF(ATALI[[#This Row],[ID NOTA]]="","",INDEX(Table1[QB],MATCH(ATALI[[#This Row],[ID NOTA]],Table1[ID],0)))</f>
        <v/>
      </c>
      <c r="E3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3" s="6"/>
      <c r="G363" s="3" t="str">
        <f>IF(ATALI[[#This Row],[ID NOTA]]="","",INDEX([2]!NOTA[TGL_H],MATCH(ATALI[[#This Row],[ID NOTA]],[2]!NOTA[ID],0)))</f>
        <v/>
      </c>
      <c r="H363" s="3" t="str">
        <f>IF(ATALI[[#This Row],[ID NOTA]]="","",INDEX([2]!NOTA[TGL.NOTA],MATCH(ATALI[[#This Row],[ID NOTA]],[2]!NOTA[ID],0)))</f>
        <v/>
      </c>
      <c r="I363" s="4" t="str">
        <f>IF(ATALI[[#This Row],[ID NOTA]]="","",INDEX([2]!NOTA[NO.NOTA],MATCH(ATALI[[#This Row],[ID NOTA]],[2]!NOTA[ID],0)))</f>
        <v/>
      </c>
      <c r="J363" s="4" t="str">
        <f ca="1">IF(ATALI[[#This Row],[//]]="","",INDEX([4]!db[NB PAJAK],ATALI[[#This Row],[stt]]-1))</f>
        <v/>
      </c>
      <c r="K363" s="6" t="str">
        <f ca="1">IF(ATALI[[#This Row],[//]]="","",IF(INDEX([2]!NOTA[C],ATALI[[#This Row],[//]]-2)="","",INDEX([2]!NOTA[C],ATALI[[#This Row],[//]]-2)))</f>
        <v/>
      </c>
      <c r="L363" s="6" t="str">
        <f ca="1">IF(ATALI[[#This Row],[//]]="","",INDEX([2]!NOTA[QTY],ATALI[[#This Row],[//]]-2))</f>
        <v/>
      </c>
      <c r="M363" s="6" t="str">
        <f ca="1">IF(ATALI[[#This Row],[//]]="","",INDEX([2]!NOTA[STN],ATALI[[#This Row],[//]]-2))</f>
        <v/>
      </c>
      <c r="N363" s="5" t="str">
        <f ca="1">IF(ATALI[[#This Row],[//]]="","",INDEX([2]!NOTA[HARGA SATUAN],ATALI[[#This Row],[//]]-2))</f>
        <v/>
      </c>
      <c r="O363" s="7" t="str">
        <f ca="1">IF(ATALI[[#This Row],[//]]="","",INDEX([2]!NOTA[DISC 1],ATALI[[#This Row],[//]]-2))</f>
        <v/>
      </c>
      <c r="P363" s="7" t="str">
        <f ca="1">IF(ATALI[[#This Row],[//]]="","",INDEX([2]!NOTA[DISC 2],ATALI[[#This Row],[//]]-2))</f>
        <v/>
      </c>
      <c r="Q363" s="5" t="str">
        <f ca="1">IF(ATALI[[#This Row],[//]]="","",INDEX([2]!NOTA[TOTAL],ATALI[[#This Row],[//]]-2))</f>
        <v/>
      </c>
      <c r="R3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3" s="4" t="str">
        <f ca="1">IF(ATALI[[#This Row],[//]]="","",INDEX([2]!NOTA[NAMA BARANG],ATALI[[#This Row],[//]]-2))</f>
        <v/>
      </c>
      <c r="V363" s="4" t="str">
        <f ca="1">LOWER(SUBSTITUTE(SUBSTITUTE(SUBSTITUTE(SUBSTITUTE(SUBSTITUTE(SUBSTITUTE(SUBSTITUTE(ATALI[[#This Row],[N.B.nota]]," ",""),"-",""),"(",""),")",""),".",""),",",""),"/",""))</f>
        <v/>
      </c>
      <c r="W363" s="4" t="str">
        <f ca="1">IF(ATALI[[#This Row],[concat]]="","",MATCH(ATALI[[#This Row],[concat]],[4]!db[NB NOTA_C],0)+1)</f>
        <v/>
      </c>
      <c r="X363" s="4" t="str">
        <f ca="1">IF(ATALI[[#This Row],[N.B.nota]]="","",ADDRESS(ROW(ATALI[QB]),COLUMN(ATALI[QB]))&amp;":"&amp;ADDRESS(ROW(),COLUMN(ATALI[QB])))</f>
        <v/>
      </c>
      <c r="Y363" s="13" t="str">
        <f ca="1">IF(ATALI[[#This Row],[//]]="","",HYPERLINK("[../DB.xlsx]DB!e"&amp;MATCH(ATALI[[#This Row],[concat]],[4]!db[NB NOTA_C],0)+1,"&gt;"))</f>
        <v/>
      </c>
    </row>
    <row r="364" spans="1:25" x14ac:dyDescent="0.25">
      <c r="A364" s="4"/>
      <c r="B364" s="6" t="str">
        <f>IF(ATALI[[#This Row],[N_ID]]="","",INDEX(Table1[ID],MATCH(ATALI[[#This Row],[N_ID]],Table1[N_ID],0)))</f>
        <v/>
      </c>
      <c r="C364" s="6" t="str">
        <f>IF(ATALI[[#This Row],[ID NOTA]]="","",HYPERLINK("[NOTA_.xlsx]NOTA!e"&amp;INDEX([2]!PAJAK[//],MATCH(ATALI[[#This Row],[ID NOTA]],[2]!PAJAK[ID],0)),"&gt;") )</f>
        <v/>
      </c>
      <c r="D364" s="6" t="str">
        <f>IF(ATALI[[#This Row],[ID NOTA]]="","",INDEX(Table1[QB],MATCH(ATALI[[#This Row],[ID NOTA]],Table1[ID],0)))</f>
        <v/>
      </c>
      <c r="E3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4" s="6"/>
      <c r="G364" s="3" t="str">
        <f>IF(ATALI[[#This Row],[ID NOTA]]="","",INDEX([2]!NOTA[TGL_H],MATCH(ATALI[[#This Row],[ID NOTA]],[2]!NOTA[ID],0)))</f>
        <v/>
      </c>
      <c r="H364" s="3" t="str">
        <f>IF(ATALI[[#This Row],[ID NOTA]]="","",INDEX([2]!NOTA[TGL.NOTA],MATCH(ATALI[[#This Row],[ID NOTA]],[2]!NOTA[ID],0)))</f>
        <v/>
      </c>
      <c r="I364" s="4" t="str">
        <f>IF(ATALI[[#This Row],[ID NOTA]]="","",INDEX([2]!NOTA[NO.NOTA],MATCH(ATALI[[#This Row],[ID NOTA]],[2]!NOTA[ID],0)))</f>
        <v/>
      </c>
      <c r="J364" s="4" t="str">
        <f ca="1">IF(ATALI[[#This Row],[//]]="","",INDEX([4]!db[NB PAJAK],ATALI[[#This Row],[stt]]-1))</f>
        <v/>
      </c>
      <c r="K364" s="6" t="str">
        <f ca="1">IF(ATALI[[#This Row],[//]]="","",IF(INDEX([2]!NOTA[C],ATALI[[#This Row],[//]]-2)="","",INDEX([2]!NOTA[C],ATALI[[#This Row],[//]]-2)))</f>
        <v/>
      </c>
      <c r="L364" s="6" t="str">
        <f ca="1">IF(ATALI[[#This Row],[//]]="","",INDEX([2]!NOTA[QTY],ATALI[[#This Row],[//]]-2))</f>
        <v/>
      </c>
      <c r="M364" s="6" t="str">
        <f ca="1">IF(ATALI[[#This Row],[//]]="","",INDEX([2]!NOTA[STN],ATALI[[#This Row],[//]]-2))</f>
        <v/>
      </c>
      <c r="N364" s="5" t="str">
        <f ca="1">IF(ATALI[[#This Row],[//]]="","",INDEX([2]!NOTA[HARGA SATUAN],ATALI[[#This Row],[//]]-2))</f>
        <v/>
      </c>
      <c r="O364" s="7" t="str">
        <f ca="1">IF(ATALI[[#This Row],[//]]="","",INDEX([2]!NOTA[DISC 1],ATALI[[#This Row],[//]]-2))</f>
        <v/>
      </c>
      <c r="P364" s="7" t="str">
        <f ca="1">IF(ATALI[[#This Row],[//]]="","",INDEX([2]!NOTA[DISC 2],ATALI[[#This Row],[//]]-2))</f>
        <v/>
      </c>
      <c r="Q364" s="5" t="str">
        <f ca="1">IF(ATALI[[#This Row],[//]]="","",INDEX([2]!NOTA[TOTAL],ATALI[[#This Row],[//]]-2))</f>
        <v/>
      </c>
      <c r="R3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4" s="4" t="str">
        <f ca="1">IF(ATALI[[#This Row],[//]]="","",INDEX([2]!NOTA[NAMA BARANG],ATALI[[#This Row],[//]]-2))</f>
        <v/>
      </c>
      <c r="V364" s="4" t="str">
        <f ca="1">LOWER(SUBSTITUTE(SUBSTITUTE(SUBSTITUTE(SUBSTITUTE(SUBSTITUTE(SUBSTITUTE(SUBSTITUTE(ATALI[[#This Row],[N.B.nota]]," ",""),"-",""),"(",""),")",""),".",""),",",""),"/",""))</f>
        <v/>
      </c>
      <c r="W364" s="4" t="str">
        <f ca="1">IF(ATALI[[#This Row],[concat]]="","",MATCH(ATALI[[#This Row],[concat]],[4]!db[NB NOTA_C],0)+1)</f>
        <v/>
      </c>
      <c r="X364" s="4" t="str">
        <f ca="1">IF(ATALI[[#This Row],[N.B.nota]]="","",ADDRESS(ROW(ATALI[QB]),COLUMN(ATALI[QB]))&amp;":"&amp;ADDRESS(ROW(),COLUMN(ATALI[QB])))</f>
        <v/>
      </c>
      <c r="Y364" s="13" t="str">
        <f ca="1">IF(ATALI[[#This Row],[//]]="","",HYPERLINK("[../DB.xlsx]DB!e"&amp;MATCH(ATALI[[#This Row],[concat]],[4]!db[NB NOTA_C],0)+1,"&gt;"))</f>
        <v/>
      </c>
    </row>
    <row r="365" spans="1:25" x14ac:dyDescent="0.25">
      <c r="A365" s="4"/>
      <c r="B365" s="6" t="str">
        <f>IF(ATALI[[#This Row],[N_ID]]="","",INDEX(Table1[ID],MATCH(ATALI[[#This Row],[N_ID]],Table1[N_ID],0)))</f>
        <v/>
      </c>
      <c r="C365" s="6" t="str">
        <f>IF(ATALI[[#This Row],[ID NOTA]]="","",HYPERLINK("[NOTA_.xlsx]NOTA!e"&amp;INDEX([2]!PAJAK[//],MATCH(ATALI[[#This Row],[ID NOTA]],[2]!PAJAK[ID],0)),"&gt;") )</f>
        <v/>
      </c>
      <c r="D365" s="6" t="str">
        <f>IF(ATALI[[#This Row],[ID NOTA]]="","",INDEX(Table1[QB],MATCH(ATALI[[#This Row],[ID NOTA]],Table1[ID],0)))</f>
        <v/>
      </c>
      <c r="E3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5" s="6"/>
      <c r="G365" s="3" t="str">
        <f>IF(ATALI[[#This Row],[ID NOTA]]="","",INDEX([2]!NOTA[TGL_H],MATCH(ATALI[[#This Row],[ID NOTA]],[2]!NOTA[ID],0)))</f>
        <v/>
      </c>
      <c r="H365" s="3" t="str">
        <f>IF(ATALI[[#This Row],[ID NOTA]]="","",INDEX([2]!NOTA[TGL.NOTA],MATCH(ATALI[[#This Row],[ID NOTA]],[2]!NOTA[ID],0)))</f>
        <v/>
      </c>
      <c r="I365" s="4" t="str">
        <f>IF(ATALI[[#This Row],[ID NOTA]]="","",INDEX([2]!NOTA[NO.NOTA],MATCH(ATALI[[#This Row],[ID NOTA]],[2]!NOTA[ID],0)))</f>
        <v/>
      </c>
      <c r="J365" s="4" t="str">
        <f ca="1">IF(ATALI[[#This Row],[//]]="","",INDEX([4]!db[NB PAJAK],ATALI[[#This Row],[stt]]-1))</f>
        <v/>
      </c>
      <c r="K365" s="6" t="str">
        <f ca="1">IF(ATALI[[#This Row],[//]]="","",IF(INDEX([2]!NOTA[C],ATALI[[#This Row],[//]]-2)="","",INDEX([2]!NOTA[C],ATALI[[#This Row],[//]]-2)))</f>
        <v/>
      </c>
      <c r="L365" s="6" t="str">
        <f ca="1">IF(ATALI[[#This Row],[//]]="","",INDEX([2]!NOTA[QTY],ATALI[[#This Row],[//]]-2))</f>
        <v/>
      </c>
      <c r="M365" s="6" t="str">
        <f ca="1">IF(ATALI[[#This Row],[//]]="","",INDEX([2]!NOTA[STN],ATALI[[#This Row],[//]]-2))</f>
        <v/>
      </c>
      <c r="N365" s="5" t="str">
        <f ca="1">IF(ATALI[[#This Row],[//]]="","",INDEX([2]!NOTA[HARGA SATUAN],ATALI[[#This Row],[//]]-2))</f>
        <v/>
      </c>
      <c r="O365" s="7" t="str">
        <f ca="1">IF(ATALI[[#This Row],[//]]="","",INDEX([2]!NOTA[DISC 1],ATALI[[#This Row],[//]]-2))</f>
        <v/>
      </c>
      <c r="P365" s="7" t="str">
        <f ca="1">IF(ATALI[[#This Row],[//]]="","",INDEX([2]!NOTA[DISC 2],ATALI[[#This Row],[//]]-2))</f>
        <v/>
      </c>
      <c r="Q365" s="5" t="str">
        <f ca="1">IF(ATALI[[#This Row],[//]]="","",INDEX([2]!NOTA[TOTAL],ATALI[[#This Row],[//]]-2))</f>
        <v/>
      </c>
      <c r="R3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5" s="4" t="str">
        <f ca="1">IF(ATALI[[#This Row],[//]]="","",INDEX([2]!NOTA[NAMA BARANG],ATALI[[#This Row],[//]]-2))</f>
        <v/>
      </c>
      <c r="V365" s="4" t="str">
        <f ca="1">LOWER(SUBSTITUTE(SUBSTITUTE(SUBSTITUTE(SUBSTITUTE(SUBSTITUTE(SUBSTITUTE(SUBSTITUTE(ATALI[[#This Row],[N.B.nota]]," ",""),"-",""),"(",""),")",""),".",""),",",""),"/",""))</f>
        <v/>
      </c>
      <c r="W365" s="4" t="str">
        <f ca="1">IF(ATALI[[#This Row],[concat]]="","",MATCH(ATALI[[#This Row],[concat]],[4]!db[NB NOTA_C],0)+1)</f>
        <v/>
      </c>
      <c r="X365" s="4" t="str">
        <f ca="1">IF(ATALI[[#This Row],[N.B.nota]]="","",ADDRESS(ROW(ATALI[QB]),COLUMN(ATALI[QB]))&amp;":"&amp;ADDRESS(ROW(),COLUMN(ATALI[QB])))</f>
        <v/>
      </c>
      <c r="Y365" s="13" t="str">
        <f ca="1">IF(ATALI[[#This Row],[//]]="","",HYPERLINK("[../DB.xlsx]DB!e"&amp;MATCH(ATALI[[#This Row],[concat]],[4]!db[NB NOTA_C],0)+1,"&gt;"))</f>
        <v/>
      </c>
    </row>
    <row r="366" spans="1:25" x14ac:dyDescent="0.25">
      <c r="A366" s="4"/>
      <c r="B366" s="6" t="str">
        <f>IF(ATALI[[#This Row],[N_ID]]="","",INDEX(Table1[ID],MATCH(ATALI[[#This Row],[N_ID]],Table1[N_ID],0)))</f>
        <v/>
      </c>
      <c r="C366" s="6" t="str">
        <f>IF(ATALI[[#This Row],[ID NOTA]]="","",HYPERLINK("[NOTA_.xlsx]NOTA!e"&amp;INDEX([2]!PAJAK[//],MATCH(ATALI[[#This Row],[ID NOTA]],[2]!PAJAK[ID],0)),"&gt;") )</f>
        <v/>
      </c>
      <c r="D366" s="6" t="str">
        <f>IF(ATALI[[#This Row],[ID NOTA]]="","",INDEX(Table1[QB],MATCH(ATALI[[#This Row],[ID NOTA]],Table1[ID],0)))</f>
        <v/>
      </c>
      <c r="E3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6" s="6"/>
      <c r="G366" s="3" t="str">
        <f>IF(ATALI[[#This Row],[ID NOTA]]="","",INDEX([2]!NOTA[TGL_H],MATCH(ATALI[[#This Row],[ID NOTA]],[2]!NOTA[ID],0)))</f>
        <v/>
      </c>
      <c r="H366" s="3" t="str">
        <f>IF(ATALI[[#This Row],[ID NOTA]]="","",INDEX([2]!NOTA[TGL.NOTA],MATCH(ATALI[[#This Row],[ID NOTA]],[2]!NOTA[ID],0)))</f>
        <v/>
      </c>
      <c r="I366" s="4" t="str">
        <f>IF(ATALI[[#This Row],[ID NOTA]]="","",INDEX([2]!NOTA[NO.NOTA],MATCH(ATALI[[#This Row],[ID NOTA]],[2]!NOTA[ID],0)))</f>
        <v/>
      </c>
      <c r="J366" s="4" t="str">
        <f ca="1">IF(ATALI[[#This Row],[//]]="","",INDEX([4]!db[NB PAJAK],ATALI[[#This Row],[stt]]-1))</f>
        <v/>
      </c>
      <c r="K366" s="6" t="str">
        <f ca="1">IF(ATALI[[#This Row],[//]]="","",IF(INDEX([2]!NOTA[C],ATALI[[#This Row],[//]]-2)="","",INDEX([2]!NOTA[C],ATALI[[#This Row],[//]]-2)))</f>
        <v/>
      </c>
      <c r="L366" s="6" t="str">
        <f ca="1">IF(ATALI[[#This Row],[//]]="","",INDEX([2]!NOTA[QTY],ATALI[[#This Row],[//]]-2))</f>
        <v/>
      </c>
      <c r="M366" s="6" t="str">
        <f ca="1">IF(ATALI[[#This Row],[//]]="","",INDEX([2]!NOTA[STN],ATALI[[#This Row],[//]]-2))</f>
        <v/>
      </c>
      <c r="N366" s="5" t="str">
        <f ca="1">IF(ATALI[[#This Row],[//]]="","",INDEX([2]!NOTA[HARGA SATUAN],ATALI[[#This Row],[//]]-2))</f>
        <v/>
      </c>
      <c r="O366" s="7" t="str">
        <f ca="1">IF(ATALI[[#This Row],[//]]="","",INDEX([2]!NOTA[DISC 1],ATALI[[#This Row],[//]]-2))</f>
        <v/>
      </c>
      <c r="P366" s="7" t="str">
        <f ca="1">IF(ATALI[[#This Row],[//]]="","",INDEX([2]!NOTA[DISC 2],ATALI[[#This Row],[//]]-2))</f>
        <v/>
      </c>
      <c r="Q366" s="5" t="str">
        <f ca="1">IF(ATALI[[#This Row],[//]]="","",INDEX([2]!NOTA[TOTAL],ATALI[[#This Row],[//]]-2))</f>
        <v/>
      </c>
      <c r="R3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6" s="4" t="str">
        <f ca="1">IF(ATALI[[#This Row],[//]]="","",INDEX([2]!NOTA[NAMA BARANG],ATALI[[#This Row],[//]]-2))</f>
        <v/>
      </c>
      <c r="V366" s="4" t="str">
        <f ca="1">LOWER(SUBSTITUTE(SUBSTITUTE(SUBSTITUTE(SUBSTITUTE(SUBSTITUTE(SUBSTITUTE(SUBSTITUTE(ATALI[[#This Row],[N.B.nota]]," ",""),"-",""),"(",""),")",""),".",""),",",""),"/",""))</f>
        <v/>
      </c>
      <c r="W366" s="4" t="str">
        <f ca="1">IF(ATALI[[#This Row],[concat]]="","",MATCH(ATALI[[#This Row],[concat]],[4]!db[NB NOTA_C],0)+1)</f>
        <v/>
      </c>
      <c r="X366" s="4" t="str">
        <f ca="1">IF(ATALI[[#This Row],[N.B.nota]]="","",ADDRESS(ROW(ATALI[QB]),COLUMN(ATALI[QB]))&amp;":"&amp;ADDRESS(ROW(),COLUMN(ATALI[QB])))</f>
        <v/>
      </c>
      <c r="Y366" s="13" t="str">
        <f ca="1">IF(ATALI[[#This Row],[//]]="","",HYPERLINK("[../DB.xlsx]DB!e"&amp;MATCH(ATALI[[#This Row],[concat]],[4]!db[NB NOTA_C],0)+1,"&gt;"))</f>
        <v/>
      </c>
    </row>
    <row r="367" spans="1:25" x14ac:dyDescent="0.25">
      <c r="A367" s="4"/>
      <c r="B367" s="6" t="str">
        <f>IF(ATALI[[#This Row],[N_ID]]="","",INDEX(Table1[ID],MATCH(ATALI[[#This Row],[N_ID]],Table1[N_ID],0)))</f>
        <v/>
      </c>
      <c r="C367" s="6" t="str">
        <f>IF(ATALI[[#This Row],[ID NOTA]]="","",HYPERLINK("[NOTA_.xlsx]NOTA!e"&amp;INDEX([2]!PAJAK[//],MATCH(ATALI[[#This Row],[ID NOTA]],[2]!PAJAK[ID],0)),"&gt;") )</f>
        <v/>
      </c>
      <c r="D367" s="6" t="str">
        <f>IF(ATALI[[#This Row],[ID NOTA]]="","",INDEX(Table1[QB],MATCH(ATALI[[#This Row],[ID NOTA]],Table1[ID],0)))</f>
        <v/>
      </c>
      <c r="E3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7" s="6"/>
      <c r="G367" s="3" t="str">
        <f>IF(ATALI[[#This Row],[ID NOTA]]="","",INDEX([2]!NOTA[TGL_H],MATCH(ATALI[[#This Row],[ID NOTA]],[2]!NOTA[ID],0)))</f>
        <v/>
      </c>
      <c r="H367" s="3" t="str">
        <f>IF(ATALI[[#This Row],[ID NOTA]]="","",INDEX([2]!NOTA[TGL.NOTA],MATCH(ATALI[[#This Row],[ID NOTA]],[2]!NOTA[ID],0)))</f>
        <v/>
      </c>
      <c r="I367" s="4" t="str">
        <f>IF(ATALI[[#This Row],[ID NOTA]]="","",INDEX([2]!NOTA[NO.NOTA],MATCH(ATALI[[#This Row],[ID NOTA]],[2]!NOTA[ID],0)))</f>
        <v/>
      </c>
      <c r="J367" s="4" t="str">
        <f ca="1">IF(ATALI[[#This Row],[//]]="","",INDEX([4]!db[NB PAJAK],ATALI[[#This Row],[stt]]-1))</f>
        <v/>
      </c>
      <c r="K367" s="6" t="str">
        <f ca="1">IF(ATALI[[#This Row],[//]]="","",IF(INDEX([2]!NOTA[C],ATALI[[#This Row],[//]]-2)="","",INDEX([2]!NOTA[C],ATALI[[#This Row],[//]]-2)))</f>
        <v/>
      </c>
      <c r="L367" s="6" t="str">
        <f ca="1">IF(ATALI[[#This Row],[//]]="","",INDEX([2]!NOTA[QTY],ATALI[[#This Row],[//]]-2))</f>
        <v/>
      </c>
      <c r="M367" s="6" t="str">
        <f ca="1">IF(ATALI[[#This Row],[//]]="","",INDEX([2]!NOTA[STN],ATALI[[#This Row],[//]]-2))</f>
        <v/>
      </c>
      <c r="N367" s="5" t="str">
        <f ca="1">IF(ATALI[[#This Row],[//]]="","",INDEX([2]!NOTA[HARGA SATUAN],ATALI[[#This Row],[//]]-2))</f>
        <v/>
      </c>
      <c r="O367" s="7" t="str">
        <f ca="1">IF(ATALI[[#This Row],[//]]="","",INDEX([2]!NOTA[DISC 1],ATALI[[#This Row],[//]]-2))</f>
        <v/>
      </c>
      <c r="P367" s="7" t="str">
        <f ca="1">IF(ATALI[[#This Row],[//]]="","",INDEX([2]!NOTA[DISC 2],ATALI[[#This Row],[//]]-2))</f>
        <v/>
      </c>
      <c r="Q367" s="5" t="str">
        <f ca="1">IF(ATALI[[#This Row],[//]]="","",INDEX([2]!NOTA[TOTAL],ATALI[[#This Row],[//]]-2))</f>
        <v/>
      </c>
      <c r="R3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7" s="4" t="str">
        <f ca="1">IF(ATALI[[#This Row],[//]]="","",INDEX([2]!NOTA[NAMA BARANG],ATALI[[#This Row],[//]]-2))</f>
        <v/>
      </c>
      <c r="V367" s="4" t="str">
        <f ca="1">LOWER(SUBSTITUTE(SUBSTITUTE(SUBSTITUTE(SUBSTITUTE(SUBSTITUTE(SUBSTITUTE(SUBSTITUTE(ATALI[[#This Row],[N.B.nota]]," ",""),"-",""),"(",""),")",""),".",""),",",""),"/",""))</f>
        <v/>
      </c>
      <c r="W367" s="4" t="str">
        <f ca="1">IF(ATALI[[#This Row],[concat]]="","",MATCH(ATALI[[#This Row],[concat]],[4]!db[NB NOTA_C],0)+1)</f>
        <v/>
      </c>
      <c r="X367" s="4" t="str">
        <f ca="1">IF(ATALI[[#This Row],[N.B.nota]]="","",ADDRESS(ROW(ATALI[QB]),COLUMN(ATALI[QB]))&amp;":"&amp;ADDRESS(ROW(),COLUMN(ATALI[QB])))</f>
        <v/>
      </c>
      <c r="Y367" s="13" t="str">
        <f ca="1">IF(ATALI[[#This Row],[//]]="","",HYPERLINK("[../DB.xlsx]DB!e"&amp;MATCH(ATALI[[#This Row],[concat]],[4]!db[NB NOTA_C],0)+1,"&gt;"))</f>
        <v/>
      </c>
    </row>
    <row r="368" spans="1:25" x14ac:dyDescent="0.25">
      <c r="A368" s="4"/>
      <c r="B368" s="6" t="str">
        <f>IF(ATALI[[#This Row],[N_ID]]="","",INDEX(Table1[ID],MATCH(ATALI[[#This Row],[N_ID]],Table1[N_ID],0)))</f>
        <v/>
      </c>
      <c r="C368" s="6" t="str">
        <f>IF(ATALI[[#This Row],[ID NOTA]]="","",HYPERLINK("[NOTA_.xlsx]NOTA!e"&amp;INDEX([2]!PAJAK[//],MATCH(ATALI[[#This Row],[ID NOTA]],[2]!PAJAK[ID],0)),"&gt;") )</f>
        <v/>
      </c>
      <c r="D368" s="6" t="str">
        <f>IF(ATALI[[#This Row],[ID NOTA]]="","",INDEX(Table1[QB],MATCH(ATALI[[#This Row],[ID NOTA]],Table1[ID],0)))</f>
        <v/>
      </c>
      <c r="E3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8" s="6"/>
      <c r="G368" s="3" t="str">
        <f>IF(ATALI[[#This Row],[ID NOTA]]="","",INDEX([2]!NOTA[TGL_H],MATCH(ATALI[[#This Row],[ID NOTA]],[2]!NOTA[ID],0)))</f>
        <v/>
      </c>
      <c r="H368" s="3" t="str">
        <f>IF(ATALI[[#This Row],[ID NOTA]]="","",INDEX([2]!NOTA[TGL.NOTA],MATCH(ATALI[[#This Row],[ID NOTA]],[2]!NOTA[ID],0)))</f>
        <v/>
      </c>
      <c r="I368" s="4" t="str">
        <f>IF(ATALI[[#This Row],[ID NOTA]]="","",INDEX([2]!NOTA[NO.NOTA],MATCH(ATALI[[#This Row],[ID NOTA]],[2]!NOTA[ID],0)))</f>
        <v/>
      </c>
      <c r="J368" s="4" t="str">
        <f ca="1">IF(ATALI[[#This Row],[//]]="","",INDEX([4]!db[NB PAJAK],ATALI[[#This Row],[stt]]-1))</f>
        <v/>
      </c>
      <c r="K368" s="6" t="str">
        <f ca="1">IF(ATALI[[#This Row],[//]]="","",IF(INDEX([2]!NOTA[C],ATALI[[#This Row],[//]]-2)="","",INDEX([2]!NOTA[C],ATALI[[#This Row],[//]]-2)))</f>
        <v/>
      </c>
      <c r="L368" s="6" t="str">
        <f ca="1">IF(ATALI[[#This Row],[//]]="","",INDEX([2]!NOTA[QTY],ATALI[[#This Row],[//]]-2))</f>
        <v/>
      </c>
      <c r="M368" s="6" t="str">
        <f ca="1">IF(ATALI[[#This Row],[//]]="","",INDEX([2]!NOTA[STN],ATALI[[#This Row],[//]]-2))</f>
        <v/>
      </c>
      <c r="N368" s="5" t="str">
        <f ca="1">IF(ATALI[[#This Row],[//]]="","",INDEX([2]!NOTA[HARGA SATUAN],ATALI[[#This Row],[//]]-2))</f>
        <v/>
      </c>
      <c r="O368" s="7" t="str">
        <f ca="1">IF(ATALI[[#This Row],[//]]="","",INDEX([2]!NOTA[DISC 1],ATALI[[#This Row],[//]]-2))</f>
        <v/>
      </c>
      <c r="P368" s="7" t="str">
        <f ca="1">IF(ATALI[[#This Row],[//]]="","",INDEX([2]!NOTA[DISC 2],ATALI[[#This Row],[//]]-2))</f>
        <v/>
      </c>
      <c r="Q368" s="5" t="str">
        <f ca="1">IF(ATALI[[#This Row],[//]]="","",INDEX([2]!NOTA[TOTAL],ATALI[[#This Row],[//]]-2))</f>
        <v/>
      </c>
      <c r="R3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8" s="4" t="str">
        <f ca="1">IF(ATALI[[#This Row],[//]]="","",INDEX([2]!NOTA[NAMA BARANG],ATALI[[#This Row],[//]]-2))</f>
        <v/>
      </c>
      <c r="V368" s="4" t="str">
        <f ca="1">LOWER(SUBSTITUTE(SUBSTITUTE(SUBSTITUTE(SUBSTITUTE(SUBSTITUTE(SUBSTITUTE(SUBSTITUTE(ATALI[[#This Row],[N.B.nota]]," ",""),"-",""),"(",""),")",""),".",""),",",""),"/",""))</f>
        <v/>
      </c>
      <c r="W368" s="4" t="str">
        <f ca="1">IF(ATALI[[#This Row],[concat]]="","",MATCH(ATALI[[#This Row],[concat]],[4]!db[NB NOTA_C],0)+1)</f>
        <v/>
      </c>
      <c r="X368" s="4" t="str">
        <f ca="1">IF(ATALI[[#This Row],[N.B.nota]]="","",ADDRESS(ROW(ATALI[QB]),COLUMN(ATALI[QB]))&amp;":"&amp;ADDRESS(ROW(),COLUMN(ATALI[QB])))</f>
        <v/>
      </c>
      <c r="Y368" s="13" t="str">
        <f ca="1">IF(ATALI[[#This Row],[//]]="","",HYPERLINK("[../DB.xlsx]DB!e"&amp;MATCH(ATALI[[#This Row],[concat]],[4]!db[NB NOTA_C],0)+1,"&gt;"))</f>
        <v/>
      </c>
    </row>
    <row r="369" spans="1:25" x14ac:dyDescent="0.25">
      <c r="A369" s="4"/>
      <c r="B369" s="6" t="str">
        <f>IF(ATALI[[#This Row],[N_ID]]="","",INDEX(Table1[ID],MATCH(ATALI[[#This Row],[N_ID]],Table1[N_ID],0)))</f>
        <v/>
      </c>
      <c r="C369" s="6" t="str">
        <f>IF(ATALI[[#This Row],[ID NOTA]]="","",HYPERLINK("[NOTA_.xlsx]NOTA!e"&amp;INDEX([2]!PAJAK[//],MATCH(ATALI[[#This Row],[ID NOTA]],[2]!PAJAK[ID],0)),"&gt;") )</f>
        <v/>
      </c>
      <c r="D369" s="6" t="str">
        <f>IF(ATALI[[#This Row],[ID NOTA]]="","",INDEX(Table1[QB],MATCH(ATALI[[#This Row],[ID NOTA]],Table1[ID],0)))</f>
        <v/>
      </c>
      <c r="E3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9" s="6"/>
      <c r="G369" s="3" t="str">
        <f>IF(ATALI[[#This Row],[ID NOTA]]="","",INDEX([2]!NOTA[TGL_H],MATCH(ATALI[[#This Row],[ID NOTA]],[2]!NOTA[ID],0)))</f>
        <v/>
      </c>
      <c r="H369" s="3" t="str">
        <f>IF(ATALI[[#This Row],[ID NOTA]]="","",INDEX([2]!NOTA[TGL.NOTA],MATCH(ATALI[[#This Row],[ID NOTA]],[2]!NOTA[ID],0)))</f>
        <v/>
      </c>
      <c r="I369" s="4" t="str">
        <f>IF(ATALI[[#This Row],[ID NOTA]]="","",INDEX([2]!NOTA[NO.NOTA],MATCH(ATALI[[#This Row],[ID NOTA]],[2]!NOTA[ID],0)))</f>
        <v/>
      </c>
      <c r="J369" s="4" t="str">
        <f ca="1">IF(ATALI[[#This Row],[//]]="","",INDEX([4]!db[NB PAJAK],ATALI[[#This Row],[stt]]-1))</f>
        <v/>
      </c>
      <c r="K369" s="6" t="str">
        <f ca="1">IF(ATALI[[#This Row],[//]]="","",IF(INDEX([2]!NOTA[C],ATALI[[#This Row],[//]]-2)="","",INDEX([2]!NOTA[C],ATALI[[#This Row],[//]]-2)))</f>
        <v/>
      </c>
      <c r="L369" s="6" t="str">
        <f ca="1">IF(ATALI[[#This Row],[//]]="","",INDEX([2]!NOTA[QTY],ATALI[[#This Row],[//]]-2))</f>
        <v/>
      </c>
      <c r="M369" s="6" t="str">
        <f ca="1">IF(ATALI[[#This Row],[//]]="","",INDEX([2]!NOTA[STN],ATALI[[#This Row],[//]]-2))</f>
        <v/>
      </c>
      <c r="N369" s="5" t="str">
        <f ca="1">IF(ATALI[[#This Row],[//]]="","",INDEX([2]!NOTA[HARGA SATUAN],ATALI[[#This Row],[//]]-2))</f>
        <v/>
      </c>
      <c r="O369" s="7" t="str">
        <f ca="1">IF(ATALI[[#This Row],[//]]="","",INDEX([2]!NOTA[DISC 1],ATALI[[#This Row],[//]]-2))</f>
        <v/>
      </c>
      <c r="P369" s="7" t="str">
        <f ca="1">IF(ATALI[[#This Row],[//]]="","",INDEX([2]!NOTA[DISC 2],ATALI[[#This Row],[//]]-2))</f>
        <v/>
      </c>
      <c r="Q369" s="5" t="str">
        <f ca="1">IF(ATALI[[#This Row],[//]]="","",INDEX([2]!NOTA[TOTAL],ATALI[[#This Row],[//]]-2))</f>
        <v/>
      </c>
      <c r="R3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9" s="4" t="str">
        <f ca="1">IF(ATALI[[#This Row],[//]]="","",INDEX([2]!NOTA[NAMA BARANG],ATALI[[#This Row],[//]]-2))</f>
        <v/>
      </c>
      <c r="V369" s="4" t="str">
        <f ca="1">LOWER(SUBSTITUTE(SUBSTITUTE(SUBSTITUTE(SUBSTITUTE(SUBSTITUTE(SUBSTITUTE(SUBSTITUTE(ATALI[[#This Row],[N.B.nota]]," ",""),"-",""),"(",""),")",""),".",""),",",""),"/",""))</f>
        <v/>
      </c>
      <c r="W369" s="4" t="str">
        <f ca="1">IF(ATALI[[#This Row],[concat]]="","",MATCH(ATALI[[#This Row],[concat]],[4]!db[NB NOTA_C],0)+1)</f>
        <v/>
      </c>
      <c r="X369" s="4" t="str">
        <f ca="1">IF(ATALI[[#This Row],[N.B.nota]]="","",ADDRESS(ROW(ATALI[QB]),COLUMN(ATALI[QB]))&amp;":"&amp;ADDRESS(ROW(),COLUMN(ATALI[QB])))</f>
        <v/>
      </c>
      <c r="Y369" s="13" t="str">
        <f ca="1">IF(ATALI[[#This Row],[//]]="","",HYPERLINK("[../DB.xlsx]DB!e"&amp;MATCH(ATALI[[#This Row],[concat]],[4]!db[NB NOTA_C],0)+1,"&gt;"))</f>
        <v/>
      </c>
    </row>
    <row r="370" spans="1:25" x14ac:dyDescent="0.25">
      <c r="A370" s="4"/>
      <c r="B370" s="6" t="str">
        <f>IF(ATALI[[#This Row],[N_ID]]="","",INDEX(Table1[ID],MATCH(ATALI[[#This Row],[N_ID]],Table1[N_ID],0)))</f>
        <v/>
      </c>
      <c r="C370" s="6" t="str">
        <f>IF(ATALI[[#This Row],[ID NOTA]]="","",HYPERLINK("[NOTA_.xlsx]NOTA!e"&amp;INDEX([2]!PAJAK[//],MATCH(ATALI[[#This Row],[ID NOTA]],[2]!PAJAK[ID],0)),"&gt;") )</f>
        <v/>
      </c>
      <c r="D370" s="6" t="str">
        <f>IF(ATALI[[#This Row],[ID NOTA]]="","",INDEX(Table1[QB],MATCH(ATALI[[#This Row],[ID NOTA]],Table1[ID],0)))</f>
        <v/>
      </c>
      <c r="E3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0" s="6"/>
      <c r="G370" s="3" t="str">
        <f>IF(ATALI[[#This Row],[ID NOTA]]="","",INDEX([2]!NOTA[TGL_H],MATCH(ATALI[[#This Row],[ID NOTA]],[2]!NOTA[ID],0)))</f>
        <v/>
      </c>
      <c r="H370" s="3" t="str">
        <f>IF(ATALI[[#This Row],[ID NOTA]]="","",INDEX([2]!NOTA[TGL.NOTA],MATCH(ATALI[[#This Row],[ID NOTA]],[2]!NOTA[ID],0)))</f>
        <v/>
      </c>
      <c r="I370" s="4" t="str">
        <f>IF(ATALI[[#This Row],[ID NOTA]]="","",INDEX([2]!NOTA[NO.NOTA],MATCH(ATALI[[#This Row],[ID NOTA]],[2]!NOTA[ID],0)))</f>
        <v/>
      </c>
      <c r="J370" s="4" t="str">
        <f ca="1">IF(ATALI[[#This Row],[//]]="","",INDEX([4]!db[NB PAJAK],ATALI[[#This Row],[stt]]-1))</f>
        <v/>
      </c>
      <c r="K370" s="6" t="str">
        <f ca="1">IF(ATALI[[#This Row],[//]]="","",IF(INDEX([2]!NOTA[C],ATALI[[#This Row],[//]]-2)="","",INDEX([2]!NOTA[C],ATALI[[#This Row],[//]]-2)))</f>
        <v/>
      </c>
      <c r="L370" s="6" t="str">
        <f ca="1">IF(ATALI[[#This Row],[//]]="","",INDEX([2]!NOTA[QTY],ATALI[[#This Row],[//]]-2))</f>
        <v/>
      </c>
      <c r="M370" s="6" t="str">
        <f ca="1">IF(ATALI[[#This Row],[//]]="","",INDEX([2]!NOTA[STN],ATALI[[#This Row],[//]]-2))</f>
        <v/>
      </c>
      <c r="N370" s="5" t="str">
        <f ca="1">IF(ATALI[[#This Row],[//]]="","",INDEX([2]!NOTA[HARGA SATUAN],ATALI[[#This Row],[//]]-2))</f>
        <v/>
      </c>
      <c r="O370" s="7" t="str">
        <f ca="1">IF(ATALI[[#This Row],[//]]="","",INDEX([2]!NOTA[DISC 1],ATALI[[#This Row],[//]]-2))</f>
        <v/>
      </c>
      <c r="P370" s="7" t="str">
        <f ca="1">IF(ATALI[[#This Row],[//]]="","",INDEX([2]!NOTA[DISC 2],ATALI[[#This Row],[//]]-2))</f>
        <v/>
      </c>
      <c r="Q370" s="5" t="str">
        <f ca="1">IF(ATALI[[#This Row],[//]]="","",INDEX([2]!NOTA[TOTAL],ATALI[[#This Row],[//]]-2))</f>
        <v/>
      </c>
      <c r="R3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0" s="4" t="str">
        <f ca="1">IF(ATALI[[#This Row],[//]]="","",INDEX([2]!NOTA[NAMA BARANG],ATALI[[#This Row],[//]]-2))</f>
        <v/>
      </c>
      <c r="V370" s="4" t="str">
        <f ca="1">LOWER(SUBSTITUTE(SUBSTITUTE(SUBSTITUTE(SUBSTITUTE(SUBSTITUTE(SUBSTITUTE(SUBSTITUTE(ATALI[[#This Row],[N.B.nota]]," ",""),"-",""),"(",""),")",""),".",""),",",""),"/",""))</f>
        <v/>
      </c>
      <c r="W370" s="4" t="str">
        <f ca="1">IF(ATALI[[#This Row],[concat]]="","",MATCH(ATALI[[#This Row],[concat]],[4]!db[NB NOTA_C],0)+1)</f>
        <v/>
      </c>
      <c r="X370" s="4" t="str">
        <f ca="1">IF(ATALI[[#This Row],[N.B.nota]]="","",ADDRESS(ROW(ATALI[QB]),COLUMN(ATALI[QB]))&amp;":"&amp;ADDRESS(ROW(),COLUMN(ATALI[QB])))</f>
        <v/>
      </c>
      <c r="Y370" s="13" t="str">
        <f ca="1">IF(ATALI[[#This Row],[//]]="","",HYPERLINK("[../DB.xlsx]DB!e"&amp;MATCH(ATALI[[#This Row],[concat]],[4]!db[NB NOTA_C],0)+1,"&gt;"))</f>
        <v/>
      </c>
    </row>
    <row r="371" spans="1:25" x14ac:dyDescent="0.25">
      <c r="A371" s="4"/>
      <c r="B371" s="6" t="str">
        <f>IF(ATALI[[#This Row],[N_ID]]="","",INDEX(Table1[ID],MATCH(ATALI[[#This Row],[N_ID]],Table1[N_ID],0)))</f>
        <v/>
      </c>
      <c r="C371" s="6" t="str">
        <f>IF(ATALI[[#This Row],[ID NOTA]]="","",HYPERLINK("[NOTA_.xlsx]NOTA!e"&amp;INDEX([2]!PAJAK[//],MATCH(ATALI[[#This Row],[ID NOTA]],[2]!PAJAK[ID],0)),"&gt;") )</f>
        <v/>
      </c>
      <c r="D371" s="6" t="str">
        <f>IF(ATALI[[#This Row],[ID NOTA]]="","",INDEX(Table1[QB],MATCH(ATALI[[#This Row],[ID NOTA]],Table1[ID],0)))</f>
        <v/>
      </c>
      <c r="E3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1" s="6"/>
      <c r="G371" s="3" t="str">
        <f>IF(ATALI[[#This Row],[ID NOTA]]="","",INDEX([2]!NOTA[TGL_H],MATCH(ATALI[[#This Row],[ID NOTA]],[2]!NOTA[ID],0)))</f>
        <v/>
      </c>
      <c r="H371" s="3" t="str">
        <f>IF(ATALI[[#This Row],[ID NOTA]]="","",INDEX([2]!NOTA[TGL.NOTA],MATCH(ATALI[[#This Row],[ID NOTA]],[2]!NOTA[ID],0)))</f>
        <v/>
      </c>
      <c r="I371" s="4" t="str">
        <f>IF(ATALI[[#This Row],[ID NOTA]]="","",INDEX([2]!NOTA[NO.NOTA],MATCH(ATALI[[#This Row],[ID NOTA]],[2]!NOTA[ID],0)))</f>
        <v/>
      </c>
      <c r="J371" s="4" t="str">
        <f ca="1">IF(ATALI[[#This Row],[//]]="","",INDEX([4]!db[NB PAJAK],ATALI[[#This Row],[stt]]-1))</f>
        <v/>
      </c>
      <c r="K371" s="6" t="str">
        <f ca="1">IF(ATALI[[#This Row],[//]]="","",IF(INDEX([2]!NOTA[C],ATALI[[#This Row],[//]]-2)="","",INDEX([2]!NOTA[C],ATALI[[#This Row],[//]]-2)))</f>
        <v/>
      </c>
      <c r="L371" s="6" t="str">
        <f ca="1">IF(ATALI[[#This Row],[//]]="","",INDEX([2]!NOTA[QTY],ATALI[[#This Row],[//]]-2))</f>
        <v/>
      </c>
      <c r="M371" s="6" t="str">
        <f ca="1">IF(ATALI[[#This Row],[//]]="","",INDEX([2]!NOTA[STN],ATALI[[#This Row],[//]]-2))</f>
        <v/>
      </c>
      <c r="N371" s="5" t="str">
        <f ca="1">IF(ATALI[[#This Row],[//]]="","",INDEX([2]!NOTA[HARGA SATUAN],ATALI[[#This Row],[//]]-2))</f>
        <v/>
      </c>
      <c r="O371" s="7" t="str">
        <f ca="1">IF(ATALI[[#This Row],[//]]="","",INDEX([2]!NOTA[DISC 1],ATALI[[#This Row],[//]]-2))</f>
        <v/>
      </c>
      <c r="P371" s="7" t="str">
        <f ca="1">IF(ATALI[[#This Row],[//]]="","",INDEX([2]!NOTA[DISC 2],ATALI[[#This Row],[//]]-2))</f>
        <v/>
      </c>
      <c r="Q371" s="5" t="str">
        <f ca="1">IF(ATALI[[#This Row],[//]]="","",INDEX([2]!NOTA[TOTAL],ATALI[[#This Row],[//]]-2))</f>
        <v/>
      </c>
      <c r="R3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1" s="4" t="str">
        <f ca="1">IF(ATALI[[#This Row],[//]]="","",INDEX([2]!NOTA[NAMA BARANG],ATALI[[#This Row],[//]]-2))</f>
        <v/>
      </c>
      <c r="V371" s="4" t="str">
        <f ca="1">LOWER(SUBSTITUTE(SUBSTITUTE(SUBSTITUTE(SUBSTITUTE(SUBSTITUTE(SUBSTITUTE(SUBSTITUTE(ATALI[[#This Row],[N.B.nota]]," ",""),"-",""),"(",""),")",""),".",""),",",""),"/",""))</f>
        <v/>
      </c>
      <c r="W371" s="4" t="str">
        <f ca="1">IF(ATALI[[#This Row],[concat]]="","",MATCH(ATALI[[#This Row],[concat]],[4]!db[NB NOTA_C],0)+1)</f>
        <v/>
      </c>
      <c r="X371" s="4" t="str">
        <f ca="1">IF(ATALI[[#This Row],[N.B.nota]]="","",ADDRESS(ROW(ATALI[QB]),COLUMN(ATALI[QB]))&amp;":"&amp;ADDRESS(ROW(),COLUMN(ATALI[QB])))</f>
        <v/>
      </c>
      <c r="Y371" s="13" t="str">
        <f ca="1">IF(ATALI[[#This Row],[//]]="","",HYPERLINK("[../DB.xlsx]DB!e"&amp;MATCH(ATALI[[#This Row],[concat]],[4]!db[NB NOTA_C],0)+1,"&gt;"))</f>
        <v/>
      </c>
    </row>
    <row r="372" spans="1:25" x14ac:dyDescent="0.25">
      <c r="A372" s="4"/>
      <c r="B372" s="6" t="str">
        <f>IF(ATALI[[#This Row],[N_ID]]="","",INDEX(Table1[ID],MATCH(ATALI[[#This Row],[N_ID]],Table1[N_ID],0)))</f>
        <v/>
      </c>
      <c r="C372" s="6" t="str">
        <f>IF(ATALI[[#This Row],[ID NOTA]]="","",HYPERLINK("[NOTA_.xlsx]NOTA!e"&amp;INDEX([2]!PAJAK[//],MATCH(ATALI[[#This Row],[ID NOTA]],[2]!PAJAK[ID],0)),"&gt;") )</f>
        <v/>
      </c>
      <c r="D372" s="6" t="str">
        <f>IF(ATALI[[#This Row],[ID NOTA]]="","",INDEX(Table1[QB],MATCH(ATALI[[#This Row],[ID NOTA]],Table1[ID],0)))</f>
        <v/>
      </c>
      <c r="E3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2" s="6"/>
      <c r="G372" s="3" t="str">
        <f>IF(ATALI[[#This Row],[ID NOTA]]="","",INDEX([2]!NOTA[TGL_H],MATCH(ATALI[[#This Row],[ID NOTA]],[2]!NOTA[ID],0)))</f>
        <v/>
      </c>
      <c r="H372" s="3" t="str">
        <f>IF(ATALI[[#This Row],[ID NOTA]]="","",INDEX([2]!NOTA[TGL.NOTA],MATCH(ATALI[[#This Row],[ID NOTA]],[2]!NOTA[ID],0)))</f>
        <v/>
      </c>
      <c r="I372" s="4" t="str">
        <f>IF(ATALI[[#This Row],[ID NOTA]]="","",INDEX([2]!NOTA[NO.NOTA],MATCH(ATALI[[#This Row],[ID NOTA]],[2]!NOTA[ID],0)))</f>
        <v/>
      </c>
      <c r="J372" s="4" t="str">
        <f ca="1">IF(ATALI[[#This Row],[//]]="","",INDEX([4]!db[NB PAJAK],ATALI[[#This Row],[stt]]-1))</f>
        <v/>
      </c>
      <c r="K372" s="6" t="str">
        <f ca="1">IF(ATALI[[#This Row],[//]]="","",IF(INDEX([2]!NOTA[C],ATALI[[#This Row],[//]]-2)="","",INDEX([2]!NOTA[C],ATALI[[#This Row],[//]]-2)))</f>
        <v/>
      </c>
      <c r="L372" s="6" t="str">
        <f ca="1">IF(ATALI[[#This Row],[//]]="","",INDEX([2]!NOTA[QTY],ATALI[[#This Row],[//]]-2))</f>
        <v/>
      </c>
      <c r="M372" s="6" t="str">
        <f ca="1">IF(ATALI[[#This Row],[//]]="","",INDEX([2]!NOTA[STN],ATALI[[#This Row],[//]]-2))</f>
        <v/>
      </c>
      <c r="N372" s="5" t="str">
        <f ca="1">IF(ATALI[[#This Row],[//]]="","",INDEX([2]!NOTA[HARGA SATUAN],ATALI[[#This Row],[//]]-2))</f>
        <v/>
      </c>
      <c r="O372" s="7" t="str">
        <f ca="1">IF(ATALI[[#This Row],[//]]="","",INDEX([2]!NOTA[DISC 1],ATALI[[#This Row],[//]]-2))</f>
        <v/>
      </c>
      <c r="P372" s="7" t="str">
        <f ca="1">IF(ATALI[[#This Row],[//]]="","",INDEX([2]!NOTA[DISC 2],ATALI[[#This Row],[//]]-2))</f>
        <v/>
      </c>
      <c r="Q372" s="5" t="str">
        <f ca="1">IF(ATALI[[#This Row],[//]]="","",INDEX([2]!NOTA[TOTAL],ATALI[[#This Row],[//]]-2))</f>
        <v/>
      </c>
      <c r="R3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2" s="4" t="str">
        <f ca="1">IF(ATALI[[#This Row],[//]]="","",INDEX([2]!NOTA[NAMA BARANG],ATALI[[#This Row],[//]]-2))</f>
        <v/>
      </c>
      <c r="V372" s="4" t="str">
        <f ca="1">LOWER(SUBSTITUTE(SUBSTITUTE(SUBSTITUTE(SUBSTITUTE(SUBSTITUTE(SUBSTITUTE(SUBSTITUTE(ATALI[[#This Row],[N.B.nota]]," ",""),"-",""),"(",""),")",""),".",""),",",""),"/",""))</f>
        <v/>
      </c>
      <c r="W372" s="4" t="str">
        <f ca="1">IF(ATALI[[#This Row],[concat]]="","",MATCH(ATALI[[#This Row],[concat]],[4]!db[NB NOTA_C],0)+1)</f>
        <v/>
      </c>
      <c r="X372" s="4" t="str">
        <f ca="1">IF(ATALI[[#This Row],[N.B.nota]]="","",ADDRESS(ROW(ATALI[QB]),COLUMN(ATALI[QB]))&amp;":"&amp;ADDRESS(ROW(),COLUMN(ATALI[QB])))</f>
        <v/>
      </c>
      <c r="Y372" s="13" t="str">
        <f ca="1">IF(ATALI[[#This Row],[//]]="","",HYPERLINK("[../DB.xlsx]DB!e"&amp;MATCH(ATALI[[#This Row],[concat]],[4]!db[NB NOTA_C],0)+1,"&gt;"))</f>
        <v/>
      </c>
    </row>
    <row r="373" spans="1:25" x14ac:dyDescent="0.25">
      <c r="A373" s="4"/>
      <c r="B373" s="6" t="str">
        <f>IF(ATALI[[#This Row],[N_ID]]="","",INDEX(Table1[ID],MATCH(ATALI[[#This Row],[N_ID]],Table1[N_ID],0)))</f>
        <v/>
      </c>
      <c r="C373" s="6" t="str">
        <f>IF(ATALI[[#This Row],[ID NOTA]]="","",HYPERLINK("[NOTA_.xlsx]NOTA!e"&amp;INDEX([2]!PAJAK[//],MATCH(ATALI[[#This Row],[ID NOTA]],[2]!PAJAK[ID],0)),"&gt;") )</f>
        <v/>
      </c>
      <c r="D373" s="6" t="str">
        <f>IF(ATALI[[#This Row],[ID NOTA]]="","",INDEX(Table1[QB],MATCH(ATALI[[#This Row],[ID NOTA]],Table1[ID],0)))</f>
        <v/>
      </c>
      <c r="E3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3" s="6"/>
      <c r="G373" s="3" t="str">
        <f>IF(ATALI[[#This Row],[ID NOTA]]="","",INDEX([2]!NOTA[TGL_H],MATCH(ATALI[[#This Row],[ID NOTA]],[2]!NOTA[ID],0)))</f>
        <v/>
      </c>
      <c r="H373" s="3" t="str">
        <f>IF(ATALI[[#This Row],[ID NOTA]]="","",INDEX([2]!NOTA[TGL.NOTA],MATCH(ATALI[[#This Row],[ID NOTA]],[2]!NOTA[ID],0)))</f>
        <v/>
      </c>
      <c r="I373" s="4" t="str">
        <f>IF(ATALI[[#This Row],[ID NOTA]]="","",INDEX([2]!NOTA[NO.NOTA],MATCH(ATALI[[#This Row],[ID NOTA]],[2]!NOTA[ID],0)))</f>
        <v/>
      </c>
      <c r="J373" s="4" t="str">
        <f ca="1">IF(ATALI[[#This Row],[//]]="","",INDEX([4]!db[NB PAJAK],ATALI[[#This Row],[stt]]-1))</f>
        <v/>
      </c>
      <c r="K373" s="6" t="str">
        <f ca="1">IF(ATALI[[#This Row],[//]]="","",IF(INDEX([2]!NOTA[C],ATALI[[#This Row],[//]]-2)="","",INDEX([2]!NOTA[C],ATALI[[#This Row],[//]]-2)))</f>
        <v/>
      </c>
      <c r="L373" s="6" t="str">
        <f ca="1">IF(ATALI[[#This Row],[//]]="","",INDEX([2]!NOTA[QTY],ATALI[[#This Row],[//]]-2))</f>
        <v/>
      </c>
      <c r="M373" s="6" t="str">
        <f ca="1">IF(ATALI[[#This Row],[//]]="","",INDEX([2]!NOTA[STN],ATALI[[#This Row],[//]]-2))</f>
        <v/>
      </c>
      <c r="N373" s="5" t="str">
        <f ca="1">IF(ATALI[[#This Row],[//]]="","",INDEX([2]!NOTA[HARGA SATUAN],ATALI[[#This Row],[//]]-2))</f>
        <v/>
      </c>
      <c r="O373" s="7" t="str">
        <f ca="1">IF(ATALI[[#This Row],[//]]="","",INDEX([2]!NOTA[DISC 1],ATALI[[#This Row],[//]]-2))</f>
        <v/>
      </c>
      <c r="P373" s="7" t="str">
        <f ca="1">IF(ATALI[[#This Row],[//]]="","",INDEX([2]!NOTA[DISC 2],ATALI[[#This Row],[//]]-2))</f>
        <v/>
      </c>
      <c r="Q373" s="5" t="str">
        <f ca="1">IF(ATALI[[#This Row],[//]]="","",INDEX([2]!NOTA[TOTAL],ATALI[[#This Row],[//]]-2))</f>
        <v/>
      </c>
      <c r="R3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3" s="4" t="str">
        <f ca="1">IF(ATALI[[#This Row],[//]]="","",INDEX([2]!NOTA[NAMA BARANG],ATALI[[#This Row],[//]]-2))</f>
        <v/>
      </c>
      <c r="V373" s="4" t="str">
        <f ca="1">LOWER(SUBSTITUTE(SUBSTITUTE(SUBSTITUTE(SUBSTITUTE(SUBSTITUTE(SUBSTITUTE(SUBSTITUTE(ATALI[[#This Row],[N.B.nota]]," ",""),"-",""),"(",""),")",""),".",""),",",""),"/",""))</f>
        <v/>
      </c>
      <c r="W373" s="4" t="str">
        <f ca="1">IF(ATALI[[#This Row],[concat]]="","",MATCH(ATALI[[#This Row],[concat]],[4]!db[NB NOTA_C],0)+1)</f>
        <v/>
      </c>
      <c r="X373" s="4" t="str">
        <f ca="1">IF(ATALI[[#This Row],[N.B.nota]]="","",ADDRESS(ROW(ATALI[QB]),COLUMN(ATALI[QB]))&amp;":"&amp;ADDRESS(ROW(),COLUMN(ATALI[QB])))</f>
        <v/>
      </c>
      <c r="Y373" s="13" t="str">
        <f ca="1">IF(ATALI[[#This Row],[//]]="","",HYPERLINK("[../DB.xlsx]DB!e"&amp;MATCH(ATALI[[#This Row],[concat]],[4]!db[NB NOTA_C],0)+1,"&gt;"))</f>
        <v/>
      </c>
    </row>
    <row r="374" spans="1:25" x14ac:dyDescent="0.25">
      <c r="A374" s="4"/>
      <c r="B374" s="6" t="str">
        <f>IF(ATALI[[#This Row],[N_ID]]="","",INDEX(Table1[ID],MATCH(ATALI[[#This Row],[N_ID]],Table1[N_ID],0)))</f>
        <v/>
      </c>
      <c r="C374" s="6" t="str">
        <f>IF(ATALI[[#This Row],[ID NOTA]]="","",HYPERLINK("[NOTA_.xlsx]NOTA!e"&amp;INDEX([2]!PAJAK[//],MATCH(ATALI[[#This Row],[ID NOTA]],[2]!PAJAK[ID],0)),"&gt;") )</f>
        <v/>
      </c>
      <c r="D374" s="6" t="str">
        <f>IF(ATALI[[#This Row],[ID NOTA]]="","",INDEX(Table1[QB],MATCH(ATALI[[#This Row],[ID NOTA]],Table1[ID],0)))</f>
        <v/>
      </c>
      <c r="E3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4" s="6"/>
      <c r="G374" s="3" t="str">
        <f>IF(ATALI[[#This Row],[ID NOTA]]="","",INDEX([2]!NOTA[TGL_H],MATCH(ATALI[[#This Row],[ID NOTA]],[2]!NOTA[ID],0)))</f>
        <v/>
      </c>
      <c r="H374" s="3" t="str">
        <f>IF(ATALI[[#This Row],[ID NOTA]]="","",INDEX([2]!NOTA[TGL.NOTA],MATCH(ATALI[[#This Row],[ID NOTA]],[2]!NOTA[ID],0)))</f>
        <v/>
      </c>
      <c r="I374" s="4" t="str">
        <f>IF(ATALI[[#This Row],[ID NOTA]]="","",INDEX([2]!NOTA[NO.NOTA],MATCH(ATALI[[#This Row],[ID NOTA]],[2]!NOTA[ID],0)))</f>
        <v/>
      </c>
      <c r="J374" s="4" t="str">
        <f ca="1">IF(ATALI[[#This Row],[//]]="","",INDEX([4]!db[NB PAJAK],ATALI[[#This Row],[stt]]-1))</f>
        <v/>
      </c>
      <c r="K374" s="6" t="str">
        <f ca="1">IF(ATALI[[#This Row],[//]]="","",IF(INDEX([2]!NOTA[C],ATALI[[#This Row],[//]]-2)="","",INDEX([2]!NOTA[C],ATALI[[#This Row],[//]]-2)))</f>
        <v/>
      </c>
      <c r="L374" s="6" t="str">
        <f ca="1">IF(ATALI[[#This Row],[//]]="","",INDEX([2]!NOTA[QTY],ATALI[[#This Row],[//]]-2))</f>
        <v/>
      </c>
      <c r="M374" s="6" t="str">
        <f ca="1">IF(ATALI[[#This Row],[//]]="","",INDEX([2]!NOTA[STN],ATALI[[#This Row],[//]]-2))</f>
        <v/>
      </c>
      <c r="N374" s="5" t="str">
        <f ca="1">IF(ATALI[[#This Row],[//]]="","",INDEX([2]!NOTA[HARGA SATUAN],ATALI[[#This Row],[//]]-2))</f>
        <v/>
      </c>
      <c r="O374" s="7" t="str">
        <f ca="1">IF(ATALI[[#This Row],[//]]="","",INDEX([2]!NOTA[DISC 1],ATALI[[#This Row],[//]]-2))</f>
        <v/>
      </c>
      <c r="P374" s="7" t="str">
        <f ca="1">IF(ATALI[[#This Row],[//]]="","",INDEX([2]!NOTA[DISC 2],ATALI[[#This Row],[//]]-2))</f>
        <v/>
      </c>
      <c r="Q374" s="5" t="str">
        <f ca="1">IF(ATALI[[#This Row],[//]]="","",INDEX([2]!NOTA[TOTAL],ATALI[[#This Row],[//]]-2))</f>
        <v/>
      </c>
      <c r="R3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4" s="4" t="str">
        <f ca="1">IF(ATALI[[#This Row],[//]]="","",INDEX([2]!NOTA[NAMA BARANG],ATALI[[#This Row],[//]]-2))</f>
        <v/>
      </c>
      <c r="V374" s="4" t="str">
        <f ca="1">LOWER(SUBSTITUTE(SUBSTITUTE(SUBSTITUTE(SUBSTITUTE(SUBSTITUTE(SUBSTITUTE(SUBSTITUTE(ATALI[[#This Row],[N.B.nota]]," ",""),"-",""),"(",""),")",""),".",""),",",""),"/",""))</f>
        <v/>
      </c>
      <c r="W374" s="4" t="str">
        <f ca="1">IF(ATALI[[#This Row],[concat]]="","",MATCH(ATALI[[#This Row],[concat]],[4]!db[NB NOTA_C],0)+1)</f>
        <v/>
      </c>
      <c r="X374" s="4" t="str">
        <f ca="1">IF(ATALI[[#This Row],[N.B.nota]]="","",ADDRESS(ROW(ATALI[QB]),COLUMN(ATALI[QB]))&amp;":"&amp;ADDRESS(ROW(),COLUMN(ATALI[QB])))</f>
        <v/>
      </c>
      <c r="Y374" s="13" t="str">
        <f ca="1">IF(ATALI[[#This Row],[//]]="","",HYPERLINK("[../DB.xlsx]DB!e"&amp;MATCH(ATALI[[#This Row],[concat]],[4]!db[NB NOTA_C],0)+1,"&gt;"))</f>
        <v/>
      </c>
    </row>
    <row r="375" spans="1:25" x14ac:dyDescent="0.25">
      <c r="A375" s="4"/>
      <c r="B375" s="6" t="str">
        <f>IF(ATALI[[#This Row],[N_ID]]="","",INDEX(Table1[ID],MATCH(ATALI[[#This Row],[N_ID]],Table1[N_ID],0)))</f>
        <v/>
      </c>
      <c r="C375" s="6" t="str">
        <f>IF(ATALI[[#This Row],[ID NOTA]]="","",HYPERLINK("[NOTA_.xlsx]NOTA!e"&amp;INDEX([2]!PAJAK[//],MATCH(ATALI[[#This Row],[ID NOTA]],[2]!PAJAK[ID],0)),"&gt;") )</f>
        <v/>
      </c>
      <c r="D375" s="6" t="str">
        <f>IF(ATALI[[#This Row],[ID NOTA]]="","",INDEX(Table1[QB],MATCH(ATALI[[#This Row],[ID NOTA]],Table1[ID],0)))</f>
        <v/>
      </c>
      <c r="E3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5" s="6"/>
      <c r="G375" s="3" t="str">
        <f>IF(ATALI[[#This Row],[ID NOTA]]="","",INDEX([2]!NOTA[TGL_H],MATCH(ATALI[[#This Row],[ID NOTA]],[2]!NOTA[ID],0)))</f>
        <v/>
      </c>
      <c r="H375" s="3" t="str">
        <f>IF(ATALI[[#This Row],[ID NOTA]]="","",INDEX([2]!NOTA[TGL.NOTA],MATCH(ATALI[[#This Row],[ID NOTA]],[2]!NOTA[ID],0)))</f>
        <v/>
      </c>
      <c r="I375" s="4" t="str">
        <f>IF(ATALI[[#This Row],[ID NOTA]]="","",INDEX([2]!NOTA[NO.NOTA],MATCH(ATALI[[#This Row],[ID NOTA]],[2]!NOTA[ID],0)))</f>
        <v/>
      </c>
      <c r="J375" s="4" t="str">
        <f ca="1">IF(ATALI[[#This Row],[//]]="","",INDEX([4]!db[NB PAJAK],ATALI[[#This Row],[stt]]-1))</f>
        <v/>
      </c>
      <c r="K375" s="6" t="str">
        <f ca="1">IF(ATALI[[#This Row],[//]]="","",IF(INDEX([2]!NOTA[C],ATALI[[#This Row],[//]]-2)="","",INDEX([2]!NOTA[C],ATALI[[#This Row],[//]]-2)))</f>
        <v/>
      </c>
      <c r="L375" s="6" t="str">
        <f ca="1">IF(ATALI[[#This Row],[//]]="","",INDEX([2]!NOTA[QTY],ATALI[[#This Row],[//]]-2))</f>
        <v/>
      </c>
      <c r="M375" s="6" t="str">
        <f ca="1">IF(ATALI[[#This Row],[//]]="","",INDEX([2]!NOTA[STN],ATALI[[#This Row],[//]]-2))</f>
        <v/>
      </c>
      <c r="N375" s="5" t="str">
        <f ca="1">IF(ATALI[[#This Row],[//]]="","",INDEX([2]!NOTA[HARGA SATUAN],ATALI[[#This Row],[//]]-2))</f>
        <v/>
      </c>
      <c r="O375" s="7" t="str">
        <f ca="1">IF(ATALI[[#This Row],[//]]="","",INDEX([2]!NOTA[DISC 1],ATALI[[#This Row],[//]]-2))</f>
        <v/>
      </c>
      <c r="P375" s="7" t="str">
        <f ca="1">IF(ATALI[[#This Row],[//]]="","",INDEX([2]!NOTA[DISC 2],ATALI[[#This Row],[//]]-2))</f>
        <v/>
      </c>
      <c r="Q375" s="5" t="str">
        <f ca="1">IF(ATALI[[#This Row],[//]]="","",INDEX([2]!NOTA[TOTAL],ATALI[[#This Row],[//]]-2))</f>
        <v/>
      </c>
      <c r="R3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5" s="4" t="str">
        <f ca="1">IF(ATALI[[#This Row],[//]]="","",INDEX([2]!NOTA[NAMA BARANG],ATALI[[#This Row],[//]]-2))</f>
        <v/>
      </c>
      <c r="V375" s="4" t="str">
        <f ca="1">LOWER(SUBSTITUTE(SUBSTITUTE(SUBSTITUTE(SUBSTITUTE(SUBSTITUTE(SUBSTITUTE(SUBSTITUTE(ATALI[[#This Row],[N.B.nota]]," ",""),"-",""),"(",""),")",""),".",""),",",""),"/",""))</f>
        <v/>
      </c>
      <c r="W375" s="4" t="str">
        <f ca="1">IF(ATALI[[#This Row],[concat]]="","",MATCH(ATALI[[#This Row],[concat]],[4]!db[NB NOTA_C],0)+1)</f>
        <v/>
      </c>
      <c r="X375" s="4" t="str">
        <f ca="1">IF(ATALI[[#This Row],[N.B.nota]]="","",ADDRESS(ROW(ATALI[QB]),COLUMN(ATALI[QB]))&amp;":"&amp;ADDRESS(ROW(),COLUMN(ATALI[QB])))</f>
        <v/>
      </c>
      <c r="Y375" s="13" t="str">
        <f ca="1">IF(ATALI[[#This Row],[//]]="","",HYPERLINK("[../DB.xlsx]DB!e"&amp;MATCH(ATALI[[#This Row],[concat]],[4]!db[NB NOTA_C],0)+1,"&gt;"))</f>
        <v/>
      </c>
    </row>
    <row r="376" spans="1:25" x14ac:dyDescent="0.25">
      <c r="A376" s="4"/>
      <c r="B376" s="6" t="str">
        <f>IF(ATALI[[#This Row],[N_ID]]="","",INDEX(Table1[ID],MATCH(ATALI[[#This Row],[N_ID]],Table1[N_ID],0)))</f>
        <v/>
      </c>
      <c r="C376" s="6" t="str">
        <f>IF(ATALI[[#This Row],[ID NOTA]]="","",HYPERLINK("[NOTA_.xlsx]NOTA!e"&amp;INDEX([2]!PAJAK[//],MATCH(ATALI[[#This Row],[ID NOTA]],[2]!PAJAK[ID],0)),"&gt;") )</f>
        <v/>
      </c>
      <c r="D376" s="6" t="str">
        <f>IF(ATALI[[#This Row],[ID NOTA]]="","",INDEX(Table1[QB],MATCH(ATALI[[#This Row],[ID NOTA]],Table1[ID],0)))</f>
        <v/>
      </c>
      <c r="E3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6" s="6"/>
      <c r="G376" s="3" t="str">
        <f>IF(ATALI[[#This Row],[ID NOTA]]="","",INDEX([2]!NOTA[TGL_H],MATCH(ATALI[[#This Row],[ID NOTA]],[2]!NOTA[ID],0)))</f>
        <v/>
      </c>
      <c r="H376" s="3" t="str">
        <f>IF(ATALI[[#This Row],[ID NOTA]]="","",INDEX([2]!NOTA[TGL.NOTA],MATCH(ATALI[[#This Row],[ID NOTA]],[2]!NOTA[ID],0)))</f>
        <v/>
      </c>
      <c r="I376" s="4" t="str">
        <f>IF(ATALI[[#This Row],[ID NOTA]]="","",INDEX([2]!NOTA[NO.NOTA],MATCH(ATALI[[#This Row],[ID NOTA]],[2]!NOTA[ID],0)))</f>
        <v/>
      </c>
      <c r="J376" s="4" t="str">
        <f ca="1">IF(ATALI[[#This Row],[//]]="","",INDEX([4]!db[NB PAJAK],ATALI[[#This Row],[stt]]-1))</f>
        <v/>
      </c>
      <c r="K376" s="6" t="str">
        <f ca="1">IF(ATALI[[#This Row],[//]]="","",IF(INDEX([2]!NOTA[C],ATALI[[#This Row],[//]]-2)="","",INDEX([2]!NOTA[C],ATALI[[#This Row],[//]]-2)))</f>
        <v/>
      </c>
      <c r="L376" s="6" t="str">
        <f ca="1">IF(ATALI[[#This Row],[//]]="","",INDEX([2]!NOTA[QTY],ATALI[[#This Row],[//]]-2))</f>
        <v/>
      </c>
      <c r="M376" s="6" t="str">
        <f ca="1">IF(ATALI[[#This Row],[//]]="","",INDEX([2]!NOTA[STN],ATALI[[#This Row],[//]]-2))</f>
        <v/>
      </c>
      <c r="N376" s="5" t="str">
        <f ca="1">IF(ATALI[[#This Row],[//]]="","",INDEX([2]!NOTA[HARGA SATUAN],ATALI[[#This Row],[//]]-2))</f>
        <v/>
      </c>
      <c r="O376" s="7" t="str">
        <f ca="1">IF(ATALI[[#This Row],[//]]="","",INDEX([2]!NOTA[DISC 1],ATALI[[#This Row],[//]]-2))</f>
        <v/>
      </c>
      <c r="P376" s="7" t="str">
        <f ca="1">IF(ATALI[[#This Row],[//]]="","",INDEX([2]!NOTA[DISC 2],ATALI[[#This Row],[//]]-2))</f>
        <v/>
      </c>
      <c r="Q376" s="5" t="str">
        <f ca="1">IF(ATALI[[#This Row],[//]]="","",INDEX([2]!NOTA[TOTAL],ATALI[[#This Row],[//]]-2))</f>
        <v/>
      </c>
      <c r="R3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6" s="4" t="str">
        <f ca="1">IF(ATALI[[#This Row],[//]]="","",INDEX([2]!NOTA[NAMA BARANG],ATALI[[#This Row],[//]]-2))</f>
        <v/>
      </c>
      <c r="V376" s="4" t="str">
        <f ca="1">LOWER(SUBSTITUTE(SUBSTITUTE(SUBSTITUTE(SUBSTITUTE(SUBSTITUTE(SUBSTITUTE(SUBSTITUTE(ATALI[[#This Row],[N.B.nota]]," ",""),"-",""),"(",""),")",""),".",""),",",""),"/",""))</f>
        <v/>
      </c>
      <c r="W376" s="4" t="str">
        <f ca="1">IF(ATALI[[#This Row],[concat]]="","",MATCH(ATALI[[#This Row],[concat]],[4]!db[NB NOTA_C],0)+1)</f>
        <v/>
      </c>
      <c r="X376" s="4" t="str">
        <f ca="1">IF(ATALI[[#This Row],[N.B.nota]]="","",ADDRESS(ROW(ATALI[QB]),COLUMN(ATALI[QB]))&amp;":"&amp;ADDRESS(ROW(),COLUMN(ATALI[QB])))</f>
        <v/>
      </c>
      <c r="Y376" s="13" t="str">
        <f ca="1">IF(ATALI[[#This Row],[//]]="","",HYPERLINK("[../DB.xlsx]DB!e"&amp;MATCH(ATALI[[#This Row],[concat]],[4]!db[NB NOTA_C],0)+1,"&gt;"))</f>
        <v/>
      </c>
    </row>
    <row r="377" spans="1:25" x14ac:dyDescent="0.25">
      <c r="A377" s="4"/>
      <c r="B377" s="6" t="str">
        <f>IF(ATALI[[#This Row],[N_ID]]="","",INDEX(Table1[ID],MATCH(ATALI[[#This Row],[N_ID]],Table1[N_ID],0)))</f>
        <v/>
      </c>
      <c r="C377" s="6" t="str">
        <f>IF(ATALI[[#This Row],[ID NOTA]]="","",HYPERLINK("[NOTA_.xlsx]NOTA!e"&amp;INDEX([2]!PAJAK[//],MATCH(ATALI[[#This Row],[ID NOTA]],[2]!PAJAK[ID],0)),"&gt;") )</f>
        <v/>
      </c>
      <c r="D377" s="6" t="str">
        <f>IF(ATALI[[#This Row],[ID NOTA]]="","",INDEX(Table1[QB],MATCH(ATALI[[#This Row],[ID NOTA]],Table1[ID],0)))</f>
        <v/>
      </c>
      <c r="E3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7" s="6"/>
      <c r="G377" s="3" t="str">
        <f>IF(ATALI[[#This Row],[ID NOTA]]="","",INDEX([2]!NOTA[TGL_H],MATCH(ATALI[[#This Row],[ID NOTA]],[2]!NOTA[ID],0)))</f>
        <v/>
      </c>
      <c r="H377" s="3" t="str">
        <f>IF(ATALI[[#This Row],[ID NOTA]]="","",INDEX([2]!NOTA[TGL.NOTA],MATCH(ATALI[[#This Row],[ID NOTA]],[2]!NOTA[ID],0)))</f>
        <v/>
      </c>
      <c r="I377" s="4" t="str">
        <f>IF(ATALI[[#This Row],[ID NOTA]]="","",INDEX([2]!NOTA[NO.NOTA],MATCH(ATALI[[#This Row],[ID NOTA]],[2]!NOTA[ID],0)))</f>
        <v/>
      </c>
      <c r="J377" s="4" t="str">
        <f ca="1">IF(ATALI[[#This Row],[//]]="","",INDEX([4]!db[NB PAJAK],ATALI[[#This Row],[stt]]-1))</f>
        <v/>
      </c>
      <c r="K377" s="6" t="str">
        <f ca="1">IF(ATALI[[#This Row],[//]]="","",IF(INDEX([2]!NOTA[C],ATALI[[#This Row],[//]]-2)="","",INDEX([2]!NOTA[C],ATALI[[#This Row],[//]]-2)))</f>
        <v/>
      </c>
      <c r="L377" s="6" t="str">
        <f ca="1">IF(ATALI[[#This Row],[//]]="","",INDEX([2]!NOTA[QTY],ATALI[[#This Row],[//]]-2))</f>
        <v/>
      </c>
      <c r="M377" s="6" t="str">
        <f ca="1">IF(ATALI[[#This Row],[//]]="","",INDEX([2]!NOTA[STN],ATALI[[#This Row],[//]]-2))</f>
        <v/>
      </c>
      <c r="N377" s="5" t="str">
        <f ca="1">IF(ATALI[[#This Row],[//]]="","",INDEX([2]!NOTA[HARGA SATUAN],ATALI[[#This Row],[//]]-2))</f>
        <v/>
      </c>
      <c r="O377" s="7" t="str">
        <f ca="1">IF(ATALI[[#This Row],[//]]="","",INDEX([2]!NOTA[DISC 1],ATALI[[#This Row],[//]]-2))</f>
        <v/>
      </c>
      <c r="P377" s="7" t="str">
        <f ca="1">IF(ATALI[[#This Row],[//]]="","",INDEX([2]!NOTA[DISC 2],ATALI[[#This Row],[//]]-2))</f>
        <v/>
      </c>
      <c r="Q377" s="5" t="str">
        <f ca="1">IF(ATALI[[#This Row],[//]]="","",INDEX([2]!NOTA[TOTAL],ATALI[[#This Row],[//]]-2))</f>
        <v/>
      </c>
      <c r="R3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7" s="4" t="str">
        <f ca="1">IF(ATALI[[#This Row],[//]]="","",INDEX([2]!NOTA[NAMA BARANG],ATALI[[#This Row],[//]]-2))</f>
        <v/>
      </c>
      <c r="V377" s="4" t="str">
        <f ca="1">LOWER(SUBSTITUTE(SUBSTITUTE(SUBSTITUTE(SUBSTITUTE(SUBSTITUTE(SUBSTITUTE(SUBSTITUTE(ATALI[[#This Row],[N.B.nota]]," ",""),"-",""),"(",""),")",""),".",""),",",""),"/",""))</f>
        <v/>
      </c>
      <c r="W377" s="4" t="str">
        <f ca="1">IF(ATALI[[#This Row],[concat]]="","",MATCH(ATALI[[#This Row],[concat]],[4]!db[NB NOTA_C],0)+1)</f>
        <v/>
      </c>
      <c r="X377" s="4" t="str">
        <f ca="1">IF(ATALI[[#This Row],[N.B.nota]]="","",ADDRESS(ROW(ATALI[QB]),COLUMN(ATALI[QB]))&amp;":"&amp;ADDRESS(ROW(),COLUMN(ATALI[QB])))</f>
        <v/>
      </c>
      <c r="Y377" s="13" t="str">
        <f ca="1">IF(ATALI[[#This Row],[//]]="","",HYPERLINK("[../DB.xlsx]DB!e"&amp;MATCH(ATALI[[#This Row],[concat]],[4]!db[NB NOTA_C],0)+1,"&gt;"))</f>
        <v/>
      </c>
    </row>
    <row r="378" spans="1:25" x14ac:dyDescent="0.25">
      <c r="A378" s="4"/>
      <c r="B378" s="6" t="str">
        <f>IF(ATALI[[#This Row],[N_ID]]="","",INDEX(Table1[ID],MATCH(ATALI[[#This Row],[N_ID]],Table1[N_ID],0)))</f>
        <v/>
      </c>
      <c r="C378" s="6" t="str">
        <f>IF(ATALI[[#This Row],[ID NOTA]]="","",HYPERLINK("[NOTA_.xlsx]NOTA!e"&amp;INDEX([2]!PAJAK[//],MATCH(ATALI[[#This Row],[ID NOTA]],[2]!PAJAK[ID],0)),"&gt;") )</f>
        <v/>
      </c>
      <c r="D378" s="6" t="str">
        <f>IF(ATALI[[#This Row],[ID NOTA]]="","",INDEX(Table1[QB],MATCH(ATALI[[#This Row],[ID NOTA]],Table1[ID],0)))</f>
        <v/>
      </c>
      <c r="E3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8" s="6"/>
      <c r="G378" s="3" t="str">
        <f>IF(ATALI[[#This Row],[ID NOTA]]="","",INDEX([2]!NOTA[TGL_H],MATCH(ATALI[[#This Row],[ID NOTA]],[2]!NOTA[ID],0)))</f>
        <v/>
      </c>
      <c r="H378" s="3" t="str">
        <f>IF(ATALI[[#This Row],[ID NOTA]]="","",INDEX([2]!NOTA[TGL.NOTA],MATCH(ATALI[[#This Row],[ID NOTA]],[2]!NOTA[ID],0)))</f>
        <v/>
      </c>
      <c r="I378" s="4" t="str">
        <f>IF(ATALI[[#This Row],[ID NOTA]]="","",INDEX([2]!NOTA[NO.NOTA],MATCH(ATALI[[#This Row],[ID NOTA]],[2]!NOTA[ID],0)))</f>
        <v/>
      </c>
      <c r="J378" s="4" t="str">
        <f ca="1">IF(ATALI[[#This Row],[//]]="","",INDEX([4]!db[NB PAJAK],ATALI[[#This Row],[stt]]-1))</f>
        <v/>
      </c>
      <c r="K378" s="6" t="str">
        <f ca="1">IF(ATALI[[#This Row],[//]]="","",IF(INDEX([2]!NOTA[C],ATALI[[#This Row],[//]]-2)="","",INDEX([2]!NOTA[C],ATALI[[#This Row],[//]]-2)))</f>
        <v/>
      </c>
      <c r="L378" s="6" t="str">
        <f ca="1">IF(ATALI[[#This Row],[//]]="","",INDEX([2]!NOTA[QTY],ATALI[[#This Row],[//]]-2))</f>
        <v/>
      </c>
      <c r="M378" s="6" t="str">
        <f ca="1">IF(ATALI[[#This Row],[//]]="","",INDEX([2]!NOTA[STN],ATALI[[#This Row],[//]]-2))</f>
        <v/>
      </c>
      <c r="N378" s="5" t="str">
        <f ca="1">IF(ATALI[[#This Row],[//]]="","",INDEX([2]!NOTA[HARGA SATUAN],ATALI[[#This Row],[//]]-2))</f>
        <v/>
      </c>
      <c r="O378" s="7" t="str">
        <f ca="1">IF(ATALI[[#This Row],[//]]="","",INDEX([2]!NOTA[DISC 1],ATALI[[#This Row],[//]]-2))</f>
        <v/>
      </c>
      <c r="P378" s="7" t="str">
        <f ca="1">IF(ATALI[[#This Row],[//]]="","",INDEX([2]!NOTA[DISC 2],ATALI[[#This Row],[//]]-2))</f>
        <v/>
      </c>
      <c r="Q378" s="5" t="str">
        <f ca="1">IF(ATALI[[#This Row],[//]]="","",INDEX([2]!NOTA[TOTAL],ATALI[[#This Row],[//]]-2))</f>
        <v/>
      </c>
      <c r="R3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8" s="4" t="str">
        <f ca="1">IF(ATALI[[#This Row],[//]]="","",INDEX([2]!NOTA[NAMA BARANG],ATALI[[#This Row],[//]]-2))</f>
        <v/>
      </c>
      <c r="V378" s="4" t="str">
        <f ca="1">LOWER(SUBSTITUTE(SUBSTITUTE(SUBSTITUTE(SUBSTITUTE(SUBSTITUTE(SUBSTITUTE(SUBSTITUTE(ATALI[[#This Row],[N.B.nota]]," ",""),"-",""),"(",""),")",""),".",""),",",""),"/",""))</f>
        <v/>
      </c>
      <c r="W378" s="4" t="str">
        <f ca="1">IF(ATALI[[#This Row],[concat]]="","",MATCH(ATALI[[#This Row],[concat]],[4]!db[NB NOTA_C],0)+1)</f>
        <v/>
      </c>
      <c r="X378" s="4" t="str">
        <f ca="1">IF(ATALI[[#This Row],[N.B.nota]]="","",ADDRESS(ROW(ATALI[QB]),COLUMN(ATALI[QB]))&amp;":"&amp;ADDRESS(ROW(),COLUMN(ATALI[QB])))</f>
        <v/>
      </c>
      <c r="Y378" s="13" t="str">
        <f ca="1">IF(ATALI[[#This Row],[//]]="","",HYPERLINK("[../DB.xlsx]DB!e"&amp;MATCH(ATALI[[#This Row],[concat]],[4]!db[NB NOTA_C],0)+1,"&gt;"))</f>
        <v/>
      </c>
    </row>
    <row r="379" spans="1:25" x14ac:dyDescent="0.25">
      <c r="A379" s="4"/>
      <c r="B379" s="6" t="str">
        <f>IF(ATALI[[#This Row],[N_ID]]="","",INDEX(Table1[ID],MATCH(ATALI[[#This Row],[N_ID]],Table1[N_ID],0)))</f>
        <v/>
      </c>
      <c r="C379" s="6" t="str">
        <f>IF(ATALI[[#This Row],[ID NOTA]]="","",HYPERLINK("[NOTA_.xlsx]NOTA!e"&amp;INDEX([2]!PAJAK[//],MATCH(ATALI[[#This Row],[ID NOTA]],[2]!PAJAK[ID],0)),"&gt;") )</f>
        <v/>
      </c>
      <c r="D379" s="6" t="str">
        <f>IF(ATALI[[#This Row],[ID NOTA]]="","",INDEX(Table1[QB],MATCH(ATALI[[#This Row],[ID NOTA]],Table1[ID],0)))</f>
        <v/>
      </c>
      <c r="E3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9" s="6"/>
      <c r="G379" s="3" t="str">
        <f>IF(ATALI[[#This Row],[ID NOTA]]="","",INDEX([2]!NOTA[TGL_H],MATCH(ATALI[[#This Row],[ID NOTA]],[2]!NOTA[ID],0)))</f>
        <v/>
      </c>
      <c r="H379" s="3" t="str">
        <f>IF(ATALI[[#This Row],[ID NOTA]]="","",INDEX([2]!NOTA[TGL.NOTA],MATCH(ATALI[[#This Row],[ID NOTA]],[2]!NOTA[ID],0)))</f>
        <v/>
      </c>
      <c r="I379" s="4" t="str">
        <f>IF(ATALI[[#This Row],[ID NOTA]]="","",INDEX([2]!NOTA[NO.NOTA],MATCH(ATALI[[#This Row],[ID NOTA]],[2]!NOTA[ID],0)))</f>
        <v/>
      </c>
      <c r="J379" s="4" t="str">
        <f ca="1">IF(ATALI[[#This Row],[//]]="","",INDEX([4]!db[NB PAJAK],ATALI[[#This Row],[stt]]-1))</f>
        <v/>
      </c>
      <c r="K379" s="6" t="str">
        <f ca="1">IF(ATALI[[#This Row],[//]]="","",IF(INDEX([2]!NOTA[C],ATALI[[#This Row],[//]]-2)="","",INDEX([2]!NOTA[C],ATALI[[#This Row],[//]]-2)))</f>
        <v/>
      </c>
      <c r="L379" s="6" t="str">
        <f ca="1">IF(ATALI[[#This Row],[//]]="","",INDEX([2]!NOTA[QTY],ATALI[[#This Row],[//]]-2))</f>
        <v/>
      </c>
      <c r="M379" s="6" t="str">
        <f ca="1">IF(ATALI[[#This Row],[//]]="","",INDEX([2]!NOTA[STN],ATALI[[#This Row],[//]]-2))</f>
        <v/>
      </c>
      <c r="N379" s="5" t="str">
        <f ca="1">IF(ATALI[[#This Row],[//]]="","",INDEX([2]!NOTA[HARGA SATUAN],ATALI[[#This Row],[//]]-2))</f>
        <v/>
      </c>
      <c r="O379" s="7" t="str">
        <f ca="1">IF(ATALI[[#This Row],[//]]="","",INDEX([2]!NOTA[DISC 1],ATALI[[#This Row],[//]]-2))</f>
        <v/>
      </c>
      <c r="P379" s="7" t="str">
        <f ca="1">IF(ATALI[[#This Row],[//]]="","",INDEX([2]!NOTA[DISC 2],ATALI[[#This Row],[//]]-2))</f>
        <v/>
      </c>
      <c r="Q379" s="5" t="str">
        <f ca="1">IF(ATALI[[#This Row],[//]]="","",INDEX([2]!NOTA[TOTAL],ATALI[[#This Row],[//]]-2))</f>
        <v/>
      </c>
      <c r="R3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9" s="4" t="str">
        <f ca="1">IF(ATALI[[#This Row],[//]]="","",INDEX([2]!NOTA[NAMA BARANG],ATALI[[#This Row],[//]]-2))</f>
        <v/>
      </c>
      <c r="V379" s="4" t="str">
        <f ca="1">LOWER(SUBSTITUTE(SUBSTITUTE(SUBSTITUTE(SUBSTITUTE(SUBSTITUTE(SUBSTITUTE(SUBSTITUTE(ATALI[[#This Row],[N.B.nota]]," ",""),"-",""),"(",""),")",""),".",""),",",""),"/",""))</f>
        <v/>
      </c>
      <c r="W379" s="4" t="str">
        <f ca="1">IF(ATALI[[#This Row],[concat]]="","",MATCH(ATALI[[#This Row],[concat]],[4]!db[NB NOTA_C],0)+1)</f>
        <v/>
      </c>
      <c r="X379" s="4" t="str">
        <f ca="1">IF(ATALI[[#This Row],[N.B.nota]]="","",ADDRESS(ROW(ATALI[QB]),COLUMN(ATALI[QB]))&amp;":"&amp;ADDRESS(ROW(),COLUMN(ATALI[QB])))</f>
        <v/>
      </c>
      <c r="Y379" s="13" t="str">
        <f ca="1">IF(ATALI[[#This Row],[//]]="","",HYPERLINK("[../DB.xlsx]DB!e"&amp;MATCH(ATALI[[#This Row],[concat]],[4]!db[NB NOTA_C],0)+1,"&gt;"))</f>
        <v/>
      </c>
    </row>
    <row r="380" spans="1:25" x14ac:dyDescent="0.25">
      <c r="A380" s="4"/>
      <c r="B380" s="6" t="str">
        <f>IF(ATALI[[#This Row],[N_ID]]="","",INDEX(Table1[ID],MATCH(ATALI[[#This Row],[N_ID]],Table1[N_ID],0)))</f>
        <v/>
      </c>
      <c r="C380" s="6" t="str">
        <f>IF(ATALI[[#This Row],[ID NOTA]]="","",HYPERLINK("[NOTA_.xlsx]NOTA!e"&amp;INDEX([2]!PAJAK[//],MATCH(ATALI[[#This Row],[ID NOTA]],[2]!PAJAK[ID],0)),"&gt;") )</f>
        <v/>
      </c>
      <c r="D380" s="6" t="str">
        <f>IF(ATALI[[#This Row],[ID NOTA]]="","",INDEX(Table1[QB],MATCH(ATALI[[#This Row],[ID NOTA]],Table1[ID],0)))</f>
        <v/>
      </c>
      <c r="E3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0" s="6"/>
      <c r="G380" s="3" t="str">
        <f>IF(ATALI[[#This Row],[ID NOTA]]="","",INDEX([2]!NOTA[TGL_H],MATCH(ATALI[[#This Row],[ID NOTA]],[2]!NOTA[ID],0)))</f>
        <v/>
      </c>
      <c r="H380" s="3" t="str">
        <f>IF(ATALI[[#This Row],[ID NOTA]]="","",INDEX([2]!NOTA[TGL.NOTA],MATCH(ATALI[[#This Row],[ID NOTA]],[2]!NOTA[ID],0)))</f>
        <v/>
      </c>
      <c r="I380" s="4" t="str">
        <f>IF(ATALI[[#This Row],[ID NOTA]]="","",INDEX([2]!NOTA[NO.NOTA],MATCH(ATALI[[#This Row],[ID NOTA]],[2]!NOTA[ID],0)))</f>
        <v/>
      </c>
      <c r="J380" s="4" t="str">
        <f ca="1">IF(ATALI[[#This Row],[//]]="","",INDEX([4]!db[NB PAJAK],ATALI[[#This Row],[stt]]-1))</f>
        <v/>
      </c>
      <c r="K380" s="6" t="str">
        <f ca="1">IF(ATALI[[#This Row],[//]]="","",IF(INDEX([2]!NOTA[C],ATALI[[#This Row],[//]]-2)="","",INDEX([2]!NOTA[C],ATALI[[#This Row],[//]]-2)))</f>
        <v/>
      </c>
      <c r="L380" s="6" t="str">
        <f ca="1">IF(ATALI[[#This Row],[//]]="","",INDEX([2]!NOTA[QTY],ATALI[[#This Row],[//]]-2))</f>
        <v/>
      </c>
      <c r="M380" s="6" t="str">
        <f ca="1">IF(ATALI[[#This Row],[//]]="","",INDEX([2]!NOTA[STN],ATALI[[#This Row],[//]]-2))</f>
        <v/>
      </c>
      <c r="N380" s="5" t="str">
        <f ca="1">IF(ATALI[[#This Row],[//]]="","",INDEX([2]!NOTA[HARGA SATUAN],ATALI[[#This Row],[//]]-2))</f>
        <v/>
      </c>
      <c r="O380" s="7" t="str">
        <f ca="1">IF(ATALI[[#This Row],[//]]="","",INDEX([2]!NOTA[DISC 1],ATALI[[#This Row],[//]]-2))</f>
        <v/>
      </c>
      <c r="P380" s="7" t="str">
        <f ca="1">IF(ATALI[[#This Row],[//]]="","",INDEX([2]!NOTA[DISC 2],ATALI[[#This Row],[//]]-2))</f>
        <v/>
      </c>
      <c r="Q380" s="5" t="str">
        <f ca="1">IF(ATALI[[#This Row],[//]]="","",INDEX([2]!NOTA[TOTAL],ATALI[[#This Row],[//]]-2))</f>
        <v/>
      </c>
      <c r="R3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0" s="4" t="str">
        <f ca="1">IF(ATALI[[#This Row],[//]]="","",INDEX([2]!NOTA[NAMA BARANG],ATALI[[#This Row],[//]]-2))</f>
        <v/>
      </c>
      <c r="V380" s="4" t="str">
        <f ca="1">LOWER(SUBSTITUTE(SUBSTITUTE(SUBSTITUTE(SUBSTITUTE(SUBSTITUTE(SUBSTITUTE(SUBSTITUTE(ATALI[[#This Row],[N.B.nota]]," ",""),"-",""),"(",""),")",""),".",""),",",""),"/",""))</f>
        <v/>
      </c>
      <c r="W380" s="4" t="str">
        <f ca="1">IF(ATALI[[#This Row],[concat]]="","",MATCH(ATALI[[#This Row],[concat]],[4]!db[NB NOTA_C],0)+1)</f>
        <v/>
      </c>
      <c r="X380" s="4" t="str">
        <f ca="1">IF(ATALI[[#This Row],[N.B.nota]]="","",ADDRESS(ROW(ATALI[QB]),COLUMN(ATALI[QB]))&amp;":"&amp;ADDRESS(ROW(),COLUMN(ATALI[QB])))</f>
        <v/>
      </c>
      <c r="Y380" s="13" t="str">
        <f ca="1">IF(ATALI[[#This Row],[//]]="","",HYPERLINK("[../DB.xlsx]DB!e"&amp;MATCH(ATALI[[#This Row],[concat]],[4]!db[NB NOTA_C],0)+1,"&gt;"))</f>
        <v/>
      </c>
    </row>
    <row r="381" spans="1:25" x14ac:dyDescent="0.25">
      <c r="A381" s="4"/>
      <c r="B381" s="6" t="str">
        <f>IF(ATALI[[#This Row],[N_ID]]="","",INDEX(Table1[ID],MATCH(ATALI[[#This Row],[N_ID]],Table1[N_ID],0)))</f>
        <v/>
      </c>
      <c r="C381" s="6" t="str">
        <f>IF(ATALI[[#This Row],[ID NOTA]]="","",HYPERLINK("[NOTA_.xlsx]NOTA!e"&amp;INDEX([2]!PAJAK[//],MATCH(ATALI[[#This Row],[ID NOTA]],[2]!PAJAK[ID],0)),"&gt;") )</f>
        <v/>
      </c>
      <c r="D381" s="6" t="str">
        <f>IF(ATALI[[#This Row],[ID NOTA]]="","",INDEX(Table1[QB],MATCH(ATALI[[#This Row],[ID NOTA]],Table1[ID],0)))</f>
        <v/>
      </c>
      <c r="E3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1" s="6"/>
      <c r="G381" s="3" t="str">
        <f>IF(ATALI[[#This Row],[ID NOTA]]="","",INDEX([2]!NOTA[TGL_H],MATCH(ATALI[[#This Row],[ID NOTA]],[2]!NOTA[ID],0)))</f>
        <v/>
      </c>
      <c r="H381" s="3" t="str">
        <f>IF(ATALI[[#This Row],[ID NOTA]]="","",INDEX([2]!NOTA[TGL.NOTA],MATCH(ATALI[[#This Row],[ID NOTA]],[2]!NOTA[ID],0)))</f>
        <v/>
      </c>
      <c r="I381" s="4" t="str">
        <f>IF(ATALI[[#This Row],[ID NOTA]]="","",INDEX([2]!NOTA[NO.NOTA],MATCH(ATALI[[#This Row],[ID NOTA]],[2]!NOTA[ID],0)))</f>
        <v/>
      </c>
      <c r="J381" s="4" t="str">
        <f ca="1">IF(ATALI[[#This Row],[//]]="","",INDEX([4]!db[NB PAJAK],ATALI[[#This Row],[stt]]-1))</f>
        <v/>
      </c>
      <c r="K381" s="6" t="str">
        <f ca="1">IF(ATALI[[#This Row],[//]]="","",IF(INDEX([2]!NOTA[C],ATALI[[#This Row],[//]]-2)="","",INDEX([2]!NOTA[C],ATALI[[#This Row],[//]]-2)))</f>
        <v/>
      </c>
      <c r="L381" s="6" t="str">
        <f ca="1">IF(ATALI[[#This Row],[//]]="","",INDEX([2]!NOTA[QTY],ATALI[[#This Row],[//]]-2))</f>
        <v/>
      </c>
      <c r="M381" s="6" t="str">
        <f ca="1">IF(ATALI[[#This Row],[//]]="","",INDEX([2]!NOTA[STN],ATALI[[#This Row],[//]]-2))</f>
        <v/>
      </c>
      <c r="N381" s="5" t="str">
        <f ca="1">IF(ATALI[[#This Row],[//]]="","",INDEX([2]!NOTA[HARGA SATUAN],ATALI[[#This Row],[//]]-2))</f>
        <v/>
      </c>
      <c r="O381" s="7" t="str">
        <f ca="1">IF(ATALI[[#This Row],[//]]="","",INDEX([2]!NOTA[DISC 1],ATALI[[#This Row],[//]]-2))</f>
        <v/>
      </c>
      <c r="P381" s="7" t="str">
        <f ca="1">IF(ATALI[[#This Row],[//]]="","",INDEX([2]!NOTA[DISC 2],ATALI[[#This Row],[//]]-2))</f>
        <v/>
      </c>
      <c r="Q381" s="5" t="str">
        <f ca="1">IF(ATALI[[#This Row],[//]]="","",INDEX([2]!NOTA[TOTAL],ATALI[[#This Row],[//]]-2))</f>
        <v/>
      </c>
      <c r="R3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1" s="4" t="str">
        <f ca="1">IF(ATALI[[#This Row],[//]]="","",INDEX([2]!NOTA[NAMA BARANG],ATALI[[#This Row],[//]]-2))</f>
        <v/>
      </c>
      <c r="V381" s="4" t="str">
        <f ca="1">LOWER(SUBSTITUTE(SUBSTITUTE(SUBSTITUTE(SUBSTITUTE(SUBSTITUTE(SUBSTITUTE(SUBSTITUTE(ATALI[[#This Row],[N.B.nota]]," ",""),"-",""),"(",""),")",""),".",""),",",""),"/",""))</f>
        <v/>
      </c>
      <c r="W381" s="4" t="str">
        <f ca="1">IF(ATALI[[#This Row],[concat]]="","",MATCH(ATALI[[#This Row],[concat]],[4]!db[NB NOTA_C],0)+1)</f>
        <v/>
      </c>
      <c r="X381" s="4" t="str">
        <f ca="1">IF(ATALI[[#This Row],[N.B.nota]]="","",ADDRESS(ROW(ATALI[QB]),COLUMN(ATALI[QB]))&amp;":"&amp;ADDRESS(ROW(),COLUMN(ATALI[QB])))</f>
        <v/>
      </c>
      <c r="Y381" s="13" t="str">
        <f ca="1">IF(ATALI[[#This Row],[//]]="","",HYPERLINK("[../DB.xlsx]DB!e"&amp;MATCH(ATALI[[#This Row],[concat]],[4]!db[NB NOTA_C],0)+1,"&gt;"))</f>
        <v/>
      </c>
    </row>
    <row r="382" spans="1:25" x14ac:dyDescent="0.25">
      <c r="A382" s="4"/>
      <c r="B382" s="6" t="str">
        <f>IF(ATALI[[#This Row],[N_ID]]="","",INDEX(Table1[ID],MATCH(ATALI[[#This Row],[N_ID]],Table1[N_ID],0)))</f>
        <v/>
      </c>
      <c r="C382" s="6" t="str">
        <f>IF(ATALI[[#This Row],[ID NOTA]]="","",HYPERLINK("[NOTA_.xlsx]NOTA!e"&amp;INDEX([2]!PAJAK[//],MATCH(ATALI[[#This Row],[ID NOTA]],[2]!PAJAK[ID],0)),"&gt;") )</f>
        <v/>
      </c>
      <c r="D382" s="6" t="str">
        <f>IF(ATALI[[#This Row],[ID NOTA]]="","",INDEX(Table1[QB],MATCH(ATALI[[#This Row],[ID NOTA]],Table1[ID],0)))</f>
        <v/>
      </c>
      <c r="E3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2" s="6"/>
      <c r="G382" s="3" t="str">
        <f>IF(ATALI[[#This Row],[ID NOTA]]="","",INDEX([2]!NOTA[TGL_H],MATCH(ATALI[[#This Row],[ID NOTA]],[2]!NOTA[ID],0)))</f>
        <v/>
      </c>
      <c r="H382" s="3" t="str">
        <f>IF(ATALI[[#This Row],[ID NOTA]]="","",INDEX([2]!NOTA[TGL.NOTA],MATCH(ATALI[[#This Row],[ID NOTA]],[2]!NOTA[ID],0)))</f>
        <v/>
      </c>
      <c r="I382" s="4" t="str">
        <f>IF(ATALI[[#This Row],[ID NOTA]]="","",INDEX([2]!NOTA[NO.NOTA],MATCH(ATALI[[#This Row],[ID NOTA]],[2]!NOTA[ID],0)))</f>
        <v/>
      </c>
      <c r="J382" s="4" t="str">
        <f ca="1">IF(ATALI[[#This Row],[//]]="","",INDEX([4]!db[NB PAJAK],ATALI[[#This Row],[stt]]-1))</f>
        <v/>
      </c>
      <c r="K382" s="6" t="str">
        <f ca="1">IF(ATALI[[#This Row],[//]]="","",IF(INDEX([2]!NOTA[C],ATALI[[#This Row],[//]]-2)="","",INDEX([2]!NOTA[C],ATALI[[#This Row],[//]]-2)))</f>
        <v/>
      </c>
      <c r="L382" s="6" t="str">
        <f ca="1">IF(ATALI[[#This Row],[//]]="","",INDEX([2]!NOTA[QTY],ATALI[[#This Row],[//]]-2))</f>
        <v/>
      </c>
      <c r="M382" s="6" t="str">
        <f ca="1">IF(ATALI[[#This Row],[//]]="","",INDEX([2]!NOTA[STN],ATALI[[#This Row],[//]]-2))</f>
        <v/>
      </c>
      <c r="N382" s="5" t="str">
        <f ca="1">IF(ATALI[[#This Row],[//]]="","",INDEX([2]!NOTA[HARGA SATUAN],ATALI[[#This Row],[//]]-2))</f>
        <v/>
      </c>
      <c r="O382" s="7" t="str">
        <f ca="1">IF(ATALI[[#This Row],[//]]="","",INDEX([2]!NOTA[DISC 1],ATALI[[#This Row],[//]]-2))</f>
        <v/>
      </c>
      <c r="P382" s="7" t="str">
        <f ca="1">IF(ATALI[[#This Row],[//]]="","",INDEX([2]!NOTA[DISC 2],ATALI[[#This Row],[//]]-2))</f>
        <v/>
      </c>
      <c r="Q382" s="5" t="str">
        <f ca="1">IF(ATALI[[#This Row],[//]]="","",INDEX([2]!NOTA[TOTAL],ATALI[[#This Row],[//]]-2))</f>
        <v/>
      </c>
      <c r="R3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2" s="4" t="str">
        <f ca="1">IF(ATALI[[#This Row],[//]]="","",INDEX([2]!NOTA[NAMA BARANG],ATALI[[#This Row],[//]]-2))</f>
        <v/>
      </c>
      <c r="V382" s="4" t="str">
        <f ca="1">LOWER(SUBSTITUTE(SUBSTITUTE(SUBSTITUTE(SUBSTITUTE(SUBSTITUTE(SUBSTITUTE(SUBSTITUTE(ATALI[[#This Row],[N.B.nota]]," ",""),"-",""),"(",""),")",""),".",""),",",""),"/",""))</f>
        <v/>
      </c>
      <c r="W382" s="4" t="str">
        <f ca="1">IF(ATALI[[#This Row],[concat]]="","",MATCH(ATALI[[#This Row],[concat]],[4]!db[NB NOTA_C],0)+1)</f>
        <v/>
      </c>
      <c r="X382" s="4" t="str">
        <f ca="1">IF(ATALI[[#This Row],[N.B.nota]]="","",ADDRESS(ROW(ATALI[QB]),COLUMN(ATALI[QB]))&amp;":"&amp;ADDRESS(ROW(),COLUMN(ATALI[QB])))</f>
        <v/>
      </c>
      <c r="Y382" s="13" t="str">
        <f ca="1">IF(ATALI[[#This Row],[//]]="","",HYPERLINK("[../DB.xlsx]DB!e"&amp;MATCH(ATALI[[#This Row],[concat]],[4]!db[NB NOTA_C],0)+1,"&gt;"))</f>
        <v/>
      </c>
    </row>
    <row r="383" spans="1:25" x14ac:dyDescent="0.25">
      <c r="A383" s="4"/>
      <c r="B383" s="6" t="str">
        <f>IF(ATALI[[#This Row],[N_ID]]="","",INDEX(Table1[ID],MATCH(ATALI[[#This Row],[N_ID]],Table1[N_ID],0)))</f>
        <v/>
      </c>
      <c r="C383" s="6" t="str">
        <f>IF(ATALI[[#This Row],[ID NOTA]]="","",HYPERLINK("[NOTA_.xlsx]NOTA!e"&amp;INDEX([2]!PAJAK[//],MATCH(ATALI[[#This Row],[ID NOTA]],[2]!PAJAK[ID],0)),"&gt;") )</f>
        <v/>
      </c>
      <c r="D383" s="6" t="str">
        <f>IF(ATALI[[#This Row],[ID NOTA]]="","",INDEX(Table1[QB],MATCH(ATALI[[#This Row],[ID NOTA]],Table1[ID],0)))</f>
        <v/>
      </c>
      <c r="E3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3" s="6"/>
      <c r="G383" s="3" t="str">
        <f>IF(ATALI[[#This Row],[ID NOTA]]="","",INDEX([2]!NOTA[TGL_H],MATCH(ATALI[[#This Row],[ID NOTA]],[2]!NOTA[ID],0)))</f>
        <v/>
      </c>
      <c r="H383" s="3" t="str">
        <f>IF(ATALI[[#This Row],[ID NOTA]]="","",INDEX([2]!NOTA[TGL.NOTA],MATCH(ATALI[[#This Row],[ID NOTA]],[2]!NOTA[ID],0)))</f>
        <v/>
      </c>
      <c r="I383" s="4" t="str">
        <f>IF(ATALI[[#This Row],[ID NOTA]]="","",INDEX([2]!NOTA[NO.NOTA],MATCH(ATALI[[#This Row],[ID NOTA]],[2]!NOTA[ID],0)))</f>
        <v/>
      </c>
      <c r="J383" s="64" t="str">
        <f ca="1">IF(ATALI[[#This Row],[//]]="","",INDEX([4]!db[NB PAJAK],ATALI[[#This Row],[stt]]-1))</f>
        <v/>
      </c>
      <c r="K383" s="6" t="str">
        <f ca="1">IF(ATALI[[#This Row],[//]]="","",IF(INDEX([2]!NOTA[C],ATALI[[#This Row],[//]]-2)="","",INDEX([2]!NOTA[C],ATALI[[#This Row],[//]]-2)))</f>
        <v/>
      </c>
      <c r="L383" s="6" t="str">
        <f ca="1">IF(ATALI[[#This Row],[//]]="","",INDEX([2]!NOTA[QTY],ATALI[[#This Row],[//]]-2))</f>
        <v/>
      </c>
      <c r="M383" s="6" t="str">
        <f ca="1">IF(ATALI[[#This Row],[//]]="","",INDEX([2]!NOTA[STN],ATALI[[#This Row],[//]]-2))</f>
        <v/>
      </c>
      <c r="N383" s="5" t="str">
        <f ca="1">IF(ATALI[[#This Row],[//]]="","",INDEX([2]!NOTA[HARGA SATUAN],ATALI[[#This Row],[//]]-2))</f>
        <v/>
      </c>
      <c r="O383" s="7" t="str">
        <f ca="1">IF(ATALI[[#This Row],[//]]="","",INDEX([2]!NOTA[DISC 1],ATALI[[#This Row],[//]]-2))</f>
        <v/>
      </c>
      <c r="P383" s="7" t="str">
        <f ca="1">IF(ATALI[[#This Row],[//]]="","",INDEX([2]!NOTA[DISC 2],ATALI[[#This Row],[//]]-2))</f>
        <v/>
      </c>
      <c r="Q383" s="5" t="str">
        <f ca="1">IF(ATALI[[#This Row],[//]]="","",INDEX([2]!NOTA[TOTAL],ATALI[[#This Row],[//]]-2))</f>
        <v/>
      </c>
      <c r="R3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3" s="4" t="str">
        <f ca="1">IF(ATALI[[#This Row],[//]]="","",INDEX([2]!NOTA[NAMA BARANG],ATALI[[#This Row],[//]]-2))</f>
        <v/>
      </c>
      <c r="V383" s="4" t="str">
        <f ca="1">LOWER(SUBSTITUTE(SUBSTITUTE(SUBSTITUTE(SUBSTITUTE(SUBSTITUTE(SUBSTITUTE(SUBSTITUTE(ATALI[[#This Row],[N.B.nota]]," ",""),"-",""),"(",""),")",""),".",""),",",""),"/",""))</f>
        <v/>
      </c>
      <c r="W383" s="4" t="str">
        <f ca="1">IF(ATALI[[#This Row],[concat]]="","",MATCH(ATALI[[#This Row],[concat]],[4]!db[NB NOTA_C],0)+1)</f>
        <v/>
      </c>
      <c r="X383" s="4" t="str">
        <f ca="1">IF(ATALI[[#This Row],[N.B.nota]]="","",ADDRESS(ROW(ATALI[QB]),COLUMN(ATALI[QB]))&amp;":"&amp;ADDRESS(ROW(),COLUMN(ATALI[QB])))</f>
        <v/>
      </c>
      <c r="Y383" s="13" t="str">
        <f ca="1">IF(ATALI[[#This Row],[//]]="","",HYPERLINK("[../DB.xlsx]DB!e"&amp;MATCH(ATALI[[#This Row],[concat]],[4]!db[NB NOTA_C],0)+1,"&gt;"))</f>
        <v/>
      </c>
    </row>
    <row r="384" spans="1:25" x14ac:dyDescent="0.25">
      <c r="A384" s="4"/>
      <c r="B384" s="6" t="str">
        <f>IF(ATALI[[#This Row],[N_ID]]="","",INDEX(Table1[ID],MATCH(ATALI[[#This Row],[N_ID]],Table1[N_ID],0)))</f>
        <v/>
      </c>
      <c r="C384" s="6" t="str">
        <f>IF(ATALI[[#This Row],[ID NOTA]]="","",HYPERLINK("[NOTA_.xlsx]NOTA!e"&amp;INDEX([2]!PAJAK[//],MATCH(ATALI[[#This Row],[ID NOTA]],[2]!PAJAK[ID],0)),"&gt;") )</f>
        <v/>
      </c>
      <c r="D384" s="6" t="str">
        <f>IF(ATALI[[#This Row],[ID NOTA]]="","",INDEX(Table1[QB],MATCH(ATALI[[#This Row],[ID NOTA]],Table1[ID],0)))</f>
        <v/>
      </c>
      <c r="E3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4" s="6"/>
      <c r="G384" s="3" t="str">
        <f>IF(ATALI[[#This Row],[ID NOTA]]="","",INDEX([2]!NOTA[TGL_H],MATCH(ATALI[[#This Row],[ID NOTA]],[2]!NOTA[ID],0)))</f>
        <v/>
      </c>
      <c r="H384" s="3" t="str">
        <f>IF(ATALI[[#This Row],[ID NOTA]]="","",INDEX([2]!NOTA[TGL.NOTA],MATCH(ATALI[[#This Row],[ID NOTA]],[2]!NOTA[ID],0)))</f>
        <v/>
      </c>
      <c r="I384" s="4" t="str">
        <f>IF(ATALI[[#This Row],[ID NOTA]]="","",INDEX([2]!NOTA[NO.NOTA],MATCH(ATALI[[#This Row],[ID NOTA]],[2]!NOTA[ID],0)))</f>
        <v/>
      </c>
      <c r="J384" s="4" t="str">
        <f ca="1">IF(ATALI[[#This Row],[//]]="","",INDEX([4]!db[NB PAJAK],ATALI[[#This Row],[stt]]-1))</f>
        <v/>
      </c>
      <c r="K384" s="6" t="str">
        <f ca="1">IF(ATALI[[#This Row],[//]]="","",IF(INDEX([2]!NOTA[C],ATALI[[#This Row],[//]]-2)="","",INDEX([2]!NOTA[C],ATALI[[#This Row],[//]]-2)))</f>
        <v/>
      </c>
      <c r="L384" s="6" t="str">
        <f ca="1">IF(ATALI[[#This Row],[//]]="","",INDEX([2]!NOTA[QTY],ATALI[[#This Row],[//]]-2))</f>
        <v/>
      </c>
      <c r="M384" s="6" t="str">
        <f ca="1">IF(ATALI[[#This Row],[//]]="","",INDEX([2]!NOTA[STN],ATALI[[#This Row],[//]]-2))</f>
        <v/>
      </c>
      <c r="N384" s="5" t="str">
        <f ca="1">IF(ATALI[[#This Row],[//]]="","",INDEX([2]!NOTA[HARGA SATUAN],ATALI[[#This Row],[//]]-2))</f>
        <v/>
      </c>
      <c r="O384" s="7" t="str">
        <f ca="1">IF(ATALI[[#This Row],[//]]="","",INDEX([2]!NOTA[DISC 1],ATALI[[#This Row],[//]]-2))</f>
        <v/>
      </c>
      <c r="P384" s="7" t="str">
        <f ca="1">IF(ATALI[[#This Row],[//]]="","",INDEX([2]!NOTA[DISC 2],ATALI[[#This Row],[//]]-2))</f>
        <v/>
      </c>
      <c r="Q384" s="5" t="str">
        <f ca="1">IF(ATALI[[#This Row],[//]]="","",INDEX([2]!NOTA[TOTAL],ATALI[[#This Row],[//]]-2))</f>
        <v/>
      </c>
      <c r="R3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4" s="4" t="str">
        <f ca="1">IF(ATALI[[#This Row],[//]]="","",INDEX([2]!NOTA[NAMA BARANG],ATALI[[#This Row],[//]]-2))</f>
        <v/>
      </c>
      <c r="V384" s="4" t="str">
        <f ca="1">LOWER(SUBSTITUTE(SUBSTITUTE(SUBSTITUTE(SUBSTITUTE(SUBSTITUTE(SUBSTITUTE(SUBSTITUTE(ATALI[[#This Row],[N.B.nota]]," ",""),"-",""),"(",""),")",""),".",""),",",""),"/",""))</f>
        <v/>
      </c>
      <c r="W384" s="4" t="str">
        <f ca="1">IF(ATALI[[#This Row],[concat]]="","",MATCH(ATALI[[#This Row],[concat]],[4]!db[NB NOTA_C],0)+1)</f>
        <v/>
      </c>
      <c r="X384" s="4" t="str">
        <f ca="1">IF(ATALI[[#This Row],[N.B.nota]]="","",ADDRESS(ROW(ATALI[QB]),COLUMN(ATALI[QB]))&amp;":"&amp;ADDRESS(ROW(),COLUMN(ATALI[QB])))</f>
        <v/>
      </c>
      <c r="Y384" s="13" t="str">
        <f ca="1">IF(ATALI[[#This Row],[//]]="","",HYPERLINK("[../DB.xlsx]DB!e"&amp;MATCH(ATALI[[#This Row],[concat]],[4]!db[NB NOTA_C],0)+1,"&gt;"))</f>
        <v/>
      </c>
    </row>
    <row r="385" spans="1:25" x14ac:dyDescent="0.25">
      <c r="A385" s="4"/>
      <c r="B385" s="6" t="str">
        <f>IF(ATALI[[#This Row],[N_ID]]="","",INDEX(Table1[ID],MATCH(ATALI[[#This Row],[N_ID]],Table1[N_ID],0)))</f>
        <v/>
      </c>
      <c r="C385" s="6" t="str">
        <f>IF(ATALI[[#This Row],[ID NOTA]]="","",HYPERLINK("[NOTA_.xlsx]NOTA!e"&amp;INDEX([2]!PAJAK[//],MATCH(ATALI[[#This Row],[ID NOTA]],[2]!PAJAK[ID],0)),"&gt;") )</f>
        <v/>
      </c>
      <c r="D385" s="6" t="str">
        <f>IF(ATALI[[#This Row],[ID NOTA]]="","",INDEX(Table1[QB],MATCH(ATALI[[#This Row],[ID NOTA]],Table1[ID],0)))</f>
        <v/>
      </c>
      <c r="E3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5" s="6"/>
      <c r="G385" s="3" t="str">
        <f>IF(ATALI[[#This Row],[ID NOTA]]="","",INDEX([2]!NOTA[TGL_H],MATCH(ATALI[[#This Row],[ID NOTA]],[2]!NOTA[ID],0)))</f>
        <v/>
      </c>
      <c r="H385" s="3" t="str">
        <f>IF(ATALI[[#This Row],[ID NOTA]]="","",INDEX([2]!NOTA[TGL.NOTA],MATCH(ATALI[[#This Row],[ID NOTA]],[2]!NOTA[ID],0)))</f>
        <v/>
      </c>
      <c r="I385" s="4" t="str">
        <f>IF(ATALI[[#This Row],[ID NOTA]]="","",INDEX([2]!NOTA[NO.NOTA],MATCH(ATALI[[#This Row],[ID NOTA]],[2]!NOTA[ID],0)))</f>
        <v/>
      </c>
      <c r="J385" s="4" t="str">
        <f ca="1">IF(ATALI[[#This Row],[//]]="","",INDEX([4]!db[NB PAJAK],ATALI[[#This Row],[stt]]-1))</f>
        <v/>
      </c>
      <c r="K385" s="6" t="str">
        <f ca="1">IF(ATALI[[#This Row],[//]]="","",IF(INDEX([2]!NOTA[C],ATALI[[#This Row],[//]]-2)="","",INDEX([2]!NOTA[C],ATALI[[#This Row],[//]]-2)))</f>
        <v/>
      </c>
      <c r="L385" s="6" t="str">
        <f ca="1">IF(ATALI[[#This Row],[//]]="","",INDEX([2]!NOTA[QTY],ATALI[[#This Row],[//]]-2))</f>
        <v/>
      </c>
      <c r="M385" s="6" t="str">
        <f ca="1">IF(ATALI[[#This Row],[//]]="","",INDEX([2]!NOTA[STN],ATALI[[#This Row],[//]]-2))</f>
        <v/>
      </c>
      <c r="N385" s="5" t="str">
        <f ca="1">IF(ATALI[[#This Row],[//]]="","",INDEX([2]!NOTA[HARGA SATUAN],ATALI[[#This Row],[//]]-2))</f>
        <v/>
      </c>
      <c r="O385" s="7" t="str">
        <f ca="1">IF(ATALI[[#This Row],[//]]="","",INDEX([2]!NOTA[DISC 1],ATALI[[#This Row],[//]]-2))</f>
        <v/>
      </c>
      <c r="P385" s="7" t="str">
        <f ca="1">IF(ATALI[[#This Row],[//]]="","",INDEX([2]!NOTA[DISC 2],ATALI[[#This Row],[//]]-2))</f>
        <v/>
      </c>
      <c r="Q385" s="5" t="str">
        <f ca="1">IF(ATALI[[#This Row],[//]]="","",INDEX([2]!NOTA[TOTAL],ATALI[[#This Row],[//]]-2))</f>
        <v/>
      </c>
      <c r="R3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5" s="4" t="str">
        <f ca="1">IF(ATALI[[#This Row],[//]]="","",INDEX([2]!NOTA[NAMA BARANG],ATALI[[#This Row],[//]]-2))</f>
        <v/>
      </c>
      <c r="V385" s="4" t="str">
        <f ca="1">LOWER(SUBSTITUTE(SUBSTITUTE(SUBSTITUTE(SUBSTITUTE(SUBSTITUTE(SUBSTITUTE(SUBSTITUTE(ATALI[[#This Row],[N.B.nota]]," ",""),"-",""),"(",""),")",""),".",""),",",""),"/",""))</f>
        <v/>
      </c>
      <c r="W385" s="4" t="str">
        <f ca="1">IF(ATALI[[#This Row],[concat]]="","",MATCH(ATALI[[#This Row],[concat]],[4]!db[NB NOTA_C],0)+1)</f>
        <v/>
      </c>
      <c r="X385" s="4" t="str">
        <f ca="1">IF(ATALI[[#This Row],[N.B.nota]]="","",ADDRESS(ROW(ATALI[QB]),COLUMN(ATALI[QB]))&amp;":"&amp;ADDRESS(ROW(),COLUMN(ATALI[QB])))</f>
        <v/>
      </c>
      <c r="Y385" s="13" t="str">
        <f ca="1">IF(ATALI[[#This Row],[//]]="","",HYPERLINK("[../DB.xlsx]DB!e"&amp;MATCH(ATALI[[#This Row],[concat]],[4]!db[NB NOTA_C],0)+1,"&gt;"))</f>
        <v/>
      </c>
    </row>
    <row r="386" spans="1:25" x14ac:dyDescent="0.25">
      <c r="A386" s="4"/>
      <c r="B386" s="6" t="str">
        <f>IF(ATALI[[#This Row],[N_ID]]="","",INDEX(Table1[ID],MATCH(ATALI[[#This Row],[N_ID]],Table1[N_ID],0)))</f>
        <v/>
      </c>
      <c r="C386" s="6" t="str">
        <f>IF(ATALI[[#This Row],[ID NOTA]]="","",HYPERLINK("[NOTA_.xlsx]NOTA!e"&amp;INDEX([2]!PAJAK[//],MATCH(ATALI[[#This Row],[ID NOTA]],[2]!PAJAK[ID],0)),"&gt;") )</f>
        <v/>
      </c>
      <c r="D386" s="6" t="str">
        <f>IF(ATALI[[#This Row],[ID NOTA]]="","",INDEX(Table1[QB],MATCH(ATALI[[#This Row],[ID NOTA]],Table1[ID],0)))</f>
        <v/>
      </c>
      <c r="E3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6" s="6"/>
      <c r="G386" s="3" t="str">
        <f>IF(ATALI[[#This Row],[ID NOTA]]="","",INDEX([2]!NOTA[TGL_H],MATCH(ATALI[[#This Row],[ID NOTA]],[2]!NOTA[ID],0)))</f>
        <v/>
      </c>
      <c r="H386" s="3" t="str">
        <f>IF(ATALI[[#This Row],[ID NOTA]]="","",INDEX([2]!NOTA[TGL.NOTA],MATCH(ATALI[[#This Row],[ID NOTA]],[2]!NOTA[ID],0)))</f>
        <v/>
      </c>
      <c r="I386" s="4" t="str">
        <f>IF(ATALI[[#This Row],[ID NOTA]]="","",INDEX([2]!NOTA[NO.NOTA],MATCH(ATALI[[#This Row],[ID NOTA]],[2]!NOTA[ID],0)))</f>
        <v/>
      </c>
      <c r="J386" s="4" t="str">
        <f ca="1">IF(ATALI[[#This Row],[//]]="","",INDEX([4]!db[NB PAJAK],ATALI[[#This Row],[stt]]-1))</f>
        <v/>
      </c>
      <c r="K386" s="6" t="str">
        <f ca="1">IF(ATALI[[#This Row],[//]]="","",IF(INDEX([2]!NOTA[C],ATALI[[#This Row],[//]]-2)="","",INDEX([2]!NOTA[C],ATALI[[#This Row],[//]]-2)))</f>
        <v/>
      </c>
      <c r="L386" s="6" t="str">
        <f ca="1">IF(ATALI[[#This Row],[//]]="","",INDEX([2]!NOTA[QTY],ATALI[[#This Row],[//]]-2))</f>
        <v/>
      </c>
      <c r="M386" s="6" t="str">
        <f ca="1">IF(ATALI[[#This Row],[//]]="","",INDEX([2]!NOTA[STN],ATALI[[#This Row],[//]]-2))</f>
        <v/>
      </c>
      <c r="N386" s="5" t="str">
        <f ca="1">IF(ATALI[[#This Row],[//]]="","",INDEX([2]!NOTA[HARGA SATUAN],ATALI[[#This Row],[//]]-2))</f>
        <v/>
      </c>
      <c r="O386" s="7" t="str">
        <f ca="1">IF(ATALI[[#This Row],[//]]="","",INDEX([2]!NOTA[DISC 1],ATALI[[#This Row],[//]]-2))</f>
        <v/>
      </c>
      <c r="P386" s="7" t="str">
        <f ca="1">IF(ATALI[[#This Row],[//]]="","",INDEX([2]!NOTA[DISC 2],ATALI[[#This Row],[//]]-2))</f>
        <v/>
      </c>
      <c r="Q386" s="5" t="str">
        <f ca="1">IF(ATALI[[#This Row],[//]]="","",INDEX([2]!NOTA[TOTAL],ATALI[[#This Row],[//]]-2))</f>
        <v/>
      </c>
      <c r="R3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6" s="4" t="str">
        <f ca="1">IF(ATALI[[#This Row],[//]]="","",INDEX([2]!NOTA[NAMA BARANG],ATALI[[#This Row],[//]]-2))</f>
        <v/>
      </c>
      <c r="V386" s="4" t="str">
        <f ca="1">LOWER(SUBSTITUTE(SUBSTITUTE(SUBSTITUTE(SUBSTITUTE(SUBSTITUTE(SUBSTITUTE(SUBSTITUTE(ATALI[[#This Row],[N.B.nota]]," ",""),"-",""),"(",""),")",""),".",""),",",""),"/",""))</f>
        <v/>
      </c>
      <c r="W386" s="4" t="str">
        <f ca="1">IF(ATALI[[#This Row],[concat]]="","",MATCH(ATALI[[#This Row],[concat]],[4]!db[NB NOTA_C],0)+1)</f>
        <v/>
      </c>
      <c r="X386" s="4" t="str">
        <f ca="1">IF(ATALI[[#This Row],[N.B.nota]]="","",ADDRESS(ROW(ATALI[QB]),COLUMN(ATALI[QB]))&amp;":"&amp;ADDRESS(ROW(),COLUMN(ATALI[QB])))</f>
        <v/>
      </c>
      <c r="Y386" s="13" t="str">
        <f ca="1">IF(ATALI[[#This Row],[//]]="","",HYPERLINK("[../DB.xlsx]DB!e"&amp;MATCH(ATALI[[#This Row],[concat]],[4]!db[NB NOTA_C],0)+1,"&gt;"))</f>
        <v/>
      </c>
    </row>
    <row r="387" spans="1:25" x14ac:dyDescent="0.25">
      <c r="A387" s="4"/>
      <c r="B387" s="6" t="str">
        <f>IF(ATALI[[#This Row],[N_ID]]="","",INDEX(Table1[ID],MATCH(ATALI[[#This Row],[N_ID]],Table1[N_ID],0)))</f>
        <v/>
      </c>
      <c r="C387" s="6" t="str">
        <f>IF(ATALI[[#This Row],[ID NOTA]]="","",HYPERLINK("[NOTA_.xlsx]NOTA!e"&amp;INDEX([2]!PAJAK[//],MATCH(ATALI[[#This Row],[ID NOTA]],[2]!PAJAK[ID],0)),"&gt;") )</f>
        <v/>
      </c>
      <c r="D387" s="6" t="str">
        <f>IF(ATALI[[#This Row],[ID NOTA]]="","",INDEX(Table1[QB],MATCH(ATALI[[#This Row],[ID NOTA]],Table1[ID],0)))</f>
        <v/>
      </c>
      <c r="E3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7" s="6"/>
      <c r="G387" s="3" t="str">
        <f>IF(ATALI[[#This Row],[ID NOTA]]="","",INDEX([2]!NOTA[TGL_H],MATCH(ATALI[[#This Row],[ID NOTA]],[2]!NOTA[ID],0)))</f>
        <v/>
      </c>
      <c r="H387" s="3" t="str">
        <f>IF(ATALI[[#This Row],[ID NOTA]]="","",INDEX([2]!NOTA[TGL.NOTA],MATCH(ATALI[[#This Row],[ID NOTA]],[2]!NOTA[ID],0)))</f>
        <v/>
      </c>
      <c r="I387" s="4" t="str">
        <f>IF(ATALI[[#This Row],[ID NOTA]]="","",INDEX([2]!NOTA[NO.NOTA],MATCH(ATALI[[#This Row],[ID NOTA]],[2]!NOTA[ID],0)))</f>
        <v/>
      </c>
      <c r="J387" s="4" t="str">
        <f ca="1">IF(ATALI[[#This Row],[//]]="","",INDEX([4]!db[NB PAJAK],ATALI[[#This Row],[stt]]-1))</f>
        <v/>
      </c>
      <c r="K387" s="6" t="str">
        <f ca="1">IF(ATALI[[#This Row],[//]]="","",IF(INDEX([2]!NOTA[C],ATALI[[#This Row],[//]]-2)="","",INDEX([2]!NOTA[C],ATALI[[#This Row],[//]]-2)))</f>
        <v/>
      </c>
      <c r="L387" s="6" t="str">
        <f ca="1">IF(ATALI[[#This Row],[//]]="","",INDEX([2]!NOTA[QTY],ATALI[[#This Row],[//]]-2))</f>
        <v/>
      </c>
      <c r="M387" s="6" t="str">
        <f ca="1">IF(ATALI[[#This Row],[//]]="","",INDEX([2]!NOTA[STN],ATALI[[#This Row],[//]]-2))</f>
        <v/>
      </c>
      <c r="N387" s="5" t="str">
        <f ca="1">IF(ATALI[[#This Row],[//]]="","",INDEX([2]!NOTA[HARGA SATUAN],ATALI[[#This Row],[//]]-2))</f>
        <v/>
      </c>
      <c r="O387" s="7" t="str">
        <f ca="1">IF(ATALI[[#This Row],[//]]="","",INDEX([2]!NOTA[DISC 1],ATALI[[#This Row],[//]]-2))</f>
        <v/>
      </c>
      <c r="P387" s="7" t="str">
        <f ca="1">IF(ATALI[[#This Row],[//]]="","",INDEX([2]!NOTA[DISC 2],ATALI[[#This Row],[//]]-2))</f>
        <v/>
      </c>
      <c r="Q387" s="5" t="str">
        <f ca="1">IF(ATALI[[#This Row],[//]]="","",INDEX([2]!NOTA[TOTAL],ATALI[[#This Row],[//]]-2))</f>
        <v/>
      </c>
      <c r="R3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7" s="4" t="str">
        <f ca="1">IF(ATALI[[#This Row],[//]]="","",INDEX([2]!NOTA[NAMA BARANG],ATALI[[#This Row],[//]]-2))</f>
        <v/>
      </c>
      <c r="V387" s="4" t="str">
        <f ca="1">LOWER(SUBSTITUTE(SUBSTITUTE(SUBSTITUTE(SUBSTITUTE(SUBSTITUTE(SUBSTITUTE(SUBSTITUTE(ATALI[[#This Row],[N.B.nota]]," ",""),"-",""),"(",""),")",""),".",""),",",""),"/",""))</f>
        <v/>
      </c>
      <c r="W387" s="4" t="str">
        <f ca="1">IF(ATALI[[#This Row],[concat]]="","",MATCH(ATALI[[#This Row],[concat]],[4]!db[NB NOTA_C],0)+1)</f>
        <v/>
      </c>
      <c r="X387" s="4" t="str">
        <f ca="1">IF(ATALI[[#This Row],[N.B.nota]]="","",ADDRESS(ROW(ATALI[QB]),COLUMN(ATALI[QB]))&amp;":"&amp;ADDRESS(ROW(),COLUMN(ATALI[QB])))</f>
        <v/>
      </c>
      <c r="Y387" s="13" t="str">
        <f ca="1">IF(ATALI[[#This Row],[//]]="","",HYPERLINK("[../DB.xlsx]DB!e"&amp;MATCH(ATALI[[#This Row],[concat]],[4]!db[NB NOTA_C],0)+1,"&gt;"))</f>
        <v/>
      </c>
    </row>
    <row r="388" spans="1:25" x14ac:dyDescent="0.25">
      <c r="A388" s="4"/>
      <c r="B388" s="6" t="str">
        <f>IF(ATALI[[#This Row],[N_ID]]="","",INDEX(Table1[ID],MATCH(ATALI[[#This Row],[N_ID]],Table1[N_ID],0)))</f>
        <v/>
      </c>
      <c r="C388" s="6" t="str">
        <f>IF(ATALI[[#This Row],[ID NOTA]]="","",HYPERLINK("[NOTA_.xlsx]NOTA!e"&amp;INDEX([2]!PAJAK[//],MATCH(ATALI[[#This Row],[ID NOTA]],[2]!PAJAK[ID],0)),"&gt;") )</f>
        <v/>
      </c>
      <c r="D388" s="6" t="str">
        <f>IF(ATALI[[#This Row],[ID NOTA]]="","",INDEX(Table1[QB],MATCH(ATALI[[#This Row],[ID NOTA]],Table1[ID],0)))</f>
        <v/>
      </c>
      <c r="E3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8" s="6"/>
      <c r="G388" s="3" t="str">
        <f>IF(ATALI[[#This Row],[ID NOTA]]="","",INDEX([2]!NOTA[TGL_H],MATCH(ATALI[[#This Row],[ID NOTA]],[2]!NOTA[ID],0)))</f>
        <v/>
      </c>
      <c r="H388" s="3" t="str">
        <f>IF(ATALI[[#This Row],[ID NOTA]]="","",INDEX([2]!NOTA[TGL.NOTA],MATCH(ATALI[[#This Row],[ID NOTA]],[2]!NOTA[ID],0)))</f>
        <v/>
      </c>
      <c r="I388" s="4" t="str">
        <f>IF(ATALI[[#This Row],[ID NOTA]]="","",INDEX([2]!NOTA[NO.NOTA],MATCH(ATALI[[#This Row],[ID NOTA]],[2]!NOTA[ID],0)))</f>
        <v/>
      </c>
      <c r="J388" s="4" t="str">
        <f ca="1">IF(ATALI[[#This Row],[//]]="","",INDEX([4]!db[NB PAJAK],ATALI[[#This Row],[stt]]-1))</f>
        <v/>
      </c>
      <c r="K388" s="6" t="str">
        <f ca="1">IF(ATALI[[#This Row],[//]]="","",IF(INDEX([2]!NOTA[C],ATALI[[#This Row],[//]]-2)="","",INDEX([2]!NOTA[C],ATALI[[#This Row],[//]]-2)))</f>
        <v/>
      </c>
      <c r="L388" s="6" t="str">
        <f ca="1">IF(ATALI[[#This Row],[//]]="","",INDEX([2]!NOTA[QTY],ATALI[[#This Row],[//]]-2))</f>
        <v/>
      </c>
      <c r="M388" s="6" t="str">
        <f ca="1">IF(ATALI[[#This Row],[//]]="","",INDEX([2]!NOTA[STN],ATALI[[#This Row],[//]]-2))</f>
        <v/>
      </c>
      <c r="N388" s="5" t="str">
        <f ca="1">IF(ATALI[[#This Row],[//]]="","",INDEX([2]!NOTA[HARGA SATUAN],ATALI[[#This Row],[//]]-2))</f>
        <v/>
      </c>
      <c r="O388" s="7" t="str">
        <f ca="1">IF(ATALI[[#This Row],[//]]="","",INDEX([2]!NOTA[DISC 1],ATALI[[#This Row],[//]]-2))</f>
        <v/>
      </c>
      <c r="P388" s="7" t="str">
        <f ca="1">IF(ATALI[[#This Row],[//]]="","",INDEX([2]!NOTA[DISC 2],ATALI[[#This Row],[//]]-2))</f>
        <v/>
      </c>
      <c r="Q388" s="5" t="str">
        <f ca="1">IF(ATALI[[#This Row],[//]]="","",INDEX([2]!NOTA[TOTAL],ATALI[[#This Row],[//]]-2))</f>
        <v/>
      </c>
      <c r="R3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8" s="4" t="str">
        <f ca="1">IF(ATALI[[#This Row],[//]]="","",INDEX([2]!NOTA[NAMA BARANG],ATALI[[#This Row],[//]]-2))</f>
        <v/>
      </c>
      <c r="V388" s="4" t="str">
        <f ca="1">LOWER(SUBSTITUTE(SUBSTITUTE(SUBSTITUTE(SUBSTITUTE(SUBSTITUTE(SUBSTITUTE(SUBSTITUTE(ATALI[[#This Row],[N.B.nota]]," ",""),"-",""),"(",""),")",""),".",""),",",""),"/",""))</f>
        <v/>
      </c>
      <c r="W388" s="4" t="str">
        <f ca="1">IF(ATALI[[#This Row],[concat]]="","",MATCH(ATALI[[#This Row],[concat]],[4]!db[NB NOTA_C],0)+1)</f>
        <v/>
      </c>
      <c r="X388" s="4" t="str">
        <f ca="1">IF(ATALI[[#This Row],[N.B.nota]]="","",ADDRESS(ROW(ATALI[QB]),COLUMN(ATALI[QB]))&amp;":"&amp;ADDRESS(ROW(),COLUMN(ATALI[QB])))</f>
        <v/>
      </c>
      <c r="Y388" s="13" t="str">
        <f ca="1">IF(ATALI[[#This Row],[//]]="","",HYPERLINK("[../DB.xlsx]DB!e"&amp;MATCH(ATALI[[#This Row],[concat]],[4]!db[NB NOTA_C],0)+1,"&gt;"))</f>
        <v/>
      </c>
    </row>
    <row r="389" spans="1:25" x14ac:dyDescent="0.25">
      <c r="A389" s="4"/>
      <c r="B389" s="6" t="str">
        <f>IF(ATALI[[#This Row],[N_ID]]="","",INDEX(Table1[ID],MATCH(ATALI[[#This Row],[N_ID]],Table1[N_ID],0)))</f>
        <v/>
      </c>
      <c r="C389" s="6" t="str">
        <f>IF(ATALI[[#This Row],[ID NOTA]]="","",HYPERLINK("[NOTA_.xlsx]NOTA!e"&amp;INDEX([2]!PAJAK[//],MATCH(ATALI[[#This Row],[ID NOTA]],[2]!PAJAK[ID],0)),"&gt;") )</f>
        <v/>
      </c>
      <c r="D389" s="6" t="str">
        <f>IF(ATALI[[#This Row],[ID NOTA]]="","",INDEX(Table1[QB],MATCH(ATALI[[#This Row],[ID NOTA]],Table1[ID],0)))</f>
        <v/>
      </c>
      <c r="E3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9" s="6"/>
      <c r="G389" s="3" t="str">
        <f>IF(ATALI[[#This Row],[ID NOTA]]="","",INDEX([2]!NOTA[TGL_H],MATCH(ATALI[[#This Row],[ID NOTA]],[2]!NOTA[ID],0)))</f>
        <v/>
      </c>
      <c r="H389" s="3" t="str">
        <f>IF(ATALI[[#This Row],[ID NOTA]]="","",INDEX([2]!NOTA[TGL.NOTA],MATCH(ATALI[[#This Row],[ID NOTA]],[2]!NOTA[ID],0)))</f>
        <v/>
      </c>
      <c r="I389" s="4" t="str">
        <f>IF(ATALI[[#This Row],[ID NOTA]]="","",INDEX([2]!NOTA[NO.NOTA],MATCH(ATALI[[#This Row],[ID NOTA]],[2]!NOTA[ID],0)))</f>
        <v/>
      </c>
      <c r="J389" s="4" t="str">
        <f ca="1">IF(ATALI[[#This Row],[//]]="","",INDEX([4]!db[NB PAJAK],ATALI[[#This Row],[stt]]-1))</f>
        <v/>
      </c>
      <c r="K389" s="6" t="str">
        <f ca="1">IF(ATALI[[#This Row],[//]]="","",IF(INDEX([2]!NOTA[C],ATALI[[#This Row],[//]]-2)="","",INDEX([2]!NOTA[C],ATALI[[#This Row],[//]]-2)))</f>
        <v/>
      </c>
      <c r="L389" s="6" t="str">
        <f ca="1">IF(ATALI[[#This Row],[//]]="","",INDEX([2]!NOTA[QTY],ATALI[[#This Row],[//]]-2))</f>
        <v/>
      </c>
      <c r="M389" s="6" t="str">
        <f ca="1">IF(ATALI[[#This Row],[//]]="","",INDEX([2]!NOTA[STN],ATALI[[#This Row],[//]]-2))</f>
        <v/>
      </c>
      <c r="N389" s="5" t="str">
        <f ca="1">IF(ATALI[[#This Row],[//]]="","",INDEX([2]!NOTA[HARGA SATUAN],ATALI[[#This Row],[//]]-2))</f>
        <v/>
      </c>
      <c r="O389" s="7" t="str">
        <f ca="1">IF(ATALI[[#This Row],[//]]="","",INDEX([2]!NOTA[DISC 1],ATALI[[#This Row],[//]]-2))</f>
        <v/>
      </c>
      <c r="P389" s="7" t="str">
        <f ca="1">IF(ATALI[[#This Row],[//]]="","",INDEX([2]!NOTA[DISC 2],ATALI[[#This Row],[//]]-2))</f>
        <v/>
      </c>
      <c r="Q389" s="5" t="str">
        <f ca="1">IF(ATALI[[#This Row],[//]]="","",INDEX([2]!NOTA[TOTAL],ATALI[[#This Row],[//]]-2))</f>
        <v/>
      </c>
      <c r="R3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9" s="4" t="str">
        <f ca="1">IF(ATALI[[#This Row],[//]]="","",INDEX([2]!NOTA[NAMA BARANG],ATALI[[#This Row],[//]]-2))</f>
        <v/>
      </c>
      <c r="V389" s="4" t="str">
        <f ca="1">LOWER(SUBSTITUTE(SUBSTITUTE(SUBSTITUTE(SUBSTITUTE(SUBSTITUTE(SUBSTITUTE(SUBSTITUTE(ATALI[[#This Row],[N.B.nota]]," ",""),"-",""),"(",""),")",""),".",""),",",""),"/",""))</f>
        <v/>
      </c>
      <c r="W389" s="4" t="str">
        <f ca="1">IF(ATALI[[#This Row],[concat]]="","",MATCH(ATALI[[#This Row],[concat]],[4]!db[NB NOTA_C],0)+1)</f>
        <v/>
      </c>
      <c r="X389" s="4" t="str">
        <f ca="1">IF(ATALI[[#This Row],[N.B.nota]]="","",ADDRESS(ROW(ATALI[QB]),COLUMN(ATALI[QB]))&amp;":"&amp;ADDRESS(ROW(),COLUMN(ATALI[QB])))</f>
        <v/>
      </c>
      <c r="Y389" s="13" t="str">
        <f ca="1">IF(ATALI[[#This Row],[//]]="","",HYPERLINK("[../DB.xlsx]DB!e"&amp;MATCH(ATALI[[#This Row],[concat]],[4]!db[NB NOTA_C],0)+1,"&gt;"))</f>
        <v/>
      </c>
    </row>
    <row r="390" spans="1:25" x14ac:dyDescent="0.25">
      <c r="A390" s="4"/>
      <c r="B390" s="6" t="str">
        <f>IF(ATALI[[#This Row],[N_ID]]="","",INDEX(Table1[ID],MATCH(ATALI[[#This Row],[N_ID]],Table1[N_ID],0)))</f>
        <v/>
      </c>
      <c r="C390" s="6" t="str">
        <f>IF(ATALI[[#This Row],[ID NOTA]]="","",HYPERLINK("[NOTA_.xlsx]NOTA!e"&amp;INDEX([2]!PAJAK[//],MATCH(ATALI[[#This Row],[ID NOTA]],[2]!PAJAK[ID],0)),"&gt;") )</f>
        <v/>
      </c>
      <c r="D390" s="6" t="str">
        <f>IF(ATALI[[#This Row],[ID NOTA]]="","",INDEX(Table1[QB],MATCH(ATALI[[#This Row],[ID NOTA]],Table1[ID],0)))</f>
        <v/>
      </c>
      <c r="E3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0" s="6"/>
      <c r="G390" s="3" t="str">
        <f>IF(ATALI[[#This Row],[ID NOTA]]="","",INDEX([2]!NOTA[TGL_H],MATCH(ATALI[[#This Row],[ID NOTA]],[2]!NOTA[ID],0)))</f>
        <v/>
      </c>
      <c r="H390" s="3" t="str">
        <f>IF(ATALI[[#This Row],[ID NOTA]]="","",INDEX([2]!NOTA[TGL.NOTA],MATCH(ATALI[[#This Row],[ID NOTA]],[2]!NOTA[ID],0)))</f>
        <v/>
      </c>
      <c r="I390" s="4" t="str">
        <f>IF(ATALI[[#This Row],[ID NOTA]]="","",INDEX([2]!NOTA[NO.NOTA],MATCH(ATALI[[#This Row],[ID NOTA]],[2]!NOTA[ID],0)))</f>
        <v/>
      </c>
      <c r="J390" s="4" t="str">
        <f ca="1">IF(ATALI[[#This Row],[//]]="","",INDEX([4]!db[NB PAJAK],ATALI[[#This Row],[stt]]-1))</f>
        <v/>
      </c>
      <c r="K390" s="6" t="str">
        <f ca="1">IF(ATALI[[#This Row],[//]]="","",IF(INDEX([2]!NOTA[C],ATALI[[#This Row],[//]]-2)="","",INDEX([2]!NOTA[C],ATALI[[#This Row],[//]]-2)))</f>
        <v/>
      </c>
      <c r="L390" s="6" t="str">
        <f ca="1">IF(ATALI[[#This Row],[//]]="","",INDEX([2]!NOTA[QTY],ATALI[[#This Row],[//]]-2))</f>
        <v/>
      </c>
      <c r="M390" s="6" t="str">
        <f ca="1">IF(ATALI[[#This Row],[//]]="","",INDEX([2]!NOTA[STN],ATALI[[#This Row],[//]]-2))</f>
        <v/>
      </c>
      <c r="N390" s="5" t="str">
        <f ca="1">IF(ATALI[[#This Row],[//]]="","",INDEX([2]!NOTA[HARGA SATUAN],ATALI[[#This Row],[//]]-2))</f>
        <v/>
      </c>
      <c r="O390" s="7" t="str">
        <f ca="1">IF(ATALI[[#This Row],[//]]="","",INDEX([2]!NOTA[DISC 1],ATALI[[#This Row],[//]]-2))</f>
        <v/>
      </c>
      <c r="P390" s="7" t="str">
        <f ca="1">IF(ATALI[[#This Row],[//]]="","",INDEX([2]!NOTA[DISC 2],ATALI[[#This Row],[//]]-2))</f>
        <v/>
      </c>
      <c r="Q390" s="5" t="str">
        <f ca="1">IF(ATALI[[#This Row],[//]]="","",INDEX([2]!NOTA[TOTAL],ATALI[[#This Row],[//]]-2))</f>
        <v/>
      </c>
      <c r="R3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0" s="4" t="str">
        <f ca="1">IF(ATALI[[#This Row],[//]]="","",INDEX([2]!NOTA[NAMA BARANG],ATALI[[#This Row],[//]]-2))</f>
        <v/>
      </c>
      <c r="V390" s="4" t="str">
        <f ca="1">LOWER(SUBSTITUTE(SUBSTITUTE(SUBSTITUTE(SUBSTITUTE(SUBSTITUTE(SUBSTITUTE(SUBSTITUTE(ATALI[[#This Row],[N.B.nota]]," ",""),"-",""),"(",""),")",""),".",""),",",""),"/",""))</f>
        <v/>
      </c>
      <c r="W390" s="4" t="str">
        <f ca="1">IF(ATALI[[#This Row],[concat]]="","",MATCH(ATALI[[#This Row],[concat]],[4]!db[NB NOTA_C],0)+1)</f>
        <v/>
      </c>
      <c r="X390" s="4" t="str">
        <f ca="1">IF(ATALI[[#This Row],[N.B.nota]]="","",ADDRESS(ROW(ATALI[QB]),COLUMN(ATALI[QB]))&amp;":"&amp;ADDRESS(ROW(),COLUMN(ATALI[QB])))</f>
        <v/>
      </c>
      <c r="Y390" s="21" t="str">
        <f ca="1">IF(ATALI[[#This Row],[//]]="","",HYPERLINK("[../DB.xlsx]DB!e"&amp;MATCH(ATALI[[#This Row],[concat]],[4]!db[NB NOTA_C],0)+1,"&gt;"))</f>
        <v/>
      </c>
    </row>
    <row r="391" spans="1:25" x14ac:dyDescent="0.25">
      <c r="A391" s="4"/>
      <c r="B391" s="6" t="str">
        <f>IF(ATALI[[#This Row],[N_ID]]="","",INDEX(Table1[ID],MATCH(ATALI[[#This Row],[N_ID]],Table1[N_ID],0)))</f>
        <v/>
      </c>
      <c r="C391" s="6" t="str">
        <f>IF(ATALI[[#This Row],[ID NOTA]]="","",HYPERLINK("[NOTA_.xlsx]NOTA!e"&amp;INDEX([2]!PAJAK[//],MATCH(ATALI[[#This Row],[ID NOTA]],[2]!PAJAK[ID],0)),"&gt;") )</f>
        <v/>
      </c>
      <c r="D391" s="6" t="str">
        <f>IF(ATALI[[#This Row],[ID NOTA]]="","",INDEX(Table1[QB],MATCH(ATALI[[#This Row],[ID NOTA]],Table1[ID],0)))</f>
        <v/>
      </c>
      <c r="E3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1" s="6"/>
      <c r="G391" s="3" t="str">
        <f>IF(ATALI[[#This Row],[ID NOTA]]="","",INDEX([2]!NOTA[TGL_H],MATCH(ATALI[[#This Row],[ID NOTA]],[2]!NOTA[ID],0)))</f>
        <v/>
      </c>
      <c r="H391" s="3" t="str">
        <f>IF(ATALI[[#This Row],[ID NOTA]]="","",INDEX([2]!NOTA[TGL.NOTA],MATCH(ATALI[[#This Row],[ID NOTA]],[2]!NOTA[ID],0)))</f>
        <v/>
      </c>
      <c r="I391" s="4" t="str">
        <f>IF(ATALI[[#This Row],[ID NOTA]]="","",INDEX([2]!NOTA[NO.NOTA],MATCH(ATALI[[#This Row],[ID NOTA]],[2]!NOTA[ID],0)))</f>
        <v/>
      </c>
      <c r="J391" s="4" t="str">
        <f ca="1">IF(ATALI[[#This Row],[//]]="","",INDEX([4]!db[NB PAJAK],ATALI[[#This Row],[stt]]-1))</f>
        <v/>
      </c>
      <c r="K391" s="6" t="str">
        <f ca="1">IF(ATALI[[#This Row],[//]]="","",IF(INDEX([2]!NOTA[C],ATALI[[#This Row],[//]]-2)="","",INDEX([2]!NOTA[C],ATALI[[#This Row],[//]]-2)))</f>
        <v/>
      </c>
      <c r="L391" s="6" t="str">
        <f ca="1">IF(ATALI[[#This Row],[//]]="","",INDEX([2]!NOTA[QTY],ATALI[[#This Row],[//]]-2))</f>
        <v/>
      </c>
      <c r="M391" s="6" t="str">
        <f ca="1">IF(ATALI[[#This Row],[//]]="","",INDEX([2]!NOTA[STN],ATALI[[#This Row],[//]]-2))</f>
        <v/>
      </c>
      <c r="N391" s="5" t="str">
        <f ca="1">IF(ATALI[[#This Row],[//]]="","",INDEX([2]!NOTA[HARGA SATUAN],ATALI[[#This Row],[//]]-2))</f>
        <v/>
      </c>
      <c r="O391" s="7" t="str">
        <f ca="1">IF(ATALI[[#This Row],[//]]="","",INDEX([2]!NOTA[DISC 1],ATALI[[#This Row],[//]]-2))</f>
        <v/>
      </c>
      <c r="P391" s="7" t="str">
        <f ca="1">IF(ATALI[[#This Row],[//]]="","",INDEX([2]!NOTA[DISC 2],ATALI[[#This Row],[//]]-2))</f>
        <v/>
      </c>
      <c r="Q391" s="5" t="str">
        <f ca="1">IF(ATALI[[#This Row],[//]]="","",INDEX([2]!NOTA[TOTAL],ATALI[[#This Row],[//]]-2))</f>
        <v/>
      </c>
      <c r="R3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1" s="4" t="str">
        <f ca="1">IF(ATALI[[#This Row],[//]]="","",INDEX([2]!NOTA[NAMA BARANG],ATALI[[#This Row],[//]]-2))</f>
        <v/>
      </c>
      <c r="V391" s="4" t="str">
        <f ca="1">LOWER(SUBSTITUTE(SUBSTITUTE(SUBSTITUTE(SUBSTITUTE(SUBSTITUTE(SUBSTITUTE(SUBSTITUTE(ATALI[[#This Row],[N.B.nota]]," ",""),"-",""),"(",""),")",""),".",""),",",""),"/",""))</f>
        <v/>
      </c>
      <c r="W391" s="4" t="str">
        <f ca="1">IF(ATALI[[#This Row],[concat]]="","",MATCH(ATALI[[#This Row],[concat]],[4]!db[NB NOTA_C],0)+1)</f>
        <v/>
      </c>
      <c r="X391" s="4" t="str">
        <f ca="1">IF(ATALI[[#This Row],[N.B.nota]]="","",ADDRESS(ROW(ATALI[QB]),COLUMN(ATALI[QB]))&amp;":"&amp;ADDRESS(ROW(),COLUMN(ATALI[QB])))</f>
        <v/>
      </c>
      <c r="Y391" s="21" t="str">
        <f ca="1">IF(ATALI[[#This Row],[//]]="","",HYPERLINK("[../DB.xlsx]DB!e"&amp;MATCH(ATALI[[#This Row],[concat]],[4]!db[NB NOTA_C],0)+1,"&gt;"))</f>
        <v/>
      </c>
    </row>
    <row r="392" spans="1:25" x14ac:dyDescent="0.25">
      <c r="A392" s="4"/>
      <c r="B392" s="6" t="str">
        <f>IF(ATALI[[#This Row],[N_ID]]="","",INDEX(Table1[ID],MATCH(ATALI[[#This Row],[N_ID]],Table1[N_ID],0)))</f>
        <v/>
      </c>
      <c r="C392" s="6" t="str">
        <f>IF(ATALI[[#This Row],[ID NOTA]]="","",HYPERLINK("[NOTA_.xlsx]NOTA!e"&amp;INDEX([2]!PAJAK[//],MATCH(ATALI[[#This Row],[ID NOTA]],[2]!PAJAK[ID],0)),"&gt;") )</f>
        <v/>
      </c>
      <c r="D392" s="6" t="str">
        <f>IF(ATALI[[#This Row],[ID NOTA]]="","",INDEX(Table1[QB],MATCH(ATALI[[#This Row],[ID NOTA]],Table1[ID],0)))</f>
        <v/>
      </c>
      <c r="E3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2" s="6"/>
      <c r="G392" s="3" t="str">
        <f>IF(ATALI[[#This Row],[ID NOTA]]="","",INDEX([2]!NOTA[TGL_H],MATCH(ATALI[[#This Row],[ID NOTA]],[2]!NOTA[ID],0)))</f>
        <v/>
      </c>
      <c r="H392" s="3" t="str">
        <f>IF(ATALI[[#This Row],[ID NOTA]]="","",INDEX([2]!NOTA[TGL.NOTA],MATCH(ATALI[[#This Row],[ID NOTA]],[2]!NOTA[ID],0)))</f>
        <v/>
      </c>
      <c r="I392" s="4" t="str">
        <f>IF(ATALI[[#This Row],[ID NOTA]]="","",INDEX([2]!NOTA[NO.NOTA],MATCH(ATALI[[#This Row],[ID NOTA]],[2]!NOTA[ID],0)))</f>
        <v/>
      </c>
      <c r="J392" s="4" t="str">
        <f ca="1">IF(ATALI[[#This Row],[//]]="","",INDEX([4]!db[NB PAJAK],ATALI[[#This Row],[stt]]-1))</f>
        <v/>
      </c>
      <c r="K392" s="6" t="str">
        <f ca="1">IF(ATALI[[#This Row],[//]]="","",IF(INDEX([2]!NOTA[C],ATALI[[#This Row],[//]]-2)="","",INDEX([2]!NOTA[C],ATALI[[#This Row],[//]]-2)))</f>
        <v/>
      </c>
      <c r="L392" s="6" t="str">
        <f ca="1">IF(ATALI[[#This Row],[//]]="","",INDEX([2]!NOTA[QTY],ATALI[[#This Row],[//]]-2))</f>
        <v/>
      </c>
      <c r="M392" s="6" t="str">
        <f ca="1">IF(ATALI[[#This Row],[//]]="","",INDEX([2]!NOTA[STN],ATALI[[#This Row],[//]]-2))</f>
        <v/>
      </c>
      <c r="N392" s="5" t="str">
        <f ca="1">IF(ATALI[[#This Row],[//]]="","",INDEX([2]!NOTA[HARGA SATUAN],ATALI[[#This Row],[//]]-2))</f>
        <v/>
      </c>
      <c r="O392" s="7" t="str">
        <f ca="1">IF(ATALI[[#This Row],[//]]="","",INDEX([2]!NOTA[DISC 1],ATALI[[#This Row],[//]]-2))</f>
        <v/>
      </c>
      <c r="P392" s="7" t="str">
        <f ca="1">IF(ATALI[[#This Row],[//]]="","",INDEX([2]!NOTA[DISC 2],ATALI[[#This Row],[//]]-2))</f>
        <v/>
      </c>
      <c r="Q392" s="5" t="str">
        <f ca="1">IF(ATALI[[#This Row],[//]]="","",INDEX([2]!NOTA[TOTAL],ATALI[[#This Row],[//]]-2))</f>
        <v/>
      </c>
      <c r="R3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2" s="4" t="str">
        <f ca="1">IF(ATALI[[#This Row],[//]]="","",INDEX([2]!NOTA[NAMA BARANG],ATALI[[#This Row],[//]]-2))</f>
        <v/>
      </c>
      <c r="V392" s="4" t="str">
        <f ca="1">LOWER(SUBSTITUTE(SUBSTITUTE(SUBSTITUTE(SUBSTITUTE(SUBSTITUTE(SUBSTITUTE(SUBSTITUTE(ATALI[[#This Row],[N.B.nota]]," ",""),"-",""),"(",""),")",""),".",""),",",""),"/",""))</f>
        <v/>
      </c>
      <c r="W392" s="4" t="str">
        <f ca="1">IF(ATALI[[#This Row],[concat]]="","",MATCH(ATALI[[#This Row],[concat]],[4]!db[NB NOTA_C],0)+1)</f>
        <v/>
      </c>
      <c r="X392" s="4" t="str">
        <f ca="1">IF(ATALI[[#This Row],[N.B.nota]]="","",ADDRESS(ROW(ATALI[QB]),COLUMN(ATALI[QB]))&amp;":"&amp;ADDRESS(ROW(),COLUMN(ATALI[QB])))</f>
        <v/>
      </c>
      <c r="Y392" s="21" t="str">
        <f ca="1">IF(ATALI[[#This Row],[//]]="","",HYPERLINK("[../DB.xlsx]DB!e"&amp;MATCH(ATALI[[#This Row],[concat]],[4]!db[NB NOTA_C],0)+1,"&gt;"))</f>
        <v/>
      </c>
    </row>
    <row r="393" spans="1:25" x14ac:dyDescent="0.25">
      <c r="A393" s="4"/>
      <c r="B393" s="6" t="str">
        <f>IF(ATALI[[#This Row],[N_ID]]="","",INDEX(Table1[ID],MATCH(ATALI[[#This Row],[N_ID]],Table1[N_ID],0)))</f>
        <v/>
      </c>
      <c r="C393" s="6" t="str">
        <f>IF(ATALI[[#This Row],[ID NOTA]]="","",HYPERLINK("[NOTA_.xlsx]NOTA!e"&amp;INDEX([2]!PAJAK[//],MATCH(ATALI[[#This Row],[ID NOTA]],[2]!PAJAK[ID],0)),"&gt;") )</f>
        <v/>
      </c>
      <c r="D393" s="6" t="str">
        <f>IF(ATALI[[#This Row],[ID NOTA]]="","",INDEX(Table1[QB],MATCH(ATALI[[#This Row],[ID NOTA]],Table1[ID],0)))</f>
        <v/>
      </c>
      <c r="E3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3" s="6"/>
      <c r="G393" s="3" t="str">
        <f>IF(ATALI[[#This Row],[ID NOTA]]="","",INDEX([2]!NOTA[TGL_H],MATCH(ATALI[[#This Row],[ID NOTA]],[2]!NOTA[ID],0)))</f>
        <v/>
      </c>
      <c r="H393" s="3" t="str">
        <f>IF(ATALI[[#This Row],[ID NOTA]]="","",INDEX([2]!NOTA[TGL.NOTA],MATCH(ATALI[[#This Row],[ID NOTA]],[2]!NOTA[ID],0)))</f>
        <v/>
      </c>
      <c r="I393" s="4" t="str">
        <f>IF(ATALI[[#This Row],[ID NOTA]]="","",INDEX([2]!NOTA[NO.NOTA],MATCH(ATALI[[#This Row],[ID NOTA]],[2]!NOTA[ID],0)))</f>
        <v/>
      </c>
      <c r="J393" s="4" t="str">
        <f ca="1">IF(ATALI[[#This Row],[//]]="","",INDEX([4]!db[NB PAJAK],ATALI[[#This Row],[stt]]-1))</f>
        <v/>
      </c>
      <c r="K393" s="6" t="str">
        <f ca="1">IF(ATALI[[#This Row],[//]]="","",IF(INDEX([2]!NOTA[C],ATALI[[#This Row],[//]]-2)="","",INDEX([2]!NOTA[C],ATALI[[#This Row],[//]]-2)))</f>
        <v/>
      </c>
      <c r="L393" s="6" t="str">
        <f ca="1">IF(ATALI[[#This Row],[//]]="","",INDEX([2]!NOTA[QTY],ATALI[[#This Row],[//]]-2))</f>
        <v/>
      </c>
      <c r="M393" s="6" t="str">
        <f ca="1">IF(ATALI[[#This Row],[//]]="","",INDEX([2]!NOTA[STN],ATALI[[#This Row],[//]]-2))</f>
        <v/>
      </c>
      <c r="N393" s="5" t="str">
        <f ca="1">IF(ATALI[[#This Row],[//]]="","",INDEX([2]!NOTA[HARGA SATUAN],ATALI[[#This Row],[//]]-2))</f>
        <v/>
      </c>
      <c r="O393" s="7" t="str">
        <f ca="1">IF(ATALI[[#This Row],[//]]="","",INDEX([2]!NOTA[DISC 1],ATALI[[#This Row],[//]]-2))</f>
        <v/>
      </c>
      <c r="P393" s="7" t="str">
        <f ca="1">IF(ATALI[[#This Row],[//]]="","",INDEX([2]!NOTA[DISC 2],ATALI[[#This Row],[//]]-2))</f>
        <v/>
      </c>
      <c r="Q393" s="5" t="str">
        <f ca="1">IF(ATALI[[#This Row],[//]]="","",INDEX([2]!NOTA[TOTAL],ATALI[[#This Row],[//]]-2))</f>
        <v/>
      </c>
      <c r="R3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3" s="4" t="str">
        <f ca="1">IF(ATALI[[#This Row],[//]]="","",INDEX([2]!NOTA[NAMA BARANG],ATALI[[#This Row],[//]]-2))</f>
        <v/>
      </c>
      <c r="V393" s="4" t="str">
        <f ca="1">LOWER(SUBSTITUTE(SUBSTITUTE(SUBSTITUTE(SUBSTITUTE(SUBSTITUTE(SUBSTITUTE(SUBSTITUTE(ATALI[[#This Row],[N.B.nota]]," ",""),"-",""),"(",""),")",""),".",""),",",""),"/",""))</f>
        <v/>
      </c>
      <c r="W393" s="4" t="str">
        <f ca="1">IF(ATALI[[#This Row],[concat]]="","",MATCH(ATALI[[#This Row],[concat]],[4]!db[NB NOTA_C],0)+1)</f>
        <v/>
      </c>
      <c r="X393" s="4" t="str">
        <f ca="1">IF(ATALI[[#This Row],[N.B.nota]]="","",ADDRESS(ROW(ATALI[QB]),COLUMN(ATALI[QB]))&amp;":"&amp;ADDRESS(ROW(),COLUMN(ATALI[QB])))</f>
        <v/>
      </c>
      <c r="Y393" s="21" t="str">
        <f ca="1">IF(ATALI[[#This Row],[//]]="","",HYPERLINK("[../DB.xlsx]DB!e"&amp;MATCH(ATALI[[#This Row],[concat]],[4]!db[NB NOTA_C],0)+1,"&gt;"))</f>
        <v/>
      </c>
    </row>
    <row r="394" spans="1:25" x14ac:dyDescent="0.25">
      <c r="A394" s="4"/>
      <c r="B394" s="6" t="str">
        <f>IF(ATALI[[#This Row],[N_ID]]="","",INDEX(Table1[ID],MATCH(ATALI[[#This Row],[N_ID]],Table1[N_ID],0)))</f>
        <v/>
      </c>
      <c r="C394" s="6" t="str">
        <f>IF(ATALI[[#This Row],[ID NOTA]]="","",HYPERLINK("[NOTA_.xlsx]NOTA!e"&amp;INDEX([2]!PAJAK[//],MATCH(ATALI[[#This Row],[ID NOTA]],[2]!PAJAK[ID],0)),"&gt;") )</f>
        <v/>
      </c>
      <c r="D394" s="6" t="str">
        <f>IF(ATALI[[#This Row],[ID NOTA]]="","",INDEX(Table1[QB],MATCH(ATALI[[#This Row],[ID NOTA]],Table1[ID],0)))</f>
        <v/>
      </c>
      <c r="E3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4" s="6"/>
      <c r="G394" s="3" t="str">
        <f>IF(ATALI[[#This Row],[ID NOTA]]="","",INDEX([2]!NOTA[TGL_H],MATCH(ATALI[[#This Row],[ID NOTA]],[2]!NOTA[ID],0)))</f>
        <v/>
      </c>
      <c r="H394" s="3" t="str">
        <f>IF(ATALI[[#This Row],[ID NOTA]]="","",INDEX([2]!NOTA[TGL.NOTA],MATCH(ATALI[[#This Row],[ID NOTA]],[2]!NOTA[ID],0)))</f>
        <v/>
      </c>
      <c r="I394" s="4" t="str">
        <f>IF(ATALI[[#This Row],[ID NOTA]]="","",INDEX([2]!NOTA[NO.NOTA],MATCH(ATALI[[#This Row],[ID NOTA]],[2]!NOTA[ID],0)))</f>
        <v/>
      </c>
      <c r="J394" s="4" t="str">
        <f ca="1">IF(ATALI[[#This Row],[//]]="","",INDEX([4]!db[NB PAJAK],ATALI[[#This Row],[stt]]-1))</f>
        <v/>
      </c>
      <c r="K394" s="6" t="str">
        <f ca="1">IF(ATALI[[#This Row],[//]]="","",IF(INDEX([2]!NOTA[C],ATALI[[#This Row],[//]]-2)="","",INDEX([2]!NOTA[C],ATALI[[#This Row],[//]]-2)))</f>
        <v/>
      </c>
      <c r="L394" s="6" t="str">
        <f ca="1">IF(ATALI[[#This Row],[//]]="","",INDEX([2]!NOTA[QTY],ATALI[[#This Row],[//]]-2))</f>
        <v/>
      </c>
      <c r="M394" s="6" t="str">
        <f ca="1">IF(ATALI[[#This Row],[//]]="","",INDEX([2]!NOTA[STN],ATALI[[#This Row],[//]]-2))</f>
        <v/>
      </c>
      <c r="N394" s="5" t="str">
        <f ca="1">IF(ATALI[[#This Row],[//]]="","",INDEX([2]!NOTA[HARGA SATUAN],ATALI[[#This Row],[//]]-2))</f>
        <v/>
      </c>
      <c r="O394" s="7" t="str">
        <f ca="1">IF(ATALI[[#This Row],[//]]="","",INDEX([2]!NOTA[DISC 1],ATALI[[#This Row],[//]]-2))</f>
        <v/>
      </c>
      <c r="P394" s="7" t="str">
        <f ca="1">IF(ATALI[[#This Row],[//]]="","",INDEX([2]!NOTA[DISC 2],ATALI[[#This Row],[//]]-2))</f>
        <v/>
      </c>
      <c r="Q394" s="5" t="str">
        <f ca="1">IF(ATALI[[#This Row],[//]]="","",INDEX([2]!NOTA[TOTAL],ATALI[[#This Row],[//]]-2))</f>
        <v/>
      </c>
      <c r="R3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4" s="4" t="str">
        <f ca="1">IF(ATALI[[#This Row],[//]]="","",INDEX([2]!NOTA[NAMA BARANG],ATALI[[#This Row],[//]]-2))</f>
        <v/>
      </c>
      <c r="V394" s="4" t="str">
        <f ca="1">LOWER(SUBSTITUTE(SUBSTITUTE(SUBSTITUTE(SUBSTITUTE(SUBSTITUTE(SUBSTITUTE(SUBSTITUTE(ATALI[[#This Row],[N.B.nota]]," ",""),"-",""),"(",""),")",""),".",""),",",""),"/",""))</f>
        <v/>
      </c>
      <c r="W394" s="4" t="str">
        <f ca="1">IF(ATALI[[#This Row],[concat]]="","",MATCH(ATALI[[#This Row],[concat]],[4]!db[NB NOTA_C],0)+1)</f>
        <v/>
      </c>
      <c r="X394" s="4" t="str">
        <f ca="1">IF(ATALI[[#This Row],[N.B.nota]]="","",ADDRESS(ROW(ATALI[QB]),COLUMN(ATALI[QB]))&amp;":"&amp;ADDRESS(ROW(),COLUMN(ATALI[QB])))</f>
        <v/>
      </c>
      <c r="Y394" s="21" t="str">
        <f ca="1">IF(ATALI[[#This Row],[//]]="","",HYPERLINK("[../DB.xlsx]DB!e"&amp;MATCH(ATALI[[#This Row],[concat]],[4]!db[NB NOTA_C],0)+1,"&gt;"))</f>
        <v/>
      </c>
    </row>
    <row r="395" spans="1:25" x14ac:dyDescent="0.25">
      <c r="A395" s="4"/>
      <c r="B395" s="6" t="str">
        <f>IF(ATALI[[#This Row],[N_ID]]="","",INDEX(Table1[ID],MATCH(ATALI[[#This Row],[N_ID]],Table1[N_ID],0)))</f>
        <v/>
      </c>
      <c r="C395" s="6" t="str">
        <f>IF(ATALI[[#This Row],[ID NOTA]]="","",HYPERLINK("[NOTA_.xlsx]NOTA!e"&amp;INDEX([2]!PAJAK[//],MATCH(ATALI[[#This Row],[ID NOTA]],[2]!PAJAK[ID],0)),"&gt;") )</f>
        <v/>
      </c>
      <c r="D395" s="6" t="str">
        <f>IF(ATALI[[#This Row],[ID NOTA]]="","",INDEX(Table1[QB],MATCH(ATALI[[#This Row],[ID NOTA]],Table1[ID],0)))</f>
        <v/>
      </c>
      <c r="E3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5" s="6"/>
      <c r="G395" s="3" t="str">
        <f>IF(ATALI[[#This Row],[ID NOTA]]="","",INDEX([2]!NOTA[TGL_H],MATCH(ATALI[[#This Row],[ID NOTA]],[2]!NOTA[ID],0)))</f>
        <v/>
      </c>
      <c r="H395" s="3" t="str">
        <f>IF(ATALI[[#This Row],[ID NOTA]]="","",INDEX([2]!NOTA[TGL.NOTA],MATCH(ATALI[[#This Row],[ID NOTA]],[2]!NOTA[ID],0)))</f>
        <v/>
      </c>
      <c r="I395" s="4" t="str">
        <f>IF(ATALI[[#This Row],[ID NOTA]]="","",INDEX([2]!NOTA[NO.NOTA],MATCH(ATALI[[#This Row],[ID NOTA]],[2]!NOTA[ID],0)))</f>
        <v/>
      </c>
      <c r="J395" s="4" t="str">
        <f ca="1">IF(ATALI[[#This Row],[//]]="","",INDEX([4]!db[NB PAJAK],ATALI[[#This Row],[stt]]-1))</f>
        <v/>
      </c>
      <c r="K395" s="6" t="str">
        <f ca="1">IF(ATALI[[#This Row],[//]]="","",IF(INDEX([2]!NOTA[C],ATALI[[#This Row],[//]]-2)="","",INDEX([2]!NOTA[C],ATALI[[#This Row],[//]]-2)))</f>
        <v/>
      </c>
      <c r="L395" s="6" t="str">
        <f ca="1">IF(ATALI[[#This Row],[//]]="","",INDEX([2]!NOTA[QTY],ATALI[[#This Row],[//]]-2))</f>
        <v/>
      </c>
      <c r="M395" s="6" t="str">
        <f ca="1">IF(ATALI[[#This Row],[//]]="","",INDEX([2]!NOTA[STN],ATALI[[#This Row],[//]]-2))</f>
        <v/>
      </c>
      <c r="N395" s="5" t="str">
        <f ca="1">IF(ATALI[[#This Row],[//]]="","",INDEX([2]!NOTA[HARGA SATUAN],ATALI[[#This Row],[//]]-2))</f>
        <v/>
      </c>
      <c r="O395" s="7" t="str">
        <f ca="1">IF(ATALI[[#This Row],[//]]="","",INDEX([2]!NOTA[DISC 1],ATALI[[#This Row],[//]]-2))</f>
        <v/>
      </c>
      <c r="P395" s="7" t="str">
        <f ca="1">IF(ATALI[[#This Row],[//]]="","",INDEX([2]!NOTA[DISC 2],ATALI[[#This Row],[//]]-2))</f>
        <v/>
      </c>
      <c r="Q395" s="5" t="str">
        <f ca="1">IF(ATALI[[#This Row],[//]]="","",INDEX([2]!NOTA[TOTAL],ATALI[[#This Row],[//]]-2))</f>
        <v/>
      </c>
      <c r="R3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5" s="4" t="str">
        <f ca="1">IF(ATALI[[#This Row],[//]]="","",INDEX([2]!NOTA[NAMA BARANG],ATALI[[#This Row],[//]]-2))</f>
        <v/>
      </c>
      <c r="V395" s="4" t="str">
        <f ca="1">LOWER(SUBSTITUTE(SUBSTITUTE(SUBSTITUTE(SUBSTITUTE(SUBSTITUTE(SUBSTITUTE(SUBSTITUTE(ATALI[[#This Row],[N.B.nota]]," ",""),"-",""),"(",""),")",""),".",""),",",""),"/",""))</f>
        <v/>
      </c>
      <c r="W395" s="4" t="str">
        <f ca="1">IF(ATALI[[#This Row],[concat]]="","",MATCH(ATALI[[#This Row],[concat]],[4]!db[NB NOTA_C],0)+1)</f>
        <v/>
      </c>
      <c r="X395" s="4" t="str">
        <f ca="1">IF(ATALI[[#This Row],[N.B.nota]]="","",ADDRESS(ROW(ATALI[QB]),COLUMN(ATALI[QB]))&amp;":"&amp;ADDRESS(ROW(),COLUMN(ATALI[QB])))</f>
        <v/>
      </c>
      <c r="Y395" s="21" t="str">
        <f ca="1">IF(ATALI[[#This Row],[//]]="","",HYPERLINK("[../DB.xlsx]DB!e"&amp;MATCH(ATALI[[#This Row],[concat]],[4]!db[NB NOTA_C],0)+1,"&gt;"))</f>
        <v/>
      </c>
    </row>
    <row r="396" spans="1:25" x14ac:dyDescent="0.25">
      <c r="A396" s="4"/>
      <c r="B396" s="6" t="str">
        <f>IF(ATALI[[#This Row],[N_ID]]="","",INDEX(Table1[ID],MATCH(ATALI[[#This Row],[N_ID]],Table1[N_ID],0)))</f>
        <v/>
      </c>
      <c r="C396" s="6" t="str">
        <f>IF(ATALI[[#This Row],[ID NOTA]]="","",HYPERLINK("[NOTA_.xlsx]NOTA!e"&amp;INDEX([2]!PAJAK[//],MATCH(ATALI[[#This Row],[ID NOTA]],[2]!PAJAK[ID],0)),"&gt;") )</f>
        <v/>
      </c>
      <c r="D396" s="6" t="str">
        <f>IF(ATALI[[#This Row],[ID NOTA]]="","",INDEX(Table1[QB],MATCH(ATALI[[#This Row],[ID NOTA]],Table1[ID],0)))</f>
        <v/>
      </c>
      <c r="E3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6" s="6"/>
      <c r="G396" s="3" t="str">
        <f>IF(ATALI[[#This Row],[ID NOTA]]="","",INDEX([2]!NOTA[TGL_H],MATCH(ATALI[[#This Row],[ID NOTA]],[2]!NOTA[ID],0)))</f>
        <v/>
      </c>
      <c r="H396" s="3" t="str">
        <f>IF(ATALI[[#This Row],[ID NOTA]]="","",INDEX([2]!NOTA[TGL.NOTA],MATCH(ATALI[[#This Row],[ID NOTA]],[2]!NOTA[ID],0)))</f>
        <v/>
      </c>
      <c r="I396" s="4" t="str">
        <f>IF(ATALI[[#This Row],[ID NOTA]]="","",INDEX([2]!NOTA[NO.NOTA],MATCH(ATALI[[#This Row],[ID NOTA]],[2]!NOTA[ID],0)))</f>
        <v/>
      </c>
      <c r="J396" s="4" t="str">
        <f ca="1">IF(ATALI[[#This Row],[//]]="","",INDEX([4]!db[NB PAJAK],ATALI[[#This Row],[stt]]-1))</f>
        <v/>
      </c>
      <c r="K396" s="6" t="str">
        <f ca="1">IF(ATALI[[#This Row],[//]]="","",IF(INDEX([2]!NOTA[C],ATALI[[#This Row],[//]]-2)="","",INDEX([2]!NOTA[C],ATALI[[#This Row],[//]]-2)))</f>
        <v/>
      </c>
      <c r="L396" s="6" t="str">
        <f ca="1">IF(ATALI[[#This Row],[//]]="","",INDEX([2]!NOTA[QTY],ATALI[[#This Row],[//]]-2))</f>
        <v/>
      </c>
      <c r="M396" s="6" t="str">
        <f ca="1">IF(ATALI[[#This Row],[//]]="","",INDEX([2]!NOTA[STN],ATALI[[#This Row],[//]]-2))</f>
        <v/>
      </c>
      <c r="N396" s="5" t="str">
        <f ca="1">IF(ATALI[[#This Row],[//]]="","",INDEX([2]!NOTA[HARGA SATUAN],ATALI[[#This Row],[//]]-2))</f>
        <v/>
      </c>
      <c r="O396" s="7" t="str">
        <f ca="1">IF(ATALI[[#This Row],[//]]="","",INDEX([2]!NOTA[DISC 1],ATALI[[#This Row],[//]]-2))</f>
        <v/>
      </c>
      <c r="P396" s="7" t="str">
        <f ca="1">IF(ATALI[[#This Row],[//]]="","",INDEX([2]!NOTA[DISC 2],ATALI[[#This Row],[//]]-2))</f>
        <v/>
      </c>
      <c r="Q396" s="5" t="str">
        <f ca="1">IF(ATALI[[#This Row],[//]]="","",INDEX([2]!NOTA[TOTAL],ATALI[[#This Row],[//]]-2))</f>
        <v/>
      </c>
      <c r="R3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6" s="4" t="str">
        <f ca="1">IF(ATALI[[#This Row],[//]]="","",INDEX([2]!NOTA[NAMA BARANG],ATALI[[#This Row],[//]]-2))</f>
        <v/>
      </c>
      <c r="V396" s="4" t="str">
        <f ca="1">LOWER(SUBSTITUTE(SUBSTITUTE(SUBSTITUTE(SUBSTITUTE(SUBSTITUTE(SUBSTITUTE(SUBSTITUTE(ATALI[[#This Row],[N.B.nota]]," ",""),"-",""),"(",""),")",""),".",""),",",""),"/",""))</f>
        <v/>
      </c>
      <c r="W396" s="4" t="str">
        <f ca="1">IF(ATALI[[#This Row],[concat]]="","",MATCH(ATALI[[#This Row],[concat]],[4]!db[NB NOTA_C],0)+1)</f>
        <v/>
      </c>
      <c r="X396" s="4" t="str">
        <f ca="1">IF(ATALI[[#This Row],[N.B.nota]]="","",ADDRESS(ROW(ATALI[QB]),COLUMN(ATALI[QB]))&amp;":"&amp;ADDRESS(ROW(),COLUMN(ATALI[QB])))</f>
        <v/>
      </c>
      <c r="Y396" s="21" t="str">
        <f ca="1">IF(ATALI[[#This Row],[//]]="","",HYPERLINK("[../DB.xlsx]DB!e"&amp;MATCH(ATALI[[#This Row],[concat]],[4]!db[NB NOTA_C],0)+1,"&gt;"))</f>
        <v/>
      </c>
    </row>
    <row r="397" spans="1:25" x14ac:dyDescent="0.25">
      <c r="A397" s="4"/>
      <c r="B397" s="6" t="str">
        <f>IF(ATALI[[#This Row],[N_ID]]="","",INDEX(Table1[ID],MATCH(ATALI[[#This Row],[N_ID]],Table1[N_ID],0)))</f>
        <v/>
      </c>
      <c r="C397" s="6" t="str">
        <f>IF(ATALI[[#This Row],[ID NOTA]]="","",HYPERLINK("[NOTA_.xlsx]NOTA!e"&amp;INDEX([2]!PAJAK[//],MATCH(ATALI[[#This Row],[ID NOTA]],[2]!PAJAK[ID],0)),"&gt;") )</f>
        <v/>
      </c>
      <c r="D397" s="6" t="str">
        <f>IF(ATALI[[#This Row],[ID NOTA]]="","",INDEX(Table1[QB],MATCH(ATALI[[#This Row],[ID NOTA]],Table1[ID],0)))</f>
        <v/>
      </c>
      <c r="E3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7" s="6"/>
      <c r="G397" s="3" t="str">
        <f>IF(ATALI[[#This Row],[ID NOTA]]="","",INDEX([2]!NOTA[TGL_H],MATCH(ATALI[[#This Row],[ID NOTA]],[2]!NOTA[ID],0)))</f>
        <v/>
      </c>
      <c r="H397" s="3" t="str">
        <f>IF(ATALI[[#This Row],[ID NOTA]]="","",INDEX([2]!NOTA[TGL.NOTA],MATCH(ATALI[[#This Row],[ID NOTA]],[2]!NOTA[ID],0)))</f>
        <v/>
      </c>
      <c r="I397" s="4" t="str">
        <f>IF(ATALI[[#This Row],[ID NOTA]]="","",INDEX([2]!NOTA[NO.NOTA],MATCH(ATALI[[#This Row],[ID NOTA]],[2]!NOTA[ID],0)))</f>
        <v/>
      </c>
      <c r="J397" s="4" t="str">
        <f ca="1">IF(ATALI[[#This Row],[//]]="","",INDEX([4]!db[NB PAJAK],ATALI[[#This Row],[stt]]-1))</f>
        <v/>
      </c>
      <c r="K397" s="6" t="str">
        <f ca="1">IF(ATALI[[#This Row],[//]]="","",IF(INDEX([2]!NOTA[C],ATALI[[#This Row],[//]]-2)="","",INDEX([2]!NOTA[C],ATALI[[#This Row],[//]]-2)))</f>
        <v/>
      </c>
      <c r="L397" s="6" t="str">
        <f ca="1">IF(ATALI[[#This Row],[//]]="","",INDEX([2]!NOTA[QTY],ATALI[[#This Row],[//]]-2))</f>
        <v/>
      </c>
      <c r="M397" s="6" t="str">
        <f ca="1">IF(ATALI[[#This Row],[//]]="","",INDEX([2]!NOTA[STN],ATALI[[#This Row],[//]]-2))</f>
        <v/>
      </c>
      <c r="N397" s="5" t="str">
        <f ca="1">IF(ATALI[[#This Row],[//]]="","",INDEX([2]!NOTA[HARGA SATUAN],ATALI[[#This Row],[//]]-2))</f>
        <v/>
      </c>
      <c r="O397" s="7" t="str">
        <f ca="1">IF(ATALI[[#This Row],[//]]="","",INDEX([2]!NOTA[DISC 1],ATALI[[#This Row],[//]]-2))</f>
        <v/>
      </c>
      <c r="P397" s="7" t="str">
        <f ca="1">IF(ATALI[[#This Row],[//]]="","",INDEX([2]!NOTA[DISC 2],ATALI[[#This Row],[//]]-2))</f>
        <v/>
      </c>
      <c r="Q397" s="5" t="str">
        <f ca="1">IF(ATALI[[#This Row],[//]]="","",INDEX([2]!NOTA[TOTAL],ATALI[[#This Row],[//]]-2))</f>
        <v/>
      </c>
      <c r="R3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7" s="4" t="str">
        <f ca="1">IF(ATALI[[#This Row],[//]]="","",INDEX([2]!NOTA[NAMA BARANG],ATALI[[#This Row],[//]]-2))</f>
        <v/>
      </c>
      <c r="V397" s="4" t="str">
        <f ca="1">LOWER(SUBSTITUTE(SUBSTITUTE(SUBSTITUTE(SUBSTITUTE(SUBSTITUTE(SUBSTITUTE(SUBSTITUTE(ATALI[[#This Row],[N.B.nota]]," ",""),"-",""),"(",""),")",""),".",""),",",""),"/",""))</f>
        <v/>
      </c>
      <c r="W397" s="4" t="str">
        <f ca="1">IF(ATALI[[#This Row],[concat]]="","",MATCH(ATALI[[#This Row],[concat]],[4]!db[NB NOTA_C],0)+1)</f>
        <v/>
      </c>
      <c r="X397" s="4" t="str">
        <f ca="1">IF(ATALI[[#This Row],[N.B.nota]]="","",ADDRESS(ROW(ATALI[QB]),COLUMN(ATALI[QB]))&amp;":"&amp;ADDRESS(ROW(),COLUMN(ATALI[QB])))</f>
        <v/>
      </c>
      <c r="Y397" s="21" t="str">
        <f ca="1">IF(ATALI[[#This Row],[//]]="","",HYPERLINK("[../DB.xlsx]DB!e"&amp;MATCH(ATALI[[#This Row],[concat]],[4]!db[NB NOTA_C],0)+1,"&gt;"))</f>
        <v/>
      </c>
    </row>
    <row r="398" spans="1:25" x14ac:dyDescent="0.25">
      <c r="A398" s="4"/>
      <c r="B398" s="6" t="str">
        <f>IF(ATALI[[#This Row],[N_ID]]="","",INDEX(Table1[ID],MATCH(ATALI[[#This Row],[N_ID]],Table1[N_ID],0)))</f>
        <v/>
      </c>
      <c r="C398" s="6" t="str">
        <f>IF(ATALI[[#This Row],[ID NOTA]]="","",HYPERLINK("[NOTA_.xlsx]NOTA!e"&amp;INDEX([2]!PAJAK[//],MATCH(ATALI[[#This Row],[ID NOTA]],[2]!PAJAK[ID],0)),"&gt;") )</f>
        <v/>
      </c>
      <c r="D398" s="6" t="str">
        <f>IF(ATALI[[#This Row],[ID NOTA]]="","",INDEX(Table1[QB],MATCH(ATALI[[#This Row],[ID NOTA]],Table1[ID],0)))</f>
        <v/>
      </c>
      <c r="E3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8" s="6"/>
      <c r="G398" s="3" t="str">
        <f>IF(ATALI[[#This Row],[ID NOTA]]="","",INDEX([2]!NOTA[TGL_H],MATCH(ATALI[[#This Row],[ID NOTA]],[2]!NOTA[ID],0)))</f>
        <v/>
      </c>
      <c r="H398" s="3" t="str">
        <f>IF(ATALI[[#This Row],[ID NOTA]]="","",INDEX([2]!NOTA[TGL.NOTA],MATCH(ATALI[[#This Row],[ID NOTA]],[2]!NOTA[ID],0)))</f>
        <v/>
      </c>
      <c r="I398" s="4" t="str">
        <f>IF(ATALI[[#This Row],[ID NOTA]]="","",INDEX([2]!NOTA[NO.NOTA],MATCH(ATALI[[#This Row],[ID NOTA]],[2]!NOTA[ID],0)))</f>
        <v/>
      </c>
      <c r="J398" s="4" t="str">
        <f ca="1">IF(ATALI[[#This Row],[//]]="","",INDEX([4]!db[NB PAJAK],ATALI[[#This Row],[stt]]-1))</f>
        <v/>
      </c>
      <c r="K398" s="6" t="str">
        <f ca="1">IF(ATALI[[#This Row],[//]]="","",IF(INDEX([2]!NOTA[C],ATALI[[#This Row],[//]]-2)="","",INDEX([2]!NOTA[C],ATALI[[#This Row],[//]]-2)))</f>
        <v/>
      </c>
      <c r="L398" s="6" t="str">
        <f ca="1">IF(ATALI[[#This Row],[//]]="","",INDEX([2]!NOTA[QTY],ATALI[[#This Row],[//]]-2))</f>
        <v/>
      </c>
      <c r="M398" s="6" t="str">
        <f ca="1">IF(ATALI[[#This Row],[//]]="","",INDEX([2]!NOTA[STN],ATALI[[#This Row],[//]]-2))</f>
        <v/>
      </c>
      <c r="N398" s="5" t="str">
        <f ca="1">IF(ATALI[[#This Row],[//]]="","",INDEX([2]!NOTA[HARGA SATUAN],ATALI[[#This Row],[//]]-2))</f>
        <v/>
      </c>
      <c r="O398" s="7" t="str">
        <f ca="1">IF(ATALI[[#This Row],[//]]="","",INDEX([2]!NOTA[DISC 1],ATALI[[#This Row],[//]]-2))</f>
        <v/>
      </c>
      <c r="P398" s="7" t="str">
        <f ca="1">IF(ATALI[[#This Row],[//]]="","",INDEX([2]!NOTA[DISC 2],ATALI[[#This Row],[//]]-2))</f>
        <v/>
      </c>
      <c r="Q398" s="5" t="str">
        <f ca="1">IF(ATALI[[#This Row],[//]]="","",INDEX([2]!NOTA[TOTAL],ATALI[[#This Row],[//]]-2))</f>
        <v/>
      </c>
      <c r="R3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8" s="4" t="str">
        <f ca="1">IF(ATALI[[#This Row],[//]]="","",INDEX([2]!NOTA[NAMA BARANG],ATALI[[#This Row],[//]]-2))</f>
        <v/>
      </c>
      <c r="V398" s="4" t="str">
        <f ca="1">LOWER(SUBSTITUTE(SUBSTITUTE(SUBSTITUTE(SUBSTITUTE(SUBSTITUTE(SUBSTITUTE(SUBSTITUTE(ATALI[[#This Row],[N.B.nota]]," ",""),"-",""),"(",""),")",""),".",""),",",""),"/",""))</f>
        <v/>
      </c>
      <c r="W398" s="4" t="str">
        <f ca="1">IF(ATALI[[#This Row],[concat]]="","",MATCH(ATALI[[#This Row],[concat]],[4]!db[NB NOTA_C],0)+1)</f>
        <v/>
      </c>
      <c r="X398" s="4" t="str">
        <f ca="1">IF(ATALI[[#This Row],[N.B.nota]]="","",ADDRESS(ROW(ATALI[QB]),COLUMN(ATALI[QB]))&amp;":"&amp;ADDRESS(ROW(),COLUMN(ATALI[QB])))</f>
        <v/>
      </c>
      <c r="Y398" s="21" t="str">
        <f ca="1">IF(ATALI[[#This Row],[//]]="","",HYPERLINK("[../DB.xlsx]DB!e"&amp;MATCH(ATALI[[#This Row],[concat]],[4]!db[NB NOTA_C],0)+1,"&gt;"))</f>
        <v/>
      </c>
    </row>
    <row r="399" spans="1:25" x14ac:dyDescent="0.25">
      <c r="A399" s="4"/>
      <c r="B399" s="6" t="str">
        <f>IF(ATALI[[#This Row],[N_ID]]="","",INDEX(Table1[ID],MATCH(ATALI[[#This Row],[N_ID]],Table1[N_ID],0)))</f>
        <v/>
      </c>
      <c r="C399" s="6" t="str">
        <f>IF(ATALI[[#This Row],[ID NOTA]]="","",HYPERLINK("[NOTA_.xlsx]NOTA!e"&amp;INDEX([2]!PAJAK[//],MATCH(ATALI[[#This Row],[ID NOTA]],[2]!PAJAK[ID],0)),"&gt;") )</f>
        <v/>
      </c>
      <c r="D399" s="6" t="str">
        <f>IF(ATALI[[#This Row],[ID NOTA]]="","",INDEX(Table1[QB],MATCH(ATALI[[#This Row],[ID NOTA]],Table1[ID],0)))</f>
        <v/>
      </c>
      <c r="E3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9" s="6"/>
      <c r="G399" s="3" t="str">
        <f>IF(ATALI[[#This Row],[ID NOTA]]="","",INDEX([2]!NOTA[TGL_H],MATCH(ATALI[[#This Row],[ID NOTA]],[2]!NOTA[ID],0)))</f>
        <v/>
      </c>
      <c r="H399" s="3" t="str">
        <f>IF(ATALI[[#This Row],[ID NOTA]]="","",INDEX([2]!NOTA[TGL.NOTA],MATCH(ATALI[[#This Row],[ID NOTA]],[2]!NOTA[ID],0)))</f>
        <v/>
      </c>
      <c r="I399" s="4" t="str">
        <f>IF(ATALI[[#This Row],[ID NOTA]]="","",INDEX([2]!NOTA[NO.NOTA],MATCH(ATALI[[#This Row],[ID NOTA]],[2]!NOTA[ID],0)))</f>
        <v/>
      </c>
      <c r="J399" s="4" t="str">
        <f ca="1">IF(ATALI[[#This Row],[//]]="","",INDEX([4]!db[NB PAJAK],ATALI[[#This Row],[stt]]-1))</f>
        <v/>
      </c>
      <c r="K399" s="6" t="str">
        <f ca="1">IF(ATALI[[#This Row],[//]]="","",IF(INDEX([2]!NOTA[C],ATALI[[#This Row],[//]]-2)="","",INDEX([2]!NOTA[C],ATALI[[#This Row],[//]]-2)))</f>
        <v/>
      </c>
      <c r="L399" s="6" t="str">
        <f ca="1">IF(ATALI[[#This Row],[//]]="","",INDEX([2]!NOTA[QTY],ATALI[[#This Row],[//]]-2))</f>
        <v/>
      </c>
      <c r="M399" s="6" t="str">
        <f ca="1">IF(ATALI[[#This Row],[//]]="","",INDEX([2]!NOTA[STN],ATALI[[#This Row],[//]]-2))</f>
        <v/>
      </c>
      <c r="N399" s="5" t="str">
        <f ca="1">IF(ATALI[[#This Row],[//]]="","",INDEX([2]!NOTA[HARGA SATUAN],ATALI[[#This Row],[//]]-2))</f>
        <v/>
      </c>
      <c r="O399" s="7" t="str">
        <f ca="1">IF(ATALI[[#This Row],[//]]="","",INDEX([2]!NOTA[DISC 1],ATALI[[#This Row],[//]]-2))</f>
        <v/>
      </c>
      <c r="P399" s="7" t="str">
        <f ca="1">IF(ATALI[[#This Row],[//]]="","",INDEX([2]!NOTA[DISC 2],ATALI[[#This Row],[//]]-2))</f>
        <v/>
      </c>
      <c r="Q399" s="5" t="str">
        <f ca="1">IF(ATALI[[#This Row],[//]]="","",INDEX([2]!NOTA[TOTAL],ATALI[[#This Row],[//]]-2))</f>
        <v/>
      </c>
      <c r="R3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9" s="4" t="str">
        <f ca="1">IF(ATALI[[#This Row],[//]]="","",INDEX([2]!NOTA[NAMA BARANG],ATALI[[#This Row],[//]]-2))</f>
        <v/>
      </c>
      <c r="V399" s="4" t="str">
        <f ca="1">LOWER(SUBSTITUTE(SUBSTITUTE(SUBSTITUTE(SUBSTITUTE(SUBSTITUTE(SUBSTITUTE(SUBSTITUTE(ATALI[[#This Row],[N.B.nota]]," ",""),"-",""),"(",""),")",""),".",""),",",""),"/",""))</f>
        <v/>
      </c>
      <c r="W399" s="4" t="str">
        <f ca="1">IF(ATALI[[#This Row],[concat]]="","",MATCH(ATALI[[#This Row],[concat]],[4]!db[NB NOTA_C],0)+1)</f>
        <v/>
      </c>
      <c r="X399" s="4" t="str">
        <f ca="1">IF(ATALI[[#This Row],[N.B.nota]]="","",ADDRESS(ROW(ATALI[QB]),COLUMN(ATALI[QB]))&amp;":"&amp;ADDRESS(ROW(),COLUMN(ATALI[QB])))</f>
        <v/>
      </c>
      <c r="Y399" s="21" t="str">
        <f ca="1">IF(ATALI[[#This Row],[//]]="","",HYPERLINK("[../DB.xlsx]DB!e"&amp;MATCH(ATALI[[#This Row],[concat]],[4]!db[NB NOTA_C],0)+1,"&gt;"))</f>
        <v/>
      </c>
    </row>
    <row r="400" spans="1:25" x14ac:dyDescent="0.25">
      <c r="A400" s="4"/>
      <c r="B400" s="6" t="str">
        <f>IF(ATALI[[#This Row],[N_ID]]="","",INDEX(Table1[ID],MATCH(ATALI[[#This Row],[N_ID]],Table1[N_ID],0)))</f>
        <v/>
      </c>
      <c r="C400" s="6" t="str">
        <f>IF(ATALI[[#This Row],[ID NOTA]]="","",HYPERLINK("[NOTA_.xlsx]NOTA!e"&amp;INDEX([2]!PAJAK[//],MATCH(ATALI[[#This Row],[ID NOTA]],[2]!PAJAK[ID],0)),"&gt;") )</f>
        <v/>
      </c>
      <c r="D400" s="6" t="str">
        <f>IF(ATALI[[#This Row],[ID NOTA]]="","",INDEX(Table1[QB],MATCH(ATALI[[#This Row],[ID NOTA]],Table1[ID],0)))</f>
        <v/>
      </c>
      <c r="E4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0" s="6"/>
      <c r="G400" s="3" t="str">
        <f>IF(ATALI[[#This Row],[ID NOTA]]="","",INDEX([2]!NOTA[TGL_H],MATCH(ATALI[[#This Row],[ID NOTA]],[2]!NOTA[ID],0)))</f>
        <v/>
      </c>
      <c r="H400" s="3" t="str">
        <f>IF(ATALI[[#This Row],[ID NOTA]]="","",INDEX([2]!NOTA[TGL.NOTA],MATCH(ATALI[[#This Row],[ID NOTA]],[2]!NOTA[ID],0)))</f>
        <v/>
      </c>
      <c r="I400" s="4" t="str">
        <f>IF(ATALI[[#This Row],[ID NOTA]]="","",INDEX([2]!NOTA[NO.NOTA],MATCH(ATALI[[#This Row],[ID NOTA]],[2]!NOTA[ID],0)))</f>
        <v/>
      </c>
      <c r="J400" s="4" t="str">
        <f ca="1">IF(ATALI[[#This Row],[//]]="","",INDEX([4]!db[NB PAJAK],ATALI[[#This Row],[stt]]-1))</f>
        <v/>
      </c>
      <c r="K400" s="6" t="str">
        <f ca="1">IF(ATALI[[#This Row],[//]]="","",IF(INDEX([2]!NOTA[C],ATALI[[#This Row],[//]]-2)="","",INDEX([2]!NOTA[C],ATALI[[#This Row],[//]]-2)))</f>
        <v/>
      </c>
      <c r="L400" s="6" t="str">
        <f ca="1">IF(ATALI[[#This Row],[//]]="","",INDEX([2]!NOTA[QTY],ATALI[[#This Row],[//]]-2))</f>
        <v/>
      </c>
      <c r="M400" s="6" t="str">
        <f ca="1">IF(ATALI[[#This Row],[//]]="","",INDEX([2]!NOTA[STN],ATALI[[#This Row],[//]]-2))</f>
        <v/>
      </c>
      <c r="N400" s="5" t="str">
        <f ca="1">IF(ATALI[[#This Row],[//]]="","",INDEX([2]!NOTA[HARGA SATUAN],ATALI[[#This Row],[//]]-2))</f>
        <v/>
      </c>
      <c r="O400" s="7" t="str">
        <f ca="1">IF(ATALI[[#This Row],[//]]="","",INDEX([2]!NOTA[DISC 1],ATALI[[#This Row],[//]]-2))</f>
        <v/>
      </c>
      <c r="P400" s="7" t="str">
        <f ca="1">IF(ATALI[[#This Row],[//]]="","",INDEX([2]!NOTA[DISC 2],ATALI[[#This Row],[//]]-2))</f>
        <v/>
      </c>
      <c r="Q400" s="5" t="str">
        <f ca="1">IF(ATALI[[#This Row],[//]]="","",INDEX([2]!NOTA[TOTAL],ATALI[[#This Row],[//]]-2))</f>
        <v/>
      </c>
      <c r="R4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0" s="4" t="str">
        <f ca="1">IF(ATALI[[#This Row],[//]]="","",INDEX([2]!NOTA[NAMA BARANG],ATALI[[#This Row],[//]]-2))</f>
        <v/>
      </c>
      <c r="V400" s="4" t="str">
        <f ca="1">LOWER(SUBSTITUTE(SUBSTITUTE(SUBSTITUTE(SUBSTITUTE(SUBSTITUTE(SUBSTITUTE(SUBSTITUTE(ATALI[[#This Row],[N.B.nota]]," ",""),"-",""),"(",""),")",""),".",""),",",""),"/",""))</f>
        <v/>
      </c>
      <c r="W400" s="4" t="str">
        <f ca="1">IF(ATALI[[#This Row],[concat]]="","",MATCH(ATALI[[#This Row],[concat]],[4]!db[NB NOTA_C],0)+1)</f>
        <v/>
      </c>
      <c r="X400" s="4" t="str">
        <f ca="1">IF(ATALI[[#This Row],[N.B.nota]]="","",ADDRESS(ROW(ATALI[QB]),COLUMN(ATALI[QB]))&amp;":"&amp;ADDRESS(ROW(),COLUMN(ATALI[QB])))</f>
        <v/>
      </c>
      <c r="Y400" s="21" t="str">
        <f ca="1">IF(ATALI[[#This Row],[//]]="","",HYPERLINK("[../DB.xlsx]DB!e"&amp;MATCH(ATALI[[#This Row],[concat]],[4]!db[NB NOTA_C],0)+1,"&gt;"))</f>
        <v/>
      </c>
    </row>
    <row r="401" spans="1:25" x14ac:dyDescent="0.25">
      <c r="A401" s="4"/>
      <c r="B401" s="6" t="str">
        <f>IF(ATALI[[#This Row],[N_ID]]="","",INDEX(Table1[ID],MATCH(ATALI[[#This Row],[N_ID]],Table1[N_ID],0)))</f>
        <v/>
      </c>
      <c r="C401" s="6" t="str">
        <f>IF(ATALI[[#This Row],[ID NOTA]]="","",HYPERLINK("[NOTA_.xlsx]NOTA!e"&amp;INDEX([2]!PAJAK[//],MATCH(ATALI[[#This Row],[ID NOTA]],[2]!PAJAK[ID],0)),"&gt;") )</f>
        <v/>
      </c>
      <c r="D401" s="6" t="str">
        <f>IF(ATALI[[#This Row],[ID NOTA]]="","",INDEX(Table1[QB],MATCH(ATALI[[#This Row],[ID NOTA]],Table1[ID],0)))</f>
        <v/>
      </c>
      <c r="E4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1" s="6"/>
      <c r="G401" s="3" t="str">
        <f>IF(ATALI[[#This Row],[ID NOTA]]="","",INDEX([2]!NOTA[TGL_H],MATCH(ATALI[[#This Row],[ID NOTA]],[2]!NOTA[ID],0)))</f>
        <v/>
      </c>
      <c r="H401" s="3" t="str">
        <f>IF(ATALI[[#This Row],[ID NOTA]]="","",INDEX([2]!NOTA[TGL.NOTA],MATCH(ATALI[[#This Row],[ID NOTA]],[2]!NOTA[ID],0)))</f>
        <v/>
      </c>
      <c r="I401" s="4" t="str">
        <f>IF(ATALI[[#This Row],[ID NOTA]]="","",INDEX([2]!NOTA[NO.NOTA],MATCH(ATALI[[#This Row],[ID NOTA]],[2]!NOTA[ID],0)))</f>
        <v/>
      </c>
      <c r="J401" s="4" t="str">
        <f ca="1">IF(ATALI[[#This Row],[//]]="","",INDEX([4]!db[NB PAJAK],ATALI[[#This Row],[stt]]-1))</f>
        <v/>
      </c>
      <c r="K401" s="6" t="str">
        <f ca="1">IF(ATALI[[#This Row],[//]]="","",IF(INDEX([2]!NOTA[C],ATALI[[#This Row],[//]]-2)="","",INDEX([2]!NOTA[C],ATALI[[#This Row],[//]]-2)))</f>
        <v/>
      </c>
      <c r="L401" s="6" t="str">
        <f ca="1">IF(ATALI[[#This Row],[//]]="","",INDEX([2]!NOTA[QTY],ATALI[[#This Row],[//]]-2))</f>
        <v/>
      </c>
      <c r="M401" s="6" t="str">
        <f ca="1">IF(ATALI[[#This Row],[//]]="","",INDEX([2]!NOTA[STN],ATALI[[#This Row],[//]]-2))</f>
        <v/>
      </c>
      <c r="N401" s="5" t="str">
        <f ca="1">IF(ATALI[[#This Row],[//]]="","",INDEX([2]!NOTA[HARGA SATUAN],ATALI[[#This Row],[//]]-2))</f>
        <v/>
      </c>
      <c r="O401" s="7" t="str">
        <f ca="1">IF(ATALI[[#This Row],[//]]="","",INDEX([2]!NOTA[DISC 1],ATALI[[#This Row],[//]]-2))</f>
        <v/>
      </c>
      <c r="P401" s="7" t="str">
        <f ca="1">IF(ATALI[[#This Row],[//]]="","",INDEX([2]!NOTA[DISC 2],ATALI[[#This Row],[//]]-2))</f>
        <v/>
      </c>
      <c r="Q401" s="5" t="str">
        <f ca="1">IF(ATALI[[#This Row],[//]]="","",INDEX([2]!NOTA[TOTAL],ATALI[[#This Row],[//]]-2))</f>
        <v/>
      </c>
      <c r="R4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1" s="4" t="str">
        <f ca="1">IF(ATALI[[#This Row],[//]]="","",INDEX([2]!NOTA[NAMA BARANG],ATALI[[#This Row],[//]]-2))</f>
        <v/>
      </c>
      <c r="V401" s="4" t="str">
        <f ca="1">LOWER(SUBSTITUTE(SUBSTITUTE(SUBSTITUTE(SUBSTITUTE(SUBSTITUTE(SUBSTITUTE(SUBSTITUTE(ATALI[[#This Row],[N.B.nota]]," ",""),"-",""),"(",""),")",""),".",""),",",""),"/",""))</f>
        <v/>
      </c>
      <c r="W401" s="4" t="str">
        <f ca="1">IF(ATALI[[#This Row],[concat]]="","",MATCH(ATALI[[#This Row],[concat]],[4]!db[NB NOTA_C],0)+1)</f>
        <v/>
      </c>
      <c r="X401" s="4" t="str">
        <f ca="1">IF(ATALI[[#This Row],[N.B.nota]]="","",ADDRESS(ROW(ATALI[QB]),COLUMN(ATALI[QB]))&amp;":"&amp;ADDRESS(ROW(),COLUMN(ATALI[QB])))</f>
        <v/>
      </c>
      <c r="Y401" s="21" t="str">
        <f ca="1">IF(ATALI[[#This Row],[//]]="","",HYPERLINK("[../DB.xlsx]DB!e"&amp;MATCH(ATALI[[#This Row],[concat]],[4]!db[NB NOTA_C],0)+1,"&gt;"))</f>
        <v/>
      </c>
    </row>
    <row r="402" spans="1:25" x14ac:dyDescent="0.25">
      <c r="A402" s="4"/>
      <c r="B402" s="6" t="str">
        <f>IF(ATALI[[#This Row],[N_ID]]="","",INDEX(Table1[ID],MATCH(ATALI[[#This Row],[N_ID]],Table1[N_ID],0)))</f>
        <v/>
      </c>
      <c r="C402" s="6" t="str">
        <f>IF(ATALI[[#This Row],[ID NOTA]]="","",HYPERLINK("[NOTA_.xlsx]NOTA!e"&amp;INDEX([2]!PAJAK[//],MATCH(ATALI[[#This Row],[ID NOTA]],[2]!PAJAK[ID],0)),"&gt;") )</f>
        <v/>
      </c>
      <c r="D402" s="6" t="str">
        <f>IF(ATALI[[#This Row],[ID NOTA]]="","",INDEX(Table1[QB],MATCH(ATALI[[#This Row],[ID NOTA]],Table1[ID],0)))</f>
        <v/>
      </c>
      <c r="E4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2" s="6"/>
      <c r="G402" s="3" t="str">
        <f>IF(ATALI[[#This Row],[ID NOTA]]="","",INDEX([2]!NOTA[TGL_H],MATCH(ATALI[[#This Row],[ID NOTA]],[2]!NOTA[ID],0)))</f>
        <v/>
      </c>
      <c r="H402" s="3" t="str">
        <f>IF(ATALI[[#This Row],[ID NOTA]]="","",INDEX([2]!NOTA[TGL.NOTA],MATCH(ATALI[[#This Row],[ID NOTA]],[2]!NOTA[ID],0)))</f>
        <v/>
      </c>
      <c r="I402" s="4" t="str">
        <f>IF(ATALI[[#This Row],[ID NOTA]]="","",INDEX([2]!NOTA[NO.NOTA],MATCH(ATALI[[#This Row],[ID NOTA]],[2]!NOTA[ID],0)))</f>
        <v/>
      </c>
      <c r="J402" s="4" t="str">
        <f ca="1">IF(ATALI[[#This Row],[//]]="","",INDEX([4]!db[NB PAJAK],ATALI[[#This Row],[stt]]-1))</f>
        <v/>
      </c>
      <c r="K402" s="6" t="str">
        <f ca="1">IF(ATALI[[#This Row],[//]]="","",IF(INDEX([2]!NOTA[C],ATALI[[#This Row],[//]]-2)="","",INDEX([2]!NOTA[C],ATALI[[#This Row],[//]]-2)))</f>
        <v/>
      </c>
      <c r="L402" s="6" t="str">
        <f ca="1">IF(ATALI[[#This Row],[//]]="","",INDEX([2]!NOTA[QTY],ATALI[[#This Row],[//]]-2))</f>
        <v/>
      </c>
      <c r="M402" s="6" t="str">
        <f ca="1">IF(ATALI[[#This Row],[//]]="","",INDEX([2]!NOTA[STN],ATALI[[#This Row],[//]]-2))</f>
        <v/>
      </c>
      <c r="N402" s="5" t="str">
        <f ca="1">IF(ATALI[[#This Row],[//]]="","",INDEX([2]!NOTA[HARGA SATUAN],ATALI[[#This Row],[//]]-2))</f>
        <v/>
      </c>
      <c r="O402" s="7" t="str">
        <f ca="1">IF(ATALI[[#This Row],[//]]="","",INDEX([2]!NOTA[DISC 1],ATALI[[#This Row],[//]]-2))</f>
        <v/>
      </c>
      <c r="P402" s="7" t="str">
        <f ca="1">IF(ATALI[[#This Row],[//]]="","",INDEX([2]!NOTA[DISC 2],ATALI[[#This Row],[//]]-2))</f>
        <v/>
      </c>
      <c r="Q402" s="5" t="str">
        <f ca="1">IF(ATALI[[#This Row],[//]]="","",INDEX([2]!NOTA[TOTAL],ATALI[[#This Row],[//]]-2))</f>
        <v/>
      </c>
      <c r="R4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2" s="4" t="str">
        <f ca="1">IF(ATALI[[#This Row],[//]]="","",INDEX([2]!NOTA[NAMA BARANG],ATALI[[#This Row],[//]]-2))</f>
        <v/>
      </c>
      <c r="V402" s="4" t="str">
        <f ca="1">LOWER(SUBSTITUTE(SUBSTITUTE(SUBSTITUTE(SUBSTITUTE(SUBSTITUTE(SUBSTITUTE(SUBSTITUTE(ATALI[[#This Row],[N.B.nota]]," ",""),"-",""),"(",""),")",""),".",""),",",""),"/",""))</f>
        <v/>
      </c>
      <c r="W402" s="4" t="str">
        <f ca="1">IF(ATALI[[#This Row],[concat]]="","",MATCH(ATALI[[#This Row],[concat]],[4]!db[NB NOTA_C],0)+1)</f>
        <v/>
      </c>
      <c r="X402" s="4" t="str">
        <f ca="1">IF(ATALI[[#This Row],[N.B.nota]]="","",ADDRESS(ROW(ATALI[QB]),COLUMN(ATALI[QB]))&amp;":"&amp;ADDRESS(ROW(),COLUMN(ATALI[QB])))</f>
        <v/>
      </c>
      <c r="Y402" s="21" t="str">
        <f ca="1">IF(ATALI[[#This Row],[//]]="","",HYPERLINK("[../DB.xlsx]DB!e"&amp;MATCH(ATALI[[#This Row],[concat]],[4]!db[NB NOTA_C],0)+1,"&gt;"))</f>
        <v/>
      </c>
    </row>
    <row r="403" spans="1:25" x14ac:dyDescent="0.25">
      <c r="A403" s="4"/>
      <c r="B403" s="6" t="str">
        <f>IF(ATALI[[#This Row],[N_ID]]="","",INDEX(Table1[ID],MATCH(ATALI[[#This Row],[N_ID]],Table1[N_ID],0)))</f>
        <v/>
      </c>
      <c r="C403" s="6" t="str">
        <f>IF(ATALI[[#This Row],[ID NOTA]]="","",HYPERLINK("[NOTA_.xlsx]NOTA!e"&amp;INDEX([2]!PAJAK[//],MATCH(ATALI[[#This Row],[ID NOTA]],[2]!PAJAK[ID],0)),"&gt;") )</f>
        <v/>
      </c>
      <c r="D403" s="6" t="str">
        <f>IF(ATALI[[#This Row],[ID NOTA]]="","",INDEX(Table1[QB],MATCH(ATALI[[#This Row],[ID NOTA]],Table1[ID],0)))</f>
        <v/>
      </c>
      <c r="E4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3" s="6"/>
      <c r="G403" s="3" t="str">
        <f>IF(ATALI[[#This Row],[ID NOTA]]="","",INDEX([2]!NOTA[TGL_H],MATCH(ATALI[[#This Row],[ID NOTA]],[2]!NOTA[ID],0)))</f>
        <v/>
      </c>
      <c r="H403" s="3" t="str">
        <f>IF(ATALI[[#This Row],[ID NOTA]]="","",INDEX([2]!NOTA[TGL.NOTA],MATCH(ATALI[[#This Row],[ID NOTA]],[2]!NOTA[ID],0)))</f>
        <v/>
      </c>
      <c r="I403" s="4" t="str">
        <f>IF(ATALI[[#This Row],[ID NOTA]]="","",INDEX([2]!NOTA[NO.NOTA],MATCH(ATALI[[#This Row],[ID NOTA]],[2]!NOTA[ID],0)))</f>
        <v/>
      </c>
      <c r="J403" s="4" t="str">
        <f ca="1">IF(ATALI[[#This Row],[//]]="","",INDEX([4]!db[NB PAJAK],ATALI[[#This Row],[stt]]-1))</f>
        <v/>
      </c>
      <c r="K403" s="6" t="str">
        <f ca="1">IF(ATALI[[#This Row],[//]]="","",IF(INDEX([2]!NOTA[C],ATALI[[#This Row],[//]]-2)="","",INDEX([2]!NOTA[C],ATALI[[#This Row],[//]]-2)))</f>
        <v/>
      </c>
      <c r="L403" s="6" t="str">
        <f ca="1">IF(ATALI[[#This Row],[//]]="","",INDEX([2]!NOTA[QTY],ATALI[[#This Row],[//]]-2))</f>
        <v/>
      </c>
      <c r="M403" s="6" t="str">
        <f ca="1">IF(ATALI[[#This Row],[//]]="","",INDEX([2]!NOTA[STN],ATALI[[#This Row],[//]]-2))</f>
        <v/>
      </c>
      <c r="N403" s="5" t="str">
        <f ca="1">IF(ATALI[[#This Row],[//]]="","",INDEX([2]!NOTA[HARGA SATUAN],ATALI[[#This Row],[//]]-2))</f>
        <v/>
      </c>
      <c r="O403" s="7" t="str">
        <f ca="1">IF(ATALI[[#This Row],[//]]="","",INDEX([2]!NOTA[DISC 1],ATALI[[#This Row],[//]]-2))</f>
        <v/>
      </c>
      <c r="P403" s="7" t="str">
        <f ca="1">IF(ATALI[[#This Row],[//]]="","",INDEX([2]!NOTA[DISC 2],ATALI[[#This Row],[//]]-2))</f>
        <v/>
      </c>
      <c r="Q403" s="5" t="str">
        <f ca="1">IF(ATALI[[#This Row],[//]]="","",INDEX([2]!NOTA[TOTAL],ATALI[[#This Row],[//]]-2))</f>
        <v/>
      </c>
      <c r="R4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3" s="4" t="str">
        <f ca="1">IF(ATALI[[#This Row],[//]]="","",INDEX([2]!NOTA[NAMA BARANG],ATALI[[#This Row],[//]]-2))</f>
        <v/>
      </c>
      <c r="V403" s="4" t="str">
        <f ca="1">LOWER(SUBSTITUTE(SUBSTITUTE(SUBSTITUTE(SUBSTITUTE(SUBSTITUTE(SUBSTITUTE(SUBSTITUTE(ATALI[[#This Row],[N.B.nota]]," ",""),"-",""),"(",""),")",""),".",""),",",""),"/",""))</f>
        <v/>
      </c>
      <c r="W403" s="4" t="str">
        <f ca="1">IF(ATALI[[#This Row],[concat]]="","",MATCH(ATALI[[#This Row],[concat]],[4]!db[NB NOTA_C],0)+1)</f>
        <v/>
      </c>
      <c r="X403" s="4" t="str">
        <f ca="1">IF(ATALI[[#This Row],[N.B.nota]]="","",ADDRESS(ROW(ATALI[QB]),COLUMN(ATALI[QB]))&amp;":"&amp;ADDRESS(ROW(),COLUMN(ATALI[QB])))</f>
        <v/>
      </c>
      <c r="Y403" s="21" t="str">
        <f ca="1">IF(ATALI[[#This Row],[//]]="","",HYPERLINK("[../DB.xlsx]DB!e"&amp;MATCH(ATALI[[#This Row],[concat]],[4]!db[NB NOTA_C],0)+1,"&gt;"))</f>
        <v/>
      </c>
    </row>
    <row r="404" spans="1:25" x14ac:dyDescent="0.25">
      <c r="A404" s="4"/>
      <c r="B404" s="6" t="str">
        <f>IF(ATALI[[#This Row],[N_ID]]="","",INDEX(Table1[ID],MATCH(ATALI[[#This Row],[N_ID]],Table1[N_ID],0)))</f>
        <v/>
      </c>
      <c r="C404" s="6" t="str">
        <f>IF(ATALI[[#This Row],[ID NOTA]]="","",HYPERLINK("[NOTA_.xlsx]NOTA!e"&amp;INDEX([2]!PAJAK[//],MATCH(ATALI[[#This Row],[ID NOTA]],[2]!PAJAK[ID],0)),"&gt;") )</f>
        <v/>
      </c>
      <c r="D404" s="6" t="str">
        <f>IF(ATALI[[#This Row],[ID NOTA]]="","",INDEX(Table1[QB],MATCH(ATALI[[#This Row],[ID NOTA]],Table1[ID],0)))</f>
        <v/>
      </c>
      <c r="E4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4" s="6"/>
      <c r="G404" s="3" t="str">
        <f>IF(ATALI[[#This Row],[ID NOTA]]="","",INDEX([2]!NOTA[TGL_H],MATCH(ATALI[[#This Row],[ID NOTA]],[2]!NOTA[ID],0)))</f>
        <v/>
      </c>
      <c r="H404" s="3" t="str">
        <f>IF(ATALI[[#This Row],[ID NOTA]]="","",INDEX([2]!NOTA[TGL.NOTA],MATCH(ATALI[[#This Row],[ID NOTA]],[2]!NOTA[ID],0)))</f>
        <v/>
      </c>
      <c r="I404" s="4" t="str">
        <f>IF(ATALI[[#This Row],[ID NOTA]]="","",INDEX([2]!NOTA[NO.NOTA],MATCH(ATALI[[#This Row],[ID NOTA]],[2]!NOTA[ID],0)))</f>
        <v/>
      </c>
      <c r="J404" s="4" t="str">
        <f ca="1">IF(ATALI[[#This Row],[//]]="","",INDEX([4]!db[NB PAJAK],ATALI[[#This Row],[stt]]-1))</f>
        <v/>
      </c>
      <c r="K404" s="6" t="str">
        <f ca="1">IF(ATALI[[#This Row],[//]]="","",IF(INDEX([2]!NOTA[C],ATALI[[#This Row],[//]]-2)="","",INDEX([2]!NOTA[C],ATALI[[#This Row],[//]]-2)))</f>
        <v/>
      </c>
      <c r="L404" s="6" t="str">
        <f ca="1">IF(ATALI[[#This Row],[//]]="","",INDEX([2]!NOTA[QTY],ATALI[[#This Row],[//]]-2))</f>
        <v/>
      </c>
      <c r="M404" s="6" t="str">
        <f ca="1">IF(ATALI[[#This Row],[//]]="","",INDEX([2]!NOTA[STN],ATALI[[#This Row],[//]]-2))</f>
        <v/>
      </c>
      <c r="N404" s="5" t="str">
        <f ca="1">IF(ATALI[[#This Row],[//]]="","",INDEX([2]!NOTA[HARGA SATUAN],ATALI[[#This Row],[//]]-2))</f>
        <v/>
      </c>
      <c r="O404" s="7" t="str">
        <f ca="1">IF(ATALI[[#This Row],[//]]="","",INDEX([2]!NOTA[DISC 1],ATALI[[#This Row],[//]]-2))</f>
        <v/>
      </c>
      <c r="P404" s="7" t="str">
        <f ca="1">IF(ATALI[[#This Row],[//]]="","",INDEX([2]!NOTA[DISC 2],ATALI[[#This Row],[//]]-2))</f>
        <v/>
      </c>
      <c r="Q404" s="5" t="str">
        <f ca="1">IF(ATALI[[#This Row],[//]]="","",INDEX([2]!NOTA[TOTAL],ATALI[[#This Row],[//]]-2))</f>
        <v/>
      </c>
      <c r="R4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4" s="4" t="str">
        <f ca="1">IF(ATALI[[#This Row],[//]]="","",INDEX([2]!NOTA[NAMA BARANG],ATALI[[#This Row],[//]]-2))</f>
        <v/>
      </c>
      <c r="V404" s="4" t="str">
        <f ca="1">LOWER(SUBSTITUTE(SUBSTITUTE(SUBSTITUTE(SUBSTITUTE(SUBSTITUTE(SUBSTITUTE(SUBSTITUTE(ATALI[[#This Row],[N.B.nota]]," ",""),"-",""),"(",""),")",""),".",""),",",""),"/",""))</f>
        <v/>
      </c>
      <c r="W404" s="4" t="str">
        <f ca="1">IF(ATALI[[#This Row],[concat]]="","",MATCH(ATALI[[#This Row],[concat]],[4]!db[NB NOTA_C],0)+1)</f>
        <v/>
      </c>
      <c r="X404" s="4" t="str">
        <f ca="1">IF(ATALI[[#This Row],[N.B.nota]]="","",ADDRESS(ROW(ATALI[QB]),COLUMN(ATALI[QB]))&amp;":"&amp;ADDRESS(ROW(),COLUMN(ATALI[QB])))</f>
        <v/>
      </c>
      <c r="Y404" s="21" t="str">
        <f ca="1">IF(ATALI[[#This Row],[//]]="","",HYPERLINK("[../DB.xlsx]DB!e"&amp;MATCH(ATALI[[#This Row],[concat]],[4]!db[NB NOTA_C],0)+1,"&gt;"))</f>
        <v/>
      </c>
    </row>
    <row r="405" spans="1:25" x14ac:dyDescent="0.25">
      <c r="A405" s="4"/>
      <c r="B405" s="6" t="str">
        <f>IF(ATALI[[#This Row],[N_ID]]="","",INDEX(Table1[ID],MATCH(ATALI[[#This Row],[N_ID]],Table1[N_ID],0)))</f>
        <v/>
      </c>
      <c r="C405" s="6" t="str">
        <f>IF(ATALI[[#This Row],[ID NOTA]]="","",HYPERLINK("[NOTA_.xlsx]NOTA!e"&amp;INDEX([2]!PAJAK[//],MATCH(ATALI[[#This Row],[ID NOTA]],[2]!PAJAK[ID],0)),"&gt;") )</f>
        <v/>
      </c>
      <c r="D405" s="6" t="str">
        <f>IF(ATALI[[#This Row],[ID NOTA]]="","",INDEX(Table1[QB],MATCH(ATALI[[#This Row],[ID NOTA]],Table1[ID],0)))</f>
        <v/>
      </c>
      <c r="E4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5" s="6"/>
      <c r="G405" s="3" t="str">
        <f>IF(ATALI[[#This Row],[ID NOTA]]="","",INDEX([2]!NOTA[TGL_H],MATCH(ATALI[[#This Row],[ID NOTA]],[2]!NOTA[ID],0)))</f>
        <v/>
      </c>
      <c r="H405" s="3" t="str">
        <f>IF(ATALI[[#This Row],[ID NOTA]]="","",INDEX([2]!NOTA[TGL.NOTA],MATCH(ATALI[[#This Row],[ID NOTA]],[2]!NOTA[ID],0)))</f>
        <v/>
      </c>
      <c r="I405" s="4" t="str">
        <f>IF(ATALI[[#This Row],[ID NOTA]]="","",INDEX([2]!NOTA[NO.NOTA],MATCH(ATALI[[#This Row],[ID NOTA]],[2]!NOTA[ID],0)))</f>
        <v/>
      </c>
      <c r="J405" s="4" t="str">
        <f ca="1">IF(ATALI[[#This Row],[//]]="","",INDEX([4]!db[NB PAJAK],ATALI[[#This Row],[stt]]-1))</f>
        <v/>
      </c>
      <c r="K405" s="6" t="str">
        <f ca="1">IF(ATALI[[#This Row],[//]]="","",IF(INDEX([2]!NOTA[C],ATALI[[#This Row],[//]]-2)="","",INDEX([2]!NOTA[C],ATALI[[#This Row],[//]]-2)))</f>
        <v/>
      </c>
      <c r="L405" s="6" t="str">
        <f ca="1">IF(ATALI[[#This Row],[//]]="","",INDEX([2]!NOTA[QTY],ATALI[[#This Row],[//]]-2))</f>
        <v/>
      </c>
      <c r="M405" s="6" t="str">
        <f ca="1">IF(ATALI[[#This Row],[//]]="","",INDEX([2]!NOTA[STN],ATALI[[#This Row],[//]]-2))</f>
        <v/>
      </c>
      <c r="N405" s="5" t="str">
        <f ca="1">IF(ATALI[[#This Row],[//]]="","",INDEX([2]!NOTA[HARGA SATUAN],ATALI[[#This Row],[//]]-2))</f>
        <v/>
      </c>
      <c r="O405" s="7" t="str">
        <f ca="1">IF(ATALI[[#This Row],[//]]="","",INDEX([2]!NOTA[DISC 1],ATALI[[#This Row],[//]]-2))</f>
        <v/>
      </c>
      <c r="P405" s="7" t="str">
        <f ca="1">IF(ATALI[[#This Row],[//]]="","",INDEX([2]!NOTA[DISC 2],ATALI[[#This Row],[//]]-2))</f>
        <v/>
      </c>
      <c r="Q405" s="5" t="str">
        <f ca="1">IF(ATALI[[#This Row],[//]]="","",INDEX([2]!NOTA[TOTAL],ATALI[[#This Row],[//]]-2))</f>
        <v/>
      </c>
      <c r="R4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5" s="4" t="str">
        <f ca="1">IF(ATALI[[#This Row],[//]]="","",INDEX([2]!NOTA[NAMA BARANG],ATALI[[#This Row],[//]]-2))</f>
        <v/>
      </c>
      <c r="V405" s="4" t="str">
        <f ca="1">LOWER(SUBSTITUTE(SUBSTITUTE(SUBSTITUTE(SUBSTITUTE(SUBSTITUTE(SUBSTITUTE(SUBSTITUTE(ATALI[[#This Row],[N.B.nota]]," ",""),"-",""),"(",""),")",""),".",""),",",""),"/",""))</f>
        <v/>
      </c>
      <c r="W405" s="4" t="str">
        <f ca="1">IF(ATALI[[#This Row],[concat]]="","",MATCH(ATALI[[#This Row],[concat]],[4]!db[NB NOTA_C],0)+1)</f>
        <v/>
      </c>
      <c r="X405" s="4" t="str">
        <f ca="1">IF(ATALI[[#This Row],[N.B.nota]]="","",ADDRESS(ROW(ATALI[QB]),COLUMN(ATALI[QB]))&amp;":"&amp;ADDRESS(ROW(),COLUMN(ATALI[QB])))</f>
        <v/>
      </c>
      <c r="Y405" s="21" t="str">
        <f ca="1">IF(ATALI[[#This Row],[//]]="","",HYPERLINK("[../DB.xlsx]DB!e"&amp;MATCH(ATALI[[#This Row],[concat]],[4]!db[NB NOTA_C],0)+1,"&gt;"))</f>
        <v/>
      </c>
    </row>
    <row r="406" spans="1:25" x14ac:dyDescent="0.25">
      <c r="A406" s="4"/>
      <c r="B406" s="6" t="str">
        <f>IF(ATALI[[#This Row],[N_ID]]="","",INDEX(Table1[ID],MATCH(ATALI[[#This Row],[N_ID]],Table1[N_ID],0)))</f>
        <v/>
      </c>
      <c r="C406" s="6" t="str">
        <f>IF(ATALI[[#This Row],[ID NOTA]]="","",HYPERLINK("[NOTA_.xlsx]NOTA!e"&amp;INDEX([2]!PAJAK[//],MATCH(ATALI[[#This Row],[ID NOTA]],[2]!PAJAK[ID],0)),"&gt;") )</f>
        <v/>
      </c>
      <c r="D406" s="6" t="str">
        <f>IF(ATALI[[#This Row],[ID NOTA]]="","",INDEX(Table1[QB],MATCH(ATALI[[#This Row],[ID NOTA]],Table1[ID],0)))</f>
        <v/>
      </c>
      <c r="E4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6" s="6"/>
      <c r="G406" s="3" t="str">
        <f>IF(ATALI[[#This Row],[ID NOTA]]="","",INDEX([2]!NOTA[TGL_H],MATCH(ATALI[[#This Row],[ID NOTA]],[2]!NOTA[ID],0)))</f>
        <v/>
      </c>
      <c r="H406" s="3" t="str">
        <f>IF(ATALI[[#This Row],[ID NOTA]]="","",INDEX([2]!NOTA[TGL.NOTA],MATCH(ATALI[[#This Row],[ID NOTA]],[2]!NOTA[ID],0)))</f>
        <v/>
      </c>
      <c r="I406" s="4" t="str">
        <f>IF(ATALI[[#This Row],[ID NOTA]]="","",INDEX([2]!NOTA[NO.NOTA],MATCH(ATALI[[#This Row],[ID NOTA]],[2]!NOTA[ID],0)))</f>
        <v/>
      </c>
      <c r="J406" s="4" t="str">
        <f ca="1">IF(ATALI[[#This Row],[//]]="","",INDEX([4]!db[NB PAJAK],ATALI[[#This Row],[stt]]-1))</f>
        <v/>
      </c>
      <c r="K406" s="6" t="str">
        <f ca="1">IF(ATALI[[#This Row],[//]]="","",IF(INDEX([2]!NOTA[C],ATALI[[#This Row],[//]]-2)="","",INDEX([2]!NOTA[C],ATALI[[#This Row],[//]]-2)))</f>
        <v/>
      </c>
      <c r="L406" s="6" t="str">
        <f ca="1">IF(ATALI[[#This Row],[//]]="","",INDEX([2]!NOTA[QTY],ATALI[[#This Row],[//]]-2))</f>
        <v/>
      </c>
      <c r="M406" s="6" t="str">
        <f ca="1">IF(ATALI[[#This Row],[//]]="","",INDEX([2]!NOTA[STN],ATALI[[#This Row],[//]]-2))</f>
        <v/>
      </c>
      <c r="N406" s="5" t="str">
        <f ca="1">IF(ATALI[[#This Row],[//]]="","",INDEX([2]!NOTA[HARGA SATUAN],ATALI[[#This Row],[//]]-2))</f>
        <v/>
      </c>
      <c r="O406" s="7" t="str">
        <f ca="1">IF(ATALI[[#This Row],[//]]="","",INDEX([2]!NOTA[DISC 1],ATALI[[#This Row],[//]]-2))</f>
        <v/>
      </c>
      <c r="P406" s="7" t="str">
        <f ca="1">IF(ATALI[[#This Row],[//]]="","",INDEX([2]!NOTA[DISC 2],ATALI[[#This Row],[//]]-2))</f>
        <v/>
      </c>
      <c r="Q406" s="5" t="str">
        <f ca="1">IF(ATALI[[#This Row],[//]]="","",INDEX([2]!NOTA[TOTAL],ATALI[[#This Row],[//]]-2))</f>
        <v/>
      </c>
      <c r="R4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6" s="4" t="str">
        <f ca="1">IF(ATALI[[#This Row],[//]]="","",INDEX([2]!NOTA[NAMA BARANG],ATALI[[#This Row],[//]]-2))</f>
        <v/>
      </c>
      <c r="V406" s="4" t="str">
        <f ca="1">LOWER(SUBSTITUTE(SUBSTITUTE(SUBSTITUTE(SUBSTITUTE(SUBSTITUTE(SUBSTITUTE(SUBSTITUTE(ATALI[[#This Row],[N.B.nota]]," ",""),"-",""),"(",""),")",""),".",""),",",""),"/",""))</f>
        <v/>
      </c>
      <c r="W406" s="4" t="str">
        <f ca="1">IF(ATALI[[#This Row],[concat]]="","",MATCH(ATALI[[#This Row],[concat]],[4]!db[NB NOTA_C],0)+1)</f>
        <v/>
      </c>
      <c r="X406" s="4" t="str">
        <f ca="1">IF(ATALI[[#This Row],[N.B.nota]]="","",ADDRESS(ROW(ATALI[QB]),COLUMN(ATALI[QB]))&amp;":"&amp;ADDRESS(ROW(),COLUMN(ATALI[QB])))</f>
        <v/>
      </c>
      <c r="Y406" s="21" t="str">
        <f ca="1">IF(ATALI[[#This Row],[//]]="","",HYPERLINK("[../DB.xlsx]DB!e"&amp;MATCH(ATALI[[#This Row],[concat]],[4]!db[NB NOTA_C],0)+1,"&gt;"))</f>
        <v/>
      </c>
    </row>
    <row r="407" spans="1:25" x14ac:dyDescent="0.25">
      <c r="A407" s="4"/>
      <c r="B407" s="6" t="str">
        <f>IF(ATALI[[#This Row],[N_ID]]="","",INDEX(Table1[ID],MATCH(ATALI[[#This Row],[N_ID]],Table1[N_ID],0)))</f>
        <v/>
      </c>
      <c r="C407" s="6" t="str">
        <f>IF(ATALI[[#This Row],[ID NOTA]]="","",HYPERLINK("[NOTA_.xlsx]NOTA!e"&amp;INDEX([2]!PAJAK[//],MATCH(ATALI[[#This Row],[ID NOTA]],[2]!PAJAK[ID],0)),"&gt;") )</f>
        <v/>
      </c>
      <c r="D407" s="6" t="str">
        <f>IF(ATALI[[#This Row],[ID NOTA]]="","",INDEX(Table1[QB],MATCH(ATALI[[#This Row],[ID NOTA]],Table1[ID],0)))</f>
        <v/>
      </c>
      <c r="E4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7" s="6"/>
      <c r="G407" s="3" t="str">
        <f>IF(ATALI[[#This Row],[ID NOTA]]="","",INDEX([2]!NOTA[TGL_H],MATCH(ATALI[[#This Row],[ID NOTA]],[2]!NOTA[ID],0)))</f>
        <v/>
      </c>
      <c r="H407" s="3" t="str">
        <f>IF(ATALI[[#This Row],[ID NOTA]]="","",INDEX([2]!NOTA[TGL.NOTA],MATCH(ATALI[[#This Row],[ID NOTA]],[2]!NOTA[ID],0)))</f>
        <v/>
      </c>
      <c r="I407" s="4" t="str">
        <f>IF(ATALI[[#This Row],[ID NOTA]]="","",INDEX([2]!NOTA[NO.NOTA],MATCH(ATALI[[#This Row],[ID NOTA]],[2]!NOTA[ID],0)))</f>
        <v/>
      </c>
      <c r="J407" s="4" t="str">
        <f ca="1">IF(ATALI[[#This Row],[//]]="","",INDEX([4]!db[NB PAJAK],ATALI[[#This Row],[stt]]-1))</f>
        <v/>
      </c>
      <c r="K407" s="6" t="str">
        <f ca="1">IF(ATALI[[#This Row],[//]]="","",IF(INDEX([2]!NOTA[C],ATALI[[#This Row],[//]]-2)="","",INDEX([2]!NOTA[C],ATALI[[#This Row],[//]]-2)))</f>
        <v/>
      </c>
      <c r="L407" s="6" t="str">
        <f ca="1">IF(ATALI[[#This Row],[//]]="","",INDEX([2]!NOTA[QTY],ATALI[[#This Row],[//]]-2))</f>
        <v/>
      </c>
      <c r="M407" s="6" t="str">
        <f ca="1">IF(ATALI[[#This Row],[//]]="","",INDEX([2]!NOTA[STN],ATALI[[#This Row],[//]]-2))</f>
        <v/>
      </c>
      <c r="N407" s="5" t="str">
        <f ca="1">IF(ATALI[[#This Row],[//]]="","",INDEX([2]!NOTA[HARGA SATUAN],ATALI[[#This Row],[//]]-2))</f>
        <v/>
      </c>
      <c r="O407" s="7" t="str">
        <f ca="1">IF(ATALI[[#This Row],[//]]="","",INDEX([2]!NOTA[DISC 1],ATALI[[#This Row],[//]]-2))</f>
        <v/>
      </c>
      <c r="P407" s="7" t="str">
        <f ca="1">IF(ATALI[[#This Row],[//]]="","",INDEX([2]!NOTA[DISC 2],ATALI[[#This Row],[//]]-2))</f>
        <v/>
      </c>
      <c r="Q407" s="5" t="str">
        <f ca="1">IF(ATALI[[#This Row],[//]]="","",INDEX([2]!NOTA[TOTAL],ATALI[[#This Row],[//]]-2))</f>
        <v/>
      </c>
      <c r="R4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7" s="4" t="str">
        <f ca="1">IF(ATALI[[#This Row],[//]]="","",INDEX([2]!NOTA[NAMA BARANG],ATALI[[#This Row],[//]]-2))</f>
        <v/>
      </c>
      <c r="V407" s="4" t="str">
        <f ca="1">LOWER(SUBSTITUTE(SUBSTITUTE(SUBSTITUTE(SUBSTITUTE(SUBSTITUTE(SUBSTITUTE(SUBSTITUTE(ATALI[[#This Row],[N.B.nota]]," ",""),"-",""),"(",""),")",""),".",""),",",""),"/",""))</f>
        <v/>
      </c>
      <c r="W407" s="4" t="str">
        <f ca="1">IF(ATALI[[#This Row],[concat]]="","",MATCH(ATALI[[#This Row],[concat]],[4]!db[NB NOTA_C],0)+1)</f>
        <v/>
      </c>
      <c r="X407" s="4" t="str">
        <f ca="1">IF(ATALI[[#This Row],[N.B.nota]]="","",ADDRESS(ROW(ATALI[QB]),COLUMN(ATALI[QB]))&amp;":"&amp;ADDRESS(ROW(),COLUMN(ATALI[QB])))</f>
        <v/>
      </c>
      <c r="Y407" s="21" t="str">
        <f ca="1">IF(ATALI[[#This Row],[//]]="","",HYPERLINK("[../DB.xlsx]DB!e"&amp;MATCH(ATALI[[#This Row],[concat]],[4]!db[NB NOTA_C],0)+1,"&gt;"))</f>
        <v/>
      </c>
    </row>
    <row r="408" spans="1:25" x14ac:dyDescent="0.25">
      <c r="A408" s="2"/>
      <c r="B408" s="6" t="str">
        <f>IF(ATALI[[#This Row],[N_ID]]="","",INDEX(Table1[ID],MATCH(ATALI[[#This Row],[N_ID]],Table1[N_ID],0)))</f>
        <v/>
      </c>
      <c r="C408" s="6" t="str">
        <f>IF(ATALI[[#This Row],[ID NOTA]]="","",HYPERLINK("[NOTA_.xlsx]NOTA!e"&amp;INDEX([2]!PAJAK[//],MATCH(ATALI[[#This Row],[ID NOTA]],[2]!PAJAK[ID],0)),"&gt;") )</f>
        <v/>
      </c>
      <c r="D408" s="6" t="str">
        <f>IF(ATALI[[#This Row],[ID NOTA]]="","",INDEX(Table1[QB],MATCH(ATALI[[#This Row],[ID NOTA]],Table1[ID],0)))</f>
        <v/>
      </c>
      <c r="E4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8" s="6"/>
      <c r="G408" s="3" t="str">
        <f>IF(ATALI[[#This Row],[ID NOTA]]="","",INDEX([2]!NOTA[TGL_H],MATCH(ATALI[[#This Row],[ID NOTA]],[2]!NOTA[ID],0)))</f>
        <v/>
      </c>
      <c r="H408" s="3" t="str">
        <f>IF(ATALI[[#This Row],[ID NOTA]]="","",INDEX([2]!NOTA[TGL.NOTA],MATCH(ATALI[[#This Row],[ID NOTA]],[2]!NOTA[ID],0)))</f>
        <v/>
      </c>
      <c r="I408" s="4" t="str">
        <f>IF(ATALI[[#This Row],[ID NOTA]]="","",INDEX([2]!NOTA[NO.NOTA],MATCH(ATALI[[#This Row],[ID NOTA]],[2]!NOTA[ID],0)))</f>
        <v/>
      </c>
      <c r="J408" s="4" t="str">
        <f ca="1">IF(ATALI[[#This Row],[//]]="","",INDEX([4]!db[NB PAJAK],ATALI[[#This Row],[stt]]-1))</f>
        <v/>
      </c>
      <c r="K408" s="6" t="str">
        <f ca="1">IF(ATALI[[#This Row],[//]]="","",IF(INDEX([2]!NOTA[C],ATALI[[#This Row],[//]]-2)="","",INDEX([2]!NOTA[C],ATALI[[#This Row],[//]]-2)))</f>
        <v/>
      </c>
      <c r="L408" s="6" t="str">
        <f ca="1">IF(ATALI[[#This Row],[//]]="","",INDEX([2]!NOTA[QTY],ATALI[[#This Row],[//]]-2))</f>
        <v/>
      </c>
      <c r="M408" s="6" t="str">
        <f ca="1">IF(ATALI[[#This Row],[//]]="","",INDEX([2]!NOTA[STN],ATALI[[#This Row],[//]]-2))</f>
        <v/>
      </c>
      <c r="N408" s="5" t="str">
        <f ca="1">IF(ATALI[[#This Row],[//]]="","",INDEX([2]!NOTA[HARGA SATUAN],ATALI[[#This Row],[//]]-2))</f>
        <v/>
      </c>
      <c r="O408" s="7" t="str">
        <f ca="1">IF(ATALI[[#This Row],[//]]="","",INDEX([2]!NOTA[DISC 1],ATALI[[#This Row],[//]]-2))</f>
        <v/>
      </c>
      <c r="P408" s="7" t="str">
        <f ca="1">IF(ATALI[[#This Row],[//]]="","",INDEX([2]!NOTA[DISC 2],ATALI[[#This Row],[//]]-2))</f>
        <v/>
      </c>
      <c r="Q408" s="5" t="str">
        <f ca="1">IF(ATALI[[#This Row],[//]]="","",INDEX([2]!NOTA[TOTAL],ATALI[[#This Row],[//]]-2))</f>
        <v/>
      </c>
      <c r="R4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8" s="4" t="str">
        <f ca="1">IF(ATALI[[#This Row],[//]]="","",INDEX([2]!NOTA[NAMA BARANG],ATALI[[#This Row],[//]]-2))</f>
        <v/>
      </c>
      <c r="V408" s="4" t="str">
        <f ca="1">LOWER(SUBSTITUTE(SUBSTITUTE(SUBSTITUTE(SUBSTITUTE(SUBSTITUTE(SUBSTITUTE(SUBSTITUTE(ATALI[[#This Row],[N.B.nota]]," ",""),"-",""),"(",""),")",""),".",""),",",""),"/",""))</f>
        <v/>
      </c>
      <c r="W408" s="4" t="str">
        <f ca="1">IF(ATALI[[#This Row],[concat]]="","",MATCH(ATALI[[#This Row],[concat]],[4]!db[NB NOTA_C],0)+1)</f>
        <v/>
      </c>
      <c r="X408" s="4" t="str">
        <f ca="1">IF(ATALI[[#This Row],[N.B.nota]]="","",ADDRESS(ROW(ATALI[QB]),COLUMN(ATALI[QB]))&amp;":"&amp;ADDRESS(ROW(),COLUMN(ATALI[QB])))</f>
        <v/>
      </c>
      <c r="Y408" s="21" t="str">
        <f ca="1">IF(ATALI[[#This Row],[//]]="","",HYPERLINK("[../DB.xlsx]DB!e"&amp;MATCH(ATALI[[#This Row],[concat]],[4]!db[NB NOTA_C],0)+1,"&gt;"))</f>
        <v/>
      </c>
    </row>
    <row r="409" spans="1:25" x14ac:dyDescent="0.25">
      <c r="A409" s="2"/>
      <c r="B409" s="6" t="str">
        <f>IF(ATALI[[#This Row],[N_ID]]="","",INDEX(Table1[ID],MATCH(ATALI[[#This Row],[N_ID]],Table1[N_ID],0)))</f>
        <v/>
      </c>
      <c r="C409" s="6" t="str">
        <f>IF(ATALI[[#This Row],[ID NOTA]]="","",HYPERLINK("[NOTA_.xlsx]NOTA!e"&amp;INDEX([2]!PAJAK[//],MATCH(ATALI[[#This Row],[ID NOTA]],[2]!PAJAK[ID],0)),"&gt;") )</f>
        <v/>
      </c>
      <c r="D409" s="6" t="str">
        <f>IF(ATALI[[#This Row],[ID NOTA]]="","",INDEX(Table1[QB],MATCH(ATALI[[#This Row],[ID NOTA]],Table1[ID],0)))</f>
        <v/>
      </c>
      <c r="E4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9" s="6"/>
      <c r="G409" s="3" t="str">
        <f>IF(ATALI[[#This Row],[ID NOTA]]="","",INDEX([2]!NOTA[TGL_H],MATCH(ATALI[[#This Row],[ID NOTA]],[2]!NOTA[ID],0)))</f>
        <v/>
      </c>
      <c r="H409" s="3" t="str">
        <f>IF(ATALI[[#This Row],[ID NOTA]]="","",INDEX([2]!NOTA[TGL.NOTA],MATCH(ATALI[[#This Row],[ID NOTA]],[2]!NOTA[ID],0)))</f>
        <v/>
      </c>
      <c r="I409" s="4" t="str">
        <f>IF(ATALI[[#This Row],[ID NOTA]]="","",INDEX([2]!NOTA[NO.NOTA],MATCH(ATALI[[#This Row],[ID NOTA]],[2]!NOTA[ID],0)))</f>
        <v/>
      </c>
      <c r="J409" s="4" t="str">
        <f ca="1">IF(ATALI[[#This Row],[//]]="","",INDEX([4]!db[NB PAJAK],ATALI[[#This Row],[stt]]-1))</f>
        <v/>
      </c>
      <c r="K409" s="6" t="str">
        <f ca="1">IF(ATALI[[#This Row],[//]]="","",IF(INDEX([2]!NOTA[C],ATALI[[#This Row],[//]]-2)="","",INDEX([2]!NOTA[C],ATALI[[#This Row],[//]]-2)))</f>
        <v/>
      </c>
      <c r="L409" s="6" t="str">
        <f ca="1">IF(ATALI[[#This Row],[//]]="","",INDEX([2]!NOTA[QTY],ATALI[[#This Row],[//]]-2))</f>
        <v/>
      </c>
      <c r="M409" s="6" t="str">
        <f ca="1">IF(ATALI[[#This Row],[//]]="","",INDEX([2]!NOTA[STN],ATALI[[#This Row],[//]]-2))</f>
        <v/>
      </c>
      <c r="N409" s="5" t="str">
        <f ca="1">IF(ATALI[[#This Row],[//]]="","",INDEX([2]!NOTA[HARGA SATUAN],ATALI[[#This Row],[//]]-2))</f>
        <v/>
      </c>
      <c r="O409" s="7" t="str">
        <f ca="1">IF(ATALI[[#This Row],[//]]="","",INDEX([2]!NOTA[DISC 1],ATALI[[#This Row],[//]]-2))</f>
        <v/>
      </c>
      <c r="P409" s="7" t="str">
        <f ca="1">IF(ATALI[[#This Row],[//]]="","",INDEX([2]!NOTA[DISC 2],ATALI[[#This Row],[//]]-2))</f>
        <v/>
      </c>
      <c r="Q409" s="5" t="str">
        <f ca="1">IF(ATALI[[#This Row],[//]]="","",INDEX([2]!NOTA[TOTAL],ATALI[[#This Row],[//]]-2))</f>
        <v/>
      </c>
      <c r="R4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9" s="4" t="str">
        <f ca="1">IF(ATALI[[#This Row],[//]]="","",INDEX([2]!NOTA[NAMA BARANG],ATALI[[#This Row],[//]]-2))</f>
        <v/>
      </c>
      <c r="V409" s="4" t="str">
        <f ca="1">LOWER(SUBSTITUTE(SUBSTITUTE(SUBSTITUTE(SUBSTITUTE(SUBSTITUTE(SUBSTITUTE(SUBSTITUTE(ATALI[[#This Row],[N.B.nota]]," ",""),"-",""),"(",""),")",""),".",""),",",""),"/",""))</f>
        <v/>
      </c>
      <c r="W409" s="4" t="str">
        <f ca="1">IF(ATALI[[#This Row],[concat]]="","",MATCH(ATALI[[#This Row],[concat]],[4]!db[NB NOTA_C],0)+1)</f>
        <v/>
      </c>
      <c r="X409" s="4" t="str">
        <f ca="1">IF(ATALI[[#This Row],[N.B.nota]]="","",ADDRESS(ROW(ATALI[QB]),COLUMN(ATALI[QB]))&amp;":"&amp;ADDRESS(ROW(),COLUMN(ATALI[QB])))</f>
        <v/>
      </c>
      <c r="Y409" s="21" t="str">
        <f ca="1">IF(ATALI[[#This Row],[//]]="","",HYPERLINK("[../DB.xlsx]DB!e"&amp;MATCH(ATALI[[#This Row],[concat]],[4]!db[NB NOTA_C],0)+1,"&gt;"))</f>
        <v/>
      </c>
    </row>
    <row r="410" spans="1:25" x14ac:dyDescent="0.25">
      <c r="A410" s="2"/>
      <c r="B410" s="6" t="str">
        <f>IF(ATALI[[#This Row],[N_ID]]="","",INDEX(Table1[ID],MATCH(ATALI[[#This Row],[N_ID]],Table1[N_ID],0)))</f>
        <v/>
      </c>
      <c r="C410" s="6" t="str">
        <f>IF(ATALI[[#This Row],[ID NOTA]]="","",HYPERLINK("[NOTA_.xlsx]NOTA!e"&amp;INDEX([2]!PAJAK[//],MATCH(ATALI[[#This Row],[ID NOTA]],[2]!PAJAK[ID],0)),"&gt;") )</f>
        <v/>
      </c>
      <c r="D410" s="6" t="str">
        <f>IF(ATALI[[#This Row],[ID NOTA]]="","",INDEX(Table1[QB],MATCH(ATALI[[#This Row],[ID NOTA]],Table1[ID],0)))</f>
        <v/>
      </c>
      <c r="E4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0" s="6"/>
      <c r="G410" s="3" t="str">
        <f>IF(ATALI[[#This Row],[ID NOTA]]="","",INDEX([2]!NOTA[TGL_H],MATCH(ATALI[[#This Row],[ID NOTA]],[2]!NOTA[ID],0)))</f>
        <v/>
      </c>
      <c r="H410" s="3" t="str">
        <f>IF(ATALI[[#This Row],[ID NOTA]]="","",INDEX([2]!NOTA[TGL.NOTA],MATCH(ATALI[[#This Row],[ID NOTA]],[2]!NOTA[ID],0)))</f>
        <v/>
      </c>
      <c r="I410" s="4" t="str">
        <f>IF(ATALI[[#This Row],[ID NOTA]]="","",INDEX([2]!NOTA[NO.NOTA],MATCH(ATALI[[#This Row],[ID NOTA]],[2]!NOTA[ID],0)))</f>
        <v/>
      </c>
      <c r="J410" s="4" t="str">
        <f ca="1">IF(ATALI[[#This Row],[//]]="","",INDEX([4]!db[NB PAJAK],ATALI[[#This Row],[stt]]-1))</f>
        <v/>
      </c>
      <c r="K410" s="6" t="str">
        <f ca="1">IF(ATALI[[#This Row],[//]]="","",IF(INDEX([2]!NOTA[C],ATALI[[#This Row],[//]]-2)="","",INDEX([2]!NOTA[C],ATALI[[#This Row],[//]]-2)))</f>
        <v/>
      </c>
      <c r="L410" s="6" t="str">
        <f ca="1">IF(ATALI[[#This Row],[//]]="","",INDEX([2]!NOTA[QTY],ATALI[[#This Row],[//]]-2))</f>
        <v/>
      </c>
      <c r="M410" s="6" t="str">
        <f ca="1">IF(ATALI[[#This Row],[//]]="","",INDEX([2]!NOTA[STN],ATALI[[#This Row],[//]]-2))</f>
        <v/>
      </c>
      <c r="N410" s="5" t="str">
        <f ca="1">IF(ATALI[[#This Row],[//]]="","",INDEX([2]!NOTA[HARGA SATUAN],ATALI[[#This Row],[//]]-2))</f>
        <v/>
      </c>
      <c r="O410" s="7" t="str">
        <f ca="1">IF(ATALI[[#This Row],[//]]="","",INDEX([2]!NOTA[DISC 1],ATALI[[#This Row],[//]]-2))</f>
        <v/>
      </c>
      <c r="P410" s="7" t="str">
        <f ca="1">IF(ATALI[[#This Row],[//]]="","",INDEX([2]!NOTA[DISC 2],ATALI[[#This Row],[//]]-2))</f>
        <v/>
      </c>
      <c r="Q410" s="5" t="str">
        <f ca="1">IF(ATALI[[#This Row],[//]]="","",INDEX([2]!NOTA[TOTAL],ATALI[[#This Row],[//]]-2))</f>
        <v/>
      </c>
      <c r="R4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0" s="4" t="str">
        <f ca="1">IF(ATALI[[#This Row],[//]]="","",INDEX([2]!NOTA[NAMA BARANG],ATALI[[#This Row],[//]]-2))</f>
        <v/>
      </c>
      <c r="V410" s="4" t="str">
        <f ca="1">LOWER(SUBSTITUTE(SUBSTITUTE(SUBSTITUTE(SUBSTITUTE(SUBSTITUTE(SUBSTITUTE(SUBSTITUTE(ATALI[[#This Row],[N.B.nota]]," ",""),"-",""),"(",""),")",""),".",""),",",""),"/",""))</f>
        <v/>
      </c>
      <c r="W410" s="4" t="str">
        <f ca="1">IF(ATALI[[#This Row],[concat]]="","",MATCH(ATALI[[#This Row],[concat]],[4]!db[NB NOTA_C],0)+1)</f>
        <v/>
      </c>
      <c r="X410" s="4" t="str">
        <f ca="1">IF(ATALI[[#This Row],[N.B.nota]]="","",ADDRESS(ROW(ATALI[QB]),COLUMN(ATALI[QB]))&amp;":"&amp;ADDRESS(ROW(),COLUMN(ATALI[QB])))</f>
        <v/>
      </c>
      <c r="Y410" s="21" t="str">
        <f ca="1">IF(ATALI[[#This Row],[//]]="","",HYPERLINK("[../DB.xlsx]DB!e"&amp;MATCH(ATALI[[#This Row],[concat]],[4]!db[NB NOTA_C],0)+1,"&gt;"))</f>
        <v/>
      </c>
    </row>
    <row r="411" spans="1:25" x14ac:dyDescent="0.25">
      <c r="A411" s="18"/>
      <c r="B411" s="6" t="str">
        <f>IF(ATALI[[#This Row],[N_ID]]="","",INDEX(Table1[ID],MATCH(ATALI[[#This Row],[N_ID]],Table1[N_ID],0)))</f>
        <v/>
      </c>
      <c r="C411" s="6" t="str">
        <f>IF(ATALI[[#This Row],[ID NOTA]]="","",HYPERLINK("[NOTA_.xlsx]NOTA!e"&amp;INDEX([2]!PAJAK[//],MATCH(ATALI[[#This Row],[ID NOTA]],[2]!PAJAK[ID],0)),"&gt;") )</f>
        <v/>
      </c>
      <c r="D411" s="6" t="str">
        <f>IF(ATALI[[#This Row],[ID NOTA]]="","",INDEX(Table1[QB],MATCH(ATALI[[#This Row],[ID NOTA]],Table1[ID],0)))</f>
        <v/>
      </c>
      <c r="E4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1" s="6"/>
      <c r="G411" s="3" t="str">
        <f>IF(ATALI[[#This Row],[ID NOTA]]="","",INDEX([2]!NOTA[TGL_H],MATCH(ATALI[[#This Row],[ID NOTA]],[2]!NOTA[ID],0)))</f>
        <v/>
      </c>
      <c r="H411" s="3" t="str">
        <f>IF(ATALI[[#This Row],[ID NOTA]]="","",INDEX([2]!NOTA[TGL.NOTA],MATCH(ATALI[[#This Row],[ID NOTA]],[2]!NOTA[ID],0)))</f>
        <v/>
      </c>
      <c r="I411" s="4" t="str">
        <f>IF(ATALI[[#This Row],[ID NOTA]]="","",INDEX([2]!NOTA[NO.NOTA],MATCH(ATALI[[#This Row],[ID NOTA]],[2]!NOTA[ID],0)))</f>
        <v/>
      </c>
      <c r="J411" s="4" t="str">
        <f ca="1">IF(ATALI[[#This Row],[//]]="","",INDEX([4]!db[NB PAJAK],ATALI[[#This Row],[stt]]-1))</f>
        <v/>
      </c>
      <c r="K411" s="6" t="str">
        <f ca="1">IF(ATALI[[#This Row],[//]]="","",IF(INDEX([2]!NOTA[C],ATALI[[#This Row],[//]]-2)="","",INDEX([2]!NOTA[C],ATALI[[#This Row],[//]]-2)))</f>
        <v/>
      </c>
      <c r="L411" s="6" t="str">
        <f ca="1">IF(ATALI[[#This Row],[//]]="","",INDEX([2]!NOTA[QTY],ATALI[[#This Row],[//]]-2))</f>
        <v/>
      </c>
      <c r="M411" s="6" t="str">
        <f ca="1">IF(ATALI[[#This Row],[//]]="","",INDEX([2]!NOTA[STN],ATALI[[#This Row],[//]]-2))</f>
        <v/>
      </c>
      <c r="N411" s="5" t="str">
        <f ca="1">IF(ATALI[[#This Row],[//]]="","",INDEX([2]!NOTA[HARGA SATUAN],ATALI[[#This Row],[//]]-2))</f>
        <v/>
      </c>
      <c r="O411" s="7" t="str">
        <f ca="1">IF(ATALI[[#This Row],[//]]="","",INDEX([2]!NOTA[DISC 1],ATALI[[#This Row],[//]]-2))</f>
        <v/>
      </c>
      <c r="P411" s="7" t="str">
        <f ca="1">IF(ATALI[[#This Row],[//]]="","",INDEX([2]!NOTA[DISC 2],ATALI[[#This Row],[//]]-2))</f>
        <v/>
      </c>
      <c r="Q411" s="5" t="str">
        <f ca="1">IF(ATALI[[#This Row],[//]]="","",INDEX([2]!NOTA[TOTAL],ATALI[[#This Row],[//]]-2))</f>
        <v/>
      </c>
      <c r="R4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1" s="4" t="str">
        <f ca="1">IF(ATALI[[#This Row],[//]]="","",INDEX([2]!NOTA[NAMA BARANG],ATALI[[#This Row],[//]]-2))</f>
        <v/>
      </c>
      <c r="V411" s="4" t="str">
        <f ca="1">LOWER(SUBSTITUTE(SUBSTITUTE(SUBSTITUTE(SUBSTITUTE(SUBSTITUTE(SUBSTITUTE(SUBSTITUTE(ATALI[[#This Row],[N.B.nota]]," ",""),"-",""),"(",""),")",""),".",""),",",""),"/",""))</f>
        <v/>
      </c>
      <c r="W411" s="4" t="str">
        <f ca="1">IF(ATALI[[#This Row],[concat]]="","",MATCH(ATALI[[#This Row],[concat]],[4]!db[NB NOTA_C],0)+1)</f>
        <v/>
      </c>
      <c r="X411" s="4" t="str">
        <f ca="1">IF(ATALI[[#This Row],[N.B.nota]]="","",ADDRESS(ROW(ATALI[QB]),COLUMN(ATALI[QB]))&amp;":"&amp;ADDRESS(ROW(),COLUMN(ATALI[QB])))</f>
        <v/>
      </c>
      <c r="Y411" s="21" t="str">
        <f ca="1">IF(ATALI[[#This Row],[//]]="","",HYPERLINK("[../DB.xlsx]DB!e"&amp;MATCH(ATALI[[#This Row],[concat]],[4]!db[NB NOTA_C],0)+1,"&gt;"))</f>
        <v/>
      </c>
    </row>
    <row r="412" spans="1:25" x14ac:dyDescent="0.25">
      <c r="A412" s="18"/>
      <c r="B412" s="6" t="str">
        <f>IF(ATALI[[#This Row],[N_ID]]="","",INDEX(Table1[ID],MATCH(ATALI[[#This Row],[N_ID]],Table1[N_ID],0)))</f>
        <v/>
      </c>
      <c r="C412" s="6" t="str">
        <f>IF(ATALI[[#This Row],[ID NOTA]]="","",HYPERLINK("[NOTA_.xlsx]NOTA!e"&amp;INDEX([2]!PAJAK[//],MATCH(ATALI[[#This Row],[ID NOTA]],[2]!PAJAK[ID],0)),"&gt;") )</f>
        <v/>
      </c>
      <c r="D412" s="6" t="str">
        <f>IF(ATALI[[#This Row],[ID NOTA]]="","",INDEX(Table1[QB],MATCH(ATALI[[#This Row],[ID NOTA]],Table1[ID],0)))</f>
        <v/>
      </c>
      <c r="E4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2" s="6"/>
      <c r="G412" s="3" t="str">
        <f>IF(ATALI[[#This Row],[ID NOTA]]="","",INDEX([2]!NOTA[TGL_H],MATCH(ATALI[[#This Row],[ID NOTA]],[2]!NOTA[ID],0)))</f>
        <v/>
      </c>
      <c r="H412" s="3" t="str">
        <f>IF(ATALI[[#This Row],[ID NOTA]]="","",INDEX([2]!NOTA[TGL.NOTA],MATCH(ATALI[[#This Row],[ID NOTA]],[2]!NOTA[ID],0)))</f>
        <v/>
      </c>
      <c r="I412" s="4" t="str">
        <f>IF(ATALI[[#This Row],[ID NOTA]]="","",INDEX([2]!NOTA[NO.NOTA],MATCH(ATALI[[#This Row],[ID NOTA]],[2]!NOTA[ID],0)))</f>
        <v/>
      </c>
      <c r="J412" s="4" t="str">
        <f ca="1">IF(ATALI[[#This Row],[//]]="","",INDEX([4]!db[NB PAJAK],ATALI[[#This Row],[stt]]-1))</f>
        <v/>
      </c>
      <c r="K412" s="6" t="str">
        <f ca="1">IF(ATALI[[#This Row],[//]]="","",IF(INDEX([2]!NOTA[C],ATALI[[#This Row],[//]]-2)="","",INDEX([2]!NOTA[C],ATALI[[#This Row],[//]]-2)))</f>
        <v/>
      </c>
      <c r="L412" s="6" t="str">
        <f ca="1">IF(ATALI[[#This Row],[//]]="","",INDEX([2]!NOTA[QTY],ATALI[[#This Row],[//]]-2))</f>
        <v/>
      </c>
      <c r="M412" s="6" t="str">
        <f ca="1">IF(ATALI[[#This Row],[//]]="","",INDEX([2]!NOTA[STN],ATALI[[#This Row],[//]]-2))</f>
        <v/>
      </c>
      <c r="N412" s="5" t="str">
        <f ca="1">IF(ATALI[[#This Row],[//]]="","",INDEX([2]!NOTA[HARGA SATUAN],ATALI[[#This Row],[//]]-2))</f>
        <v/>
      </c>
      <c r="O412" s="7" t="str">
        <f ca="1">IF(ATALI[[#This Row],[//]]="","",INDEX([2]!NOTA[DISC 1],ATALI[[#This Row],[//]]-2))</f>
        <v/>
      </c>
      <c r="P412" s="7" t="str">
        <f ca="1">IF(ATALI[[#This Row],[//]]="","",INDEX([2]!NOTA[DISC 2],ATALI[[#This Row],[//]]-2))</f>
        <v/>
      </c>
      <c r="Q412" s="5" t="str">
        <f ca="1">IF(ATALI[[#This Row],[//]]="","",INDEX([2]!NOTA[TOTAL],ATALI[[#This Row],[//]]-2))</f>
        <v/>
      </c>
      <c r="R4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2" s="4" t="str">
        <f ca="1">IF(ATALI[[#This Row],[//]]="","",INDEX([2]!NOTA[NAMA BARANG],ATALI[[#This Row],[//]]-2))</f>
        <v/>
      </c>
      <c r="V412" s="4" t="str">
        <f ca="1">LOWER(SUBSTITUTE(SUBSTITUTE(SUBSTITUTE(SUBSTITUTE(SUBSTITUTE(SUBSTITUTE(SUBSTITUTE(ATALI[[#This Row],[N.B.nota]]," ",""),"-",""),"(",""),")",""),".",""),",",""),"/",""))</f>
        <v/>
      </c>
      <c r="W412" s="4" t="str">
        <f ca="1">IF(ATALI[[#This Row],[concat]]="","",MATCH(ATALI[[#This Row],[concat]],[4]!db[NB NOTA_C],0)+1)</f>
        <v/>
      </c>
      <c r="X412" s="4" t="str">
        <f ca="1">IF(ATALI[[#This Row],[N.B.nota]]="","",ADDRESS(ROW(ATALI[QB]),COLUMN(ATALI[QB]))&amp;":"&amp;ADDRESS(ROW(),COLUMN(ATALI[QB])))</f>
        <v/>
      </c>
      <c r="Y412" s="21" t="str">
        <f ca="1">IF(ATALI[[#This Row],[//]]="","",HYPERLINK("[../DB.xlsx]DB!e"&amp;MATCH(ATALI[[#This Row],[concat]],[4]!db[NB NOTA_C],0)+1,"&gt;"))</f>
        <v/>
      </c>
    </row>
    <row r="413" spans="1:25" x14ac:dyDescent="0.25">
      <c r="A413" s="4"/>
      <c r="B413" s="6" t="str">
        <f>IF(ATALI[[#This Row],[N_ID]]="","",INDEX(Table1[ID],MATCH(ATALI[[#This Row],[N_ID]],Table1[N_ID],0)))</f>
        <v/>
      </c>
      <c r="C413" s="6" t="str">
        <f>IF(ATALI[[#This Row],[ID NOTA]]="","",HYPERLINK("[NOTA_.xlsx]NOTA!e"&amp;INDEX([2]!PAJAK[//],MATCH(ATALI[[#This Row],[ID NOTA]],[2]!PAJAK[ID],0)),"&gt;") )</f>
        <v/>
      </c>
      <c r="D413" s="6" t="str">
        <f>IF(ATALI[[#This Row],[ID NOTA]]="","",INDEX(Table1[QB],MATCH(ATALI[[#This Row],[ID NOTA]],Table1[ID],0)))</f>
        <v/>
      </c>
      <c r="E4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3" s="6"/>
      <c r="G413" s="3" t="str">
        <f>IF(ATALI[[#This Row],[ID NOTA]]="","",INDEX([2]!NOTA[TGL_H],MATCH(ATALI[[#This Row],[ID NOTA]],[2]!NOTA[ID],0)))</f>
        <v/>
      </c>
      <c r="H413" s="3" t="str">
        <f>IF(ATALI[[#This Row],[ID NOTA]]="","",INDEX([2]!NOTA[TGL.NOTA],MATCH(ATALI[[#This Row],[ID NOTA]],[2]!NOTA[ID],0)))</f>
        <v/>
      </c>
      <c r="I413" s="4" t="str">
        <f>IF(ATALI[[#This Row],[ID NOTA]]="","",INDEX([2]!NOTA[NO.NOTA],MATCH(ATALI[[#This Row],[ID NOTA]],[2]!NOTA[ID],0)))</f>
        <v/>
      </c>
      <c r="J413" s="4" t="str">
        <f ca="1">IF(ATALI[[#This Row],[//]]="","",INDEX([4]!db[NB PAJAK],ATALI[[#This Row],[stt]]-1))</f>
        <v/>
      </c>
      <c r="K413" s="6" t="str">
        <f ca="1">IF(ATALI[[#This Row],[//]]="","",IF(INDEX([2]!NOTA[C],ATALI[[#This Row],[//]]-2)="","",INDEX([2]!NOTA[C],ATALI[[#This Row],[//]]-2)))</f>
        <v/>
      </c>
      <c r="L413" s="6" t="str">
        <f ca="1">IF(ATALI[[#This Row],[//]]="","",INDEX([2]!NOTA[QTY],ATALI[[#This Row],[//]]-2))</f>
        <v/>
      </c>
      <c r="M413" s="6" t="str">
        <f ca="1">IF(ATALI[[#This Row],[//]]="","",INDEX([2]!NOTA[STN],ATALI[[#This Row],[//]]-2))</f>
        <v/>
      </c>
      <c r="N413" s="5" t="str">
        <f ca="1">IF(ATALI[[#This Row],[//]]="","",INDEX([2]!NOTA[HARGA SATUAN],ATALI[[#This Row],[//]]-2))</f>
        <v/>
      </c>
      <c r="O413" s="7" t="str">
        <f ca="1">IF(ATALI[[#This Row],[//]]="","",INDEX([2]!NOTA[DISC 1],ATALI[[#This Row],[//]]-2))</f>
        <v/>
      </c>
      <c r="P413" s="7" t="str">
        <f ca="1">IF(ATALI[[#This Row],[//]]="","",INDEX([2]!NOTA[DISC 2],ATALI[[#This Row],[//]]-2))</f>
        <v/>
      </c>
      <c r="Q413" s="5" t="str">
        <f ca="1">IF(ATALI[[#This Row],[//]]="","",INDEX([2]!NOTA[TOTAL],ATALI[[#This Row],[//]]-2))</f>
        <v/>
      </c>
      <c r="R4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3" s="4" t="str">
        <f ca="1">IF(ATALI[[#This Row],[//]]="","",INDEX([2]!NOTA[NAMA BARANG],ATALI[[#This Row],[//]]-2))</f>
        <v/>
      </c>
      <c r="V413" s="4" t="str">
        <f ca="1">LOWER(SUBSTITUTE(SUBSTITUTE(SUBSTITUTE(SUBSTITUTE(SUBSTITUTE(SUBSTITUTE(SUBSTITUTE(ATALI[[#This Row],[N.B.nota]]," ",""),"-",""),"(",""),")",""),".",""),",",""),"/",""))</f>
        <v/>
      </c>
      <c r="W413" s="4" t="str">
        <f ca="1">IF(ATALI[[#This Row],[concat]]="","",MATCH(ATALI[[#This Row],[concat]],[4]!db[NB NOTA_C],0)+1)</f>
        <v/>
      </c>
      <c r="X413" s="4" t="str">
        <f ca="1">IF(ATALI[[#This Row],[N.B.nota]]="","",ADDRESS(ROW(ATALI[QB]),COLUMN(ATALI[QB]))&amp;":"&amp;ADDRESS(ROW(),COLUMN(ATALI[QB])))</f>
        <v/>
      </c>
      <c r="Y413" s="13" t="str">
        <f ca="1">IF(ATALI[[#This Row],[//]]="","",HYPERLINK("[../DB.xlsx]DB!e"&amp;MATCH(ATALI[[#This Row],[concat]],[4]!db[NB NOTA_C],0)+1,"&gt;"))</f>
        <v/>
      </c>
    </row>
    <row r="414" spans="1:25" x14ac:dyDescent="0.25">
      <c r="A414" s="4"/>
      <c r="B414" s="6" t="str">
        <f>IF(ATALI[[#This Row],[N_ID]]="","",INDEX(Table1[ID],MATCH(ATALI[[#This Row],[N_ID]],Table1[N_ID],0)))</f>
        <v/>
      </c>
      <c r="C414" s="6" t="str">
        <f>IF(ATALI[[#This Row],[ID NOTA]]="","",HYPERLINK("[NOTA_.xlsx]NOTA!e"&amp;INDEX([2]!PAJAK[//],MATCH(ATALI[[#This Row],[ID NOTA]],[2]!PAJAK[ID],0)),"&gt;") )</f>
        <v/>
      </c>
      <c r="D414" s="6" t="str">
        <f>IF(ATALI[[#This Row],[ID NOTA]]="","",INDEX(Table1[QB],MATCH(ATALI[[#This Row],[ID NOTA]],Table1[ID],0)))</f>
        <v/>
      </c>
      <c r="E4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4" s="6"/>
      <c r="G414" s="3" t="str">
        <f>IF(ATALI[[#This Row],[ID NOTA]]="","",INDEX([2]!NOTA[TGL_H],MATCH(ATALI[[#This Row],[ID NOTA]],[2]!NOTA[ID],0)))</f>
        <v/>
      </c>
      <c r="H414" s="3" t="str">
        <f>IF(ATALI[[#This Row],[ID NOTA]]="","",INDEX([2]!NOTA[TGL.NOTA],MATCH(ATALI[[#This Row],[ID NOTA]],[2]!NOTA[ID],0)))</f>
        <v/>
      </c>
      <c r="I414" s="4" t="str">
        <f>IF(ATALI[[#This Row],[ID NOTA]]="","",INDEX([2]!NOTA[NO.NOTA],MATCH(ATALI[[#This Row],[ID NOTA]],[2]!NOTA[ID],0)))</f>
        <v/>
      </c>
      <c r="J414" s="4" t="str">
        <f ca="1">IF(ATALI[[#This Row],[//]]="","",INDEX([4]!db[NB PAJAK],ATALI[[#This Row],[stt]]-1))</f>
        <v/>
      </c>
      <c r="K414" s="6" t="str">
        <f ca="1">IF(ATALI[[#This Row],[//]]="","",IF(INDEX([2]!NOTA[C],ATALI[[#This Row],[//]]-2)="","",INDEX([2]!NOTA[C],ATALI[[#This Row],[//]]-2)))</f>
        <v/>
      </c>
      <c r="L414" s="6" t="str">
        <f ca="1">IF(ATALI[[#This Row],[//]]="","",INDEX([2]!NOTA[QTY],ATALI[[#This Row],[//]]-2))</f>
        <v/>
      </c>
      <c r="M414" s="6" t="str">
        <f ca="1">IF(ATALI[[#This Row],[//]]="","",INDEX([2]!NOTA[STN],ATALI[[#This Row],[//]]-2))</f>
        <v/>
      </c>
      <c r="N414" s="5" t="str">
        <f ca="1">IF(ATALI[[#This Row],[//]]="","",INDEX([2]!NOTA[HARGA SATUAN],ATALI[[#This Row],[//]]-2))</f>
        <v/>
      </c>
      <c r="O414" s="7" t="str">
        <f ca="1">IF(ATALI[[#This Row],[//]]="","",INDEX([2]!NOTA[DISC 1],ATALI[[#This Row],[//]]-2))</f>
        <v/>
      </c>
      <c r="P414" s="7" t="str">
        <f ca="1">IF(ATALI[[#This Row],[//]]="","",INDEX([2]!NOTA[DISC 2],ATALI[[#This Row],[//]]-2))</f>
        <v/>
      </c>
      <c r="Q414" s="5" t="str">
        <f ca="1">IF(ATALI[[#This Row],[//]]="","",INDEX([2]!NOTA[TOTAL],ATALI[[#This Row],[//]]-2))</f>
        <v/>
      </c>
      <c r="R4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4" s="4" t="str">
        <f ca="1">IF(ATALI[[#This Row],[//]]="","",INDEX([2]!NOTA[NAMA BARANG],ATALI[[#This Row],[//]]-2))</f>
        <v/>
      </c>
      <c r="V414" s="4" t="str">
        <f ca="1">LOWER(SUBSTITUTE(SUBSTITUTE(SUBSTITUTE(SUBSTITUTE(SUBSTITUTE(SUBSTITUTE(SUBSTITUTE(ATALI[[#This Row],[N.B.nota]]," ",""),"-",""),"(",""),")",""),".",""),",",""),"/",""))</f>
        <v/>
      </c>
      <c r="W414" s="4" t="str">
        <f ca="1">IF(ATALI[[#This Row],[concat]]="","",MATCH(ATALI[[#This Row],[concat]],[4]!db[NB NOTA_C],0)+1)</f>
        <v/>
      </c>
      <c r="X414" s="4" t="str">
        <f ca="1">IF(ATALI[[#This Row],[N.B.nota]]="","",ADDRESS(ROW(ATALI[QB]),COLUMN(ATALI[QB]))&amp;":"&amp;ADDRESS(ROW(),COLUMN(ATALI[QB])))</f>
        <v/>
      </c>
      <c r="Y414" s="13" t="str">
        <f ca="1">IF(ATALI[[#This Row],[//]]="","",HYPERLINK("[../DB.xlsx]DB!e"&amp;MATCH(ATALI[[#This Row],[concat]],[4]!db[NB NOTA_C],0)+1,"&gt;"))</f>
        <v/>
      </c>
    </row>
    <row r="415" spans="1:25" x14ac:dyDescent="0.25">
      <c r="A415" s="4"/>
      <c r="B415" s="6" t="str">
        <f>IF(ATALI[[#This Row],[N_ID]]="","",INDEX(Table1[ID],MATCH(ATALI[[#This Row],[N_ID]],Table1[N_ID],0)))</f>
        <v/>
      </c>
      <c r="C415" s="6" t="str">
        <f>IF(ATALI[[#This Row],[ID NOTA]]="","",HYPERLINK("[NOTA_.xlsx]NOTA!e"&amp;INDEX([2]!PAJAK[//],MATCH(ATALI[[#This Row],[ID NOTA]],[2]!PAJAK[ID],0)),"&gt;") )</f>
        <v/>
      </c>
      <c r="D415" s="6" t="str">
        <f>IF(ATALI[[#This Row],[ID NOTA]]="","",INDEX(Table1[QB],MATCH(ATALI[[#This Row],[ID NOTA]],Table1[ID],0)))</f>
        <v/>
      </c>
      <c r="E4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5" s="6"/>
      <c r="G415" s="3" t="str">
        <f>IF(ATALI[[#This Row],[ID NOTA]]="","",INDEX([2]!NOTA[TGL_H],MATCH(ATALI[[#This Row],[ID NOTA]],[2]!NOTA[ID],0)))</f>
        <v/>
      </c>
      <c r="H415" s="3" t="str">
        <f>IF(ATALI[[#This Row],[ID NOTA]]="","",INDEX([2]!NOTA[TGL.NOTA],MATCH(ATALI[[#This Row],[ID NOTA]],[2]!NOTA[ID],0)))</f>
        <v/>
      </c>
      <c r="I415" s="4" t="str">
        <f>IF(ATALI[[#This Row],[ID NOTA]]="","",INDEX([2]!NOTA[NO.NOTA],MATCH(ATALI[[#This Row],[ID NOTA]],[2]!NOTA[ID],0)))</f>
        <v/>
      </c>
      <c r="J415" s="4" t="str">
        <f ca="1">IF(ATALI[[#This Row],[//]]="","",INDEX([4]!db[NB PAJAK],ATALI[[#This Row],[stt]]-1))</f>
        <v/>
      </c>
      <c r="K415" s="6" t="str">
        <f ca="1">IF(ATALI[[#This Row],[//]]="","",IF(INDEX([2]!NOTA[C],ATALI[[#This Row],[//]]-2)="","",INDEX([2]!NOTA[C],ATALI[[#This Row],[//]]-2)))</f>
        <v/>
      </c>
      <c r="L415" s="6" t="str">
        <f ca="1">IF(ATALI[[#This Row],[//]]="","",INDEX([2]!NOTA[QTY],ATALI[[#This Row],[//]]-2))</f>
        <v/>
      </c>
      <c r="M415" s="6" t="str">
        <f ca="1">IF(ATALI[[#This Row],[//]]="","",INDEX([2]!NOTA[STN],ATALI[[#This Row],[//]]-2))</f>
        <v/>
      </c>
      <c r="N415" s="5" t="str">
        <f ca="1">IF(ATALI[[#This Row],[//]]="","",INDEX([2]!NOTA[HARGA SATUAN],ATALI[[#This Row],[//]]-2))</f>
        <v/>
      </c>
      <c r="O415" s="7" t="str">
        <f ca="1">IF(ATALI[[#This Row],[//]]="","",INDEX([2]!NOTA[DISC 1],ATALI[[#This Row],[//]]-2))</f>
        <v/>
      </c>
      <c r="P415" s="7" t="str">
        <f ca="1">IF(ATALI[[#This Row],[//]]="","",INDEX([2]!NOTA[DISC 2],ATALI[[#This Row],[//]]-2))</f>
        <v/>
      </c>
      <c r="Q415" s="5" t="str">
        <f ca="1">IF(ATALI[[#This Row],[//]]="","",INDEX([2]!NOTA[TOTAL],ATALI[[#This Row],[//]]-2))</f>
        <v/>
      </c>
      <c r="R4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5" s="4" t="str">
        <f ca="1">IF(ATALI[[#This Row],[//]]="","",INDEX([2]!NOTA[NAMA BARANG],ATALI[[#This Row],[//]]-2))</f>
        <v/>
      </c>
      <c r="V415" s="4" t="str">
        <f ca="1">LOWER(SUBSTITUTE(SUBSTITUTE(SUBSTITUTE(SUBSTITUTE(SUBSTITUTE(SUBSTITUTE(SUBSTITUTE(ATALI[[#This Row],[N.B.nota]]," ",""),"-",""),"(",""),")",""),".",""),",",""),"/",""))</f>
        <v/>
      </c>
      <c r="W415" s="4" t="str">
        <f ca="1">IF(ATALI[[#This Row],[concat]]="","",MATCH(ATALI[[#This Row],[concat]],[4]!db[NB NOTA_C],0)+1)</f>
        <v/>
      </c>
      <c r="X415" s="4" t="str">
        <f ca="1">IF(ATALI[[#This Row],[N.B.nota]]="","",ADDRESS(ROW(ATALI[QB]),COLUMN(ATALI[QB]))&amp;":"&amp;ADDRESS(ROW(),COLUMN(ATALI[QB])))</f>
        <v/>
      </c>
      <c r="Y415" s="13" t="str">
        <f ca="1">IF(ATALI[[#This Row],[//]]="","",HYPERLINK("[../DB.xlsx]DB!e"&amp;MATCH(ATALI[[#This Row],[concat]],[4]!db[NB NOTA_C],0)+1,"&gt;"))</f>
        <v/>
      </c>
    </row>
    <row r="416" spans="1:25" x14ac:dyDescent="0.25">
      <c r="A416" s="4"/>
      <c r="B416" s="6" t="str">
        <f>IF(ATALI[[#This Row],[N_ID]]="","",INDEX(Table1[ID],MATCH(ATALI[[#This Row],[N_ID]],Table1[N_ID],0)))</f>
        <v/>
      </c>
      <c r="C416" s="6" t="str">
        <f>IF(ATALI[[#This Row],[ID NOTA]]="","",HYPERLINK("[NOTA_.xlsx]NOTA!e"&amp;INDEX([2]!PAJAK[//],MATCH(ATALI[[#This Row],[ID NOTA]],[2]!PAJAK[ID],0)),"&gt;") )</f>
        <v/>
      </c>
      <c r="D416" s="6" t="str">
        <f>IF(ATALI[[#This Row],[ID NOTA]]="","",INDEX(Table1[QB],MATCH(ATALI[[#This Row],[ID NOTA]],Table1[ID],0)))</f>
        <v/>
      </c>
      <c r="E4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6" s="6"/>
      <c r="G416" s="3" t="str">
        <f>IF(ATALI[[#This Row],[ID NOTA]]="","",INDEX([2]!NOTA[TGL_H],MATCH(ATALI[[#This Row],[ID NOTA]],[2]!NOTA[ID],0)))</f>
        <v/>
      </c>
      <c r="H416" s="3" t="str">
        <f>IF(ATALI[[#This Row],[ID NOTA]]="","",INDEX([2]!NOTA[TGL.NOTA],MATCH(ATALI[[#This Row],[ID NOTA]],[2]!NOTA[ID],0)))</f>
        <v/>
      </c>
      <c r="I416" s="4" t="str">
        <f>IF(ATALI[[#This Row],[ID NOTA]]="","",INDEX([2]!NOTA[NO.NOTA],MATCH(ATALI[[#This Row],[ID NOTA]],[2]!NOTA[ID],0)))</f>
        <v/>
      </c>
      <c r="J416" s="4" t="str">
        <f ca="1">IF(ATALI[[#This Row],[//]]="","",INDEX([4]!db[NB PAJAK],ATALI[[#This Row],[stt]]-1))</f>
        <v/>
      </c>
      <c r="K416" s="6" t="str">
        <f ca="1">IF(ATALI[[#This Row],[//]]="","",IF(INDEX([2]!NOTA[C],ATALI[[#This Row],[//]]-2)="","",INDEX([2]!NOTA[C],ATALI[[#This Row],[//]]-2)))</f>
        <v/>
      </c>
      <c r="L416" s="6" t="str">
        <f ca="1">IF(ATALI[[#This Row],[//]]="","",INDEX([2]!NOTA[QTY],ATALI[[#This Row],[//]]-2))</f>
        <v/>
      </c>
      <c r="M416" s="6" t="str">
        <f ca="1">IF(ATALI[[#This Row],[//]]="","",INDEX([2]!NOTA[STN],ATALI[[#This Row],[//]]-2))</f>
        <v/>
      </c>
      <c r="N416" s="5" t="str">
        <f ca="1">IF(ATALI[[#This Row],[//]]="","",INDEX([2]!NOTA[HARGA SATUAN],ATALI[[#This Row],[//]]-2))</f>
        <v/>
      </c>
      <c r="O416" s="7" t="str">
        <f ca="1">IF(ATALI[[#This Row],[//]]="","",INDEX([2]!NOTA[DISC 1],ATALI[[#This Row],[//]]-2))</f>
        <v/>
      </c>
      <c r="P416" s="7" t="str">
        <f ca="1">IF(ATALI[[#This Row],[//]]="","",INDEX([2]!NOTA[DISC 2],ATALI[[#This Row],[//]]-2))</f>
        <v/>
      </c>
      <c r="Q416" s="5" t="str">
        <f ca="1">IF(ATALI[[#This Row],[//]]="","",INDEX([2]!NOTA[TOTAL],ATALI[[#This Row],[//]]-2))</f>
        <v/>
      </c>
      <c r="R4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6" s="4" t="str">
        <f ca="1">IF(ATALI[[#This Row],[//]]="","",INDEX([2]!NOTA[NAMA BARANG],ATALI[[#This Row],[//]]-2))</f>
        <v/>
      </c>
      <c r="V416" s="4" t="str">
        <f ca="1">LOWER(SUBSTITUTE(SUBSTITUTE(SUBSTITUTE(SUBSTITUTE(SUBSTITUTE(SUBSTITUTE(SUBSTITUTE(ATALI[[#This Row],[N.B.nota]]," ",""),"-",""),"(",""),")",""),".",""),",",""),"/",""))</f>
        <v/>
      </c>
      <c r="W416" s="4" t="str">
        <f ca="1">IF(ATALI[[#This Row],[concat]]="","",MATCH(ATALI[[#This Row],[concat]],[4]!db[NB NOTA_C],0)+1)</f>
        <v/>
      </c>
      <c r="X416" s="4" t="str">
        <f ca="1">IF(ATALI[[#This Row],[N.B.nota]]="","",ADDRESS(ROW(ATALI[QB]),COLUMN(ATALI[QB]))&amp;":"&amp;ADDRESS(ROW(),COLUMN(ATALI[QB])))</f>
        <v/>
      </c>
      <c r="Y416" s="13" t="str">
        <f ca="1">IF(ATALI[[#This Row],[//]]="","",HYPERLINK("[../DB.xlsx]DB!e"&amp;MATCH(ATALI[[#This Row],[concat]],[4]!db[NB NOTA_C],0)+1,"&gt;"))</f>
        <v/>
      </c>
    </row>
    <row r="417" spans="1:25" x14ac:dyDescent="0.25">
      <c r="A417" s="4"/>
      <c r="B417" s="6" t="str">
        <f>IF(ATALI[[#This Row],[N_ID]]="","",INDEX(Table1[ID],MATCH(ATALI[[#This Row],[N_ID]],Table1[N_ID],0)))</f>
        <v/>
      </c>
      <c r="C417" s="6" t="str">
        <f>IF(ATALI[[#This Row],[ID NOTA]]="","",HYPERLINK("[NOTA_.xlsx]NOTA!e"&amp;INDEX([2]!PAJAK[//],MATCH(ATALI[[#This Row],[ID NOTA]],[2]!PAJAK[ID],0)),"&gt;") )</f>
        <v/>
      </c>
      <c r="D417" s="6" t="str">
        <f>IF(ATALI[[#This Row],[ID NOTA]]="","",INDEX(Table1[QB],MATCH(ATALI[[#This Row],[ID NOTA]],Table1[ID],0)))</f>
        <v/>
      </c>
      <c r="E4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7" s="6"/>
      <c r="G417" s="3" t="str">
        <f>IF(ATALI[[#This Row],[ID NOTA]]="","",INDEX([2]!NOTA[TGL_H],MATCH(ATALI[[#This Row],[ID NOTA]],[2]!NOTA[ID],0)))</f>
        <v/>
      </c>
      <c r="H417" s="3" t="str">
        <f>IF(ATALI[[#This Row],[ID NOTA]]="","",INDEX([2]!NOTA[TGL.NOTA],MATCH(ATALI[[#This Row],[ID NOTA]],[2]!NOTA[ID],0)))</f>
        <v/>
      </c>
      <c r="I417" s="4" t="str">
        <f>IF(ATALI[[#This Row],[ID NOTA]]="","",INDEX([2]!NOTA[NO.NOTA],MATCH(ATALI[[#This Row],[ID NOTA]],[2]!NOTA[ID],0)))</f>
        <v/>
      </c>
      <c r="J417" s="4" t="str">
        <f ca="1">IF(ATALI[[#This Row],[//]]="","",INDEX([4]!db[NB PAJAK],ATALI[[#This Row],[stt]]-1))</f>
        <v/>
      </c>
      <c r="K417" s="6" t="str">
        <f ca="1">IF(ATALI[[#This Row],[//]]="","",IF(INDEX([2]!NOTA[C],ATALI[[#This Row],[//]]-2)="","",INDEX([2]!NOTA[C],ATALI[[#This Row],[//]]-2)))</f>
        <v/>
      </c>
      <c r="L417" s="6" t="str">
        <f ca="1">IF(ATALI[[#This Row],[//]]="","",INDEX([2]!NOTA[QTY],ATALI[[#This Row],[//]]-2))</f>
        <v/>
      </c>
      <c r="M417" s="6" t="str">
        <f ca="1">IF(ATALI[[#This Row],[//]]="","",INDEX([2]!NOTA[STN],ATALI[[#This Row],[//]]-2))</f>
        <v/>
      </c>
      <c r="N417" s="5" t="str">
        <f ca="1">IF(ATALI[[#This Row],[//]]="","",INDEX([2]!NOTA[HARGA SATUAN],ATALI[[#This Row],[//]]-2))</f>
        <v/>
      </c>
      <c r="O417" s="7" t="str">
        <f ca="1">IF(ATALI[[#This Row],[//]]="","",INDEX([2]!NOTA[DISC 1],ATALI[[#This Row],[//]]-2))</f>
        <v/>
      </c>
      <c r="P417" s="7" t="str">
        <f ca="1">IF(ATALI[[#This Row],[//]]="","",INDEX([2]!NOTA[DISC 2],ATALI[[#This Row],[//]]-2))</f>
        <v/>
      </c>
      <c r="Q417" s="5" t="str">
        <f ca="1">IF(ATALI[[#This Row],[//]]="","",INDEX([2]!NOTA[TOTAL],ATALI[[#This Row],[//]]-2))</f>
        <v/>
      </c>
      <c r="R4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7" s="4" t="str">
        <f ca="1">IF(ATALI[[#This Row],[//]]="","",INDEX([2]!NOTA[NAMA BARANG],ATALI[[#This Row],[//]]-2))</f>
        <v/>
      </c>
      <c r="V417" s="4" t="str">
        <f ca="1">LOWER(SUBSTITUTE(SUBSTITUTE(SUBSTITUTE(SUBSTITUTE(SUBSTITUTE(SUBSTITUTE(SUBSTITUTE(ATALI[[#This Row],[N.B.nota]]," ",""),"-",""),"(",""),")",""),".",""),",",""),"/",""))</f>
        <v/>
      </c>
      <c r="W417" s="4" t="str">
        <f ca="1">IF(ATALI[[#This Row],[concat]]="","",MATCH(ATALI[[#This Row],[concat]],[4]!db[NB NOTA_C],0)+1)</f>
        <v/>
      </c>
      <c r="X417" s="4" t="str">
        <f ca="1">IF(ATALI[[#This Row],[N.B.nota]]="","",ADDRESS(ROW(ATALI[QB]),COLUMN(ATALI[QB]))&amp;":"&amp;ADDRESS(ROW(),COLUMN(ATALI[QB])))</f>
        <v/>
      </c>
      <c r="Y417" s="13" t="str">
        <f ca="1">IF(ATALI[[#This Row],[//]]="","",HYPERLINK("[../DB.xlsx]DB!e"&amp;MATCH(ATALI[[#This Row],[concat]],[4]!db[NB NOTA_C],0)+1,"&gt;"))</f>
        <v/>
      </c>
    </row>
    <row r="418" spans="1:25" x14ac:dyDescent="0.25">
      <c r="A418" s="4"/>
      <c r="B418" s="6" t="str">
        <f>IF(ATALI[[#This Row],[N_ID]]="","",INDEX(Table1[ID],MATCH(ATALI[[#This Row],[N_ID]],Table1[N_ID],0)))</f>
        <v/>
      </c>
      <c r="C418" s="6" t="str">
        <f>IF(ATALI[[#This Row],[ID NOTA]]="","",HYPERLINK("[NOTA_.xlsx]NOTA!e"&amp;INDEX([2]!PAJAK[//],MATCH(ATALI[[#This Row],[ID NOTA]],[2]!PAJAK[ID],0)),"&gt;") )</f>
        <v/>
      </c>
      <c r="D418" s="6" t="str">
        <f>IF(ATALI[[#This Row],[ID NOTA]]="","",INDEX(Table1[QB],MATCH(ATALI[[#This Row],[ID NOTA]],Table1[ID],0)))</f>
        <v/>
      </c>
      <c r="E4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8" s="6"/>
      <c r="G418" s="3" t="str">
        <f>IF(ATALI[[#This Row],[ID NOTA]]="","",INDEX([2]!NOTA[TGL_H],MATCH(ATALI[[#This Row],[ID NOTA]],[2]!NOTA[ID],0)))</f>
        <v/>
      </c>
      <c r="H418" s="3" t="str">
        <f>IF(ATALI[[#This Row],[ID NOTA]]="","",INDEX([2]!NOTA[TGL.NOTA],MATCH(ATALI[[#This Row],[ID NOTA]],[2]!NOTA[ID],0)))</f>
        <v/>
      </c>
      <c r="I418" s="4" t="str">
        <f>IF(ATALI[[#This Row],[ID NOTA]]="","",INDEX([2]!NOTA[NO.NOTA],MATCH(ATALI[[#This Row],[ID NOTA]],[2]!NOTA[ID],0)))</f>
        <v/>
      </c>
      <c r="J418" s="4" t="str">
        <f ca="1">IF(ATALI[[#This Row],[//]]="","",INDEX([4]!db[NB PAJAK],ATALI[[#This Row],[stt]]-1))</f>
        <v/>
      </c>
      <c r="K418" s="6" t="str">
        <f ca="1">IF(ATALI[[#This Row],[//]]="","",IF(INDEX([2]!NOTA[C],ATALI[[#This Row],[//]]-2)="","",INDEX([2]!NOTA[C],ATALI[[#This Row],[//]]-2)))</f>
        <v/>
      </c>
      <c r="L418" s="6" t="str">
        <f ca="1">IF(ATALI[[#This Row],[//]]="","",INDEX([2]!NOTA[QTY],ATALI[[#This Row],[//]]-2))</f>
        <v/>
      </c>
      <c r="M418" s="6" t="str">
        <f ca="1">IF(ATALI[[#This Row],[//]]="","",INDEX([2]!NOTA[STN],ATALI[[#This Row],[//]]-2))</f>
        <v/>
      </c>
      <c r="N418" s="5" t="str">
        <f ca="1">IF(ATALI[[#This Row],[//]]="","",INDEX([2]!NOTA[HARGA SATUAN],ATALI[[#This Row],[//]]-2))</f>
        <v/>
      </c>
      <c r="O418" s="7" t="str">
        <f ca="1">IF(ATALI[[#This Row],[//]]="","",INDEX([2]!NOTA[DISC 1],ATALI[[#This Row],[//]]-2))</f>
        <v/>
      </c>
      <c r="P418" s="7" t="str">
        <f ca="1">IF(ATALI[[#This Row],[//]]="","",INDEX([2]!NOTA[DISC 2],ATALI[[#This Row],[//]]-2))</f>
        <v/>
      </c>
      <c r="Q418" s="5" t="str">
        <f ca="1">IF(ATALI[[#This Row],[//]]="","",INDEX([2]!NOTA[TOTAL],ATALI[[#This Row],[//]]-2))</f>
        <v/>
      </c>
      <c r="R4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8" s="4" t="str">
        <f ca="1">IF(ATALI[[#This Row],[//]]="","",INDEX([2]!NOTA[NAMA BARANG],ATALI[[#This Row],[//]]-2))</f>
        <v/>
      </c>
      <c r="V418" s="4" t="str">
        <f ca="1">LOWER(SUBSTITUTE(SUBSTITUTE(SUBSTITUTE(SUBSTITUTE(SUBSTITUTE(SUBSTITUTE(SUBSTITUTE(ATALI[[#This Row],[N.B.nota]]," ",""),"-",""),"(",""),")",""),".",""),",",""),"/",""))</f>
        <v/>
      </c>
      <c r="W418" s="4" t="str">
        <f ca="1">IF(ATALI[[#This Row],[concat]]="","",MATCH(ATALI[[#This Row],[concat]],[4]!db[NB NOTA_C],0)+1)</f>
        <v/>
      </c>
      <c r="X418" s="4" t="str">
        <f ca="1">IF(ATALI[[#This Row],[N.B.nota]]="","",ADDRESS(ROW(ATALI[QB]),COLUMN(ATALI[QB]))&amp;":"&amp;ADDRESS(ROW(),COLUMN(ATALI[QB])))</f>
        <v/>
      </c>
      <c r="Y418" s="13" t="str">
        <f ca="1">IF(ATALI[[#This Row],[//]]="","",HYPERLINK("[../DB.xlsx]DB!e"&amp;MATCH(ATALI[[#This Row],[concat]],[4]!db[NB NOTA_C],0)+1,"&gt;"))</f>
        <v/>
      </c>
    </row>
    <row r="419" spans="1:25" x14ac:dyDescent="0.25">
      <c r="A419" s="4"/>
      <c r="B419" s="6" t="str">
        <f>IF(ATALI[[#This Row],[N_ID]]="","",INDEX(Table1[ID],MATCH(ATALI[[#This Row],[N_ID]],Table1[N_ID],0)))</f>
        <v/>
      </c>
      <c r="C419" s="6" t="str">
        <f>IF(ATALI[[#This Row],[ID NOTA]]="","",HYPERLINK("[NOTA_.xlsx]NOTA!e"&amp;INDEX([2]!PAJAK[//],MATCH(ATALI[[#This Row],[ID NOTA]],[2]!PAJAK[ID],0)),"&gt;") )</f>
        <v/>
      </c>
      <c r="D419" s="6" t="str">
        <f>IF(ATALI[[#This Row],[ID NOTA]]="","",INDEX(Table1[QB],MATCH(ATALI[[#This Row],[ID NOTA]],Table1[ID],0)))</f>
        <v/>
      </c>
      <c r="E4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9" s="6"/>
      <c r="G419" s="3" t="str">
        <f>IF(ATALI[[#This Row],[ID NOTA]]="","",INDEX([2]!NOTA[TGL_H],MATCH(ATALI[[#This Row],[ID NOTA]],[2]!NOTA[ID],0)))</f>
        <v/>
      </c>
      <c r="H419" s="3" t="str">
        <f>IF(ATALI[[#This Row],[ID NOTA]]="","",INDEX([2]!NOTA[TGL.NOTA],MATCH(ATALI[[#This Row],[ID NOTA]],[2]!NOTA[ID],0)))</f>
        <v/>
      </c>
      <c r="I419" s="4" t="str">
        <f>IF(ATALI[[#This Row],[ID NOTA]]="","",INDEX([2]!NOTA[NO.NOTA],MATCH(ATALI[[#This Row],[ID NOTA]],[2]!NOTA[ID],0)))</f>
        <v/>
      </c>
      <c r="J419" s="4" t="str">
        <f ca="1">IF(ATALI[[#This Row],[//]]="","",INDEX([4]!db[NB PAJAK],ATALI[[#This Row],[stt]]-1))</f>
        <v/>
      </c>
      <c r="K419" s="6" t="str">
        <f ca="1">IF(ATALI[[#This Row],[//]]="","",IF(INDEX([2]!NOTA[C],ATALI[[#This Row],[//]]-2)="","",INDEX([2]!NOTA[C],ATALI[[#This Row],[//]]-2)))</f>
        <v/>
      </c>
      <c r="L419" s="6" t="str">
        <f ca="1">IF(ATALI[[#This Row],[//]]="","",INDEX([2]!NOTA[QTY],ATALI[[#This Row],[//]]-2))</f>
        <v/>
      </c>
      <c r="M419" s="6" t="str">
        <f ca="1">IF(ATALI[[#This Row],[//]]="","",INDEX([2]!NOTA[STN],ATALI[[#This Row],[//]]-2))</f>
        <v/>
      </c>
      <c r="N419" s="5" t="str">
        <f ca="1">IF(ATALI[[#This Row],[//]]="","",INDEX([2]!NOTA[HARGA SATUAN],ATALI[[#This Row],[//]]-2))</f>
        <v/>
      </c>
      <c r="O419" s="7" t="str">
        <f ca="1">IF(ATALI[[#This Row],[//]]="","",INDEX([2]!NOTA[DISC 1],ATALI[[#This Row],[//]]-2))</f>
        <v/>
      </c>
      <c r="P419" s="7" t="str">
        <f ca="1">IF(ATALI[[#This Row],[//]]="","",INDEX([2]!NOTA[DISC 2],ATALI[[#This Row],[//]]-2))</f>
        <v/>
      </c>
      <c r="Q419" s="5" t="str">
        <f ca="1">IF(ATALI[[#This Row],[//]]="","",INDEX([2]!NOTA[TOTAL],ATALI[[#This Row],[//]]-2))</f>
        <v/>
      </c>
      <c r="R4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9" s="4" t="str">
        <f ca="1">IF(ATALI[[#This Row],[//]]="","",INDEX([2]!NOTA[NAMA BARANG],ATALI[[#This Row],[//]]-2))</f>
        <v/>
      </c>
      <c r="V419" s="4" t="str">
        <f ca="1">LOWER(SUBSTITUTE(SUBSTITUTE(SUBSTITUTE(SUBSTITUTE(SUBSTITUTE(SUBSTITUTE(SUBSTITUTE(ATALI[[#This Row],[N.B.nota]]," ",""),"-",""),"(",""),")",""),".",""),",",""),"/",""))</f>
        <v/>
      </c>
      <c r="W419" s="4" t="str">
        <f ca="1">IF(ATALI[[#This Row],[concat]]="","",MATCH(ATALI[[#This Row],[concat]],[4]!db[NB NOTA_C],0)+1)</f>
        <v/>
      </c>
      <c r="X419" s="4" t="str">
        <f ca="1">IF(ATALI[[#This Row],[N.B.nota]]="","",ADDRESS(ROW(ATALI[QB]),COLUMN(ATALI[QB]))&amp;":"&amp;ADDRESS(ROW(),COLUMN(ATALI[QB])))</f>
        <v/>
      </c>
      <c r="Y419" s="13" t="str">
        <f ca="1">IF(ATALI[[#This Row],[//]]="","",HYPERLINK("[../DB.xlsx]DB!e"&amp;MATCH(ATALI[[#This Row],[concat]],[4]!db[NB NOTA_C],0)+1,"&gt;"))</f>
        <v/>
      </c>
    </row>
    <row r="420" spans="1:25" x14ac:dyDescent="0.25">
      <c r="A420" s="4"/>
      <c r="B420" s="6" t="str">
        <f>IF(ATALI[[#This Row],[N_ID]]="","",INDEX(Table1[ID],MATCH(ATALI[[#This Row],[N_ID]],Table1[N_ID],0)))</f>
        <v/>
      </c>
      <c r="C420" s="6" t="str">
        <f>IF(ATALI[[#This Row],[ID NOTA]]="","",HYPERLINK("[NOTA_.xlsx]NOTA!e"&amp;INDEX([2]!PAJAK[//],MATCH(ATALI[[#This Row],[ID NOTA]],[2]!PAJAK[ID],0)),"&gt;") )</f>
        <v/>
      </c>
      <c r="D420" s="6" t="str">
        <f>IF(ATALI[[#This Row],[ID NOTA]]="","",INDEX(Table1[QB],MATCH(ATALI[[#This Row],[ID NOTA]],Table1[ID],0)))</f>
        <v/>
      </c>
      <c r="E4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0" s="6"/>
      <c r="G420" s="3" t="str">
        <f>IF(ATALI[[#This Row],[ID NOTA]]="","",INDEX([2]!NOTA[TGL_H],MATCH(ATALI[[#This Row],[ID NOTA]],[2]!NOTA[ID],0)))</f>
        <v/>
      </c>
      <c r="H420" s="3" t="str">
        <f>IF(ATALI[[#This Row],[ID NOTA]]="","",INDEX([2]!NOTA[TGL.NOTA],MATCH(ATALI[[#This Row],[ID NOTA]],[2]!NOTA[ID],0)))</f>
        <v/>
      </c>
      <c r="I420" s="4" t="str">
        <f>IF(ATALI[[#This Row],[ID NOTA]]="","",INDEX([2]!NOTA[NO.NOTA],MATCH(ATALI[[#This Row],[ID NOTA]],[2]!NOTA[ID],0)))</f>
        <v/>
      </c>
      <c r="J420" s="4" t="str">
        <f ca="1">IF(ATALI[[#This Row],[//]]="","",INDEX([4]!db[NB PAJAK],ATALI[[#This Row],[stt]]-1))</f>
        <v/>
      </c>
      <c r="K420" s="6" t="str">
        <f ca="1">IF(ATALI[[#This Row],[//]]="","",IF(INDEX([2]!NOTA[C],ATALI[[#This Row],[//]]-2)="","",INDEX([2]!NOTA[C],ATALI[[#This Row],[//]]-2)))</f>
        <v/>
      </c>
      <c r="L420" s="6" t="str">
        <f ca="1">IF(ATALI[[#This Row],[//]]="","",INDEX([2]!NOTA[QTY],ATALI[[#This Row],[//]]-2))</f>
        <v/>
      </c>
      <c r="M420" s="6" t="str">
        <f ca="1">IF(ATALI[[#This Row],[//]]="","",INDEX([2]!NOTA[STN],ATALI[[#This Row],[//]]-2))</f>
        <v/>
      </c>
      <c r="N420" s="5" t="str">
        <f ca="1">IF(ATALI[[#This Row],[//]]="","",INDEX([2]!NOTA[HARGA SATUAN],ATALI[[#This Row],[//]]-2))</f>
        <v/>
      </c>
      <c r="O420" s="7" t="str">
        <f ca="1">IF(ATALI[[#This Row],[//]]="","",INDEX([2]!NOTA[DISC 1],ATALI[[#This Row],[//]]-2))</f>
        <v/>
      </c>
      <c r="P420" s="7" t="str">
        <f ca="1">IF(ATALI[[#This Row],[//]]="","",INDEX([2]!NOTA[DISC 2],ATALI[[#This Row],[//]]-2))</f>
        <v/>
      </c>
      <c r="Q420" s="5" t="str">
        <f ca="1">IF(ATALI[[#This Row],[//]]="","",INDEX([2]!NOTA[TOTAL],ATALI[[#This Row],[//]]-2))</f>
        <v/>
      </c>
      <c r="R4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0" s="4" t="str">
        <f ca="1">IF(ATALI[[#This Row],[//]]="","",INDEX([2]!NOTA[NAMA BARANG],ATALI[[#This Row],[//]]-2))</f>
        <v/>
      </c>
      <c r="V420" s="4" t="str">
        <f ca="1">LOWER(SUBSTITUTE(SUBSTITUTE(SUBSTITUTE(SUBSTITUTE(SUBSTITUTE(SUBSTITUTE(SUBSTITUTE(ATALI[[#This Row],[N.B.nota]]," ",""),"-",""),"(",""),")",""),".",""),",",""),"/",""))</f>
        <v/>
      </c>
      <c r="W420" s="4" t="str">
        <f ca="1">IF(ATALI[[#This Row],[concat]]="","",MATCH(ATALI[[#This Row],[concat]],[4]!db[NB NOTA_C],0)+1)</f>
        <v/>
      </c>
      <c r="X420" s="4" t="str">
        <f ca="1">IF(ATALI[[#This Row],[N.B.nota]]="","",ADDRESS(ROW(ATALI[QB]),COLUMN(ATALI[QB]))&amp;":"&amp;ADDRESS(ROW(),COLUMN(ATALI[QB])))</f>
        <v/>
      </c>
      <c r="Y420" s="13" t="str">
        <f ca="1">IF(ATALI[[#This Row],[//]]="","",HYPERLINK("[../DB.xlsx]DB!e"&amp;MATCH(ATALI[[#This Row],[concat]],[4]!db[NB NOTA_C],0)+1,"&gt;"))</f>
        <v/>
      </c>
    </row>
    <row r="421" spans="1:25" x14ac:dyDescent="0.25">
      <c r="A421" s="4"/>
      <c r="B421" s="6" t="str">
        <f>IF(ATALI[[#This Row],[N_ID]]="","",INDEX(Table1[ID],MATCH(ATALI[[#This Row],[N_ID]],Table1[N_ID],0)))</f>
        <v/>
      </c>
      <c r="C421" s="6" t="str">
        <f>IF(ATALI[[#This Row],[ID NOTA]]="","",HYPERLINK("[NOTA_.xlsx]NOTA!e"&amp;INDEX([2]!PAJAK[//],MATCH(ATALI[[#This Row],[ID NOTA]],[2]!PAJAK[ID],0)),"&gt;") )</f>
        <v/>
      </c>
      <c r="D421" s="6" t="str">
        <f>IF(ATALI[[#This Row],[ID NOTA]]="","",INDEX(Table1[QB],MATCH(ATALI[[#This Row],[ID NOTA]],Table1[ID],0)))</f>
        <v/>
      </c>
      <c r="E4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1" s="6"/>
      <c r="G421" s="3" t="str">
        <f>IF(ATALI[[#This Row],[ID NOTA]]="","",INDEX([2]!NOTA[TGL_H],MATCH(ATALI[[#This Row],[ID NOTA]],[2]!NOTA[ID],0)))</f>
        <v/>
      </c>
      <c r="H421" s="3" t="str">
        <f>IF(ATALI[[#This Row],[ID NOTA]]="","",INDEX([2]!NOTA[TGL.NOTA],MATCH(ATALI[[#This Row],[ID NOTA]],[2]!NOTA[ID],0)))</f>
        <v/>
      </c>
      <c r="I421" s="4" t="str">
        <f>IF(ATALI[[#This Row],[ID NOTA]]="","",INDEX([2]!NOTA[NO.NOTA],MATCH(ATALI[[#This Row],[ID NOTA]],[2]!NOTA[ID],0)))</f>
        <v/>
      </c>
      <c r="J421" s="4" t="str">
        <f ca="1">IF(ATALI[[#This Row],[//]]="","",INDEX([4]!db[NB PAJAK],ATALI[[#This Row],[stt]]-1))</f>
        <v/>
      </c>
      <c r="K421" s="6" t="str">
        <f ca="1">IF(ATALI[[#This Row],[//]]="","",IF(INDEX([2]!NOTA[C],ATALI[[#This Row],[//]]-2)="","",INDEX([2]!NOTA[C],ATALI[[#This Row],[//]]-2)))</f>
        <v/>
      </c>
      <c r="L421" s="6" t="str">
        <f ca="1">IF(ATALI[[#This Row],[//]]="","",INDEX([2]!NOTA[QTY],ATALI[[#This Row],[//]]-2))</f>
        <v/>
      </c>
      <c r="M421" s="6" t="str">
        <f ca="1">IF(ATALI[[#This Row],[//]]="","",INDEX([2]!NOTA[STN],ATALI[[#This Row],[//]]-2))</f>
        <v/>
      </c>
      <c r="N421" s="5" t="str">
        <f ca="1">IF(ATALI[[#This Row],[//]]="","",INDEX([2]!NOTA[HARGA SATUAN],ATALI[[#This Row],[//]]-2))</f>
        <v/>
      </c>
      <c r="O421" s="7" t="str">
        <f ca="1">IF(ATALI[[#This Row],[//]]="","",INDEX([2]!NOTA[DISC 1],ATALI[[#This Row],[//]]-2))</f>
        <v/>
      </c>
      <c r="P421" s="7" t="str">
        <f ca="1">IF(ATALI[[#This Row],[//]]="","",INDEX([2]!NOTA[DISC 2],ATALI[[#This Row],[//]]-2))</f>
        <v/>
      </c>
      <c r="Q421" s="5" t="str">
        <f ca="1">IF(ATALI[[#This Row],[//]]="","",INDEX([2]!NOTA[TOTAL],ATALI[[#This Row],[//]]-2))</f>
        <v/>
      </c>
      <c r="R4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1" s="4" t="str">
        <f ca="1">IF(ATALI[[#This Row],[//]]="","",INDEX([2]!NOTA[NAMA BARANG],ATALI[[#This Row],[//]]-2))</f>
        <v/>
      </c>
      <c r="V421" s="4" t="str">
        <f ca="1">LOWER(SUBSTITUTE(SUBSTITUTE(SUBSTITUTE(SUBSTITUTE(SUBSTITUTE(SUBSTITUTE(SUBSTITUTE(ATALI[[#This Row],[N.B.nota]]," ",""),"-",""),"(",""),")",""),".",""),",",""),"/",""))</f>
        <v/>
      </c>
      <c r="W421" s="4" t="str">
        <f ca="1">IF(ATALI[[#This Row],[concat]]="","",MATCH(ATALI[[#This Row],[concat]],[4]!db[NB NOTA_C],0)+1)</f>
        <v/>
      </c>
      <c r="X421" s="4" t="str">
        <f ca="1">IF(ATALI[[#This Row],[N.B.nota]]="","",ADDRESS(ROW(ATALI[QB]),COLUMN(ATALI[QB]))&amp;":"&amp;ADDRESS(ROW(),COLUMN(ATALI[QB])))</f>
        <v/>
      </c>
      <c r="Y421" s="13" t="str">
        <f ca="1">IF(ATALI[[#This Row],[//]]="","",HYPERLINK("[../DB.xlsx]DB!e"&amp;MATCH(ATALI[[#This Row],[concat]],[4]!db[NB NOTA_C],0)+1,"&gt;"))</f>
        <v/>
      </c>
    </row>
    <row r="422" spans="1:25" x14ac:dyDescent="0.25">
      <c r="A422" s="4"/>
      <c r="B422" s="6" t="str">
        <f>IF(ATALI[[#This Row],[N_ID]]="","",INDEX(Table1[ID],MATCH(ATALI[[#This Row],[N_ID]],Table1[N_ID],0)))</f>
        <v/>
      </c>
      <c r="C422" s="6" t="str">
        <f>IF(ATALI[[#This Row],[ID NOTA]]="","",HYPERLINK("[NOTA_.xlsx]NOTA!e"&amp;INDEX([2]!PAJAK[//],MATCH(ATALI[[#This Row],[ID NOTA]],[2]!PAJAK[ID],0)),"&gt;") )</f>
        <v/>
      </c>
      <c r="D422" s="6" t="str">
        <f>IF(ATALI[[#This Row],[ID NOTA]]="","",INDEX(Table1[QB],MATCH(ATALI[[#This Row],[ID NOTA]],Table1[ID],0)))</f>
        <v/>
      </c>
      <c r="E4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2" s="6"/>
      <c r="G422" s="3" t="str">
        <f>IF(ATALI[[#This Row],[ID NOTA]]="","",INDEX([2]!NOTA[TGL_H],MATCH(ATALI[[#This Row],[ID NOTA]],[2]!NOTA[ID],0)))</f>
        <v/>
      </c>
      <c r="H422" s="3" t="str">
        <f>IF(ATALI[[#This Row],[ID NOTA]]="","",INDEX([2]!NOTA[TGL.NOTA],MATCH(ATALI[[#This Row],[ID NOTA]],[2]!NOTA[ID],0)))</f>
        <v/>
      </c>
      <c r="I422" s="4" t="str">
        <f>IF(ATALI[[#This Row],[ID NOTA]]="","",INDEX([2]!NOTA[NO.NOTA],MATCH(ATALI[[#This Row],[ID NOTA]],[2]!NOTA[ID],0)))</f>
        <v/>
      </c>
      <c r="J422" s="4" t="str">
        <f ca="1">IF(ATALI[[#This Row],[//]]="","",INDEX([4]!db[NB PAJAK],ATALI[[#This Row],[stt]]-1))</f>
        <v/>
      </c>
      <c r="K422" s="6" t="str">
        <f ca="1">IF(ATALI[[#This Row],[//]]="","",IF(INDEX([2]!NOTA[C],ATALI[[#This Row],[//]]-2)="","",INDEX([2]!NOTA[C],ATALI[[#This Row],[//]]-2)))</f>
        <v/>
      </c>
      <c r="L422" s="6" t="str">
        <f ca="1">IF(ATALI[[#This Row],[//]]="","",INDEX([2]!NOTA[QTY],ATALI[[#This Row],[//]]-2))</f>
        <v/>
      </c>
      <c r="M422" s="6" t="str">
        <f ca="1">IF(ATALI[[#This Row],[//]]="","",INDEX([2]!NOTA[STN],ATALI[[#This Row],[//]]-2))</f>
        <v/>
      </c>
      <c r="N422" s="5" t="str">
        <f ca="1">IF(ATALI[[#This Row],[//]]="","",INDEX([2]!NOTA[HARGA SATUAN],ATALI[[#This Row],[//]]-2))</f>
        <v/>
      </c>
      <c r="O422" s="7" t="str">
        <f ca="1">IF(ATALI[[#This Row],[//]]="","",INDEX([2]!NOTA[DISC 1],ATALI[[#This Row],[//]]-2))</f>
        <v/>
      </c>
      <c r="P422" s="7" t="str">
        <f ca="1">IF(ATALI[[#This Row],[//]]="","",INDEX([2]!NOTA[DISC 2],ATALI[[#This Row],[//]]-2))</f>
        <v/>
      </c>
      <c r="Q422" s="5" t="str">
        <f ca="1">IF(ATALI[[#This Row],[//]]="","",INDEX([2]!NOTA[TOTAL],ATALI[[#This Row],[//]]-2))</f>
        <v/>
      </c>
      <c r="R4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2" s="4" t="str">
        <f ca="1">IF(ATALI[[#This Row],[//]]="","",INDEX([2]!NOTA[NAMA BARANG],ATALI[[#This Row],[//]]-2))</f>
        <v/>
      </c>
      <c r="V422" s="4" t="str">
        <f ca="1">LOWER(SUBSTITUTE(SUBSTITUTE(SUBSTITUTE(SUBSTITUTE(SUBSTITUTE(SUBSTITUTE(SUBSTITUTE(ATALI[[#This Row],[N.B.nota]]," ",""),"-",""),"(",""),")",""),".",""),",",""),"/",""))</f>
        <v/>
      </c>
      <c r="W422" s="4" t="str">
        <f ca="1">IF(ATALI[[#This Row],[concat]]="","",MATCH(ATALI[[#This Row],[concat]],[4]!db[NB NOTA_C],0)+1)</f>
        <v/>
      </c>
      <c r="X422" s="4" t="str">
        <f ca="1">IF(ATALI[[#This Row],[N.B.nota]]="","",ADDRESS(ROW(ATALI[QB]),COLUMN(ATALI[QB]))&amp;":"&amp;ADDRESS(ROW(),COLUMN(ATALI[QB])))</f>
        <v/>
      </c>
      <c r="Y422" s="13" t="str">
        <f ca="1">IF(ATALI[[#This Row],[//]]="","",HYPERLINK("[../DB.xlsx]DB!e"&amp;MATCH(ATALI[[#This Row],[concat]],[4]!db[NB NOTA_C],0)+1,"&gt;"))</f>
        <v/>
      </c>
    </row>
    <row r="423" spans="1:25" x14ac:dyDescent="0.25">
      <c r="A423" s="4"/>
      <c r="B423" s="6" t="str">
        <f>IF(ATALI[[#This Row],[N_ID]]="","",INDEX(Table1[ID],MATCH(ATALI[[#This Row],[N_ID]],Table1[N_ID],0)))</f>
        <v/>
      </c>
      <c r="C423" s="6" t="str">
        <f>IF(ATALI[[#This Row],[ID NOTA]]="","",HYPERLINK("[NOTA_.xlsx]NOTA!e"&amp;INDEX([2]!PAJAK[//],MATCH(ATALI[[#This Row],[ID NOTA]],[2]!PAJAK[ID],0)),"&gt;") )</f>
        <v/>
      </c>
      <c r="D423" s="6" t="str">
        <f>IF(ATALI[[#This Row],[ID NOTA]]="","",INDEX(Table1[QB],MATCH(ATALI[[#This Row],[ID NOTA]],Table1[ID],0)))</f>
        <v/>
      </c>
      <c r="E4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3" s="6"/>
      <c r="G423" s="3" t="str">
        <f>IF(ATALI[[#This Row],[ID NOTA]]="","",INDEX([2]!NOTA[TGL_H],MATCH(ATALI[[#This Row],[ID NOTA]],[2]!NOTA[ID],0)))</f>
        <v/>
      </c>
      <c r="H423" s="3" t="str">
        <f>IF(ATALI[[#This Row],[ID NOTA]]="","",INDEX([2]!NOTA[TGL.NOTA],MATCH(ATALI[[#This Row],[ID NOTA]],[2]!NOTA[ID],0)))</f>
        <v/>
      </c>
      <c r="I423" s="4" t="str">
        <f>IF(ATALI[[#This Row],[ID NOTA]]="","",INDEX([2]!NOTA[NO.NOTA],MATCH(ATALI[[#This Row],[ID NOTA]],[2]!NOTA[ID],0)))</f>
        <v/>
      </c>
      <c r="J423" s="4" t="str">
        <f ca="1">IF(ATALI[[#This Row],[//]]="","",INDEX([4]!db[NB PAJAK],ATALI[[#This Row],[stt]]-1))</f>
        <v/>
      </c>
      <c r="K423" s="6" t="str">
        <f ca="1">IF(ATALI[[#This Row],[//]]="","",IF(INDEX([2]!NOTA[C],ATALI[[#This Row],[//]]-2)="","",INDEX([2]!NOTA[C],ATALI[[#This Row],[//]]-2)))</f>
        <v/>
      </c>
      <c r="L423" s="6" t="str">
        <f ca="1">IF(ATALI[[#This Row],[//]]="","",INDEX([2]!NOTA[QTY],ATALI[[#This Row],[//]]-2))</f>
        <v/>
      </c>
      <c r="M423" s="6" t="str">
        <f ca="1">IF(ATALI[[#This Row],[//]]="","",INDEX([2]!NOTA[STN],ATALI[[#This Row],[//]]-2))</f>
        <v/>
      </c>
      <c r="N423" s="5" t="str">
        <f ca="1">IF(ATALI[[#This Row],[//]]="","",INDEX([2]!NOTA[HARGA SATUAN],ATALI[[#This Row],[//]]-2))</f>
        <v/>
      </c>
      <c r="O423" s="7" t="str">
        <f ca="1">IF(ATALI[[#This Row],[//]]="","",INDEX([2]!NOTA[DISC 1],ATALI[[#This Row],[//]]-2))</f>
        <v/>
      </c>
      <c r="P423" s="7" t="str">
        <f ca="1">IF(ATALI[[#This Row],[//]]="","",INDEX([2]!NOTA[DISC 2],ATALI[[#This Row],[//]]-2))</f>
        <v/>
      </c>
      <c r="Q423" s="5" t="str">
        <f ca="1">IF(ATALI[[#This Row],[//]]="","",INDEX([2]!NOTA[TOTAL],ATALI[[#This Row],[//]]-2))</f>
        <v/>
      </c>
      <c r="R4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3" s="4" t="str">
        <f ca="1">IF(ATALI[[#This Row],[//]]="","",INDEX([2]!NOTA[NAMA BARANG],ATALI[[#This Row],[//]]-2))</f>
        <v/>
      </c>
      <c r="V423" s="4" t="str">
        <f ca="1">LOWER(SUBSTITUTE(SUBSTITUTE(SUBSTITUTE(SUBSTITUTE(SUBSTITUTE(SUBSTITUTE(SUBSTITUTE(ATALI[[#This Row],[N.B.nota]]," ",""),"-",""),"(",""),")",""),".",""),",",""),"/",""))</f>
        <v/>
      </c>
      <c r="W423" s="4" t="str">
        <f ca="1">IF(ATALI[[#This Row],[concat]]="","",MATCH(ATALI[[#This Row],[concat]],[4]!db[NB NOTA_C],0)+1)</f>
        <v/>
      </c>
      <c r="X423" s="4" t="str">
        <f ca="1">IF(ATALI[[#This Row],[N.B.nota]]="","",ADDRESS(ROW(ATALI[QB]),COLUMN(ATALI[QB]))&amp;":"&amp;ADDRESS(ROW(),COLUMN(ATALI[QB])))</f>
        <v/>
      </c>
      <c r="Y423" s="13" t="str">
        <f ca="1">IF(ATALI[[#This Row],[//]]="","",HYPERLINK("[../DB.xlsx]DB!e"&amp;MATCH(ATALI[[#This Row],[concat]],[4]!db[NB NOTA_C],0)+1,"&gt;"))</f>
        <v/>
      </c>
    </row>
    <row r="424" spans="1:25" x14ac:dyDescent="0.25">
      <c r="A424" s="4"/>
      <c r="B424" s="6" t="str">
        <f>IF(ATALI[[#This Row],[N_ID]]="","",INDEX(Table1[ID],MATCH(ATALI[[#This Row],[N_ID]],Table1[N_ID],0)))</f>
        <v/>
      </c>
      <c r="C424" s="6" t="str">
        <f>IF(ATALI[[#This Row],[ID NOTA]]="","",HYPERLINK("[NOTA_.xlsx]NOTA!e"&amp;INDEX([2]!PAJAK[//],MATCH(ATALI[[#This Row],[ID NOTA]],[2]!PAJAK[ID],0)),"&gt;") )</f>
        <v/>
      </c>
      <c r="D424" s="6" t="str">
        <f>IF(ATALI[[#This Row],[ID NOTA]]="","",INDEX(Table1[QB],MATCH(ATALI[[#This Row],[ID NOTA]],Table1[ID],0)))</f>
        <v/>
      </c>
      <c r="E4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4" s="6"/>
      <c r="G424" s="3" t="str">
        <f>IF(ATALI[[#This Row],[ID NOTA]]="","",INDEX([2]!NOTA[TGL_H],MATCH(ATALI[[#This Row],[ID NOTA]],[2]!NOTA[ID],0)))</f>
        <v/>
      </c>
      <c r="H424" s="3" t="str">
        <f>IF(ATALI[[#This Row],[ID NOTA]]="","",INDEX([2]!NOTA[TGL.NOTA],MATCH(ATALI[[#This Row],[ID NOTA]],[2]!NOTA[ID],0)))</f>
        <v/>
      </c>
      <c r="I424" s="4" t="str">
        <f>IF(ATALI[[#This Row],[ID NOTA]]="","",INDEX([2]!NOTA[NO.NOTA],MATCH(ATALI[[#This Row],[ID NOTA]],[2]!NOTA[ID],0)))</f>
        <v/>
      </c>
      <c r="J424" s="4" t="str">
        <f ca="1">IF(ATALI[[#This Row],[//]]="","",INDEX([4]!db[NB PAJAK],ATALI[[#This Row],[stt]]-1))</f>
        <v/>
      </c>
      <c r="K424" s="6" t="str">
        <f ca="1">IF(ATALI[[#This Row],[//]]="","",IF(INDEX([2]!NOTA[C],ATALI[[#This Row],[//]]-2)="","",INDEX([2]!NOTA[C],ATALI[[#This Row],[//]]-2)))</f>
        <v/>
      </c>
      <c r="L424" s="6" t="str">
        <f ca="1">IF(ATALI[[#This Row],[//]]="","",INDEX([2]!NOTA[QTY],ATALI[[#This Row],[//]]-2))</f>
        <v/>
      </c>
      <c r="M424" s="6" t="str">
        <f ca="1">IF(ATALI[[#This Row],[//]]="","",INDEX([2]!NOTA[STN],ATALI[[#This Row],[//]]-2))</f>
        <v/>
      </c>
      <c r="N424" s="5" t="str">
        <f ca="1">IF(ATALI[[#This Row],[//]]="","",INDEX([2]!NOTA[HARGA SATUAN],ATALI[[#This Row],[//]]-2))</f>
        <v/>
      </c>
      <c r="O424" s="7" t="str">
        <f ca="1">IF(ATALI[[#This Row],[//]]="","",INDEX([2]!NOTA[DISC 1],ATALI[[#This Row],[//]]-2))</f>
        <v/>
      </c>
      <c r="P424" s="7" t="str">
        <f ca="1">IF(ATALI[[#This Row],[//]]="","",INDEX([2]!NOTA[DISC 2],ATALI[[#This Row],[//]]-2))</f>
        <v/>
      </c>
      <c r="Q424" s="5" t="str">
        <f ca="1">IF(ATALI[[#This Row],[//]]="","",INDEX([2]!NOTA[TOTAL],ATALI[[#This Row],[//]]-2))</f>
        <v/>
      </c>
      <c r="R4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4" s="4" t="str">
        <f ca="1">IF(ATALI[[#This Row],[//]]="","",INDEX([2]!NOTA[NAMA BARANG],ATALI[[#This Row],[//]]-2))</f>
        <v/>
      </c>
      <c r="V424" s="4" t="str">
        <f ca="1">LOWER(SUBSTITUTE(SUBSTITUTE(SUBSTITUTE(SUBSTITUTE(SUBSTITUTE(SUBSTITUTE(SUBSTITUTE(ATALI[[#This Row],[N.B.nota]]," ",""),"-",""),"(",""),")",""),".",""),",",""),"/",""))</f>
        <v/>
      </c>
      <c r="W424" s="4" t="str">
        <f ca="1">IF(ATALI[[#This Row],[concat]]="","",MATCH(ATALI[[#This Row],[concat]],[4]!db[NB NOTA_C],0)+1)</f>
        <v/>
      </c>
      <c r="X424" s="4" t="str">
        <f ca="1">IF(ATALI[[#This Row],[N.B.nota]]="","",ADDRESS(ROW(ATALI[QB]),COLUMN(ATALI[QB]))&amp;":"&amp;ADDRESS(ROW(),COLUMN(ATALI[QB])))</f>
        <v/>
      </c>
      <c r="Y424" s="13" t="str">
        <f ca="1">IF(ATALI[[#This Row],[//]]="","",HYPERLINK("[../DB.xlsx]DB!e"&amp;MATCH(ATALI[[#This Row],[concat]],[4]!db[NB NOTA_C],0)+1,"&gt;"))</f>
        <v/>
      </c>
    </row>
    <row r="425" spans="1:25" x14ac:dyDescent="0.25">
      <c r="A425" s="4"/>
      <c r="B425" s="6" t="str">
        <f>IF(ATALI[[#This Row],[N_ID]]="","",INDEX(Table1[ID],MATCH(ATALI[[#This Row],[N_ID]],Table1[N_ID],0)))</f>
        <v/>
      </c>
      <c r="C425" s="6" t="str">
        <f>IF(ATALI[[#This Row],[ID NOTA]]="","",HYPERLINK("[NOTA_.xlsx]NOTA!e"&amp;INDEX([2]!PAJAK[//],MATCH(ATALI[[#This Row],[ID NOTA]],[2]!PAJAK[ID],0)),"&gt;") )</f>
        <v/>
      </c>
      <c r="D425" s="6" t="str">
        <f>IF(ATALI[[#This Row],[ID NOTA]]="","",INDEX(Table1[QB],MATCH(ATALI[[#This Row],[ID NOTA]],Table1[ID],0)))</f>
        <v/>
      </c>
      <c r="E4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5" s="6"/>
      <c r="G425" s="3" t="str">
        <f>IF(ATALI[[#This Row],[ID NOTA]]="","",INDEX([2]!NOTA[TGL_H],MATCH(ATALI[[#This Row],[ID NOTA]],[2]!NOTA[ID],0)))</f>
        <v/>
      </c>
      <c r="H425" s="3" t="str">
        <f>IF(ATALI[[#This Row],[ID NOTA]]="","",INDEX([2]!NOTA[TGL.NOTA],MATCH(ATALI[[#This Row],[ID NOTA]],[2]!NOTA[ID],0)))</f>
        <v/>
      </c>
      <c r="I425" s="4" t="str">
        <f>IF(ATALI[[#This Row],[ID NOTA]]="","",INDEX([2]!NOTA[NO.NOTA],MATCH(ATALI[[#This Row],[ID NOTA]],[2]!NOTA[ID],0)))</f>
        <v/>
      </c>
      <c r="J425" s="4" t="str">
        <f ca="1">IF(ATALI[[#This Row],[//]]="","",INDEX([4]!db[NB PAJAK],ATALI[[#This Row],[stt]]-1))</f>
        <v/>
      </c>
      <c r="K425" s="6" t="str">
        <f ca="1">IF(ATALI[[#This Row],[//]]="","",IF(INDEX([2]!NOTA[C],ATALI[[#This Row],[//]]-2)="","",INDEX([2]!NOTA[C],ATALI[[#This Row],[//]]-2)))</f>
        <v/>
      </c>
      <c r="L425" s="6" t="str">
        <f ca="1">IF(ATALI[[#This Row],[//]]="","",INDEX([2]!NOTA[QTY],ATALI[[#This Row],[//]]-2))</f>
        <v/>
      </c>
      <c r="M425" s="6" t="str">
        <f ca="1">IF(ATALI[[#This Row],[//]]="","",INDEX([2]!NOTA[STN],ATALI[[#This Row],[//]]-2))</f>
        <v/>
      </c>
      <c r="N425" s="5" t="str">
        <f ca="1">IF(ATALI[[#This Row],[//]]="","",INDEX([2]!NOTA[HARGA SATUAN],ATALI[[#This Row],[//]]-2))</f>
        <v/>
      </c>
      <c r="O425" s="7" t="str">
        <f ca="1">IF(ATALI[[#This Row],[//]]="","",INDEX([2]!NOTA[DISC 1],ATALI[[#This Row],[//]]-2))</f>
        <v/>
      </c>
      <c r="P425" s="7" t="str">
        <f ca="1">IF(ATALI[[#This Row],[//]]="","",INDEX([2]!NOTA[DISC 2],ATALI[[#This Row],[//]]-2))</f>
        <v/>
      </c>
      <c r="Q425" s="5" t="str">
        <f ca="1">IF(ATALI[[#This Row],[//]]="","",INDEX([2]!NOTA[TOTAL],ATALI[[#This Row],[//]]-2))</f>
        <v/>
      </c>
      <c r="R4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5" s="4" t="str">
        <f ca="1">IF(ATALI[[#This Row],[//]]="","",INDEX([2]!NOTA[NAMA BARANG],ATALI[[#This Row],[//]]-2))</f>
        <v/>
      </c>
      <c r="V425" s="4" t="str">
        <f ca="1">LOWER(SUBSTITUTE(SUBSTITUTE(SUBSTITUTE(SUBSTITUTE(SUBSTITUTE(SUBSTITUTE(SUBSTITUTE(ATALI[[#This Row],[N.B.nota]]," ",""),"-",""),"(",""),")",""),".",""),",",""),"/",""))</f>
        <v/>
      </c>
      <c r="W425" s="4" t="str">
        <f ca="1">IF(ATALI[[#This Row],[concat]]="","",MATCH(ATALI[[#This Row],[concat]],[4]!db[NB NOTA_C],0)+1)</f>
        <v/>
      </c>
      <c r="X425" s="4" t="str">
        <f ca="1">IF(ATALI[[#This Row],[N.B.nota]]="","",ADDRESS(ROW(ATALI[QB]),COLUMN(ATALI[QB]))&amp;":"&amp;ADDRESS(ROW(),COLUMN(ATALI[QB])))</f>
        <v/>
      </c>
      <c r="Y425" s="13" t="str">
        <f ca="1">IF(ATALI[[#This Row],[//]]="","",HYPERLINK("[../DB.xlsx]DB!e"&amp;MATCH(ATALI[[#This Row],[concat]],[4]!db[NB NOTA_C],0)+1,"&gt;"))</f>
        <v/>
      </c>
    </row>
    <row r="426" spans="1:25" x14ac:dyDescent="0.25">
      <c r="A426" s="4"/>
      <c r="B426" s="6" t="str">
        <f>IF(ATALI[[#This Row],[N_ID]]="","",INDEX(Table1[ID],MATCH(ATALI[[#This Row],[N_ID]],Table1[N_ID],0)))</f>
        <v/>
      </c>
      <c r="C426" s="6" t="str">
        <f>IF(ATALI[[#This Row],[ID NOTA]]="","",HYPERLINK("[NOTA_.xlsx]NOTA!e"&amp;INDEX([2]!PAJAK[//],MATCH(ATALI[[#This Row],[ID NOTA]],[2]!PAJAK[ID],0)),"&gt;") )</f>
        <v/>
      </c>
      <c r="D426" s="6" t="str">
        <f>IF(ATALI[[#This Row],[ID NOTA]]="","",INDEX(Table1[QB],MATCH(ATALI[[#This Row],[ID NOTA]],Table1[ID],0)))</f>
        <v/>
      </c>
      <c r="E4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6" s="6"/>
      <c r="G426" s="3" t="str">
        <f>IF(ATALI[[#This Row],[ID NOTA]]="","",INDEX([2]!NOTA[TGL_H],MATCH(ATALI[[#This Row],[ID NOTA]],[2]!NOTA[ID],0)))</f>
        <v/>
      </c>
      <c r="H426" s="3" t="str">
        <f>IF(ATALI[[#This Row],[ID NOTA]]="","",INDEX([2]!NOTA[TGL.NOTA],MATCH(ATALI[[#This Row],[ID NOTA]],[2]!NOTA[ID],0)))</f>
        <v/>
      </c>
      <c r="I426" s="4" t="str">
        <f>IF(ATALI[[#This Row],[ID NOTA]]="","",INDEX([2]!NOTA[NO.NOTA],MATCH(ATALI[[#This Row],[ID NOTA]],[2]!NOTA[ID],0)))</f>
        <v/>
      </c>
      <c r="J426" s="4" t="str">
        <f ca="1">IF(ATALI[[#This Row],[//]]="","",INDEX([4]!db[NB PAJAK],ATALI[[#This Row],[stt]]-1))</f>
        <v/>
      </c>
      <c r="K426" s="6" t="str">
        <f ca="1">IF(ATALI[[#This Row],[//]]="","",IF(INDEX([2]!NOTA[C],ATALI[[#This Row],[//]]-2)="","",INDEX([2]!NOTA[C],ATALI[[#This Row],[//]]-2)))</f>
        <v/>
      </c>
      <c r="L426" s="6" t="str">
        <f ca="1">IF(ATALI[[#This Row],[//]]="","",INDEX([2]!NOTA[QTY],ATALI[[#This Row],[//]]-2))</f>
        <v/>
      </c>
      <c r="M426" s="6" t="str">
        <f ca="1">IF(ATALI[[#This Row],[//]]="","",INDEX([2]!NOTA[STN],ATALI[[#This Row],[//]]-2))</f>
        <v/>
      </c>
      <c r="N426" s="5" t="str">
        <f ca="1">IF(ATALI[[#This Row],[//]]="","",INDEX([2]!NOTA[HARGA SATUAN],ATALI[[#This Row],[//]]-2))</f>
        <v/>
      </c>
      <c r="O426" s="7" t="str">
        <f ca="1">IF(ATALI[[#This Row],[//]]="","",INDEX([2]!NOTA[DISC 1],ATALI[[#This Row],[//]]-2))</f>
        <v/>
      </c>
      <c r="P426" s="7" t="str">
        <f ca="1">IF(ATALI[[#This Row],[//]]="","",INDEX([2]!NOTA[DISC 2],ATALI[[#This Row],[//]]-2))</f>
        <v/>
      </c>
      <c r="Q426" s="5" t="str">
        <f ca="1">IF(ATALI[[#This Row],[//]]="","",INDEX([2]!NOTA[TOTAL],ATALI[[#This Row],[//]]-2))</f>
        <v/>
      </c>
      <c r="R4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6" s="4" t="str">
        <f ca="1">IF(ATALI[[#This Row],[//]]="","",INDEX([2]!NOTA[NAMA BARANG],ATALI[[#This Row],[//]]-2))</f>
        <v/>
      </c>
      <c r="V426" s="4" t="str">
        <f ca="1">LOWER(SUBSTITUTE(SUBSTITUTE(SUBSTITUTE(SUBSTITUTE(SUBSTITUTE(SUBSTITUTE(SUBSTITUTE(ATALI[[#This Row],[N.B.nota]]," ",""),"-",""),"(",""),")",""),".",""),",",""),"/",""))</f>
        <v/>
      </c>
      <c r="W426" s="4" t="str">
        <f ca="1">IF(ATALI[[#This Row],[concat]]="","",MATCH(ATALI[[#This Row],[concat]],[4]!db[NB NOTA_C],0)+1)</f>
        <v/>
      </c>
      <c r="X426" s="4" t="str">
        <f ca="1">IF(ATALI[[#This Row],[N.B.nota]]="","",ADDRESS(ROW(ATALI[QB]),COLUMN(ATALI[QB]))&amp;":"&amp;ADDRESS(ROW(),COLUMN(ATALI[QB])))</f>
        <v/>
      </c>
      <c r="Y426" s="13" t="str">
        <f ca="1">IF(ATALI[[#This Row],[//]]="","",HYPERLINK("[../DB.xlsx]DB!e"&amp;MATCH(ATALI[[#This Row],[concat]],[4]!db[NB NOTA_C],0)+1,"&gt;"))</f>
        <v/>
      </c>
    </row>
    <row r="427" spans="1:25" x14ac:dyDescent="0.25">
      <c r="A427" s="4"/>
      <c r="B427" s="6" t="str">
        <f>IF(ATALI[[#This Row],[N_ID]]="","",INDEX(Table1[ID],MATCH(ATALI[[#This Row],[N_ID]],Table1[N_ID],0)))</f>
        <v/>
      </c>
      <c r="C427" s="6" t="str">
        <f>IF(ATALI[[#This Row],[ID NOTA]]="","",HYPERLINK("[NOTA_.xlsx]NOTA!e"&amp;INDEX([2]!PAJAK[//],MATCH(ATALI[[#This Row],[ID NOTA]],[2]!PAJAK[ID],0)),"&gt;") )</f>
        <v/>
      </c>
      <c r="D427" s="6" t="str">
        <f>IF(ATALI[[#This Row],[ID NOTA]]="","",INDEX(Table1[QB],MATCH(ATALI[[#This Row],[ID NOTA]],Table1[ID],0)))</f>
        <v/>
      </c>
      <c r="E4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7" s="6"/>
      <c r="G427" s="3" t="str">
        <f>IF(ATALI[[#This Row],[ID NOTA]]="","",INDEX([2]!NOTA[TGL_H],MATCH(ATALI[[#This Row],[ID NOTA]],[2]!NOTA[ID],0)))</f>
        <v/>
      </c>
      <c r="H427" s="3" t="str">
        <f>IF(ATALI[[#This Row],[ID NOTA]]="","",INDEX([2]!NOTA[TGL.NOTA],MATCH(ATALI[[#This Row],[ID NOTA]],[2]!NOTA[ID],0)))</f>
        <v/>
      </c>
      <c r="I427" s="4" t="str">
        <f>IF(ATALI[[#This Row],[ID NOTA]]="","",INDEX([2]!NOTA[NO.NOTA],MATCH(ATALI[[#This Row],[ID NOTA]],[2]!NOTA[ID],0)))</f>
        <v/>
      </c>
      <c r="J427" s="4" t="str">
        <f ca="1">IF(ATALI[[#This Row],[//]]="","",INDEX([4]!db[NB PAJAK],ATALI[[#This Row],[stt]]-1))</f>
        <v/>
      </c>
      <c r="K427" s="6" t="str">
        <f ca="1">IF(ATALI[[#This Row],[//]]="","",IF(INDEX([2]!NOTA[C],ATALI[[#This Row],[//]]-2)="","",INDEX([2]!NOTA[C],ATALI[[#This Row],[//]]-2)))</f>
        <v/>
      </c>
      <c r="L427" s="6" t="str">
        <f ca="1">IF(ATALI[[#This Row],[//]]="","",INDEX([2]!NOTA[QTY],ATALI[[#This Row],[//]]-2))</f>
        <v/>
      </c>
      <c r="M427" s="6" t="str">
        <f ca="1">IF(ATALI[[#This Row],[//]]="","",INDEX([2]!NOTA[STN],ATALI[[#This Row],[//]]-2))</f>
        <v/>
      </c>
      <c r="N427" s="5" t="str">
        <f ca="1">IF(ATALI[[#This Row],[//]]="","",INDEX([2]!NOTA[HARGA SATUAN],ATALI[[#This Row],[//]]-2))</f>
        <v/>
      </c>
      <c r="O427" s="7" t="str">
        <f ca="1">IF(ATALI[[#This Row],[//]]="","",INDEX([2]!NOTA[DISC 1],ATALI[[#This Row],[//]]-2))</f>
        <v/>
      </c>
      <c r="P427" s="7" t="str">
        <f ca="1">IF(ATALI[[#This Row],[//]]="","",INDEX([2]!NOTA[DISC 2],ATALI[[#This Row],[//]]-2))</f>
        <v/>
      </c>
      <c r="Q427" s="5" t="str">
        <f ca="1">IF(ATALI[[#This Row],[//]]="","",INDEX([2]!NOTA[TOTAL],ATALI[[#This Row],[//]]-2))</f>
        <v/>
      </c>
      <c r="R4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7" s="4" t="str">
        <f ca="1">IF(ATALI[[#This Row],[//]]="","",INDEX([2]!NOTA[NAMA BARANG],ATALI[[#This Row],[//]]-2))</f>
        <v/>
      </c>
      <c r="V427" s="4" t="str">
        <f ca="1">LOWER(SUBSTITUTE(SUBSTITUTE(SUBSTITUTE(SUBSTITUTE(SUBSTITUTE(SUBSTITUTE(SUBSTITUTE(ATALI[[#This Row],[N.B.nota]]," ",""),"-",""),"(",""),")",""),".",""),",",""),"/",""))</f>
        <v/>
      </c>
      <c r="W427" s="4" t="str">
        <f ca="1">IF(ATALI[[#This Row],[concat]]="","",MATCH(ATALI[[#This Row],[concat]],[4]!db[NB NOTA_C],0)+1)</f>
        <v/>
      </c>
      <c r="X427" s="4" t="str">
        <f ca="1">IF(ATALI[[#This Row],[N.B.nota]]="","",ADDRESS(ROW(ATALI[QB]),COLUMN(ATALI[QB]))&amp;":"&amp;ADDRESS(ROW(),COLUMN(ATALI[QB])))</f>
        <v/>
      </c>
      <c r="Y427" s="13" t="str">
        <f ca="1">IF(ATALI[[#This Row],[//]]="","",HYPERLINK("[../DB.xlsx]DB!e"&amp;MATCH(ATALI[[#This Row],[concat]],[4]!db[NB NOTA_C],0)+1,"&gt;"))</f>
        <v/>
      </c>
    </row>
    <row r="428" spans="1:25" x14ac:dyDescent="0.25">
      <c r="A428" s="4"/>
      <c r="B428" s="6" t="str">
        <f>IF(ATALI[[#This Row],[N_ID]]="","",INDEX(Table1[ID],MATCH(ATALI[[#This Row],[N_ID]],Table1[N_ID],0)))</f>
        <v/>
      </c>
      <c r="C428" s="6" t="str">
        <f>IF(ATALI[[#This Row],[ID NOTA]]="","",HYPERLINK("[NOTA_.xlsx]NOTA!e"&amp;INDEX([2]!PAJAK[//],MATCH(ATALI[[#This Row],[ID NOTA]],[2]!PAJAK[ID],0)),"&gt;") )</f>
        <v/>
      </c>
      <c r="D428" s="6" t="str">
        <f>IF(ATALI[[#This Row],[ID NOTA]]="","",INDEX(Table1[QB],MATCH(ATALI[[#This Row],[ID NOTA]],Table1[ID],0)))</f>
        <v/>
      </c>
      <c r="E4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8" s="6"/>
      <c r="G428" s="3" t="str">
        <f>IF(ATALI[[#This Row],[ID NOTA]]="","",INDEX([2]!NOTA[TGL_H],MATCH(ATALI[[#This Row],[ID NOTA]],[2]!NOTA[ID],0)))</f>
        <v/>
      </c>
      <c r="H428" s="3" t="str">
        <f>IF(ATALI[[#This Row],[ID NOTA]]="","",INDEX([2]!NOTA[TGL.NOTA],MATCH(ATALI[[#This Row],[ID NOTA]],[2]!NOTA[ID],0)))</f>
        <v/>
      </c>
      <c r="I428" s="4" t="str">
        <f>IF(ATALI[[#This Row],[ID NOTA]]="","",INDEX([2]!NOTA[NO.NOTA],MATCH(ATALI[[#This Row],[ID NOTA]],[2]!NOTA[ID],0)))</f>
        <v/>
      </c>
      <c r="J428" s="4" t="str">
        <f ca="1">IF(ATALI[[#This Row],[//]]="","",INDEX([4]!db[NB PAJAK],ATALI[[#This Row],[stt]]-1))</f>
        <v/>
      </c>
      <c r="K428" s="6" t="str">
        <f ca="1">IF(ATALI[[#This Row],[//]]="","",IF(INDEX([2]!NOTA[C],ATALI[[#This Row],[//]]-2)="","",INDEX([2]!NOTA[C],ATALI[[#This Row],[//]]-2)))</f>
        <v/>
      </c>
      <c r="L428" s="6" t="str">
        <f ca="1">IF(ATALI[[#This Row],[//]]="","",INDEX([2]!NOTA[QTY],ATALI[[#This Row],[//]]-2))</f>
        <v/>
      </c>
      <c r="M428" s="6" t="str">
        <f ca="1">IF(ATALI[[#This Row],[//]]="","",INDEX([2]!NOTA[STN],ATALI[[#This Row],[//]]-2))</f>
        <v/>
      </c>
      <c r="N428" s="5" t="str">
        <f ca="1">IF(ATALI[[#This Row],[//]]="","",INDEX([2]!NOTA[HARGA SATUAN],ATALI[[#This Row],[//]]-2))</f>
        <v/>
      </c>
      <c r="O428" s="7" t="str">
        <f ca="1">IF(ATALI[[#This Row],[//]]="","",INDEX([2]!NOTA[DISC 1],ATALI[[#This Row],[//]]-2))</f>
        <v/>
      </c>
      <c r="P428" s="7" t="str">
        <f ca="1">IF(ATALI[[#This Row],[//]]="","",INDEX([2]!NOTA[DISC 2],ATALI[[#This Row],[//]]-2))</f>
        <v/>
      </c>
      <c r="Q428" s="5" t="str">
        <f ca="1">IF(ATALI[[#This Row],[//]]="","",INDEX([2]!NOTA[TOTAL],ATALI[[#This Row],[//]]-2))</f>
        <v/>
      </c>
      <c r="R4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8" s="4" t="str">
        <f ca="1">IF(ATALI[[#This Row],[//]]="","",INDEX([2]!NOTA[NAMA BARANG],ATALI[[#This Row],[//]]-2))</f>
        <v/>
      </c>
      <c r="V428" s="4" t="str">
        <f ca="1">LOWER(SUBSTITUTE(SUBSTITUTE(SUBSTITUTE(SUBSTITUTE(SUBSTITUTE(SUBSTITUTE(SUBSTITUTE(ATALI[[#This Row],[N.B.nota]]," ",""),"-",""),"(",""),")",""),".",""),",",""),"/",""))</f>
        <v/>
      </c>
      <c r="W428" s="4" t="str">
        <f ca="1">IF(ATALI[[#This Row],[concat]]="","",MATCH(ATALI[[#This Row],[concat]],[4]!db[NB NOTA_C],0)+1)</f>
        <v/>
      </c>
      <c r="X428" s="4" t="str">
        <f ca="1">IF(ATALI[[#This Row],[N.B.nota]]="","",ADDRESS(ROW(ATALI[QB]),COLUMN(ATALI[QB]))&amp;":"&amp;ADDRESS(ROW(),COLUMN(ATALI[QB])))</f>
        <v/>
      </c>
      <c r="Y428" s="13" t="str">
        <f ca="1">IF(ATALI[[#This Row],[//]]="","",HYPERLINK("[../DB.xlsx]DB!e"&amp;MATCH(ATALI[[#This Row],[concat]],[4]!db[NB NOTA_C],0)+1,"&gt;"))</f>
        <v/>
      </c>
    </row>
    <row r="429" spans="1:25" x14ac:dyDescent="0.25">
      <c r="A429" s="4"/>
      <c r="B429" s="6" t="str">
        <f>IF(ATALI[[#This Row],[N_ID]]="","",INDEX(Table1[ID],MATCH(ATALI[[#This Row],[N_ID]],Table1[N_ID],0)))</f>
        <v/>
      </c>
      <c r="C429" s="6" t="str">
        <f>IF(ATALI[[#This Row],[ID NOTA]]="","",HYPERLINK("[NOTA_.xlsx]NOTA!e"&amp;INDEX([2]!PAJAK[//],MATCH(ATALI[[#This Row],[ID NOTA]],[2]!PAJAK[ID],0)),"&gt;") )</f>
        <v/>
      </c>
      <c r="D429" s="6" t="str">
        <f>IF(ATALI[[#This Row],[ID NOTA]]="","",INDEX(Table1[QB],MATCH(ATALI[[#This Row],[ID NOTA]],Table1[ID],0)))</f>
        <v/>
      </c>
      <c r="E4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9" s="6"/>
      <c r="G429" s="3" t="str">
        <f>IF(ATALI[[#This Row],[ID NOTA]]="","",INDEX([2]!NOTA[TGL_H],MATCH(ATALI[[#This Row],[ID NOTA]],[2]!NOTA[ID],0)))</f>
        <v/>
      </c>
      <c r="H429" s="3" t="str">
        <f>IF(ATALI[[#This Row],[ID NOTA]]="","",INDEX([2]!NOTA[TGL.NOTA],MATCH(ATALI[[#This Row],[ID NOTA]],[2]!NOTA[ID],0)))</f>
        <v/>
      </c>
      <c r="I429" s="4" t="str">
        <f>IF(ATALI[[#This Row],[ID NOTA]]="","",INDEX([2]!NOTA[NO.NOTA],MATCH(ATALI[[#This Row],[ID NOTA]],[2]!NOTA[ID],0)))</f>
        <v/>
      </c>
      <c r="J429" s="4" t="str">
        <f ca="1">IF(ATALI[[#This Row],[//]]="","",INDEX([4]!db[NB PAJAK],ATALI[[#This Row],[stt]]-1))</f>
        <v/>
      </c>
      <c r="K429" s="6" t="str">
        <f ca="1">IF(ATALI[[#This Row],[//]]="","",IF(INDEX([2]!NOTA[C],ATALI[[#This Row],[//]]-2)="","",INDEX([2]!NOTA[C],ATALI[[#This Row],[//]]-2)))</f>
        <v/>
      </c>
      <c r="L429" s="6" t="str">
        <f ca="1">IF(ATALI[[#This Row],[//]]="","",INDEX([2]!NOTA[QTY],ATALI[[#This Row],[//]]-2))</f>
        <v/>
      </c>
      <c r="M429" s="6" t="str">
        <f ca="1">IF(ATALI[[#This Row],[//]]="","",INDEX([2]!NOTA[STN],ATALI[[#This Row],[//]]-2))</f>
        <v/>
      </c>
      <c r="N429" s="5" t="str">
        <f ca="1">IF(ATALI[[#This Row],[//]]="","",INDEX([2]!NOTA[HARGA SATUAN],ATALI[[#This Row],[//]]-2))</f>
        <v/>
      </c>
      <c r="O429" s="7" t="str">
        <f ca="1">IF(ATALI[[#This Row],[//]]="","",INDEX([2]!NOTA[DISC 1],ATALI[[#This Row],[//]]-2))</f>
        <v/>
      </c>
      <c r="P429" s="7" t="str">
        <f ca="1">IF(ATALI[[#This Row],[//]]="","",INDEX([2]!NOTA[DISC 2],ATALI[[#This Row],[//]]-2))</f>
        <v/>
      </c>
      <c r="Q429" s="5" t="str">
        <f ca="1">IF(ATALI[[#This Row],[//]]="","",INDEX([2]!NOTA[TOTAL],ATALI[[#This Row],[//]]-2))</f>
        <v/>
      </c>
      <c r="R4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9" s="4" t="str">
        <f ca="1">IF(ATALI[[#This Row],[//]]="","",INDEX([2]!NOTA[NAMA BARANG],ATALI[[#This Row],[//]]-2))</f>
        <v/>
      </c>
      <c r="V429" s="4" t="str">
        <f ca="1">LOWER(SUBSTITUTE(SUBSTITUTE(SUBSTITUTE(SUBSTITUTE(SUBSTITUTE(SUBSTITUTE(SUBSTITUTE(ATALI[[#This Row],[N.B.nota]]," ",""),"-",""),"(",""),")",""),".",""),",",""),"/",""))</f>
        <v/>
      </c>
      <c r="W429" s="4" t="str">
        <f ca="1">IF(ATALI[[#This Row],[concat]]="","",MATCH(ATALI[[#This Row],[concat]],[4]!db[NB NOTA_C],0)+1)</f>
        <v/>
      </c>
      <c r="X429" s="4" t="str">
        <f ca="1">IF(ATALI[[#This Row],[N.B.nota]]="","",ADDRESS(ROW(ATALI[QB]),COLUMN(ATALI[QB]))&amp;":"&amp;ADDRESS(ROW(),COLUMN(ATALI[QB])))</f>
        <v/>
      </c>
      <c r="Y429" s="13" t="str">
        <f ca="1">IF(ATALI[[#This Row],[//]]="","",HYPERLINK("[../DB.xlsx]DB!e"&amp;MATCH(ATALI[[#This Row],[concat]],[4]!db[NB NOTA_C],0)+1,"&gt;"))</f>
        <v/>
      </c>
    </row>
    <row r="430" spans="1:25" x14ac:dyDescent="0.25">
      <c r="A430" s="4"/>
      <c r="B430" s="6" t="str">
        <f>IF(ATALI[[#This Row],[N_ID]]="","",INDEX(Table1[ID],MATCH(ATALI[[#This Row],[N_ID]],Table1[N_ID],0)))</f>
        <v/>
      </c>
      <c r="C430" s="6" t="str">
        <f>IF(ATALI[[#This Row],[ID NOTA]]="","",HYPERLINK("[NOTA_.xlsx]NOTA!e"&amp;INDEX([2]!PAJAK[//],MATCH(ATALI[[#This Row],[ID NOTA]],[2]!PAJAK[ID],0)),"&gt;") )</f>
        <v/>
      </c>
      <c r="D430" s="6" t="str">
        <f>IF(ATALI[[#This Row],[ID NOTA]]="","",INDEX(Table1[QB],MATCH(ATALI[[#This Row],[ID NOTA]],Table1[ID],0)))</f>
        <v/>
      </c>
      <c r="E4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0" s="6"/>
      <c r="G430" s="3" t="str">
        <f>IF(ATALI[[#This Row],[ID NOTA]]="","",INDEX([2]!NOTA[TGL_H],MATCH(ATALI[[#This Row],[ID NOTA]],[2]!NOTA[ID],0)))</f>
        <v/>
      </c>
      <c r="H430" s="3" t="str">
        <f>IF(ATALI[[#This Row],[ID NOTA]]="","",INDEX([2]!NOTA[TGL.NOTA],MATCH(ATALI[[#This Row],[ID NOTA]],[2]!NOTA[ID],0)))</f>
        <v/>
      </c>
      <c r="I430" s="4" t="str">
        <f>IF(ATALI[[#This Row],[ID NOTA]]="","",INDEX([2]!NOTA[NO.NOTA],MATCH(ATALI[[#This Row],[ID NOTA]],[2]!NOTA[ID],0)))</f>
        <v/>
      </c>
      <c r="J430" s="4" t="str">
        <f ca="1">IF(ATALI[[#This Row],[//]]="","",INDEX([4]!db[NB PAJAK],ATALI[[#This Row],[stt]]-1))</f>
        <v/>
      </c>
      <c r="K430" s="6" t="str">
        <f ca="1">IF(ATALI[[#This Row],[//]]="","",IF(INDEX([2]!NOTA[C],ATALI[[#This Row],[//]]-2)="","",INDEX([2]!NOTA[C],ATALI[[#This Row],[//]]-2)))</f>
        <v/>
      </c>
      <c r="L430" s="6" t="str">
        <f ca="1">IF(ATALI[[#This Row],[//]]="","",INDEX([2]!NOTA[QTY],ATALI[[#This Row],[//]]-2))</f>
        <v/>
      </c>
      <c r="M430" s="6" t="str">
        <f ca="1">IF(ATALI[[#This Row],[//]]="","",INDEX([2]!NOTA[STN],ATALI[[#This Row],[//]]-2))</f>
        <v/>
      </c>
      <c r="N430" s="5" t="str">
        <f ca="1">IF(ATALI[[#This Row],[//]]="","",INDEX([2]!NOTA[HARGA SATUAN],ATALI[[#This Row],[//]]-2))</f>
        <v/>
      </c>
      <c r="O430" s="7" t="str">
        <f ca="1">IF(ATALI[[#This Row],[//]]="","",INDEX([2]!NOTA[DISC 1],ATALI[[#This Row],[//]]-2))</f>
        <v/>
      </c>
      <c r="P430" s="7" t="str">
        <f ca="1">IF(ATALI[[#This Row],[//]]="","",INDEX([2]!NOTA[DISC 2],ATALI[[#This Row],[//]]-2))</f>
        <v/>
      </c>
      <c r="Q430" s="5" t="str">
        <f ca="1">IF(ATALI[[#This Row],[//]]="","",INDEX([2]!NOTA[TOTAL],ATALI[[#This Row],[//]]-2))</f>
        <v/>
      </c>
      <c r="R4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0" s="4" t="str">
        <f ca="1">IF(ATALI[[#This Row],[//]]="","",INDEX([2]!NOTA[NAMA BARANG],ATALI[[#This Row],[//]]-2))</f>
        <v/>
      </c>
      <c r="V430" s="4" t="str">
        <f ca="1">LOWER(SUBSTITUTE(SUBSTITUTE(SUBSTITUTE(SUBSTITUTE(SUBSTITUTE(SUBSTITUTE(SUBSTITUTE(ATALI[[#This Row],[N.B.nota]]," ",""),"-",""),"(",""),")",""),".",""),",",""),"/",""))</f>
        <v/>
      </c>
      <c r="W430" s="4" t="str">
        <f ca="1">IF(ATALI[[#This Row],[concat]]="","",MATCH(ATALI[[#This Row],[concat]],[4]!db[NB NOTA_C],0)+1)</f>
        <v/>
      </c>
      <c r="X430" s="4" t="str">
        <f ca="1">IF(ATALI[[#This Row],[N.B.nota]]="","",ADDRESS(ROW(ATALI[QB]),COLUMN(ATALI[QB]))&amp;":"&amp;ADDRESS(ROW(),COLUMN(ATALI[QB])))</f>
        <v/>
      </c>
      <c r="Y430" s="13" t="str">
        <f ca="1">IF(ATALI[[#This Row],[//]]="","",HYPERLINK("[../DB.xlsx]DB!e"&amp;MATCH(ATALI[[#This Row],[concat]],[4]!db[NB NOTA_C],0)+1,"&gt;"))</f>
        <v/>
      </c>
    </row>
    <row r="431" spans="1:25" x14ac:dyDescent="0.25">
      <c r="A431" s="4"/>
      <c r="B431" s="6" t="str">
        <f>IF(ATALI[[#This Row],[N_ID]]="","",INDEX(Table1[ID],MATCH(ATALI[[#This Row],[N_ID]],Table1[N_ID],0)))</f>
        <v/>
      </c>
      <c r="C431" s="6" t="str">
        <f>IF(ATALI[[#This Row],[ID NOTA]]="","",HYPERLINK("[NOTA_.xlsx]NOTA!e"&amp;INDEX([2]!PAJAK[//],MATCH(ATALI[[#This Row],[ID NOTA]],[2]!PAJAK[ID],0)),"&gt;") )</f>
        <v/>
      </c>
      <c r="D431" s="6" t="str">
        <f>IF(ATALI[[#This Row],[ID NOTA]]="","",INDEX(Table1[QB],MATCH(ATALI[[#This Row],[ID NOTA]],Table1[ID],0)))</f>
        <v/>
      </c>
      <c r="E4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1" s="6"/>
      <c r="G431" s="3" t="str">
        <f>IF(ATALI[[#This Row],[ID NOTA]]="","",INDEX([2]!NOTA[TGL_H],MATCH(ATALI[[#This Row],[ID NOTA]],[2]!NOTA[ID],0)))</f>
        <v/>
      </c>
      <c r="H431" s="3" t="str">
        <f>IF(ATALI[[#This Row],[ID NOTA]]="","",INDEX([2]!NOTA[TGL.NOTA],MATCH(ATALI[[#This Row],[ID NOTA]],[2]!NOTA[ID],0)))</f>
        <v/>
      </c>
      <c r="I431" s="4" t="str">
        <f>IF(ATALI[[#This Row],[ID NOTA]]="","",INDEX([2]!NOTA[NO.NOTA],MATCH(ATALI[[#This Row],[ID NOTA]],[2]!NOTA[ID],0)))</f>
        <v/>
      </c>
      <c r="J431" s="4" t="str">
        <f ca="1">IF(ATALI[[#This Row],[//]]="","",INDEX([4]!db[NB PAJAK],ATALI[[#This Row],[stt]]-1))</f>
        <v/>
      </c>
      <c r="K431" s="6" t="str">
        <f ca="1">IF(ATALI[[#This Row],[//]]="","",IF(INDEX([2]!NOTA[C],ATALI[[#This Row],[//]]-2)="","",INDEX([2]!NOTA[C],ATALI[[#This Row],[//]]-2)))</f>
        <v/>
      </c>
      <c r="L431" s="6" t="str">
        <f ca="1">IF(ATALI[[#This Row],[//]]="","",INDEX([2]!NOTA[QTY],ATALI[[#This Row],[//]]-2))</f>
        <v/>
      </c>
      <c r="M431" s="6" t="str">
        <f ca="1">IF(ATALI[[#This Row],[//]]="","",INDEX([2]!NOTA[STN],ATALI[[#This Row],[//]]-2))</f>
        <v/>
      </c>
      <c r="N431" s="5" t="str">
        <f ca="1">IF(ATALI[[#This Row],[//]]="","",INDEX([2]!NOTA[HARGA SATUAN],ATALI[[#This Row],[//]]-2))</f>
        <v/>
      </c>
      <c r="O431" s="7" t="str">
        <f ca="1">IF(ATALI[[#This Row],[//]]="","",INDEX([2]!NOTA[DISC 1],ATALI[[#This Row],[//]]-2))</f>
        <v/>
      </c>
      <c r="P431" s="7" t="str">
        <f ca="1">IF(ATALI[[#This Row],[//]]="","",INDEX([2]!NOTA[DISC 2],ATALI[[#This Row],[//]]-2))</f>
        <v/>
      </c>
      <c r="Q431" s="5" t="str">
        <f ca="1">IF(ATALI[[#This Row],[//]]="","",INDEX([2]!NOTA[TOTAL],ATALI[[#This Row],[//]]-2))</f>
        <v/>
      </c>
      <c r="R4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1" s="4" t="str">
        <f ca="1">IF(ATALI[[#This Row],[//]]="","",INDEX([2]!NOTA[NAMA BARANG],ATALI[[#This Row],[//]]-2))</f>
        <v/>
      </c>
      <c r="V431" s="4" t="str">
        <f ca="1">LOWER(SUBSTITUTE(SUBSTITUTE(SUBSTITUTE(SUBSTITUTE(SUBSTITUTE(SUBSTITUTE(SUBSTITUTE(ATALI[[#This Row],[N.B.nota]]," ",""),"-",""),"(",""),")",""),".",""),",",""),"/",""))</f>
        <v/>
      </c>
      <c r="W431" s="4" t="str">
        <f ca="1">IF(ATALI[[#This Row],[concat]]="","",MATCH(ATALI[[#This Row],[concat]],[4]!db[NB NOTA_C],0)+1)</f>
        <v/>
      </c>
      <c r="X431" s="4" t="str">
        <f ca="1">IF(ATALI[[#This Row],[N.B.nota]]="","",ADDRESS(ROW(ATALI[QB]),COLUMN(ATALI[QB]))&amp;":"&amp;ADDRESS(ROW(),COLUMN(ATALI[QB])))</f>
        <v/>
      </c>
      <c r="Y431" s="13" t="str">
        <f ca="1">IF(ATALI[[#This Row],[//]]="","",HYPERLINK("[../DB.xlsx]DB!e"&amp;MATCH(ATALI[[#This Row],[concat]],[4]!db[NB NOTA_C],0)+1,"&gt;"))</f>
        <v/>
      </c>
    </row>
    <row r="432" spans="1:25" x14ac:dyDescent="0.25">
      <c r="A432" s="4"/>
      <c r="B432" s="6" t="str">
        <f>IF(ATALI[[#This Row],[N_ID]]="","",INDEX(Table1[ID],MATCH(ATALI[[#This Row],[N_ID]],Table1[N_ID],0)))</f>
        <v/>
      </c>
      <c r="C432" s="6" t="str">
        <f>IF(ATALI[[#This Row],[ID NOTA]]="","",HYPERLINK("[NOTA_.xlsx]NOTA!e"&amp;INDEX([2]!PAJAK[//],MATCH(ATALI[[#This Row],[ID NOTA]],[2]!PAJAK[ID],0)),"&gt;") )</f>
        <v/>
      </c>
      <c r="D432" s="6" t="str">
        <f>IF(ATALI[[#This Row],[ID NOTA]]="","",INDEX(Table1[QB],MATCH(ATALI[[#This Row],[ID NOTA]],Table1[ID],0)))</f>
        <v/>
      </c>
      <c r="E4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2" s="6"/>
      <c r="G432" s="3" t="str">
        <f>IF(ATALI[[#This Row],[ID NOTA]]="","",INDEX([2]!NOTA[TGL_H],MATCH(ATALI[[#This Row],[ID NOTA]],[2]!NOTA[ID],0)))</f>
        <v/>
      </c>
      <c r="H432" s="3" t="str">
        <f>IF(ATALI[[#This Row],[ID NOTA]]="","",INDEX([2]!NOTA[TGL.NOTA],MATCH(ATALI[[#This Row],[ID NOTA]],[2]!NOTA[ID],0)))</f>
        <v/>
      </c>
      <c r="I432" s="4" t="str">
        <f>IF(ATALI[[#This Row],[ID NOTA]]="","",INDEX([2]!NOTA[NO.NOTA],MATCH(ATALI[[#This Row],[ID NOTA]],[2]!NOTA[ID],0)))</f>
        <v/>
      </c>
      <c r="J432" s="4" t="str">
        <f ca="1">IF(ATALI[[#This Row],[//]]="","",INDEX([4]!db[NB PAJAK],ATALI[[#This Row],[stt]]-1))</f>
        <v/>
      </c>
      <c r="K432" s="6" t="str">
        <f ca="1">IF(ATALI[[#This Row],[//]]="","",IF(INDEX([2]!NOTA[C],ATALI[[#This Row],[//]]-2)="","",INDEX([2]!NOTA[C],ATALI[[#This Row],[//]]-2)))</f>
        <v/>
      </c>
      <c r="L432" s="6" t="str">
        <f ca="1">IF(ATALI[[#This Row],[//]]="","",INDEX([2]!NOTA[QTY],ATALI[[#This Row],[//]]-2))</f>
        <v/>
      </c>
      <c r="M432" s="6" t="str">
        <f ca="1">IF(ATALI[[#This Row],[//]]="","",INDEX([2]!NOTA[STN],ATALI[[#This Row],[//]]-2))</f>
        <v/>
      </c>
      <c r="N432" s="5" t="str">
        <f ca="1">IF(ATALI[[#This Row],[//]]="","",INDEX([2]!NOTA[HARGA SATUAN],ATALI[[#This Row],[//]]-2))</f>
        <v/>
      </c>
      <c r="O432" s="7" t="str">
        <f ca="1">IF(ATALI[[#This Row],[//]]="","",INDEX([2]!NOTA[DISC 1],ATALI[[#This Row],[//]]-2))</f>
        <v/>
      </c>
      <c r="P432" s="7" t="str">
        <f ca="1">IF(ATALI[[#This Row],[//]]="","",INDEX([2]!NOTA[DISC 2],ATALI[[#This Row],[//]]-2))</f>
        <v/>
      </c>
      <c r="Q432" s="5" t="str">
        <f ca="1">IF(ATALI[[#This Row],[//]]="","",INDEX([2]!NOTA[TOTAL],ATALI[[#This Row],[//]]-2))</f>
        <v/>
      </c>
      <c r="R4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2" s="4" t="str">
        <f ca="1">IF(ATALI[[#This Row],[//]]="","",INDEX([2]!NOTA[NAMA BARANG],ATALI[[#This Row],[//]]-2))</f>
        <v/>
      </c>
      <c r="V432" s="4" t="str">
        <f ca="1">LOWER(SUBSTITUTE(SUBSTITUTE(SUBSTITUTE(SUBSTITUTE(SUBSTITUTE(SUBSTITUTE(SUBSTITUTE(ATALI[[#This Row],[N.B.nota]]," ",""),"-",""),"(",""),")",""),".",""),",",""),"/",""))</f>
        <v/>
      </c>
      <c r="W432" s="4" t="str">
        <f ca="1">IF(ATALI[[#This Row],[concat]]="","",MATCH(ATALI[[#This Row],[concat]],[4]!db[NB NOTA_C],0)+1)</f>
        <v/>
      </c>
      <c r="X432" s="4" t="str">
        <f ca="1">IF(ATALI[[#This Row],[N.B.nota]]="","",ADDRESS(ROW(ATALI[QB]),COLUMN(ATALI[QB]))&amp;":"&amp;ADDRESS(ROW(),COLUMN(ATALI[QB])))</f>
        <v/>
      </c>
      <c r="Y432" s="13" t="str">
        <f ca="1">IF(ATALI[[#This Row],[//]]="","",HYPERLINK("[../DB.xlsx]DB!e"&amp;MATCH(ATALI[[#This Row],[concat]],[4]!db[NB NOTA_C],0)+1,"&gt;"))</f>
        <v/>
      </c>
    </row>
    <row r="433" spans="1:25" x14ac:dyDescent="0.25">
      <c r="A433" s="4"/>
      <c r="B433" s="6" t="str">
        <f>IF(ATALI[[#This Row],[N_ID]]="","",INDEX(Table1[ID],MATCH(ATALI[[#This Row],[N_ID]],Table1[N_ID],0)))</f>
        <v/>
      </c>
      <c r="C433" s="6" t="str">
        <f>IF(ATALI[[#This Row],[ID NOTA]]="","",HYPERLINK("[NOTA_.xlsx]NOTA!e"&amp;INDEX([2]!PAJAK[//],MATCH(ATALI[[#This Row],[ID NOTA]],[2]!PAJAK[ID],0)),"&gt;") )</f>
        <v/>
      </c>
      <c r="D433" s="6" t="str">
        <f>IF(ATALI[[#This Row],[ID NOTA]]="","",INDEX(Table1[QB],MATCH(ATALI[[#This Row],[ID NOTA]],Table1[ID],0)))</f>
        <v/>
      </c>
      <c r="E4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3" s="6"/>
      <c r="G433" s="3" t="str">
        <f>IF(ATALI[[#This Row],[ID NOTA]]="","",INDEX([2]!NOTA[TGL_H],MATCH(ATALI[[#This Row],[ID NOTA]],[2]!NOTA[ID],0)))</f>
        <v/>
      </c>
      <c r="H433" s="3" t="str">
        <f>IF(ATALI[[#This Row],[ID NOTA]]="","",INDEX([2]!NOTA[TGL.NOTA],MATCH(ATALI[[#This Row],[ID NOTA]],[2]!NOTA[ID],0)))</f>
        <v/>
      </c>
      <c r="I433" s="4" t="str">
        <f>IF(ATALI[[#This Row],[ID NOTA]]="","",INDEX([2]!NOTA[NO.NOTA],MATCH(ATALI[[#This Row],[ID NOTA]],[2]!NOTA[ID],0)))</f>
        <v/>
      </c>
      <c r="J433" s="4" t="str">
        <f ca="1">IF(ATALI[[#This Row],[//]]="","",INDEX([4]!db[NB PAJAK],ATALI[[#This Row],[stt]]-1))</f>
        <v/>
      </c>
      <c r="K433" s="6" t="str">
        <f ca="1">IF(ATALI[[#This Row],[//]]="","",IF(INDEX([2]!NOTA[C],ATALI[[#This Row],[//]]-2)="","",INDEX([2]!NOTA[C],ATALI[[#This Row],[//]]-2)))</f>
        <v/>
      </c>
      <c r="L433" s="6" t="str">
        <f ca="1">IF(ATALI[[#This Row],[//]]="","",INDEX([2]!NOTA[QTY],ATALI[[#This Row],[//]]-2))</f>
        <v/>
      </c>
      <c r="M433" s="6" t="str">
        <f ca="1">IF(ATALI[[#This Row],[//]]="","",INDEX([2]!NOTA[STN],ATALI[[#This Row],[//]]-2))</f>
        <v/>
      </c>
      <c r="N433" s="5" t="str">
        <f ca="1">IF(ATALI[[#This Row],[//]]="","",INDEX([2]!NOTA[HARGA SATUAN],ATALI[[#This Row],[//]]-2))</f>
        <v/>
      </c>
      <c r="O433" s="7" t="str">
        <f ca="1">IF(ATALI[[#This Row],[//]]="","",INDEX([2]!NOTA[DISC 1],ATALI[[#This Row],[//]]-2))</f>
        <v/>
      </c>
      <c r="P433" s="7" t="str">
        <f ca="1">IF(ATALI[[#This Row],[//]]="","",INDEX([2]!NOTA[DISC 2],ATALI[[#This Row],[//]]-2))</f>
        <v/>
      </c>
      <c r="Q433" s="5" t="str">
        <f ca="1">IF(ATALI[[#This Row],[//]]="","",INDEX([2]!NOTA[TOTAL],ATALI[[#This Row],[//]]-2))</f>
        <v/>
      </c>
      <c r="R4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3" s="4" t="str">
        <f ca="1">IF(ATALI[[#This Row],[//]]="","",INDEX([2]!NOTA[NAMA BARANG],ATALI[[#This Row],[//]]-2))</f>
        <v/>
      </c>
      <c r="V433" s="4" t="str">
        <f ca="1">LOWER(SUBSTITUTE(SUBSTITUTE(SUBSTITUTE(SUBSTITUTE(SUBSTITUTE(SUBSTITUTE(SUBSTITUTE(ATALI[[#This Row],[N.B.nota]]," ",""),"-",""),"(",""),")",""),".",""),",",""),"/",""))</f>
        <v/>
      </c>
      <c r="W433" s="4" t="str">
        <f ca="1">IF(ATALI[[#This Row],[concat]]="","",MATCH(ATALI[[#This Row],[concat]],[4]!db[NB NOTA_C],0)+1)</f>
        <v/>
      </c>
      <c r="X433" s="4" t="str">
        <f ca="1">IF(ATALI[[#This Row],[N.B.nota]]="","",ADDRESS(ROW(ATALI[QB]),COLUMN(ATALI[QB]))&amp;":"&amp;ADDRESS(ROW(),COLUMN(ATALI[QB])))</f>
        <v/>
      </c>
      <c r="Y433" s="13" t="str">
        <f ca="1">IF(ATALI[[#This Row],[//]]="","",HYPERLINK("[../DB.xlsx]DB!e"&amp;MATCH(ATALI[[#This Row],[concat]],[4]!db[NB NOTA_C],0)+1,"&gt;"))</f>
        <v/>
      </c>
    </row>
    <row r="434" spans="1:25" x14ac:dyDescent="0.25">
      <c r="A434" s="4"/>
      <c r="B434" s="6" t="str">
        <f>IF(ATALI[[#This Row],[N_ID]]="","",INDEX(Table1[ID],MATCH(ATALI[[#This Row],[N_ID]],Table1[N_ID],0)))</f>
        <v/>
      </c>
      <c r="C434" s="6" t="str">
        <f>IF(ATALI[[#This Row],[ID NOTA]]="","",HYPERLINK("[NOTA_.xlsx]NOTA!e"&amp;INDEX([2]!PAJAK[//],MATCH(ATALI[[#This Row],[ID NOTA]],[2]!PAJAK[ID],0)),"&gt;") )</f>
        <v/>
      </c>
      <c r="D434" s="6" t="str">
        <f>IF(ATALI[[#This Row],[ID NOTA]]="","",INDEX(Table1[QB],MATCH(ATALI[[#This Row],[ID NOTA]],Table1[ID],0)))</f>
        <v/>
      </c>
      <c r="E4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4" s="6"/>
      <c r="G434" s="3" t="str">
        <f>IF(ATALI[[#This Row],[ID NOTA]]="","",INDEX([2]!NOTA[TGL_H],MATCH(ATALI[[#This Row],[ID NOTA]],[2]!NOTA[ID],0)))</f>
        <v/>
      </c>
      <c r="H434" s="3" t="str">
        <f>IF(ATALI[[#This Row],[ID NOTA]]="","",INDEX([2]!NOTA[TGL.NOTA],MATCH(ATALI[[#This Row],[ID NOTA]],[2]!NOTA[ID],0)))</f>
        <v/>
      </c>
      <c r="I434" s="4" t="str">
        <f>IF(ATALI[[#This Row],[ID NOTA]]="","",INDEX([2]!NOTA[NO.NOTA],MATCH(ATALI[[#This Row],[ID NOTA]],[2]!NOTA[ID],0)))</f>
        <v/>
      </c>
      <c r="J434" s="4" t="str">
        <f ca="1">IF(ATALI[[#This Row],[//]]="","",INDEX([4]!db[NB PAJAK],ATALI[[#This Row],[stt]]-1))</f>
        <v/>
      </c>
      <c r="K434" s="6" t="str">
        <f ca="1">IF(ATALI[[#This Row],[//]]="","",IF(INDEX([2]!NOTA[C],ATALI[[#This Row],[//]]-2)="","",INDEX([2]!NOTA[C],ATALI[[#This Row],[//]]-2)))</f>
        <v/>
      </c>
      <c r="L434" s="6" t="str">
        <f ca="1">IF(ATALI[[#This Row],[//]]="","",INDEX([2]!NOTA[QTY],ATALI[[#This Row],[//]]-2))</f>
        <v/>
      </c>
      <c r="M434" s="6" t="str">
        <f ca="1">IF(ATALI[[#This Row],[//]]="","",INDEX([2]!NOTA[STN],ATALI[[#This Row],[//]]-2))</f>
        <v/>
      </c>
      <c r="N434" s="5" t="str">
        <f ca="1">IF(ATALI[[#This Row],[//]]="","",INDEX([2]!NOTA[HARGA SATUAN],ATALI[[#This Row],[//]]-2))</f>
        <v/>
      </c>
      <c r="O434" s="7" t="str">
        <f ca="1">IF(ATALI[[#This Row],[//]]="","",INDEX([2]!NOTA[DISC 1],ATALI[[#This Row],[//]]-2))</f>
        <v/>
      </c>
      <c r="P434" s="7" t="str">
        <f ca="1">IF(ATALI[[#This Row],[//]]="","",INDEX([2]!NOTA[DISC 2],ATALI[[#This Row],[//]]-2))</f>
        <v/>
      </c>
      <c r="Q434" s="5" t="str">
        <f ca="1">IF(ATALI[[#This Row],[//]]="","",INDEX([2]!NOTA[TOTAL],ATALI[[#This Row],[//]]-2))</f>
        <v/>
      </c>
      <c r="R4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4" s="4" t="str">
        <f ca="1">IF(ATALI[[#This Row],[//]]="","",INDEX([2]!NOTA[NAMA BARANG],ATALI[[#This Row],[//]]-2))</f>
        <v/>
      </c>
      <c r="V434" s="4" t="str">
        <f ca="1">LOWER(SUBSTITUTE(SUBSTITUTE(SUBSTITUTE(SUBSTITUTE(SUBSTITUTE(SUBSTITUTE(SUBSTITUTE(ATALI[[#This Row],[N.B.nota]]," ",""),"-",""),"(",""),")",""),".",""),",",""),"/",""))</f>
        <v/>
      </c>
      <c r="W434" s="4" t="str">
        <f ca="1">IF(ATALI[[#This Row],[concat]]="","",MATCH(ATALI[[#This Row],[concat]],[4]!db[NB NOTA_C],0)+1)</f>
        <v/>
      </c>
      <c r="X434" s="4" t="str">
        <f ca="1">IF(ATALI[[#This Row],[N.B.nota]]="","",ADDRESS(ROW(ATALI[QB]),COLUMN(ATALI[QB]))&amp;":"&amp;ADDRESS(ROW(),COLUMN(ATALI[QB])))</f>
        <v/>
      </c>
      <c r="Y434" s="13" t="str">
        <f ca="1">IF(ATALI[[#This Row],[//]]="","",HYPERLINK("[../DB.xlsx]DB!e"&amp;MATCH(ATALI[[#This Row],[concat]],[4]!db[NB NOTA_C],0)+1,"&gt;"))</f>
        <v/>
      </c>
    </row>
    <row r="435" spans="1:25" x14ac:dyDescent="0.25">
      <c r="A435" s="4"/>
      <c r="B435" s="6" t="str">
        <f>IF(ATALI[[#This Row],[N_ID]]="","",INDEX(Table1[ID],MATCH(ATALI[[#This Row],[N_ID]],Table1[N_ID],0)))</f>
        <v/>
      </c>
      <c r="C435" s="6" t="str">
        <f>IF(ATALI[[#This Row],[ID NOTA]]="","",HYPERLINK("[NOTA_.xlsx]NOTA!e"&amp;INDEX([2]!PAJAK[//],MATCH(ATALI[[#This Row],[ID NOTA]],[2]!PAJAK[ID],0)),"&gt;") )</f>
        <v/>
      </c>
      <c r="D435" s="6" t="str">
        <f>IF(ATALI[[#This Row],[ID NOTA]]="","",INDEX(Table1[QB],MATCH(ATALI[[#This Row],[ID NOTA]],Table1[ID],0)))</f>
        <v/>
      </c>
      <c r="E4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5" s="6"/>
      <c r="G435" s="3" t="str">
        <f>IF(ATALI[[#This Row],[ID NOTA]]="","",INDEX([2]!NOTA[TGL_H],MATCH(ATALI[[#This Row],[ID NOTA]],[2]!NOTA[ID],0)))</f>
        <v/>
      </c>
      <c r="H435" s="3" t="str">
        <f>IF(ATALI[[#This Row],[ID NOTA]]="","",INDEX([2]!NOTA[TGL.NOTA],MATCH(ATALI[[#This Row],[ID NOTA]],[2]!NOTA[ID],0)))</f>
        <v/>
      </c>
      <c r="I435" s="4" t="str">
        <f>IF(ATALI[[#This Row],[ID NOTA]]="","",INDEX([2]!NOTA[NO.NOTA],MATCH(ATALI[[#This Row],[ID NOTA]],[2]!NOTA[ID],0)))</f>
        <v/>
      </c>
      <c r="J435" s="4" t="str">
        <f ca="1">IF(ATALI[[#This Row],[//]]="","",INDEX([4]!db[NB PAJAK],ATALI[[#This Row],[stt]]-1))</f>
        <v/>
      </c>
      <c r="K435" s="6" t="str">
        <f ca="1">IF(ATALI[[#This Row],[//]]="","",IF(INDEX([2]!NOTA[C],ATALI[[#This Row],[//]]-2)="","",INDEX([2]!NOTA[C],ATALI[[#This Row],[//]]-2)))</f>
        <v/>
      </c>
      <c r="L435" s="6" t="str">
        <f ca="1">IF(ATALI[[#This Row],[//]]="","",INDEX([2]!NOTA[QTY],ATALI[[#This Row],[//]]-2))</f>
        <v/>
      </c>
      <c r="M435" s="6" t="str">
        <f ca="1">IF(ATALI[[#This Row],[//]]="","",INDEX([2]!NOTA[STN],ATALI[[#This Row],[//]]-2))</f>
        <v/>
      </c>
      <c r="N435" s="5" t="str">
        <f ca="1">IF(ATALI[[#This Row],[//]]="","",INDEX([2]!NOTA[HARGA SATUAN],ATALI[[#This Row],[//]]-2))</f>
        <v/>
      </c>
      <c r="O435" s="7" t="str">
        <f ca="1">IF(ATALI[[#This Row],[//]]="","",INDEX([2]!NOTA[DISC 1],ATALI[[#This Row],[//]]-2))</f>
        <v/>
      </c>
      <c r="P435" s="7" t="str">
        <f ca="1">IF(ATALI[[#This Row],[//]]="","",INDEX([2]!NOTA[DISC 2],ATALI[[#This Row],[//]]-2))</f>
        <v/>
      </c>
      <c r="Q435" s="5" t="str">
        <f ca="1">IF(ATALI[[#This Row],[//]]="","",INDEX([2]!NOTA[TOTAL],ATALI[[#This Row],[//]]-2))</f>
        <v/>
      </c>
      <c r="R4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5" s="4" t="str">
        <f ca="1">IF(ATALI[[#This Row],[//]]="","",INDEX([2]!NOTA[NAMA BARANG],ATALI[[#This Row],[//]]-2))</f>
        <v/>
      </c>
      <c r="V435" s="4" t="str">
        <f ca="1">LOWER(SUBSTITUTE(SUBSTITUTE(SUBSTITUTE(SUBSTITUTE(SUBSTITUTE(SUBSTITUTE(SUBSTITUTE(ATALI[[#This Row],[N.B.nota]]," ",""),"-",""),"(",""),")",""),".",""),",",""),"/",""))</f>
        <v/>
      </c>
      <c r="W435" s="4" t="str">
        <f ca="1">IF(ATALI[[#This Row],[concat]]="","",MATCH(ATALI[[#This Row],[concat]],[4]!db[NB NOTA_C],0)+1)</f>
        <v/>
      </c>
      <c r="X435" s="4" t="str">
        <f ca="1">IF(ATALI[[#This Row],[N.B.nota]]="","",ADDRESS(ROW(ATALI[QB]),COLUMN(ATALI[QB]))&amp;":"&amp;ADDRESS(ROW(),COLUMN(ATALI[QB])))</f>
        <v/>
      </c>
      <c r="Y435" s="13" t="str">
        <f ca="1">IF(ATALI[[#This Row],[//]]="","",HYPERLINK("[../DB.xlsx]DB!e"&amp;MATCH(ATALI[[#This Row],[concat]],[4]!db[NB NOTA_C],0)+1,"&gt;"))</f>
        <v/>
      </c>
    </row>
    <row r="436" spans="1:25" x14ac:dyDescent="0.25">
      <c r="A436" s="4"/>
      <c r="B436" s="6" t="str">
        <f>IF(ATALI[[#This Row],[N_ID]]="","",INDEX(Table1[ID],MATCH(ATALI[[#This Row],[N_ID]],Table1[N_ID],0)))</f>
        <v/>
      </c>
      <c r="C436" s="6" t="str">
        <f>IF(ATALI[[#This Row],[ID NOTA]]="","",HYPERLINK("[NOTA_.xlsx]NOTA!e"&amp;INDEX([2]!PAJAK[//],MATCH(ATALI[[#This Row],[ID NOTA]],[2]!PAJAK[ID],0)),"&gt;") )</f>
        <v/>
      </c>
      <c r="D436" s="6" t="str">
        <f>IF(ATALI[[#This Row],[ID NOTA]]="","",INDEX(Table1[QB],MATCH(ATALI[[#This Row],[ID NOTA]],Table1[ID],0)))</f>
        <v/>
      </c>
      <c r="E4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6" s="6"/>
      <c r="G436" s="3" t="str">
        <f>IF(ATALI[[#This Row],[ID NOTA]]="","",INDEX([2]!NOTA[TGL_H],MATCH(ATALI[[#This Row],[ID NOTA]],[2]!NOTA[ID],0)))</f>
        <v/>
      </c>
      <c r="H436" s="3" t="str">
        <f>IF(ATALI[[#This Row],[ID NOTA]]="","",INDEX([2]!NOTA[TGL.NOTA],MATCH(ATALI[[#This Row],[ID NOTA]],[2]!NOTA[ID],0)))</f>
        <v/>
      </c>
      <c r="I436" s="4" t="str">
        <f>IF(ATALI[[#This Row],[ID NOTA]]="","",INDEX([2]!NOTA[NO.NOTA],MATCH(ATALI[[#This Row],[ID NOTA]],[2]!NOTA[ID],0)))</f>
        <v/>
      </c>
      <c r="J436" s="4" t="str">
        <f ca="1">IF(ATALI[[#This Row],[//]]="","",INDEX([4]!db[NB PAJAK],ATALI[[#This Row],[stt]]-1))</f>
        <v/>
      </c>
      <c r="K436" s="6" t="str">
        <f ca="1">IF(ATALI[[#This Row],[//]]="","",IF(INDEX([2]!NOTA[C],ATALI[[#This Row],[//]]-2)="","",INDEX([2]!NOTA[C],ATALI[[#This Row],[//]]-2)))</f>
        <v/>
      </c>
      <c r="L436" s="6" t="str">
        <f ca="1">IF(ATALI[[#This Row],[//]]="","",INDEX([2]!NOTA[QTY],ATALI[[#This Row],[//]]-2))</f>
        <v/>
      </c>
      <c r="M436" s="6" t="str">
        <f ca="1">IF(ATALI[[#This Row],[//]]="","",INDEX([2]!NOTA[STN],ATALI[[#This Row],[//]]-2))</f>
        <v/>
      </c>
      <c r="N436" s="5" t="str">
        <f ca="1">IF(ATALI[[#This Row],[//]]="","",INDEX([2]!NOTA[HARGA SATUAN],ATALI[[#This Row],[//]]-2))</f>
        <v/>
      </c>
      <c r="O436" s="7" t="str">
        <f ca="1">IF(ATALI[[#This Row],[//]]="","",INDEX([2]!NOTA[DISC 1],ATALI[[#This Row],[//]]-2))</f>
        <v/>
      </c>
      <c r="P436" s="7" t="str">
        <f ca="1">IF(ATALI[[#This Row],[//]]="","",INDEX([2]!NOTA[DISC 2],ATALI[[#This Row],[//]]-2))</f>
        <v/>
      </c>
      <c r="Q436" s="5" t="str">
        <f ca="1">IF(ATALI[[#This Row],[//]]="","",INDEX([2]!NOTA[TOTAL],ATALI[[#This Row],[//]]-2))</f>
        <v/>
      </c>
      <c r="R4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6" s="4" t="str">
        <f ca="1">IF(ATALI[[#This Row],[//]]="","",INDEX([2]!NOTA[NAMA BARANG],ATALI[[#This Row],[//]]-2))</f>
        <v/>
      </c>
      <c r="V436" s="4" t="str">
        <f ca="1">LOWER(SUBSTITUTE(SUBSTITUTE(SUBSTITUTE(SUBSTITUTE(SUBSTITUTE(SUBSTITUTE(SUBSTITUTE(ATALI[[#This Row],[N.B.nota]]," ",""),"-",""),"(",""),")",""),".",""),",",""),"/",""))</f>
        <v/>
      </c>
      <c r="W436" s="4" t="str">
        <f ca="1">IF(ATALI[[#This Row],[concat]]="","",MATCH(ATALI[[#This Row],[concat]],[4]!db[NB NOTA_C],0)+1)</f>
        <v/>
      </c>
      <c r="X436" s="4" t="str">
        <f ca="1">IF(ATALI[[#This Row],[N.B.nota]]="","",ADDRESS(ROW(ATALI[QB]),COLUMN(ATALI[QB]))&amp;":"&amp;ADDRESS(ROW(),COLUMN(ATALI[QB])))</f>
        <v/>
      </c>
      <c r="Y436" s="13" t="str">
        <f ca="1">IF(ATALI[[#This Row],[//]]="","",HYPERLINK("[../DB.xlsx]DB!e"&amp;MATCH(ATALI[[#This Row],[concat]],[4]!db[NB NOTA_C],0)+1,"&gt;"))</f>
        <v/>
      </c>
    </row>
    <row r="437" spans="1:25" x14ac:dyDescent="0.25">
      <c r="A437" s="4"/>
      <c r="B437" s="6" t="str">
        <f>IF(ATALI[[#This Row],[N_ID]]="","",INDEX(Table1[ID],MATCH(ATALI[[#This Row],[N_ID]],Table1[N_ID],0)))</f>
        <v/>
      </c>
      <c r="C437" s="6" t="str">
        <f>IF(ATALI[[#This Row],[ID NOTA]]="","",HYPERLINK("[NOTA_.xlsx]NOTA!e"&amp;INDEX([2]!PAJAK[//],MATCH(ATALI[[#This Row],[ID NOTA]],[2]!PAJAK[ID],0)),"&gt;") )</f>
        <v/>
      </c>
      <c r="D437" s="6" t="str">
        <f>IF(ATALI[[#This Row],[ID NOTA]]="","",INDEX(Table1[QB],MATCH(ATALI[[#This Row],[ID NOTA]],Table1[ID],0)))</f>
        <v/>
      </c>
      <c r="E4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7" s="6"/>
      <c r="G437" s="3" t="str">
        <f>IF(ATALI[[#This Row],[ID NOTA]]="","",INDEX([2]!NOTA[TGL_H],MATCH(ATALI[[#This Row],[ID NOTA]],[2]!NOTA[ID],0)))</f>
        <v/>
      </c>
      <c r="H437" s="3" t="str">
        <f>IF(ATALI[[#This Row],[ID NOTA]]="","",INDEX([2]!NOTA[TGL.NOTA],MATCH(ATALI[[#This Row],[ID NOTA]],[2]!NOTA[ID],0)))</f>
        <v/>
      </c>
      <c r="I437" s="4" t="str">
        <f>IF(ATALI[[#This Row],[ID NOTA]]="","",INDEX([2]!NOTA[NO.NOTA],MATCH(ATALI[[#This Row],[ID NOTA]],[2]!NOTA[ID],0)))</f>
        <v/>
      </c>
      <c r="J437" s="4" t="str">
        <f ca="1">IF(ATALI[[#This Row],[//]]="","",INDEX([4]!db[NB PAJAK],ATALI[[#This Row],[stt]]-1))</f>
        <v/>
      </c>
      <c r="K437" s="6" t="str">
        <f ca="1">IF(ATALI[[#This Row],[//]]="","",IF(INDEX([2]!NOTA[C],ATALI[[#This Row],[//]]-2)="","",INDEX([2]!NOTA[C],ATALI[[#This Row],[//]]-2)))</f>
        <v/>
      </c>
      <c r="L437" s="6" t="str">
        <f ca="1">IF(ATALI[[#This Row],[//]]="","",INDEX([2]!NOTA[QTY],ATALI[[#This Row],[//]]-2))</f>
        <v/>
      </c>
      <c r="M437" s="6" t="str">
        <f ca="1">IF(ATALI[[#This Row],[//]]="","",INDEX([2]!NOTA[STN],ATALI[[#This Row],[//]]-2))</f>
        <v/>
      </c>
      <c r="N437" s="5" t="str">
        <f ca="1">IF(ATALI[[#This Row],[//]]="","",INDEX([2]!NOTA[HARGA SATUAN],ATALI[[#This Row],[//]]-2))</f>
        <v/>
      </c>
      <c r="O437" s="7" t="str">
        <f ca="1">IF(ATALI[[#This Row],[//]]="","",INDEX([2]!NOTA[DISC 1],ATALI[[#This Row],[//]]-2))</f>
        <v/>
      </c>
      <c r="P437" s="7" t="str">
        <f ca="1">IF(ATALI[[#This Row],[//]]="","",INDEX([2]!NOTA[DISC 2],ATALI[[#This Row],[//]]-2))</f>
        <v/>
      </c>
      <c r="Q437" s="5" t="str">
        <f ca="1">IF(ATALI[[#This Row],[//]]="","",INDEX([2]!NOTA[TOTAL],ATALI[[#This Row],[//]]-2))</f>
        <v/>
      </c>
      <c r="R4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7" s="4" t="str">
        <f ca="1">IF(ATALI[[#This Row],[//]]="","",INDEX([2]!NOTA[NAMA BARANG],ATALI[[#This Row],[//]]-2))</f>
        <v/>
      </c>
      <c r="V437" s="4" t="str">
        <f ca="1">LOWER(SUBSTITUTE(SUBSTITUTE(SUBSTITUTE(SUBSTITUTE(SUBSTITUTE(SUBSTITUTE(SUBSTITUTE(ATALI[[#This Row],[N.B.nota]]," ",""),"-",""),"(",""),")",""),".",""),",",""),"/",""))</f>
        <v/>
      </c>
      <c r="W437" s="4" t="str">
        <f ca="1">IF(ATALI[[#This Row],[concat]]="","",MATCH(ATALI[[#This Row],[concat]],[4]!db[NB NOTA_C],0)+1)</f>
        <v/>
      </c>
      <c r="X437" s="4" t="str">
        <f ca="1">IF(ATALI[[#This Row],[N.B.nota]]="","",ADDRESS(ROW(ATALI[QB]),COLUMN(ATALI[QB]))&amp;":"&amp;ADDRESS(ROW(),COLUMN(ATALI[QB])))</f>
        <v/>
      </c>
      <c r="Y437" s="13" t="str">
        <f ca="1">IF(ATALI[[#This Row],[//]]="","",HYPERLINK("[../DB.xlsx]DB!e"&amp;MATCH(ATALI[[#This Row],[concat]],[4]!db[NB NOTA_C],0)+1,"&gt;"))</f>
        <v/>
      </c>
    </row>
    <row r="438" spans="1:25" x14ac:dyDescent="0.25">
      <c r="A438" s="4"/>
      <c r="B438" s="6" t="str">
        <f>IF(ATALI[[#This Row],[N_ID]]="","",INDEX(Table1[ID],MATCH(ATALI[[#This Row],[N_ID]],Table1[N_ID],0)))</f>
        <v/>
      </c>
      <c r="C438" s="6" t="str">
        <f>IF(ATALI[[#This Row],[ID NOTA]]="","",HYPERLINK("[NOTA_.xlsx]NOTA!e"&amp;INDEX([2]!PAJAK[//],MATCH(ATALI[[#This Row],[ID NOTA]],[2]!PAJAK[ID],0)),"&gt;") )</f>
        <v/>
      </c>
      <c r="D438" s="6" t="str">
        <f>IF(ATALI[[#This Row],[ID NOTA]]="","",INDEX(Table1[QB],MATCH(ATALI[[#This Row],[ID NOTA]],Table1[ID],0)))</f>
        <v/>
      </c>
      <c r="E4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8" s="6"/>
      <c r="G438" s="3" t="str">
        <f>IF(ATALI[[#This Row],[ID NOTA]]="","",INDEX([2]!NOTA[TGL_H],MATCH(ATALI[[#This Row],[ID NOTA]],[2]!NOTA[ID],0)))</f>
        <v/>
      </c>
      <c r="H438" s="3" t="str">
        <f>IF(ATALI[[#This Row],[ID NOTA]]="","",INDEX([2]!NOTA[TGL.NOTA],MATCH(ATALI[[#This Row],[ID NOTA]],[2]!NOTA[ID],0)))</f>
        <v/>
      </c>
      <c r="I438" s="4" t="str">
        <f>IF(ATALI[[#This Row],[ID NOTA]]="","",INDEX([2]!NOTA[NO.NOTA],MATCH(ATALI[[#This Row],[ID NOTA]],[2]!NOTA[ID],0)))</f>
        <v/>
      </c>
      <c r="J438" s="4" t="str">
        <f ca="1">IF(ATALI[[#This Row],[//]]="","",INDEX([4]!db[NB PAJAK],ATALI[[#This Row],[stt]]-1))</f>
        <v/>
      </c>
      <c r="K438" s="6" t="str">
        <f ca="1">IF(ATALI[[#This Row],[//]]="","",IF(INDEX([2]!NOTA[C],ATALI[[#This Row],[//]]-2)="","",INDEX([2]!NOTA[C],ATALI[[#This Row],[//]]-2)))</f>
        <v/>
      </c>
      <c r="L438" s="6" t="str">
        <f ca="1">IF(ATALI[[#This Row],[//]]="","",INDEX([2]!NOTA[QTY],ATALI[[#This Row],[//]]-2))</f>
        <v/>
      </c>
      <c r="M438" s="6" t="str">
        <f ca="1">IF(ATALI[[#This Row],[//]]="","",INDEX([2]!NOTA[STN],ATALI[[#This Row],[//]]-2))</f>
        <v/>
      </c>
      <c r="N438" s="5" t="str">
        <f ca="1">IF(ATALI[[#This Row],[//]]="","",INDEX([2]!NOTA[HARGA SATUAN],ATALI[[#This Row],[//]]-2))</f>
        <v/>
      </c>
      <c r="O438" s="7" t="str">
        <f ca="1">IF(ATALI[[#This Row],[//]]="","",INDEX([2]!NOTA[DISC 1],ATALI[[#This Row],[//]]-2))</f>
        <v/>
      </c>
      <c r="P438" s="7" t="str">
        <f ca="1">IF(ATALI[[#This Row],[//]]="","",INDEX([2]!NOTA[DISC 2],ATALI[[#This Row],[//]]-2))</f>
        <v/>
      </c>
      <c r="Q438" s="5" t="str">
        <f ca="1">IF(ATALI[[#This Row],[//]]="","",INDEX([2]!NOTA[TOTAL],ATALI[[#This Row],[//]]-2))</f>
        <v/>
      </c>
      <c r="R4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8" s="4" t="str">
        <f ca="1">IF(ATALI[[#This Row],[//]]="","",INDEX([2]!NOTA[NAMA BARANG],ATALI[[#This Row],[//]]-2))</f>
        <v/>
      </c>
      <c r="V438" s="4" t="str">
        <f ca="1">LOWER(SUBSTITUTE(SUBSTITUTE(SUBSTITUTE(SUBSTITUTE(SUBSTITUTE(SUBSTITUTE(SUBSTITUTE(ATALI[[#This Row],[N.B.nota]]," ",""),"-",""),"(",""),")",""),".",""),",",""),"/",""))</f>
        <v/>
      </c>
      <c r="W438" s="4" t="str">
        <f ca="1">IF(ATALI[[#This Row],[concat]]="","",MATCH(ATALI[[#This Row],[concat]],[4]!db[NB NOTA_C],0)+1)</f>
        <v/>
      </c>
      <c r="X438" s="4" t="str">
        <f ca="1">IF(ATALI[[#This Row],[N.B.nota]]="","",ADDRESS(ROW(ATALI[QB]),COLUMN(ATALI[QB]))&amp;":"&amp;ADDRESS(ROW(),COLUMN(ATALI[QB])))</f>
        <v/>
      </c>
      <c r="Y438" s="13" t="str">
        <f ca="1">IF(ATALI[[#This Row],[//]]="","",HYPERLINK("[../DB.xlsx]DB!e"&amp;MATCH(ATALI[[#This Row],[concat]],[4]!db[NB NOTA_C],0)+1,"&gt;"))</f>
        <v/>
      </c>
    </row>
    <row r="439" spans="1:25" x14ac:dyDescent="0.25">
      <c r="A439" s="4"/>
      <c r="B439" s="6" t="str">
        <f>IF(ATALI[[#This Row],[N_ID]]="","",INDEX(Table1[ID],MATCH(ATALI[[#This Row],[N_ID]],Table1[N_ID],0)))</f>
        <v/>
      </c>
      <c r="C439" s="6" t="str">
        <f>IF(ATALI[[#This Row],[ID NOTA]]="","",HYPERLINK("[NOTA_.xlsx]NOTA!e"&amp;INDEX([2]!PAJAK[//],MATCH(ATALI[[#This Row],[ID NOTA]],[2]!PAJAK[ID],0)),"&gt;") )</f>
        <v/>
      </c>
      <c r="D439" s="6" t="str">
        <f>IF(ATALI[[#This Row],[ID NOTA]]="","",INDEX(Table1[QB],MATCH(ATALI[[#This Row],[ID NOTA]],Table1[ID],0)))</f>
        <v/>
      </c>
      <c r="E4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9" s="6"/>
      <c r="G439" s="3" t="str">
        <f>IF(ATALI[[#This Row],[ID NOTA]]="","",INDEX([2]!NOTA[TGL_H],MATCH(ATALI[[#This Row],[ID NOTA]],[2]!NOTA[ID],0)))</f>
        <v/>
      </c>
      <c r="H439" s="3" t="str">
        <f>IF(ATALI[[#This Row],[ID NOTA]]="","",INDEX([2]!NOTA[TGL.NOTA],MATCH(ATALI[[#This Row],[ID NOTA]],[2]!NOTA[ID],0)))</f>
        <v/>
      </c>
      <c r="I439" s="4" t="str">
        <f>IF(ATALI[[#This Row],[ID NOTA]]="","",INDEX([2]!NOTA[NO.NOTA],MATCH(ATALI[[#This Row],[ID NOTA]],[2]!NOTA[ID],0)))</f>
        <v/>
      </c>
      <c r="J439" s="4" t="str">
        <f ca="1">IF(ATALI[[#This Row],[//]]="","",INDEX([4]!db[NB PAJAK],ATALI[[#This Row],[stt]]-1))</f>
        <v/>
      </c>
      <c r="K439" s="6" t="str">
        <f ca="1">IF(ATALI[[#This Row],[//]]="","",IF(INDEX([2]!NOTA[C],ATALI[[#This Row],[//]]-2)="","",INDEX([2]!NOTA[C],ATALI[[#This Row],[//]]-2)))</f>
        <v/>
      </c>
      <c r="L439" s="6" t="str">
        <f ca="1">IF(ATALI[[#This Row],[//]]="","",INDEX([2]!NOTA[QTY],ATALI[[#This Row],[//]]-2))</f>
        <v/>
      </c>
      <c r="M439" s="6" t="str">
        <f ca="1">IF(ATALI[[#This Row],[//]]="","",INDEX([2]!NOTA[STN],ATALI[[#This Row],[//]]-2))</f>
        <v/>
      </c>
      <c r="N439" s="5" t="str">
        <f ca="1">IF(ATALI[[#This Row],[//]]="","",INDEX([2]!NOTA[HARGA SATUAN],ATALI[[#This Row],[//]]-2))</f>
        <v/>
      </c>
      <c r="O439" s="7" t="str">
        <f ca="1">IF(ATALI[[#This Row],[//]]="","",INDEX([2]!NOTA[DISC 1],ATALI[[#This Row],[//]]-2))</f>
        <v/>
      </c>
      <c r="P439" s="7" t="str">
        <f ca="1">IF(ATALI[[#This Row],[//]]="","",INDEX([2]!NOTA[DISC 2],ATALI[[#This Row],[//]]-2))</f>
        <v/>
      </c>
      <c r="Q439" s="5" t="str">
        <f ca="1">IF(ATALI[[#This Row],[//]]="","",INDEX([2]!NOTA[TOTAL],ATALI[[#This Row],[//]]-2))</f>
        <v/>
      </c>
      <c r="R4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9" s="4" t="str">
        <f ca="1">IF(ATALI[[#This Row],[//]]="","",INDEX([2]!NOTA[NAMA BARANG],ATALI[[#This Row],[//]]-2))</f>
        <v/>
      </c>
      <c r="V439" s="4" t="str">
        <f ca="1">LOWER(SUBSTITUTE(SUBSTITUTE(SUBSTITUTE(SUBSTITUTE(SUBSTITUTE(SUBSTITUTE(SUBSTITUTE(ATALI[[#This Row],[N.B.nota]]," ",""),"-",""),"(",""),")",""),".",""),",",""),"/",""))</f>
        <v/>
      </c>
      <c r="W439" s="4" t="str">
        <f ca="1">IF(ATALI[[#This Row],[concat]]="","",MATCH(ATALI[[#This Row],[concat]],[4]!db[NB NOTA_C],0)+1)</f>
        <v/>
      </c>
      <c r="X439" s="4" t="str">
        <f ca="1">IF(ATALI[[#This Row],[N.B.nota]]="","",ADDRESS(ROW(ATALI[QB]),COLUMN(ATALI[QB]))&amp;":"&amp;ADDRESS(ROW(),COLUMN(ATALI[QB])))</f>
        <v/>
      </c>
      <c r="Y439" s="13" t="str">
        <f ca="1">IF(ATALI[[#This Row],[//]]="","",HYPERLINK("[../DB.xlsx]DB!e"&amp;MATCH(ATALI[[#This Row],[concat]],[4]!db[NB NOTA_C],0)+1,"&gt;"))</f>
        <v/>
      </c>
    </row>
    <row r="440" spans="1:25" x14ac:dyDescent="0.25">
      <c r="A440" s="4"/>
      <c r="B440" s="6" t="str">
        <f>IF(ATALI[[#This Row],[N_ID]]="","",INDEX(Table1[ID],MATCH(ATALI[[#This Row],[N_ID]],Table1[N_ID],0)))</f>
        <v/>
      </c>
      <c r="C440" s="6" t="str">
        <f>IF(ATALI[[#This Row],[ID NOTA]]="","",HYPERLINK("[NOTA_.xlsx]NOTA!e"&amp;INDEX([2]!PAJAK[//],MATCH(ATALI[[#This Row],[ID NOTA]],[2]!PAJAK[ID],0)),"&gt;") )</f>
        <v/>
      </c>
      <c r="D440" s="6" t="str">
        <f>IF(ATALI[[#This Row],[ID NOTA]]="","",INDEX(Table1[QB],MATCH(ATALI[[#This Row],[ID NOTA]],Table1[ID],0)))</f>
        <v/>
      </c>
      <c r="E4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0" s="6"/>
      <c r="G440" s="3" t="str">
        <f>IF(ATALI[[#This Row],[ID NOTA]]="","",INDEX([2]!NOTA[TGL_H],MATCH(ATALI[[#This Row],[ID NOTA]],[2]!NOTA[ID],0)))</f>
        <v/>
      </c>
      <c r="H440" s="3" t="str">
        <f>IF(ATALI[[#This Row],[ID NOTA]]="","",INDEX([2]!NOTA[TGL.NOTA],MATCH(ATALI[[#This Row],[ID NOTA]],[2]!NOTA[ID],0)))</f>
        <v/>
      </c>
      <c r="I440" s="4" t="str">
        <f>IF(ATALI[[#This Row],[ID NOTA]]="","",INDEX([2]!NOTA[NO.NOTA],MATCH(ATALI[[#This Row],[ID NOTA]],[2]!NOTA[ID],0)))</f>
        <v/>
      </c>
      <c r="J440" s="4" t="str">
        <f ca="1">IF(ATALI[[#This Row],[//]]="","",INDEX([4]!db[NB PAJAK],ATALI[[#This Row],[stt]]-1))</f>
        <v/>
      </c>
      <c r="K440" s="6" t="str">
        <f ca="1">IF(ATALI[[#This Row],[//]]="","",IF(INDEX([2]!NOTA[C],ATALI[[#This Row],[//]]-2)="","",INDEX([2]!NOTA[C],ATALI[[#This Row],[//]]-2)))</f>
        <v/>
      </c>
      <c r="L440" s="6" t="str">
        <f ca="1">IF(ATALI[[#This Row],[//]]="","",INDEX([2]!NOTA[QTY],ATALI[[#This Row],[//]]-2))</f>
        <v/>
      </c>
      <c r="M440" s="6" t="str">
        <f ca="1">IF(ATALI[[#This Row],[//]]="","",INDEX([2]!NOTA[STN],ATALI[[#This Row],[//]]-2))</f>
        <v/>
      </c>
      <c r="N440" s="5" t="str">
        <f ca="1">IF(ATALI[[#This Row],[//]]="","",INDEX([2]!NOTA[HARGA SATUAN],ATALI[[#This Row],[//]]-2))</f>
        <v/>
      </c>
      <c r="O440" s="7" t="str">
        <f ca="1">IF(ATALI[[#This Row],[//]]="","",INDEX([2]!NOTA[DISC 1],ATALI[[#This Row],[//]]-2))</f>
        <v/>
      </c>
      <c r="P440" s="7" t="str">
        <f ca="1">IF(ATALI[[#This Row],[//]]="","",INDEX([2]!NOTA[DISC 2],ATALI[[#This Row],[//]]-2))</f>
        <v/>
      </c>
      <c r="Q440" s="5" t="str">
        <f ca="1">IF(ATALI[[#This Row],[//]]="","",INDEX([2]!NOTA[TOTAL],ATALI[[#This Row],[//]]-2))</f>
        <v/>
      </c>
      <c r="R4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0" s="4" t="str">
        <f ca="1">IF(ATALI[[#This Row],[//]]="","",INDEX([2]!NOTA[NAMA BARANG],ATALI[[#This Row],[//]]-2))</f>
        <v/>
      </c>
      <c r="V440" s="4" t="str">
        <f ca="1">LOWER(SUBSTITUTE(SUBSTITUTE(SUBSTITUTE(SUBSTITUTE(SUBSTITUTE(SUBSTITUTE(SUBSTITUTE(ATALI[[#This Row],[N.B.nota]]," ",""),"-",""),"(",""),")",""),".",""),",",""),"/",""))</f>
        <v/>
      </c>
      <c r="W440" s="4" t="str">
        <f ca="1">IF(ATALI[[#This Row],[concat]]="","",MATCH(ATALI[[#This Row],[concat]],[4]!db[NB NOTA_C],0)+1)</f>
        <v/>
      </c>
      <c r="X440" s="4" t="str">
        <f ca="1">IF(ATALI[[#This Row],[N.B.nota]]="","",ADDRESS(ROW(ATALI[QB]),COLUMN(ATALI[QB]))&amp;":"&amp;ADDRESS(ROW(),COLUMN(ATALI[QB])))</f>
        <v/>
      </c>
      <c r="Y440" s="13" t="str">
        <f ca="1">IF(ATALI[[#This Row],[//]]="","",HYPERLINK("[../DB.xlsx]DB!e"&amp;MATCH(ATALI[[#This Row],[concat]],[4]!db[NB NOTA_C],0)+1,"&gt;"))</f>
        <v/>
      </c>
    </row>
    <row r="441" spans="1:25" x14ac:dyDescent="0.25">
      <c r="A441" s="4"/>
      <c r="B441" s="6" t="str">
        <f>IF(ATALI[[#This Row],[N_ID]]="","",INDEX(Table1[ID],MATCH(ATALI[[#This Row],[N_ID]],Table1[N_ID],0)))</f>
        <v/>
      </c>
      <c r="C441" s="6" t="str">
        <f>IF(ATALI[[#This Row],[ID NOTA]]="","",HYPERLINK("[NOTA_.xlsx]NOTA!e"&amp;INDEX([2]!PAJAK[//],MATCH(ATALI[[#This Row],[ID NOTA]],[2]!PAJAK[ID],0)),"&gt;") )</f>
        <v/>
      </c>
      <c r="D441" s="6" t="str">
        <f>IF(ATALI[[#This Row],[ID NOTA]]="","",INDEX(Table1[QB],MATCH(ATALI[[#This Row],[ID NOTA]],Table1[ID],0)))</f>
        <v/>
      </c>
      <c r="E4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1" s="6"/>
      <c r="G441" s="3" t="str">
        <f>IF(ATALI[[#This Row],[ID NOTA]]="","",INDEX([2]!NOTA[TGL_H],MATCH(ATALI[[#This Row],[ID NOTA]],[2]!NOTA[ID],0)))</f>
        <v/>
      </c>
      <c r="H441" s="3" t="str">
        <f>IF(ATALI[[#This Row],[ID NOTA]]="","",INDEX([2]!NOTA[TGL.NOTA],MATCH(ATALI[[#This Row],[ID NOTA]],[2]!NOTA[ID],0)))</f>
        <v/>
      </c>
      <c r="I441" s="4" t="str">
        <f>IF(ATALI[[#This Row],[ID NOTA]]="","",INDEX([2]!NOTA[NO.NOTA],MATCH(ATALI[[#This Row],[ID NOTA]],[2]!NOTA[ID],0)))</f>
        <v/>
      </c>
      <c r="J441" s="4" t="str">
        <f ca="1">IF(ATALI[[#This Row],[//]]="","",INDEX([4]!db[NB PAJAK],ATALI[[#This Row],[stt]]-1))</f>
        <v/>
      </c>
      <c r="K441" s="6" t="str">
        <f ca="1">IF(ATALI[[#This Row],[//]]="","",IF(INDEX([2]!NOTA[C],ATALI[[#This Row],[//]]-2)="","",INDEX([2]!NOTA[C],ATALI[[#This Row],[//]]-2)))</f>
        <v/>
      </c>
      <c r="L441" s="6" t="str">
        <f ca="1">IF(ATALI[[#This Row],[//]]="","",INDEX([2]!NOTA[QTY],ATALI[[#This Row],[//]]-2))</f>
        <v/>
      </c>
      <c r="M441" s="6" t="str">
        <f ca="1">IF(ATALI[[#This Row],[//]]="","",INDEX([2]!NOTA[STN],ATALI[[#This Row],[//]]-2))</f>
        <v/>
      </c>
      <c r="N441" s="5" t="str">
        <f ca="1">IF(ATALI[[#This Row],[//]]="","",INDEX([2]!NOTA[HARGA SATUAN],ATALI[[#This Row],[//]]-2))</f>
        <v/>
      </c>
      <c r="O441" s="7" t="str">
        <f ca="1">IF(ATALI[[#This Row],[//]]="","",INDEX([2]!NOTA[DISC 1],ATALI[[#This Row],[//]]-2))</f>
        <v/>
      </c>
      <c r="P441" s="7" t="str">
        <f ca="1">IF(ATALI[[#This Row],[//]]="","",INDEX([2]!NOTA[DISC 2],ATALI[[#This Row],[//]]-2))</f>
        <v/>
      </c>
      <c r="Q441" s="5" t="str">
        <f ca="1">IF(ATALI[[#This Row],[//]]="","",INDEX([2]!NOTA[TOTAL],ATALI[[#This Row],[//]]-2))</f>
        <v/>
      </c>
      <c r="R4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1" s="4" t="str">
        <f ca="1">IF(ATALI[[#This Row],[//]]="","",INDEX([2]!NOTA[NAMA BARANG],ATALI[[#This Row],[//]]-2))</f>
        <v/>
      </c>
      <c r="V441" s="4" t="str">
        <f ca="1">LOWER(SUBSTITUTE(SUBSTITUTE(SUBSTITUTE(SUBSTITUTE(SUBSTITUTE(SUBSTITUTE(SUBSTITUTE(ATALI[[#This Row],[N.B.nota]]," ",""),"-",""),"(",""),")",""),".",""),",",""),"/",""))</f>
        <v/>
      </c>
      <c r="W441" s="4" t="str">
        <f ca="1">IF(ATALI[[#This Row],[concat]]="","",MATCH(ATALI[[#This Row],[concat]],[4]!db[NB NOTA_C],0)+1)</f>
        <v/>
      </c>
      <c r="X441" s="4" t="str">
        <f ca="1">IF(ATALI[[#This Row],[N.B.nota]]="","",ADDRESS(ROW(ATALI[QB]),COLUMN(ATALI[QB]))&amp;":"&amp;ADDRESS(ROW(),COLUMN(ATALI[QB])))</f>
        <v/>
      </c>
      <c r="Y441" s="13" t="str">
        <f ca="1">IF(ATALI[[#This Row],[//]]="","",HYPERLINK("[../DB.xlsx]DB!e"&amp;MATCH(ATALI[[#This Row],[concat]],[4]!db[NB NOTA_C],0)+1,"&gt;"))</f>
        <v/>
      </c>
    </row>
    <row r="442" spans="1:25" x14ac:dyDescent="0.25">
      <c r="A442" s="4"/>
      <c r="B442" s="6" t="str">
        <f>IF(ATALI[[#This Row],[N_ID]]="","",INDEX(Table1[ID],MATCH(ATALI[[#This Row],[N_ID]],Table1[N_ID],0)))</f>
        <v/>
      </c>
      <c r="C442" s="6" t="str">
        <f>IF(ATALI[[#This Row],[ID NOTA]]="","",HYPERLINK("[NOTA_.xlsx]NOTA!e"&amp;INDEX([2]!PAJAK[//],MATCH(ATALI[[#This Row],[ID NOTA]],[2]!PAJAK[ID],0)),"&gt;") )</f>
        <v/>
      </c>
      <c r="D442" s="6" t="str">
        <f>IF(ATALI[[#This Row],[ID NOTA]]="","",INDEX(Table1[QB],MATCH(ATALI[[#This Row],[ID NOTA]],Table1[ID],0)))</f>
        <v/>
      </c>
      <c r="E4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2" s="6"/>
      <c r="G442" s="3" t="str">
        <f>IF(ATALI[[#This Row],[ID NOTA]]="","",INDEX([2]!NOTA[TGL_H],MATCH(ATALI[[#This Row],[ID NOTA]],[2]!NOTA[ID],0)))</f>
        <v/>
      </c>
      <c r="H442" s="3" t="str">
        <f>IF(ATALI[[#This Row],[ID NOTA]]="","",INDEX([2]!NOTA[TGL.NOTA],MATCH(ATALI[[#This Row],[ID NOTA]],[2]!NOTA[ID],0)))</f>
        <v/>
      </c>
      <c r="I442" s="4" t="str">
        <f>IF(ATALI[[#This Row],[ID NOTA]]="","",INDEX([2]!NOTA[NO.NOTA],MATCH(ATALI[[#This Row],[ID NOTA]],[2]!NOTA[ID],0)))</f>
        <v/>
      </c>
      <c r="J442" s="4" t="str">
        <f ca="1">IF(ATALI[[#This Row],[//]]="","",INDEX([4]!db[NB PAJAK],ATALI[[#This Row],[stt]]-1))</f>
        <v/>
      </c>
      <c r="K442" s="6" t="str">
        <f ca="1">IF(ATALI[[#This Row],[//]]="","",IF(INDEX([2]!NOTA[C],ATALI[[#This Row],[//]]-2)="","",INDEX([2]!NOTA[C],ATALI[[#This Row],[//]]-2)))</f>
        <v/>
      </c>
      <c r="L442" s="6" t="str">
        <f ca="1">IF(ATALI[[#This Row],[//]]="","",INDEX([2]!NOTA[QTY],ATALI[[#This Row],[//]]-2))</f>
        <v/>
      </c>
      <c r="M442" s="6" t="str">
        <f ca="1">IF(ATALI[[#This Row],[//]]="","",INDEX([2]!NOTA[STN],ATALI[[#This Row],[//]]-2))</f>
        <v/>
      </c>
      <c r="N442" s="5" t="str">
        <f ca="1">IF(ATALI[[#This Row],[//]]="","",INDEX([2]!NOTA[HARGA SATUAN],ATALI[[#This Row],[//]]-2))</f>
        <v/>
      </c>
      <c r="O442" s="7" t="str">
        <f ca="1">IF(ATALI[[#This Row],[//]]="","",INDEX([2]!NOTA[DISC 1],ATALI[[#This Row],[//]]-2))</f>
        <v/>
      </c>
      <c r="P442" s="7" t="str">
        <f ca="1">IF(ATALI[[#This Row],[//]]="","",INDEX([2]!NOTA[DISC 2],ATALI[[#This Row],[//]]-2))</f>
        <v/>
      </c>
      <c r="Q442" s="5" t="str">
        <f ca="1">IF(ATALI[[#This Row],[//]]="","",INDEX([2]!NOTA[TOTAL],ATALI[[#This Row],[//]]-2))</f>
        <v/>
      </c>
      <c r="R4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2" s="4" t="str">
        <f ca="1">IF(ATALI[[#This Row],[//]]="","",INDEX([2]!NOTA[NAMA BARANG],ATALI[[#This Row],[//]]-2))</f>
        <v/>
      </c>
      <c r="V442" s="4" t="str">
        <f ca="1">LOWER(SUBSTITUTE(SUBSTITUTE(SUBSTITUTE(SUBSTITUTE(SUBSTITUTE(SUBSTITUTE(SUBSTITUTE(ATALI[[#This Row],[N.B.nota]]," ",""),"-",""),"(",""),")",""),".",""),",",""),"/",""))</f>
        <v/>
      </c>
      <c r="W442" s="4" t="str">
        <f ca="1">IF(ATALI[[#This Row],[concat]]="","",MATCH(ATALI[[#This Row],[concat]],[4]!db[NB NOTA_C],0)+1)</f>
        <v/>
      </c>
      <c r="X442" s="4" t="str">
        <f ca="1">IF(ATALI[[#This Row],[N.B.nota]]="","",ADDRESS(ROW(ATALI[QB]),COLUMN(ATALI[QB]))&amp;":"&amp;ADDRESS(ROW(),COLUMN(ATALI[QB])))</f>
        <v/>
      </c>
      <c r="Y442" s="13" t="str">
        <f ca="1">IF(ATALI[[#This Row],[//]]="","",HYPERLINK("[../DB.xlsx]DB!e"&amp;MATCH(ATALI[[#This Row],[concat]],[4]!db[NB NOTA_C],0)+1,"&gt;"))</f>
        <v/>
      </c>
    </row>
    <row r="443" spans="1:25" x14ac:dyDescent="0.25">
      <c r="A443" s="4"/>
      <c r="B443" s="6" t="str">
        <f>IF(ATALI[[#This Row],[N_ID]]="","",INDEX(Table1[ID],MATCH(ATALI[[#This Row],[N_ID]],Table1[N_ID],0)))</f>
        <v/>
      </c>
      <c r="C443" s="6" t="str">
        <f>IF(ATALI[[#This Row],[ID NOTA]]="","",HYPERLINK("[NOTA_.xlsx]NOTA!e"&amp;INDEX([2]!PAJAK[//],MATCH(ATALI[[#This Row],[ID NOTA]],[2]!PAJAK[ID],0)),"&gt;") )</f>
        <v/>
      </c>
      <c r="D443" s="6" t="str">
        <f>IF(ATALI[[#This Row],[ID NOTA]]="","",INDEX(Table1[QB],MATCH(ATALI[[#This Row],[ID NOTA]],Table1[ID],0)))</f>
        <v/>
      </c>
      <c r="E4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3" s="6"/>
      <c r="G443" s="3" t="str">
        <f>IF(ATALI[[#This Row],[ID NOTA]]="","",INDEX([2]!NOTA[TGL_H],MATCH(ATALI[[#This Row],[ID NOTA]],[2]!NOTA[ID],0)))</f>
        <v/>
      </c>
      <c r="H443" s="3" t="str">
        <f>IF(ATALI[[#This Row],[ID NOTA]]="","",INDEX([2]!NOTA[TGL.NOTA],MATCH(ATALI[[#This Row],[ID NOTA]],[2]!NOTA[ID],0)))</f>
        <v/>
      </c>
      <c r="I443" s="4" t="str">
        <f>IF(ATALI[[#This Row],[ID NOTA]]="","",INDEX([2]!NOTA[NO.NOTA],MATCH(ATALI[[#This Row],[ID NOTA]],[2]!NOTA[ID],0)))</f>
        <v/>
      </c>
      <c r="J443" s="4" t="str">
        <f ca="1">IF(ATALI[[#This Row],[//]]="","",INDEX([4]!db[NB PAJAK],ATALI[[#This Row],[stt]]-1))</f>
        <v/>
      </c>
      <c r="K443" s="6" t="str">
        <f ca="1">IF(ATALI[[#This Row],[//]]="","",IF(INDEX([2]!NOTA[C],ATALI[[#This Row],[//]]-2)="","",INDEX([2]!NOTA[C],ATALI[[#This Row],[//]]-2)))</f>
        <v/>
      </c>
      <c r="L443" s="6" t="str">
        <f ca="1">IF(ATALI[[#This Row],[//]]="","",INDEX([2]!NOTA[QTY],ATALI[[#This Row],[//]]-2))</f>
        <v/>
      </c>
      <c r="M443" s="6" t="str">
        <f ca="1">IF(ATALI[[#This Row],[//]]="","",INDEX([2]!NOTA[STN],ATALI[[#This Row],[//]]-2))</f>
        <v/>
      </c>
      <c r="N443" s="5" t="str">
        <f ca="1">IF(ATALI[[#This Row],[//]]="","",INDEX([2]!NOTA[HARGA SATUAN],ATALI[[#This Row],[//]]-2))</f>
        <v/>
      </c>
      <c r="O443" s="7" t="str">
        <f ca="1">IF(ATALI[[#This Row],[//]]="","",INDEX([2]!NOTA[DISC 1],ATALI[[#This Row],[//]]-2))</f>
        <v/>
      </c>
      <c r="P443" s="7" t="str">
        <f ca="1">IF(ATALI[[#This Row],[//]]="","",INDEX([2]!NOTA[DISC 2],ATALI[[#This Row],[//]]-2))</f>
        <v/>
      </c>
      <c r="Q443" s="5" t="str">
        <f ca="1">IF(ATALI[[#This Row],[//]]="","",INDEX([2]!NOTA[TOTAL],ATALI[[#This Row],[//]]-2))</f>
        <v/>
      </c>
      <c r="R4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3" s="4" t="str">
        <f ca="1">IF(ATALI[[#This Row],[//]]="","",INDEX([2]!NOTA[NAMA BARANG],ATALI[[#This Row],[//]]-2))</f>
        <v/>
      </c>
      <c r="V443" s="4" t="str">
        <f ca="1">LOWER(SUBSTITUTE(SUBSTITUTE(SUBSTITUTE(SUBSTITUTE(SUBSTITUTE(SUBSTITUTE(SUBSTITUTE(ATALI[[#This Row],[N.B.nota]]," ",""),"-",""),"(",""),")",""),".",""),",",""),"/",""))</f>
        <v/>
      </c>
      <c r="W443" s="4" t="str">
        <f ca="1">IF(ATALI[[#This Row],[concat]]="","",MATCH(ATALI[[#This Row],[concat]],[4]!db[NB NOTA_C],0)+1)</f>
        <v/>
      </c>
      <c r="X443" s="4" t="str">
        <f ca="1">IF(ATALI[[#This Row],[N.B.nota]]="","",ADDRESS(ROW(ATALI[QB]),COLUMN(ATALI[QB]))&amp;":"&amp;ADDRESS(ROW(),COLUMN(ATALI[QB])))</f>
        <v/>
      </c>
      <c r="Y443" s="13" t="str">
        <f ca="1">IF(ATALI[[#This Row],[//]]="","",HYPERLINK("[../DB.xlsx]DB!e"&amp;MATCH(ATALI[[#This Row],[concat]],[4]!db[NB NOTA_C],0)+1,"&gt;"))</f>
        <v/>
      </c>
    </row>
    <row r="444" spans="1:25" x14ac:dyDescent="0.25">
      <c r="A444" s="4"/>
      <c r="B444" s="6" t="str">
        <f>IF(ATALI[[#This Row],[N_ID]]="","",INDEX(Table1[ID],MATCH(ATALI[[#This Row],[N_ID]],Table1[N_ID],0)))</f>
        <v/>
      </c>
      <c r="C444" s="6" t="str">
        <f>IF(ATALI[[#This Row],[ID NOTA]]="","",HYPERLINK("[NOTA_.xlsx]NOTA!e"&amp;INDEX([2]!PAJAK[//],MATCH(ATALI[[#This Row],[ID NOTA]],[2]!PAJAK[ID],0)),"&gt;") )</f>
        <v/>
      </c>
      <c r="D444" s="6" t="str">
        <f>IF(ATALI[[#This Row],[ID NOTA]]="","",INDEX(Table1[QB],MATCH(ATALI[[#This Row],[ID NOTA]],Table1[ID],0)))</f>
        <v/>
      </c>
      <c r="E4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4" s="6"/>
      <c r="G444" s="3" t="str">
        <f>IF(ATALI[[#This Row],[ID NOTA]]="","",INDEX([2]!NOTA[TGL_H],MATCH(ATALI[[#This Row],[ID NOTA]],[2]!NOTA[ID],0)))</f>
        <v/>
      </c>
      <c r="H444" s="3" t="str">
        <f>IF(ATALI[[#This Row],[ID NOTA]]="","",INDEX([2]!NOTA[TGL.NOTA],MATCH(ATALI[[#This Row],[ID NOTA]],[2]!NOTA[ID],0)))</f>
        <v/>
      </c>
      <c r="I444" s="4" t="str">
        <f>IF(ATALI[[#This Row],[ID NOTA]]="","",INDEX([2]!NOTA[NO.NOTA],MATCH(ATALI[[#This Row],[ID NOTA]],[2]!NOTA[ID],0)))</f>
        <v/>
      </c>
      <c r="J444" s="4" t="str">
        <f ca="1">IF(ATALI[[#This Row],[//]]="","",INDEX([4]!db[NB PAJAK],ATALI[[#This Row],[stt]]-1))</f>
        <v/>
      </c>
      <c r="K444" s="6" t="str">
        <f ca="1">IF(ATALI[[#This Row],[//]]="","",IF(INDEX([2]!NOTA[C],ATALI[[#This Row],[//]]-2)="","",INDEX([2]!NOTA[C],ATALI[[#This Row],[//]]-2)))</f>
        <v/>
      </c>
      <c r="L444" s="6" t="str">
        <f ca="1">IF(ATALI[[#This Row],[//]]="","",INDEX([2]!NOTA[QTY],ATALI[[#This Row],[//]]-2))</f>
        <v/>
      </c>
      <c r="M444" s="6" t="str">
        <f ca="1">IF(ATALI[[#This Row],[//]]="","",INDEX([2]!NOTA[STN],ATALI[[#This Row],[//]]-2))</f>
        <v/>
      </c>
      <c r="N444" s="5" t="str">
        <f ca="1">IF(ATALI[[#This Row],[//]]="","",INDEX([2]!NOTA[HARGA SATUAN],ATALI[[#This Row],[//]]-2))</f>
        <v/>
      </c>
      <c r="O444" s="7" t="str">
        <f ca="1">IF(ATALI[[#This Row],[//]]="","",INDEX([2]!NOTA[DISC 1],ATALI[[#This Row],[//]]-2))</f>
        <v/>
      </c>
      <c r="P444" s="7" t="str">
        <f ca="1">IF(ATALI[[#This Row],[//]]="","",INDEX([2]!NOTA[DISC 2],ATALI[[#This Row],[//]]-2))</f>
        <v/>
      </c>
      <c r="Q444" s="5" t="str">
        <f ca="1">IF(ATALI[[#This Row],[//]]="","",INDEX([2]!NOTA[TOTAL],ATALI[[#This Row],[//]]-2))</f>
        <v/>
      </c>
      <c r="R4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4" s="4" t="str">
        <f ca="1">IF(ATALI[[#This Row],[//]]="","",INDEX([2]!NOTA[NAMA BARANG],ATALI[[#This Row],[//]]-2))</f>
        <v/>
      </c>
      <c r="V444" s="4" t="str">
        <f ca="1">LOWER(SUBSTITUTE(SUBSTITUTE(SUBSTITUTE(SUBSTITUTE(SUBSTITUTE(SUBSTITUTE(SUBSTITUTE(ATALI[[#This Row],[N.B.nota]]," ",""),"-",""),"(",""),")",""),".",""),",",""),"/",""))</f>
        <v/>
      </c>
      <c r="W444" s="4" t="str">
        <f ca="1">IF(ATALI[[#This Row],[concat]]="","",MATCH(ATALI[[#This Row],[concat]],[4]!db[NB NOTA_C],0)+1)</f>
        <v/>
      </c>
      <c r="X444" s="4" t="str">
        <f ca="1">IF(ATALI[[#This Row],[N.B.nota]]="","",ADDRESS(ROW(ATALI[QB]),COLUMN(ATALI[QB]))&amp;":"&amp;ADDRESS(ROW(),COLUMN(ATALI[QB])))</f>
        <v/>
      </c>
      <c r="Y444" s="13" t="str">
        <f ca="1">IF(ATALI[[#This Row],[//]]="","",HYPERLINK("[../DB.xlsx]DB!e"&amp;MATCH(ATALI[[#This Row],[concat]],[4]!db[NB NOTA_C],0)+1,"&gt;"))</f>
        <v/>
      </c>
    </row>
    <row r="445" spans="1:25" x14ac:dyDescent="0.25">
      <c r="A445" s="4"/>
      <c r="B445" s="6" t="str">
        <f>IF(ATALI[[#This Row],[N_ID]]="","",INDEX(Table1[ID],MATCH(ATALI[[#This Row],[N_ID]],Table1[N_ID],0)))</f>
        <v/>
      </c>
      <c r="C445" s="6" t="str">
        <f>IF(ATALI[[#This Row],[ID NOTA]]="","",HYPERLINK("[NOTA_.xlsx]NOTA!e"&amp;INDEX([2]!PAJAK[//],MATCH(ATALI[[#This Row],[ID NOTA]],[2]!PAJAK[ID],0)),"&gt;") )</f>
        <v/>
      </c>
      <c r="D445" s="6" t="str">
        <f>IF(ATALI[[#This Row],[ID NOTA]]="","",INDEX(Table1[QB],MATCH(ATALI[[#This Row],[ID NOTA]],Table1[ID],0)))</f>
        <v/>
      </c>
      <c r="E4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5" s="6"/>
      <c r="G445" s="3" t="str">
        <f>IF(ATALI[[#This Row],[ID NOTA]]="","",INDEX([2]!NOTA[TGL_H],MATCH(ATALI[[#This Row],[ID NOTA]],[2]!NOTA[ID],0)))</f>
        <v/>
      </c>
      <c r="H445" s="3" t="str">
        <f>IF(ATALI[[#This Row],[ID NOTA]]="","",INDEX([2]!NOTA[TGL.NOTA],MATCH(ATALI[[#This Row],[ID NOTA]],[2]!NOTA[ID],0)))</f>
        <v/>
      </c>
      <c r="I445" s="4" t="str">
        <f>IF(ATALI[[#This Row],[ID NOTA]]="","",INDEX([2]!NOTA[NO.NOTA],MATCH(ATALI[[#This Row],[ID NOTA]],[2]!NOTA[ID],0)))</f>
        <v/>
      </c>
      <c r="J445" s="4" t="str">
        <f ca="1">IF(ATALI[[#This Row],[//]]="","",INDEX([4]!db[NB PAJAK],ATALI[[#This Row],[stt]]-1))</f>
        <v/>
      </c>
      <c r="K445" s="6" t="str">
        <f ca="1">IF(ATALI[[#This Row],[//]]="","",IF(INDEX([2]!NOTA[C],ATALI[[#This Row],[//]]-2)="","",INDEX([2]!NOTA[C],ATALI[[#This Row],[//]]-2)))</f>
        <v/>
      </c>
      <c r="L445" s="6" t="str">
        <f ca="1">IF(ATALI[[#This Row],[//]]="","",INDEX([2]!NOTA[QTY],ATALI[[#This Row],[//]]-2))</f>
        <v/>
      </c>
      <c r="M445" s="6" t="str">
        <f ca="1">IF(ATALI[[#This Row],[//]]="","",INDEX([2]!NOTA[STN],ATALI[[#This Row],[//]]-2))</f>
        <v/>
      </c>
      <c r="N445" s="5" t="str">
        <f ca="1">IF(ATALI[[#This Row],[//]]="","",INDEX([2]!NOTA[HARGA SATUAN],ATALI[[#This Row],[//]]-2))</f>
        <v/>
      </c>
      <c r="O445" s="7" t="str">
        <f ca="1">IF(ATALI[[#This Row],[//]]="","",INDEX([2]!NOTA[DISC 1],ATALI[[#This Row],[//]]-2))</f>
        <v/>
      </c>
      <c r="P445" s="7" t="str">
        <f ca="1">IF(ATALI[[#This Row],[//]]="","",INDEX([2]!NOTA[DISC 2],ATALI[[#This Row],[//]]-2))</f>
        <v/>
      </c>
      <c r="Q445" s="5" t="str">
        <f ca="1">IF(ATALI[[#This Row],[//]]="","",INDEX([2]!NOTA[TOTAL],ATALI[[#This Row],[//]]-2))</f>
        <v/>
      </c>
      <c r="R4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5" s="4" t="str">
        <f ca="1">IF(ATALI[[#This Row],[//]]="","",INDEX([2]!NOTA[NAMA BARANG],ATALI[[#This Row],[//]]-2))</f>
        <v/>
      </c>
      <c r="V445" s="4" t="str">
        <f ca="1">LOWER(SUBSTITUTE(SUBSTITUTE(SUBSTITUTE(SUBSTITUTE(SUBSTITUTE(SUBSTITUTE(SUBSTITUTE(ATALI[[#This Row],[N.B.nota]]," ",""),"-",""),"(",""),")",""),".",""),",",""),"/",""))</f>
        <v/>
      </c>
      <c r="W445" s="4" t="str">
        <f ca="1">IF(ATALI[[#This Row],[concat]]="","",MATCH(ATALI[[#This Row],[concat]],[4]!db[NB NOTA_C],0)+1)</f>
        <v/>
      </c>
      <c r="X445" s="4" t="str">
        <f ca="1">IF(ATALI[[#This Row],[N.B.nota]]="","",ADDRESS(ROW(ATALI[QB]),COLUMN(ATALI[QB]))&amp;":"&amp;ADDRESS(ROW(),COLUMN(ATALI[QB])))</f>
        <v/>
      </c>
      <c r="Y445" s="13" t="str">
        <f ca="1">IF(ATALI[[#This Row],[//]]="","",HYPERLINK("[../DB.xlsx]DB!e"&amp;MATCH(ATALI[[#This Row],[concat]],[4]!db[NB NOTA_C],0)+1,"&gt;"))</f>
        <v/>
      </c>
    </row>
    <row r="446" spans="1:25" x14ac:dyDescent="0.25">
      <c r="A446" s="4"/>
      <c r="B446" s="6" t="str">
        <f>IF(ATALI[[#This Row],[N_ID]]="","",INDEX(Table1[ID],MATCH(ATALI[[#This Row],[N_ID]],Table1[N_ID],0)))</f>
        <v/>
      </c>
      <c r="C446" s="6" t="str">
        <f>IF(ATALI[[#This Row],[ID NOTA]]="","",HYPERLINK("[NOTA_.xlsx]NOTA!e"&amp;INDEX([2]!PAJAK[//],MATCH(ATALI[[#This Row],[ID NOTA]],[2]!PAJAK[ID],0)),"&gt;") )</f>
        <v/>
      </c>
      <c r="D446" s="6" t="str">
        <f>IF(ATALI[[#This Row],[ID NOTA]]="","",INDEX(Table1[QB],MATCH(ATALI[[#This Row],[ID NOTA]],Table1[ID],0)))</f>
        <v/>
      </c>
      <c r="E4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6" s="6"/>
      <c r="G446" s="3" t="str">
        <f>IF(ATALI[[#This Row],[ID NOTA]]="","",INDEX([2]!NOTA[TGL_H],MATCH(ATALI[[#This Row],[ID NOTA]],[2]!NOTA[ID],0)))</f>
        <v/>
      </c>
      <c r="H446" s="3" t="str">
        <f>IF(ATALI[[#This Row],[ID NOTA]]="","",INDEX([2]!NOTA[TGL.NOTA],MATCH(ATALI[[#This Row],[ID NOTA]],[2]!NOTA[ID],0)))</f>
        <v/>
      </c>
      <c r="I446" s="4" t="str">
        <f>IF(ATALI[[#This Row],[ID NOTA]]="","",INDEX([2]!NOTA[NO.NOTA],MATCH(ATALI[[#This Row],[ID NOTA]],[2]!NOTA[ID],0)))</f>
        <v/>
      </c>
      <c r="J446" s="4" t="str">
        <f ca="1">IF(ATALI[[#This Row],[//]]="","",INDEX([4]!db[NB PAJAK],ATALI[[#This Row],[stt]]-1))</f>
        <v/>
      </c>
      <c r="K446" s="6" t="str">
        <f ca="1">IF(ATALI[[#This Row],[//]]="","",IF(INDEX([2]!NOTA[C],ATALI[[#This Row],[//]]-2)="","",INDEX([2]!NOTA[C],ATALI[[#This Row],[//]]-2)))</f>
        <v/>
      </c>
      <c r="L446" s="6" t="str">
        <f ca="1">IF(ATALI[[#This Row],[//]]="","",INDEX([2]!NOTA[QTY],ATALI[[#This Row],[//]]-2))</f>
        <v/>
      </c>
      <c r="M446" s="6" t="str">
        <f ca="1">IF(ATALI[[#This Row],[//]]="","",INDEX([2]!NOTA[STN],ATALI[[#This Row],[//]]-2))</f>
        <v/>
      </c>
      <c r="N446" s="5" t="str">
        <f ca="1">IF(ATALI[[#This Row],[//]]="","",INDEX([2]!NOTA[HARGA SATUAN],ATALI[[#This Row],[//]]-2))</f>
        <v/>
      </c>
      <c r="O446" s="7" t="str">
        <f ca="1">IF(ATALI[[#This Row],[//]]="","",INDEX([2]!NOTA[DISC 1],ATALI[[#This Row],[//]]-2))</f>
        <v/>
      </c>
      <c r="P446" s="7" t="str">
        <f ca="1">IF(ATALI[[#This Row],[//]]="","",INDEX([2]!NOTA[DISC 2],ATALI[[#This Row],[//]]-2))</f>
        <v/>
      </c>
      <c r="Q446" s="5" t="str">
        <f ca="1">IF(ATALI[[#This Row],[//]]="","",INDEX([2]!NOTA[TOTAL],ATALI[[#This Row],[//]]-2))</f>
        <v/>
      </c>
      <c r="R4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6" s="4" t="str">
        <f ca="1">IF(ATALI[[#This Row],[//]]="","",INDEX([2]!NOTA[NAMA BARANG],ATALI[[#This Row],[//]]-2))</f>
        <v/>
      </c>
      <c r="V446" s="4" t="str">
        <f ca="1">LOWER(SUBSTITUTE(SUBSTITUTE(SUBSTITUTE(SUBSTITUTE(SUBSTITUTE(SUBSTITUTE(SUBSTITUTE(ATALI[[#This Row],[N.B.nota]]," ",""),"-",""),"(",""),")",""),".",""),",",""),"/",""))</f>
        <v/>
      </c>
      <c r="W446" s="4" t="str">
        <f ca="1">IF(ATALI[[#This Row],[concat]]="","",MATCH(ATALI[[#This Row],[concat]],[4]!db[NB NOTA_C],0)+1)</f>
        <v/>
      </c>
      <c r="X446" s="4" t="str">
        <f ca="1">IF(ATALI[[#This Row],[N.B.nota]]="","",ADDRESS(ROW(ATALI[QB]),COLUMN(ATALI[QB]))&amp;":"&amp;ADDRESS(ROW(),COLUMN(ATALI[QB])))</f>
        <v/>
      </c>
      <c r="Y446" s="13" t="str">
        <f ca="1">IF(ATALI[[#This Row],[//]]="","",HYPERLINK("[../DB.xlsx]DB!e"&amp;MATCH(ATALI[[#This Row],[concat]],[4]!db[NB NOTA_C],0)+1,"&gt;"))</f>
        <v/>
      </c>
    </row>
    <row r="447" spans="1:25" x14ac:dyDescent="0.25">
      <c r="A447" s="4"/>
      <c r="B447" s="6" t="str">
        <f>IF(ATALI[[#This Row],[N_ID]]="","",INDEX(Table1[ID],MATCH(ATALI[[#This Row],[N_ID]],Table1[N_ID],0)))</f>
        <v/>
      </c>
      <c r="C447" s="6" t="str">
        <f>IF(ATALI[[#This Row],[ID NOTA]]="","",HYPERLINK("[NOTA_.xlsx]NOTA!e"&amp;INDEX([2]!PAJAK[//],MATCH(ATALI[[#This Row],[ID NOTA]],[2]!PAJAK[ID],0)),"&gt;") )</f>
        <v/>
      </c>
      <c r="D447" s="6" t="str">
        <f>IF(ATALI[[#This Row],[ID NOTA]]="","",INDEX(Table1[QB],MATCH(ATALI[[#This Row],[ID NOTA]],Table1[ID],0)))</f>
        <v/>
      </c>
      <c r="E4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7" s="6"/>
      <c r="G447" s="3" t="str">
        <f>IF(ATALI[[#This Row],[ID NOTA]]="","",INDEX([2]!NOTA[TGL_H],MATCH(ATALI[[#This Row],[ID NOTA]],[2]!NOTA[ID],0)))</f>
        <v/>
      </c>
      <c r="H447" s="3" t="str">
        <f>IF(ATALI[[#This Row],[ID NOTA]]="","",INDEX([2]!NOTA[TGL.NOTA],MATCH(ATALI[[#This Row],[ID NOTA]],[2]!NOTA[ID],0)))</f>
        <v/>
      </c>
      <c r="I447" s="4" t="str">
        <f>IF(ATALI[[#This Row],[ID NOTA]]="","",INDEX([2]!NOTA[NO.NOTA],MATCH(ATALI[[#This Row],[ID NOTA]],[2]!NOTA[ID],0)))</f>
        <v/>
      </c>
      <c r="J447" s="4" t="str">
        <f ca="1">IF(ATALI[[#This Row],[//]]="","",INDEX([4]!db[NB PAJAK],ATALI[[#This Row],[stt]]-1))</f>
        <v/>
      </c>
      <c r="K447" s="6" t="str">
        <f ca="1">IF(ATALI[[#This Row],[//]]="","",IF(INDEX([2]!NOTA[C],ATALI[[#This Row],[//]]-2)="","",INDEX([2]!NOTA[C],ATALI[[#This Row],[//]]-2)))</f>
        <v/>
      </c>
      <c r="L447" s="6" t="str">
        <f ca="1">IF(ATALI[[#This Row],[//]]="","",INDEX([2]!NOTA[QTY],ATALI[[#This Row],[//]]-2))</f>
        <v/>
      </c>
      <c r="M447" s="6" t="str">
        <f ca="1">IF(ATALI[[#This Row],[//]]="","",INDEX([2]!NOTA[STN],ATALI[[#This Row],[//]]-2))</f>
        <v/>
      </c>
      <c r="N447" s="5" t="str">
        <f ca="1">IF(ATALI[[#This Row],[//]]="","",INDEX([2]!NOTA[HARGA SATUAN],ATALI[[#This Row],[//]]-2))</f>
        <v/>
      </c>
      <c r="O447" s="7" t="str">
        <f ca="1">IF(ATALI[[#This Row],[//]]="","",INDEX([2]!NOTA[DISC 1],ATALI[[#This Row],[//]]-2))</f>
        <v/>
      </c>
      <c r="P447" s="7" t="str">
        <f ca="1">IF(ATALI[[#This Row],[//]]="","",INDEX([2]!NOTA[DISC 2],ATALI[[#This Row],[//]]-2))</f>
        <v/>
      </c>
      <c r="Q447" s="5" t="str">
        <f ca="1">IF(ATALI[[#This Row],[//]]="","",INDEX([2]!NOTA[TOTAL],ATALI[[#This Row],[//]]-2))</f>
        <v/>
      </c>
      <c r="R4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7" s="4" t="str">
        <f ca="1">IF(ATALI[[#This Row],[//]]="","",INDEX([2]!NOTA[NAMA BARANG],ATALI[[#This Row],[//]]-2))</f>
        <v/>
      </c>
      <c r="V447" s="4" t="str">
        <f ca="1">LOWER(SUBSTITUTE(SUBSTITUTE(SUBSTITUTE(SUBSTITUTE(SUBSTITUTE(SUBSTITUTE(SUBSTITUTE(ATALI[[#This Row],[N.B.nota]]," ",""),"-",""),"(",""),")",""),".",""),",",""),"/",""))</f>
        <v/>
      </c>
      <c r="W447" s="4" t="str">
        <f ca="1">IF(ATALI[[#This Row],[concat]]="","",MATCH(ATALI[[#This Row],[concat]],[4]!db[NB NOTA_C],0)+1)</f>
        <v/>
      </c>
      <c r="X447" s="4" t="str">
        <f ca="1">IF(ATALI[[#This Row],[N.B.nota]]="","",ADDRESS(ROW(ATALI[QB]),COLUMN(ATALI[QB]))&amp;":"&amp;ADDRESS(ROW(),COLUMN(ATALI[QB])))</f>
        <v/>
      </c>
      <c r="Y447" s="13" t="str">
        <f ca="1">IF(ATALI[[#This Row],[//]]="","",HYPERLINK("[../DB.xlsx]DB!e"&amp;MATCH(ATALI[[#This Row],[concat]],[4]!db[NB NOTA_C],0)+1,"&gt;"))</f>
        <v/>
      </c>
    </row>
    <row r="448" spans="1:25" x14ac:dyDescent="0.25">
      <c r="A448" s="4"/>
      <c r="B448" s="6" t="str">
        <f>IF(ATALI[[#This Row],[N_ID]]="","",INDEX(Table1[ID],MATCH(ATALI[[#This Row],[N_ID]],Table1[N_ID],0)))</f>
        <v/>
      </c>
      <c r="C448" s="6" t="str">
        <f>IF(ATALI[[#This Row],[ID NOTA]]="","",HYPERLINK("[NOTA_.xlsx]NOTA!e"&amp;INDEX([2]!PAJAK[//],MATCH(ATALI[[#This Row],[ID NOTA]],[2]!PAJAK[ID],0)),"&gt;") )</f>
        <v/>
      </c>
      <c r="D448" s="6" t="str">
        <f>IF(ATALI[[#This Row],[ID NOTA]]="","",INDEX(Table1[QB],MATCH(ATALI[[#This Row],[ID NOTA]],Table1[ID],0)))</f>
        <v/>
      </c>
      <c r="E4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8" s="6"/>
      <c r="G448" s="3" t="str">
        <f>IF(ATALI[[#This Row],[ID NOTA]]="","",INDEX([2]!NOTA[TGL_H],MATCH(ATALI[[#This Row],[ID NOTA]],[2]!NOTA[ID],0)))</f>
        <v/>
      </c>
      <c r="H448" s="3" t="str">
        <f>IF(ATALI[[#This Row],[ID NOTA]]="","",INDEX([2]!NOTA[TGL.NOTA],MATCH(ATALI[[#This Row],[ID NOTA]],[2]!NOTA[ID],0)))</f>
        <v/>
      </c>
      <c r="I448" s="4" t="str">
        <f>IF(ATALI[[#This Row],[ID NOTA]]="","",INDEX([2]!NOTA[NO.NOTA],MATCH(ATALI[[#This Row],[ID NOTA]],[2]!NOTA[ID],0)))</f>
        <v/>
      </c>
      <c r="J448" s="4" t="str">
        <f ca="1">IF(ATALI[[#This Row],[//]]="","",INDEX([4]!db[NB PAJAK],ATALI[[#This Row],[stt]]-1))</f>
        <v/>
      </c>
      <c r="K448" s="6" t="str">
        <f ca="1">IF(ATALI[[#This Row],[//]]="","",IF(INDEX([2]!NOTA[C],ATALI[[#This Row],[//]]-2)="","",INDEX([2]!NOTA[C],ATALI[[#This Row],[//]]-2)))</f>
        <v/>
      </c>
      <c r="L448" s="6" t="str">
        <f ca="1">IF(ATALI[[#This Row],[//]]="","",INDEX([2]!NOTA[QTY],ATALI[[#This Row],[//]]-2))</f>
        <v/>
      </c>
      <c r="M448" s="6" t="str">
        <f ca="1">IF(ATALI[[#This Row],[//]]="","",INDEX([2]!NOTA[STN],ATALI[[#This Row],[//]]-2))</f>
        <v/>
      </c>
      <c r="N448" s="5" t="str">
        <f ca="1">IF(ATALI[[#This Row],[//]]="","",INDEX([2]!NOTA[HARGA SATUAN],ATALI[[#This Row],[//]]-2))</f>
        <v/>
      </c>
      <c r="O448" s="7" t="str">
        <f ca="1">IF(ATALI[[#This Row],[//]]="","",INDEX([2]!NOTA[DISC 1],ATALI[[#This Row],[//]]-2))</f>
        <v/>
      </c>
      <c r="P448" s="7" t="str">
        <f ca="1">IF(ATALI[[#This Row],[//]]="","",INDEX([2]!NOTA[DISC 2],ATALI[[#This Row],[//]]-2))</f>
        <v/>
      </c>
      <c r="Q448" s="5" t="str">
        <f ca="1">IF(ATALI[[#This Row],[//]]="","",INDEX([2]!NOTA[TOTAL],ATALI[[#This Row],[//]]-2))</f>
        <v/>
      </c>
      <c r="R4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8" s="4" t="str">
        <f ca="1">IF(ATALI[[#This Row],[//]]="","",INDEX([2]!NOTA[NAMA BARANG],ATALI[[#This Row],[//]]-2))</f>
        <v/>
      </c>
      <c r="V448" s="4" t="str">
        <f ca="1">LOWER(SUBSTITUTE(SUBSTITUTE(SUBSTITUTE(SUBSTITUTE(SUBSTITUTE(SUBSTITUTE(SUBSTITUTE(ATALI[[#This Row],[N.B.nota]]," ",""),"-",""),"(",""),")",""),".",""),",",""),"/",""))</f>
        <v/>
      </c>
      <c r="W448" s="4" t="str">
        <f ca="1">IF(ATALI[[#This Row],[concat]]="","",MATCH(ATALI[[#This Row],[concat]],[4]!db[NB NOTA_C],0)+1)</f>
        <v/>
      </c>
      <c r="X448" s="4" t="str">
        <f ca="1">IF(ATALI[[#This Row],[N.B.nota]]="","",ADDRESS(ROW(ATALI[QB]),COLUMN(ATALI[QB]))&amp;":"&amp;ADDRESS(ROW(),COLUMN(ATALI[QB])))</f>
        <v/>
      </c>
      <c r="Y448" s="13" t="str">
        <f ca="1">IF(ATALI[[#This Row],[//]]="","",HYPERLINK("[../DB.xlsx]DB!e"&amp;MATCH(ATALI[[#This Row],[concat]],[4]!db[NB NOTA_C],0)+1,"&gt;"))</f>
        <v/>
      </c>
    </row>
    <row r="449" spans="1:25" x14ac:dyDescent="0.25">
      <c r="A449" s="4"/>
      <c r="B449" s="6" t="str">
        <f>IF(ATALI[[#This Row],[N_ID]]="","",INDEX(Table1[ID],MATCH(ATALI[[#This Row],[N_ID]],Table1[N_ID],0)))</f>
        <v/>
      </c>
      <c r="C449" s="6" t="str">
        <f>IF(ATALI[[#This Row],[ID NOTA]]="","",HYPERLINK("[NOTA_.xlsx]NOTA!e"&amp;INDEX([2]!PAJAK[//],MATCH(ATALI[[#This Row],[ID NOTA]],[2]!PAJAK[ID],0)),"&gt;") )</f>
        <v/>
      </c>
      <c r="D449" s="6" t="str">
        <f>IF(ATALI[[#This Row],[ID NOTA]]="","",INDEX(Table1[QB],MATCH(ATALI[[#This Row],[ID NOTA]],Table1[ID],0)))</f>
        <v/>
      </c>
      <c r="E4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9" s="6"/>
      <c r="G449" s="3" t="str">
        <f>IF(ATALI[[#This Row],[ID NOTA]]="","",INDEX([2]!NOTA[TGL_H],MATCH(ATALI[[#This Row],[ID NOTA]],[2]!NOTA[ID],0)))</f>
        <v/>
      </c>
      <c r="H449" s="3" t="str">
        <f>IF(ATALI[[#This Row],[ID NOTA]]="","",INDEX([2]!NOTA[TGL.NOTA],MATCH(ATALI[[#This Row],[ID NOTA]],[2]!NOTA[ID],0)))</f>
        <v/>
      </c>
      <c r="I449" s="4" t="str">
        <f>IF(ATALI[[#This Row],[ID NOTA]]="","",INDEX([2]!NOTA[NO.NOTA],MATCH(ATALI[[#This Row],[ID NOTA]],[2]!NOTA[ID],0)))</f>
        <v/>
      </c>
      <c r="J449" s="4" t="str">
        <f ca="1">IF(ATALI[[#This Row],[//]]="","",INDEX([4]!db[NB PAJAK],ATALI[[#This Row],[stt]]-1))</f>
        <v/>
      </c>
      <c r="K449" s="6" t="str">
        <f ca="1">IF(ATALI[[#This Row],[//]]="","",IF(INDEX([2]!NOTA[C],ATALI[[#This Row],[//]]-2)="","",INDEX([2]!NOTA[C],ATALI[[#This Row],[//]]-2)))</f>
        <v/>
      </c>
      <c r="L449" s="6" t="str">
        <f ca="1">IF(ATALI[[#This Row],[//]]="","",INDEX([2]!NOTA[QTY],ATALI[[#This Row],[//]]-2))</f>
        <v/>
      </c>
      <c r="M449" s="6" t="str">
        <f ca="1">IF(ATALI[[#This Row],[//]]="","",INDEX([2]!NOTA[STN],ATALI[[#This Row],[//]]-2))</f>
        <v/>
      </c>
      <c r="N449" s="5" t="str">
        <f ca="1">IF(ATALI[[#This Row],[//]]="","",INDEX([2]!NOTA[HARGA SATUAN],ATALI[[#This Row],[//]]-2))</f>
        <v/>
      </c>
      <c r="O449" s="7" t="str">
        <f ca="1">IF(ATALI[[#This Row],[//]]="","",INDEX([2]!NOTA[DISC 1],ATALI[[#This Row],[//]]-2))</f>
        <v/>
      </c>
      <c r="P449" s="7" t="str">
        <f ca="1">IF(ATALI[[#This Row],[//]]="","",INDEX([2]!NOTA[DISC 2],ATALI[[#This Row],[//]]-2))</f>
        <v/>
      </c>
      <c r="Q449" s="5" t="str">
        <f ca="1">IF(ATALI[[#This Row],[//]]="","",INDEX([2]!NOTA[TOTAL],ATALI[[#This Row],[//]]-2))</f>
        <v/>
      </c>
      <c r="R4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9" s="4" t="str">
        <f ca="1">IF(ATALI[[#This Row],[//]]="","",INDEX([2]!NOTA[NAMA BARANG],ATALI[[#This Row],[//]]-2))</f>
        <v/>
      </c>
      <c r="V449" s="4" t="str">
        <f ca="1">LOWER(SUBSTITUTE(SUBSTITUTE(SUBSTITUTE(SUBSTITUTE(SUBSTITUTE(SUBSTITUTE(SUBSTITUTE(ATALI[[#This Row],[N.B.nota]]," ",""),"-",""),"(",""),")",""),".",""),",",""),"/",""))</f>
        <v/>
      </c>
      <c r="W449" s="4" t="str">
        <f ca="1">IF(ATALI[[#This Row],[concat]]="","",MATCH(ATALI[[#This Row],[concat]],[4]!db[NB NOTA_C],0)+1)</f>
        <v/>
      </c>
      <c r="X449" s="4" t="str">
        <f ca="1">IF(ATALI[[#This Row],[N.B.nota]]="","",ADDRESS(ROW(ATALI[QB]),COLUMN(ATALI[QB]))&amp;":"&amp;ADDRESS(ROW(),COLUMN(ATALI[QB])))</f>
        <v/>
      </c>
      <c r="Y449" s="13" t="str">
        <f ca="1">IF(ATALI[[#This Row],[//]]="","",HYPERLINK("[../DB.xlsx]DB!e"&amp;MATCH(ATALI[[#This Row],[concat]],[4]!db[NB NOTA_C],0)+1,"&gt;"))</f>
        <v/>
      </c>
    </row>
    <row r="450" spans="1:25" x14ac:dyDescent="0.25">
      <c r="A450" s="4"/>
      <c r="B450" s="6" t="str">
        <f>IF(ATALI[[#This Row],[N_ID]]="","",INDEX(Table1[ID],MATCH(ATALI[[#This Row],[N_ID]],Table1[N_ID],0)))</f>
        <v/>
      </c>
      <c r="C450" s="6" t="str">
        <f>IF(ATALI[[#This Row],[ID NOTA]]="","",HYPERLINK("[NOTA_.xlsx]NOTA!e"&amp;INDEX([2]!PAJAK[//],MATCH(ATALI[[#This Row],[ID NOTA]],[2]!PAJAK[ID],0)),"&gt;") )</f>
        <v/>
      </c>
      <c r="D450" s="6" t="str">
        <f>IF(ATALI[[#This Row],[ID NOTA]]="","",INDEX(Table1[QB],MATCH(ATALI[[#This Row],[ID NOTA]],Table1[ID],0)))</f>
        <v/>
      </c>
      <c r="E4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0" s="6"/>
      <c r="G450" s="3" t="str">
        <f>IF(ATALI[[#This Row],[ID NOTA]]="","",INDEX([2]!NOTA[TGL_H],MATCH(ATALI[[#This Row],[ID NOTA]],[2]!NOTA[ID],0)))</f>
        <v/>
      </c>
      <c r="H450" s="3" t="str">
        <f>IF(ATALI[[#This Row],[ID NOTA]]="","",INDEX([2]!NOTA[TGL.NOTA],MATCH(ATALI[[#This Row],[ID NOTA]],[2]!NOTA[ID],0)))</f>
        <v/>
      </c>
      <c r="I450" s="4" t="str">
        <f>IF(ATALI[[#This Row],[ID NOTA]]="","",INDEX([2]!NOTA[NO.NOTA],MATCH(ATALI[[#This Row],[ID NOTA]],[2]!NOTA[ID],0)))</f>
        <v/>
      </c>
      <c r="J450" s="4" t="str">
        <f ca="1">IF(ATALI[[#This Row],[//]]="","",INDEX([4]!db[NB PAJAK],ATALI[[#This Row],[stt]]-1))</f>
        <v/>
      </c>
      <c r="K450" s="6" t="str">
        <f ca="1">IF(ATALI[[#This Row],[//]]="","",IF(INDEX([2]!NOTA[C],ATALI[[#This Row],[//]]-2)="","",INDEX([2]!NOTA[C],ATALI[[#This Row],[//]]-2)))</f>
        <v/>
      </c>
      <c r="L450" s="6" t="str">
        <f ca="1">IF(ATALI[[#This Row],[//]]="","",INDEX([2]!NOTA[QTY],ATALI[[#This Row],[//]]-2))</f>
        <v/>
      </c>
      <c r="M450" s="6" t="str">
        <f ca="1">IF(ATALI[[#This Row],[//]]="","",INDEX([2]!NOTA[STN],ATALI[[#This Row],[//]]-2))</f>
        <v/>
      </c>
      <c r="N450" s="5" t="str">
        <f ca="1">IF(ATALI[[#This Row],[//]]="","",INDEX([2]!NOTA[HARGA SATUAN],ATALI[[#This Row],[//]]-2))</f>
        <v/>
      </c>
      <c r="O450" s="7" t="str">
        <f ca="1">IF(ATALI[[#This Row],[//]]="","",INDEX([2]!NOTA[DISC 1],ATALI[[#This Row],[//]]-2))</f>
        <v/>
      </c>
      <c r="P450" s="7" t="str">
        <f ca="1">IF(ATALI[[#This Row],[//]]="","",INDEX([2]!NOTA[DISC 2],ATALI[[#This Row],[//]]-2))</f>
        <v/>
      </c>
      <c r="Q450" s="5" t="str">
        <f ca="1">IF(ATALI[[#This Row],[//]]="","",INDEX([2]!NOTA[TOTAL],ATALI[[#This Row],[//]]-2))</f>
        <v/>
      </c>
      <c r="R4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0" s="4" t="str">
        <f ca="1">IF(ATALI[[#This Row],[//]]="","",INDEX([2]!NOTA[NAMA BARANG],ATALI[[#This Row],[//]]-2))</f>
        <v/>
      </c>
      <c r="V450" s="4" t="str">
        <f ca="1">LOWER(SUBSTITUTE(SUBSTITUTE(SUBSTITUTE(SUBSTITUTE(SUBSTITUTE(SUBSTITUTE(SUBSTITUTE(ATALI[[#This Row],[N.B.nota]]," ",""),"-",""),"(",""),")",""),".",""),",",""),"/",""))</f>
        <v/>
      </c>
      <c r="W450" s="4" t="str">
        <f ca="1">IF(ATALI[[#This Row],[concat]]="","",MATCH(ATALI[[#This Row],[concat]],[4]!db[NB NOTA_C],0)+1)</f>
        <v/>
      </c>
      <c r="X450" s="4" t="str">
        <f ca="1">IF(ATALI[[#This Row],[N.B.nota]]="","",ADDRESS(ROW(ATALI[QB]),COLUMN(ATALI[QB]))&amp;":"&amp;ADDRESS(ROW(),COLUMN(ATALI[QB])))</f>
        <v/>
      </c>
      <c r="Y450" s="13" t="str">
        <f ca="1">IF(ATALI[[#This Row],[//]]="","",HYPERLINK("[../DB.xlsx]DB!e"&amp;MATCH(ATALI[[#This Row],[concat]],[4]!db[NB NOTA_C],0)+1,"&gt;"))</f>
        <v/>
      </c>
    </row>
    <row r="451" spans="1:25" x14ac:dyDescent="0.25">
      <c r="A451" s="4"/>
      <c r="B451" s="6" t="str">
        <f>IF(ATALI[[#This Row],[N_ID]]="","",INDEX(Table1[ID],MATCH(ATALI[[#This Row],[N_ID]],Table1[N_ID],0)))</f>
        <v/>
      </c>
      <c r="C451" s="6" t="str">
        <f>IF(ATALI[[#This Row],[ID NOTA]]="","",HYPERLINK("[NOTA_.xlsx]NOTA!e"&amp;INDEX([2]!PAJAK[//],MATCH(ATALI[[#This Row],[ID NOTA]],[2]!PAJAK[ID],0)),"&gt;") )</f>
        <v/>
      </c>
      <c r="D451" s="6" t="str">
        <f>IF(ATALI[[#This Row],[ID NOTA]]="","",INDEX(Table1[QB],MATCH(ATALI[[#This Row],[ID NOTA]],Table1[ID],0)))</f>
        <v/>
      </c>
      <c r="E4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1" s="6"/>
      <c r="G451" s="3" t="str">
        <f>IF(ATALI[[#This Row],[ID NOTA]]="","",INDEX([2]!NOTA[TGL_H],MATCH(ATALI[[#This Row],[ID NOTA]],[2]!NOTA[ID],0)))</f>
        <v/>
      </c>
      <c r="H451" s="3" t="str">
        <f>IF(ATALI[[#This Row],[ID NOTA]]="","",INDEX([2]!NOTA[TGL.NOTA],MATCH(ATALI[[#This Row],[ID NOTA]],[2]!NOTA[ID],0)))</f>
        <v/>
      </c>
      <c r="I451" s="4" t="str">
        <f>IF(ATALI[[#This Row],[ID NOTA]]="","",INDEX([2]!NOTA[NO.NOTA],MATCH(ATALI[[#This Row],[ID NOTA]],[2]!NOTA[ID],0)))</f>
        <v/>
      </c>
      <c r="J451" s="4" t="str">
        <f ca="1">IF(ATALI[[#This Row],[//]]="","",INDEX([4]!db[NB PAJAK],ATALI[[#This Row],[stt]]-1))</f>
        <v/>
      </c>
      <c r="K451" s="6" t="str">
        <f ca="1">IF(ATALI[[#This Row],[//]]="","",IF(INDEX([2]!NOTA[C],ATALI[[#This Row],[//]]-2)="","",INDEX([2]!NOTA[C],ATALI[[#This Row],[//]]-2)))</f>
        <v/>
      </c>
      <c r="L451" s="6" t="str">
        <f ca="1">IF(ATALI[[#This Row],[//]]="","",INDEX([2]!NOTA[QTY],ATALI[[#This Row],[//]]-2))</f>
        <v/>
      </c>
      <c r="M451" s="6" t="str">
        <f ca="1">IF(ATALI[[#This Row],[//]]="","",INDEX([2]!NOTA[STN],ATALI[[#This Row],[//]]-2))</f>
        <v/>
      </c>
      <c r="N451" s="5" t="str">
        <f ca="1">IF(ATALI[[#This Row],[//]]="","",INDEX([2]!NOTA[HARGA SATUAN],ATALI[[#This Row],[//]]-2))</f>
        <v/>
      </c>
      <c r="O451" s="7" t="str">
        <f ca="1">IF(ATALI[[#This Row],[//]]="","",INDEX([2]!NOTA[DISC 1],ATALI[[#This Row],[//]]-2))</f>
        <v/>
      </c>
      <c r="P451" s="7" t="str">
        <f ca="1">IF(ATALI[[#This Row],[//]]="","",INDEX([2]!NOTA[DISC 2],ATALI[[#This Row],[//]]-2))</f>
        <v/>
      </c>
      <c r="Q451" s="5" t="str">
        <f ca="1">IF(ATALI[[#This Row],[//]]="","",INDEX([2]!NOTA[TOTAL],ATALI[[#This Row],[//]]-2))</f>
        <v/>
      </c>
      <c r="R4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1" s="4" t="str">
        <f ca="1">IF(ATALI[[#This Row],[//]]="","",INDEX([2]!NOTA[NAMA BARANG],ATALI[[#This Row],[//]]-2))</f>
        <v/>
      </c>
      <c r="V451" s="4" t="str">
        <f ca="1">LOWER(SUBSTITUTE(SUBSTITUTE(SUBSTITUTE(SUBSTITUTE(SUBSTITUTE(SUBSTITUTE(SUBSTITUTE(ATALI[[#This Row],[N.B.nota]]," ",""),"-",""),"(",""),")",""),".",""),",",""),"/",""))</f>
        <v/>
      </c>
      <c r="W451" s="4" t="str">
        <f ca="1">IF(ATALI[[#This Row],[concat]]="","",MATCH(ATALI[[#This Row],[concat]],[4]!db[NB NOTA_C],0)+1)</f>
        <v/>
      </c>
      <c r="X451" s="4" t="str">
        <f ca="1">IF(ATALI[[#This Row],[N.B.nota]]="","",ADDRESS(ROW(ATALI[QB]),COLUMN(ATALI[QB]))&amp;":"&amp;ADDRESS(ROW(),COLUMN(ATALI[QB])))</f>
        <v/>
      </c>
      <c r="Y451" s="13" t="str">
        <f ca="1">IF(ATALI[[#This Row],[//]]="","",HYPERLINK("[../DB.xlsx]DB!e"&amp;MATCH(ATALI[[#This Row],[concat]],[4]!db[NB NOTA_C],0)+1,"&gt;"))</f>
        <v/>
      </c>
    </row>
    <row r="452" spans="1:25" x14ac:dyDescent="0.25">
      <c r="A452" s="4"/>
      <c r="B452" s="6" t="str">
        <f>IF(ATALI[[#This Row],[N_ID]]="","",INDEX(Table1[ID],MATCH(ATALI[[#This Row],[N_ID]],Table1[N_ID],0)))</f>
        <v/>
      </c>
      <c r="C452" s="6" t="str">
        <f>IF(ATALI[[#This Row],[ID NOTA]]="","",HYPERLINK("[NOTA_.xlsx]NOTA!e"&amp;INDEX([2]!PAJAK[//],MATCH(ATALI[[#This Row],[ID NOTA]],[2]!PAJAK[ID],0)),"&gt;") )</f>
        <v/>
      </c>
      <c r="D452" s="6" t="str">
        <f>IF(ATALI[[#This Row],[ID NOTA]]="","",INDEX(Table1[QB],MATCH(ATALI[[#This Row],[ID NOTA]],Table1[ID],0)))</f>
        <v/>
      </c>
      <c r="E4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2" s="6"/>
      <c r="G452" s="3" t="str">
        <f>IF(ATALI[[#This Row],[ID NOTA]]="","",INDEX([2]!NOTA[TGL_H],MATCH(ATALI[[#This Row],[ID NOTA]],[2]!NOTA[ID],0)))</f>
        <v/>
      </c>
      <c r="H452" s="3" t="str">
        <f>IF(ATALI[[#This Row],[ID NOTA]]="","",INDEX([2]!NOTA[TGL.NOTA],MATCH(ATALI[[#This Row],[ID NOTA]],[2]!NOTA[ID],0)))</f>
        <v/>
      </c>
      <c r="I452" s="4" t="str">
        <f>IF(ATALI[[#This Row],[ID NOTA]]="","",INDEX([2]!NOTA[NO.NOTA],MATCH(ATALI[[#This Row],[ID NOTA]],[2]!NOTA[ID],0)))</f>
        <v/>
      </c>
      <c r="J452" s="4" t="str">
        <f ca="1">IF(ATALI[[#This Row],[//]]="","",INDEX([4]!db[NB PAJAK],ATALI[[#This Row],[stt]]-1))</f>
        <v/>
      </c>
      <c r="K452" s="6" t="str">
        <f ca="1">IF(ATALI[[#This Row],[//]]="","",IF(INDEX([2]!NOTA[C],ATALI[[#This Row],[//]]-2)="","",INDEX([2]!NOTA[C],ATALI[[#This Row],[//]]-2)))</f>
        <v/>
      </c>
      <c r="L452" s="6" t="str">
        <f ca="1">IF(ATALI[[#This Row],[//]]="","",INDEX([2]!NOTA[QTY],ATALI[[#This Row],[//]]-2))</f>
        <v/>
      </c>
      <c r="M452" s="6" t="str">
        <f ca="1">IF(ATALI[[#This Row],[//]]="","",INDEX([2]!NOTA[STN],ATALI[[#This Row],[//]]-2))</f>
        <v/>
      </c>
      <c r="N452" s="5" t="str">
        <f ca="1">IF(ATALI[[#This Row],[//]]="","",INDEX([2]!NOTA[HARGA SATUAN],ATALI[[#This Row],[//]]-2))</f>
        <v/>
      </c>
      <c r="O452" s="7" t="str">
        <f ca="1">IF(ATALI[[#This Row],[//]]="","",INDEX([2]!NOTA[DISC 1],ATALI[[#This Row],[//]]-2))</f>
        <v/>
      </c>
      <c r="P452" s="7" t="str">
        <f ca="1">IF(ATALI[[#This Row],[//]]="","",INDEX([2]!NOTA[DISC 2],ATALI[[#This Row],[//]]-2))</f>
        <v/>
      </c>
      <c r="Q452" s="5" t="str">
        <f ca="1">IF(ATALI[[#This Row],[//]]="","",INDEX([2]!NOTA[TOTAL],ATALI[[#This Row],[//]]-2))</f>
        <v/>
      </c>
      <c r="R4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2" s="4" t="str">
        <f ca="1">IF(ATALI[[#This Row],[//]]="","",INDEX([2]!NOTA[NAMA BARANG],ATALI[[#This Row],[//]]-2))</f>
        <v/>
      </c>
      <c r="V452" s="4" t="str">
        <f ca="1">LOWER(SUBSTITUTE(SUBSTITUTE(SUBSTITUTE(SUBSTITUTE(SUBSTITUTE(SUBSTITUTE(SUBSTITUTE(ATALI[[#This Row],[N.B.nota]]," ",""),"-",""),"(",""),")",""),".",""),",",""),"/",""))</f>
        <v/>
      </c>
      <c r="W452" s="4" t="str">
        <f ca="1">IF(ATALI[[#This Row],[concat]]="","",MATCH(ATALI[[#This Row],[concat]],[4]!db[NB NOTA_C],0)+1)</f>
        <v/>
      </c>
      <c r="X452" s="4" t="str">
        <f ca="1">IF(ATALI[[#This Row],[N.B.nota]]="","",ADDRESS(ROW(ATALI[QB]),COLUMN(ATALI[QB]))&amp;":"&amp;ADDRESS(ROW(),COLUMN(ATALI[QB])))</f>
        <v/>
      </c>
      <c r="Y452" s="13" t="str">
        <f ca="1">IF(ATALI[[#This Row],[//]]="","",HYPERLINK("[../DB.xlsx]DB!e"&amp;MATCH(ATALI[[#This Row],[concat]],[4]!db[NB NOTA_C],0)+1,"&gt;"))</f>
        <v/>
      </c>
    </row>
    <row r="453" spans="1:25" x14ac:dyDescent="0.25">
      <c r="A453" s="4"/>
      <c r="B453" s="6" t="str">
        <f>IF(ATALI[[#This Row],[N_ID]]="","",INDEX(Table1[ID],MATCH(ATALI[[#This Row],[N_ID]],Table1[N_ID],0)))</f>
        <v/>
      </c>
      <c r="C453" s="6" t="str">
        <f>IF(ATALI[[#This Row],[ID NOTA]]="","",HYPERLINK("[NOTA_.xlsx]NOTA!e"&amp;INDEX([2]!PAJAK[//],MATCH(ATALI[[#This Row],[ID NOTA]],[2]!PAJAK[ID],0)),"&gt;") )</f>
        <v/>
      </c>
      <c r="D453" s="6" t="str">
        <f>IF(ATALI[[#This Row],[ID NOTA]]="","",INDEX(Table1[QB],MATCH(ATALI[[#This Row],[ID NOTA]],Table1[ID],0)))</f>
        <v/>
      </c>
      <c r="E4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3" s="6"/>
      <c r="G453" s="3" t="str">
        <f>IF(ATALI[[#This Row],[ID NOTA]]="","",INDEX([2]!NOTA[TGL_H],MATCH(ATALI[[#This Row],[ID NOTA]],[2]!NOTA[ID],0)))</f>
        <v/>
      </c>
      <c r="H453" s="3" t="str">
        <f>IF(ATALI[[#This Row],[ID NOTA]]="","",INDEX([2]!NOTA[TGL.NOTA],MATCH(ATALI[[#This Row],[ID NOTA]],[2]!NOTA[ID],0)))</f>
        <v/>
      </c>
      <c r="I453" s="4" t="str">
        <f>IF(ATALI[[#This Row],[ID NOTA]]="","",INDEX([2]!NOTA[NO.NOTA],MATCH(ATALI[[#This Row],[ID NOTA]],[2]!NOTA[ID],0)))</f>
        <v/>
      </c>
      <c r="J453" s="4" t="str">
        <f ca="1">IF(ATALI[[#This Row],[//]]="","",INDEX([4]!db[NB PAJAK],ATALI[[#This Row],[stt]]-1))</f>
        <v/>
      </c>
      <c r="K453" s="6" t="str">
        <f ca="1">IF(ATALI[[#This Row],[//]]="","",IF(INDEX([2]!NOTA[C],ATALI[[#This Row],[//]]-2)="","",INDEX([2]!NOTA[C],ATALI[[#This Row],[//]]-2)))</f>
        <v/>
      </c>
      <c r="L453" s="6" t="str">
        <f ca="1">IF(ATALI[[#This Row],[//]]="","",INDEX([2]!NOTA[QTY],ATALI[[#This Row],[//]]-2))</f>
        <v/>
      </c>
      <c r="M453" s="6" t="str">
        <f ca="1">IF(ATALI[[#This Row],[//]]="","",INDEX([2]!NOTA[STN],ATALI[[#This Row],[//]]-2))</f>
        <v/>
      </c>
      <c r="N453" s="5" t="str">
        <f ca="1">IF(ATALI[[#This Row],[//]]="","",INDEX([2]!NOTA[HARGA SATUAN],ATALI[[#This Row],[//]]-2))</f>
        <v/>
      </c>
      <c r="O453" s="7" t="str">
        <f ca="1">IF(ATALI[[#This Row],[//]]="","",INDEX([2]!NOTA[DISC 1],ATALI[[#This Row],[//]]-2))</f>
        <v/>
      </c>
      <c r="P453" s="7" t="str">
        <f ca="1">IF(ATALI[[#This Row],[//]]="","",INDEX([2]!NOTA[DISC 2],ATALI[[#This Row],[//]]-2))</f>
        <v/>
      </c>
      <c r="Q453" s="5" t="str">
        <f ca="1">IF(ATALI[[#This Row],[//]]="","",INDEX([2]!NOTA[TOTAL],ATALI[[#This Row],[//]]-2))</f>
        <v/>
      </c>
      <c r="R4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3" s="4" t="str">
        <f ca="1">IF(ATALI[[#This Row],[//]]="","",INDEX([2]!NOTA[NAMA BARANG],ATALI[[#This Row],[//]]-2))</f>
        <v/>
      </c>
      <c r="V453" s="4" t="str">
        <f ca="1">LOWER(SUBSTITUTE(SUBSTITUTE(SUBSTITUTE(SUBSTITUTE(SUBSTITUTE(SUBSTITUTE(SUBSTITUTE(ATALI[[#This Row],[N.B.nota]]," ",""),"-",""),"(",""),")",""),".",""),",",""),"/",""))</f>
        <v/>
      </c>
      <c r="W453" s="4" t="str">
        <f ca="1">IF(ATALI[[#This Row],[concat]]="","",MATCH(ATALI[[#This Row],[concat]],[4]!db[NB NOTA_C],0)+1)</f>
        <v/>
      </c>
      <c r="X453" s="4" t="str">
        <f ca="1">IF(ATALI[[#This Row],[N.B.nota]]="","",ADDRESS(ROW(ATALI[QB]),COLUMN(ATALI[QB]))&amp;":"&amp;ADDRESS(ROW(),COLUMN(ATALI[QB])))</f>
        <v/>
      </c>
      <c r="Y453" s="13" t="str">
        <f ca="1">IF(ATALI[[#This Row],[//]]="","",HYPERLINK("[../DB.xlsx]DB!e"&amp;MATCH(ATALI[[#This Row],[concat]],[4]!db[NB NOTA_C],0)+1,"&gt;"))</f>
        <v/>
      </c>
    </row>
    <row r="454" spans="1:25" x14ac:dyDescent="0.25">
      <c r="A454" s="4"/>
      <c r="B454" s="6" t="str">
        <f>IF(ATALI[[#This Row],[N_ID]]="","",INDEX(Table1[ID],MATCH(ATALI[[#This Row],[N_ID]],Table1[N_ID],0)))</f>
        <v/>
      </c>
      <c r="C454" s="6" t="str">
        <f>IF(ATALI[[#This Row],[ID NOTA]]="","",HYPERLINK("[NOTA_.xlsx]NOTA!e"&amp;INDEX([2]!PAJAK[//],MATCH(ATALI[[#This Row],[ID NOTA]],[2]!PAJAK[ID],0)),"&gt;") )</f>
        <v/>
      </c>
      <c r="D454" s="6" t="str">
        <f>IF(ATALI[[#This Row],[ID NOTA]]="","",INDEX(Table1[QB],MATCH(ATALI[[#This Row],[ID NOTA]],Table1[ID],0)))</f>
        <v/>
      </c>
      <c r="E4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4" s="6"/>
      <c r="G454" s="3" t="str">
        <f>IF(ATALI[[#This Row],[ID NOTA]]="","",INDEX([2]!NOTA[TGL_H],MATCH(ATALI[[#This Row],[ID NOTA]],[2]!NOTA[ID],0)))</f>
        <v/>
      </c>
      <c r="H454" s="3" t="str">
        <f>IF(ATALI[[#This Row],[ID NOTA]]="","",INDEX([2]!NOTA[TGL.NOTA],MATCH(ATALI[[#This Row],[ID NOTA]],[2]!NOTA[ID],0)))</f>
        <v/>
      </c>
      <c r="I454" s="4" t="str">
        <f>IF(ATALI[[#This Row],[ID NOTA]]="","",INDEX([2]!NOTA[NO.NOTA],MATCH(ATALI[[#This Row],[ID NOTA]],[2]!NOTA[ID],0)))</f>
        <v/>
      </c>
      <c r="J454" s="4" t="str">
        <f ca="1">IF(ATALI[[#This Row],[//]]="","",INDEX([4]!db[NB PAJAK],ATALI[[#This Row],[stt]]-1))</f>
        <v/>
      </c>
      <c r="K454" s="6" t="str">
        <f ca="1">IF(ATALI[[#This Row],[//]]="","",IF(INDEX([2]!NOTA[C],ATALI[[#This Row],[//]]-2)="","",INDEX([2]!NOTA[C],ATALI[[#This Row],[//]]-2)))</f>
        <v/>
      </c>
      <c r="L454" s="6" t="str">
        <f ca="1">IF(ATALI[[#This Row],[//]]="","",INDEX([2]!NOTA[QTY],ATALI[[#This Row],[//]]-2))</f>
        <v/>
      </c>
      <c r="M454" s="6" t="str">
        <f ca="1">IF(ATALI[[#This Row],[//]]="","",INDEX([2]!NOTA[STN],ATALI[[#This Row],[//]]-2))</f>
        <v/>
      </c>
      <c r="N454" s="5" t="str">
        <f ca="1">IF(ATALI[[#This Row],[//]]="","",INDEX([2]!NOTA[HARGA SATUAN],ATALI[[#This Row],[//]]-2))</f>
        <v/>
      </c>
      <c r="O454" s="7" t="str">
        <f ca="1">IF(ATALI[[#This Row],[//]]="","",INDEX([2]!NOTA[DISC 1],ATALI[[#This Row],[//]]-2))</f>
        <v/>
      </c>
      <c r="P454" s="7" t="str">
        <f ca="1">IF(ATALI[[#This Row],[//]]="","",INDEX([2]!NOTA[DISC 2],ATALI[[#This Row],[//]]-2))</f>
        <v/>
      </c>
      <c r="Q454" s="5" t="str">
        <f ca="1">IF(ATALI[[#This Row],[//]]="","",INDEX([2]!NOTA[TOTAL],ATALI[[#This Row],[//]]-2))</f>
        <v/>
      </c>
      <c r="R4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4" s="4" t="str">
        <f ca="1">IF(ATALI[[#This Row],[//]]="","",INDEX([2]!NOTA[NAMA BARANG],ATALI[[#This Row],[//]]-2))</f>
        <v/>
      </c>
      <c r="V454" s="4" t="str">
        <f ca="1">LOWER(SUBSTITUTE(SUBSTITUTE(SUBSTITUTE(SUBSTITUTE(SUBSTITUTE(SUBSTITUTE(SUBSTITUTE(ATALI[[#This Row],[N.B.nota]]," ",""),"-",""),"(",""),")",""),".",""),",",""),"/",""))</f>
        <v/>
      </c>
      <c r="W454" s="4" t="str">
        <f ca="1">IF(ATALI[[#This Row],[concat]]="","",MATCH(ATALI[[#This Row],[concat]],[4]!db[NB NOTA_C],0)+1)</f>
        <v/>
      </c>
      <c r="X454" s="4" t="str">
        <f ca="1">IF(ATALI[[#This Row],[N.B.nota]]="","",ADDRESS(ROW(ATALI[QB]),COLUMN(ATALI[QB]))&amp;":"&amp;ADDRESS(ROW(),COLUMN(ATALI[QB])))</f>
        <v/>
      </c>
      <c r="Y454" s="13" t="str">
        <f ca="1">IF(ATALI[[#This Row],[//]]="","",HYPERLINK("[../DB.xlsx]DB!e"&amp;MATCH(ATALI[[#This Row],[concat]],[4]!db[NB NOTA_C],0)+1,"&gt;"))</f>
        <v/>
      </c>
    </row>
    <row r="455" spans="1:25" x14ac:dyDescent="0.25">
      <c r="A455" s="4"/>
      <c r="B455" s="6" t="str">
        <f>IF(ATALI[[#This Row],[N_ID]]="","",INDEX(Table1[ID],MATCH(ATALI[[#This Row],[N_ID]],Table1[N_ID],0)))</f>
        <v/>
      </c>
      <c r="C455" s="6" t="str">
        <f>IF(ATALI[[#This Row],[ID NOTA]]="","",HYPERLINK("[NOTA_.xlsx]NOTA!e"&amp;INDEX([2]!PAJAK[//],MATCH(ATALI[[#This Row],[ID NOTA]],[2]!PAJAK[ID],0)),"&gt;") )</f>
        <v/>
      </c>
      <c r="D455" s="6" t="str">
        <f>IF(ATALI[[#This Row],[ID NOTA]]="","",INDEX(Table1[QB],MATCH(ATALI[[#This Row],[ID NOTA]],Table1[ID],0)))</f>
        <v/>
      </c>
      <c r="E4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5" s="6"/>
      <c r="G455" s="3" t="str">
        <f>IF(ATALI[[#This Row],[ID NOTA]]="","",INDEX([2]!NOTA[TGL_H],MATCH(ATALI[[#This Row],[ID NOTA]],[2]!NOTA[ID],0)))</f>
        <v/>
      </c>
      <c r="H455" s="3" t="str">
        <f>IF(ATALI[[#This Row],[ID NOTA]]="","",INDEX([2]!NOTA[TGL.NOTA],MATCH(ATALI[[#This Row],[ID NOTA]],[2]!NOTA[ID],0)))</f>
        <v/>
      </c>
      <c r="I455" s="4" t="str">
        <f>IF(ATALI[[#This Row],[ID NOTA]]="","",INDEX([2]!NOTA[NO.NOTA],MATCH(ATALI[[#This Row],[ID NOTA]],[2]!NOTA[ID],0)))</f>
        <v/>
      </c>
      <c r="J455" s="4" t="str">
        <f ca="1">IF(ATALI[[#This Row],[//]]="","",INDEX([4]!db[NB PAJAK],ATALI[[#This Row],[stt]]-1))</f>
        <v/>
      </c>
      <c r="K455" s="6" t="str">
        <f ca="1">IF(ATALI[[#This Row],[//]]="","",IF(INDEX([2]!NOTA[C],ATALI[[#This Row],[//]]-2)="","",INDEX([2]!NOTA[C],ATALI[[#This Row],[//]]-2)))</f>
        <v/>
      </c>
      <c r="L455" s="6" t="str">
        <f ca="1">IF(ATALI[[#This Row],[//]]="","",INDEX([2]!NOTA[QTY],ATALI[[#This Row],[//]]-2))</f>
        <v/>
      </c>
      <c r="M455" s="6" t="str">
        <f ca="1">IF(ATALI[[#This Row],[//]]="","",INDEX([2]!NOTA[STN],ATALI[[#This Row],[//]]-2))</f>
        <v/>
      </c>
      <c r="N455" s="5" t="str">
        <f ca="1">IF(ATALI[[#This Row],[//]]="","",INDEX([2]!NOTA[HARGA SATUAN],ATALI[[#This Row],[//]]-2))</f>
        <v/>
      </c>
      <c r="O455" s="7" t="str">
        <f ca="1">IF(ATALI[[#This Row],[//]]="","",INDEX([2]!NOTA[DISC 1],ATALI[[#This Row],[//]]-2))</f>
        <v/>
      </c>
      <c r="P455" s="7" t="str">
        <f ca="1">IF(ATALI[[#This Row],[//]]="","",INDEX([2]!NOTA[DISC 2],ATALI[[#This Row],[//]]-2))</f>
        <v/>
      </c>
      <c r="Q455" s="5" t="str">
        <f ca="1">IF(ATALI[[#This Row],[//]]="","",INDEX([2]!NOTA[TOTAL],ATALI[[#This Row],[//]]-2))</f>
        <v/>
      </c>
      <c r="R4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5" s="4" t="str">
        <f ca="1">IF(ATALI[[#This Row],[//]]="","",INDEX([2]!NOTA[NAMA BARANG],ATALI[[#This Row],[//]]-2))</f>
        <v/>
      </c>
      <c r="V455" s="4" t="str">
        <f ca="1">LOWER(SUBSTITUTE(SUBSTITUTE(SUBSTITUTE(SUBSTITUTE(SUBSTITUTE(SUBSTITUTE(SUBSTITUTE(ATALI[[#This Row],[N.B.nota]]," ",""),"-",""),"(",""),")",""),".",""),",",""),"/",""))</f>
        <v/>
      </c>
      <c r="W455" s="4" t="str">
        <f ca="1">IF(ATALI[[#This Row],[concat]]="","",MATCH(ATALI[[#This Row],[concat]],[4]!db[NB NOTA_C],0)+1)</f>
        <v/>
      </c>
      <c r="X455" s="4" t="str">
        <f ca="1">IF(ATALI[[#This Row],[N.B.nota]]="","",ADDRESS(ROW(ATALI[QB]),COLUMN(ATALI[QB]))&amp;":"&amp;ADDRESS(ROW(),COLUMN(ATALI[QB])))</f>
        <v/>
      </c>
      <c r="Y455" s="13" t="str">
        <f ca="1">IF(ATALI[[#This Row],[//]]="","",HYPERLINK("[../DB.xlsx]DB!e"&amp;MATCH(ATALI[[#This Row],[concat]],[4]!db[NB NOTA_C],0)+1,"&gt;"))</f>
        <v/>
      </c>
    </row>
    <row r="456" spans="1:25" x14ac:dyDescent="0.25">
      <c r="A456" s="4"/>
      <c r="B456" s="6" t="str">
        <f>IF(ATALI[[#This Row],[N_ID]]="","",INDEX(Table1[ID],MATCH(ATALI[[#This Row],[N_ID]],Table1[N_ID],0)))</f>
        <v/>
      </c>
      <c r="C456" s="6" t="str">
        <f>IF(ATALI[[#This Row],[ID NOTA]]="","",HYPERLINK("[NOTA_.xlsx]NOTA!e"&amp;INDEX([2]!PAJAK[//],MATCH(ATALI[[#This Row],[ID NOTA]],[2]!PAJAK[ID],0)),"&gt;") )</f>
        <v/>
      </c>
      <c r="D456" s="6" t="str">
        <f>IF(ATALI[[#This Row],[ID NOTA]]="","",INDEX(Table1[QB],MATCH(ATALI[[#This Row],[ID NOTA]],Table1[ID],0)))</f>
        <v/>
      </c>
      <c r="E4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6" s="6"/>
      <c r="G456" s="3" t="str">
        <f>IF(ATALI[[#This Row],[ID NOTA]]="","",INDEX([2]!NOTA[TGL_H],MATCH(ATALI[[#This Row],[ID NOTA]],[2]!NOTA[ID],0)))</f>
        <v/>
      </c>
      <c r="H456" s="3" t="str">
        <f>IF(ATALI[[#This Row],[ID NOTA]]="","",INDEX([2]!NOTA[TGL.NOTA],MATCH(ATALI[[#This Row],[ID NOTA]],[2]!NOTA[ID],0)))</f>
        <v/>
      </c>
      <c r="I456" s="4" t="str">
        <f>IF(ATALI[[#This Row],[ID NOTA]]="","",INDEX([2]!NOTA[NO.NOTA],MATCH(ATALI[[#This Row],[ID NOTA]],[2]!NOTA[ID],0)))</f>
        <v/>
      </c>
      <c r="J456" s="4" t="str">
        <f ca="1">IF(ATALI[[#This Row],[//]]="","",INDEX([4]!db[NB PAJAK],ATALI[[#This Row],[stt]]-1))</f>
        <v/>
      </c>
      <c r="K456" s="6" t="str">
        <f ca="1">IF(ATALI[[#This Row],[//]]="","",IF(INDEX([2]!NOTA[C],ATALI[[#This Row],[//]]-2)="","",INDEX([2]!NOTA[C],ATALI[[#This Row],[//]]-2)))</f>
        <v/>
      </c>
      <c r="L456" s="6" t="str">
        <f ca="1">IF(ATALI[[#This Row],[//]]="","",INDEX([2]!NOTA[QTY],ATALI[[#This Row],[//]]-2))</f>
        <v/>
      </c>
      <c r="M456" s="6" t="str">
        <f ca="1">IF(ATALI[[#This Row],[//]]="","",INDEX([2]!NOTA[STN],ATALI[[#This Row],[//]]-2))</f>
        <v/>
      </c>
      <c r="N456" s="5" t="str">
        <f ca="1">IF(ATALI[[#This Row],[//]]="","",INDEX([2]!NOTA[HARGA SATUAN],ATALI[[#This Row],[//]]-2))</f>
        <v/>
      </c>
      <c r="O456" s="7" t="str">
        <f ca="1">IF(ATALI[[#This Row],[//]]="","",INDEX([2]!NOTA[DISC 1],ATALI[[#This Row],[//]]-2))</f>
        <v/>
      </c>
      <c r="P456" s="7" t="str">
        <f ca="1">IF(ATALI[[#This Row],[//]]="","",INDEX([2]!NOTA[DISC 2],ATALI[[#This Row],[//]]-2))</f>
        <v/>
      </c>
      <c r="Q456" s="5" t="str">
        <f ca="1">IF(ATALI[[#This Row],[//]]="","",INDEX([2]!NOTA[TOTAL],ATALI[[#This Row],[//]]-2))</f>
        <v/>
      </c>
      <c r="R4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6" s="4" t="str">
        <f ca="1">IF(ATALI[[#This Row],[//]]="","",INDEX([2]!NOTA[NAMA BARANG],ATALI[[#This Row],[//]]-2))</f>
        <v/>
      </c>
      <c r="V456" s="4" t="str">
        <f ca="1">LOWER(SUBSTITUTE(SUBSTITUTE(SUBSTITUTE(SUBSTITUTE(SUBSTITUTE(SUBSTITUTE(SUBSTITUTE(ATALI[[#This Row],[N.B.nota]]," ",""),"-",""),"(",""),")",""),".",""),",",""),"/",""))</f>
        <v/>
      </c>
      <c r="W456" s="4" t="str">
        <f ca="1">IF(ATALI[[#This Row],[concat]]="","",MATCH(ATALI[[#This Row],[concat]],[4]!db[NB NOTA_C],0)+1)</f>
        <v/>
      </c>
      <c r="X456" s="4" t="str">
        <f ca="1">IF(ATALI[[#This Row],[N.B.nota]]="","",ADDRESS(ROW(ATALI[QB]),COLUMN(ATALI[QB]))&amp;":"&amp;ADDRESS(ROW(),COLUMN(ATALI[QB])))</f>
        <v/>
      </c>
      <c r="Y456" s="13" t="str">
        <f ca="1">IF(ATALI[[#This Row],[//]]="","",HYPERLINK("[../DB.xlsx]DB!e"&amp;MATCH(ATALI[[#This Row],[concat]],[4]!db[NB NOTA_C],0)+1,"&gt;"))</f>
        <v/>
      </c>
    </row>
    <row r="457" spans="1:25" x14ac:dyDescent="0.25">
      <c r="A457" s="4"/>
      <c r="B457" s="6" t="str">
        <f>IF(ATALI[[#This Row],[N_ID]]="","",INDEX(Table1[ID],MATCH(ATALI[[#This Row],[N_ID]],Table1[N_ID],0)))</f>
        <v/>
      </c>
      <c r="C457" s="6" t="str">
        <f>IF(ATALI[[#This Row],[ID NOTA]]="","",HYPERLINK("[NOTA_.xlsx]NOTA!e"&amp;INDEX([2]!PAJAK[//],MATCH(ATALI[[#This Row],[ID NOTA]],[2]!PAJAK[ID],0)),"&gt;") )</f>
        <v/>
      </c>
      <c r="D457" s="6" t="str">
        <f>IF(ATALI[[#This Row],[ID NOTA]]="","",INDEX(Table1[QB],MATCH(ATALI[[#This Row],[ID NOTA]],Table1[ID],0)))</f>
        <v/>
      </c>
      <c r="E4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7" s="6"/>
      <c r="G457" s="3" t="str">
        <f>IF(ATALI[[#This Row],[ID NOTA]]="","",INDEX([2]!NOTA[TGL_H],MATCH(ATALI[[#This Row],[ID NOTA]],[2]!NOTA[ID],0)))</f>
        <v/>
      </c>
      <c r="H457" s="3" t="str">
        <f>IF(ATALI[[#This Row],[ID NOTA]]="","",INDEX([2]!NOTA[TGL.NOTA],MATCH(ATALI[[#This Row],[ID NOTA]],[2]!NOTA[ID],0)))</f>
        <v/>
      </c>
      <c r="I457" s="4" t="str">
        <f>IF(ATALI[[#This Row],[ID NOTA]]="","",INDEX([2]!NOTA[NO.NOTA],MATCH(ATALI[[#This Row],[ID NOTA]],[2]!NOTA[ID],0)))</f>
        <v/>
      </c>
      <c r="J457" s="4" t="str">
        <f ca="1">IF(ATALI[[#This Row],[//]]="","",INDEX([4]!db[NB PAJAK],ATALI[[#This Row],[stt]]-1))</f>
        <v/>
      </c>
      <c r="K457" s="6" t="str">
        <f ca="1">IF(ATALI[[#This Row],[//]]="","",IF(INDEX([2]!NOTA[C],ATALI[[#This Row],[//]]-2)="","",INDEX([2]!NOTA[C],ATALI[[#This Row],[//]]-2)))</f>
        <v/>
      </c>
      <c r="L457" s="6" t="str">
        <f ca="1">IF(ATALI[[#This Row],[//]]="","",INDEX([2]!NOTA[QTY],ATALI[[#This Row],[//]]-2))</f>
        <v/>
      </c>
      <c r="M457" s="6" t="str">
        <f ca="1">IF(ATALI[[#This Row],[//]]="","",INDEX([2]!NOTA[STN],ATALI[[#This Row],[//]]-2))</f>
        <v/>
      </c>
      <c r="N457" s="5" t="str">
        <f ca="1">IF(ATALI[[#This Row],[//]]="","",INDEX([2]!NOTA[HARGA SATUAN],ATALI[[#This Row],[//]]-2))</f>
        <v/>
      </c>
      <c r="O457" s="7" t="str">
        <f ca="1">IF(ATALI[[#This Row],[//]]="","",INDEX([2]!NOTA[DISC 1],ATALI[[#This Row],[//]]-2))</f>
        <v/>
      </c>
      <c r="P457" s="7" t="str">
        <f ca="1">IF(ATALI[[#This Row],[//]]="","",INDEX([2]!NOTA[DISC 2],ATALI[[#This Row],[//]]-2))</f>
        <v/>
      </c>
      <c r="Q457" s="5" t="str">
        <f ca="1">IF(ATALI[[#This Row],[//]]="","",INDEX([2]!NOTA[TOTAL],ATALI[[#This Row],[//]]-2))</f>
        <v/>
      </c>
      <c r="R4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7" s="4" t="str">
        <f ca="1">IF(ATALI[[#This Row],[//]]="","",INDEX([2]!NOTA[NAMA BARANG],ATALI[[#This Row],[//]]-2))</f>
        <v/>
      </c>
      <c r="V457" s="4" t="str">
        <f ca="1">LOWER(SUBSTITUTE(SUBSTITUTE(SUBSTITUTE(SUBSTITUTE(SUBSTITUTE(SUBSTITUTE(SUBSTITUTE(ATALI[[#This Row],[N.B.nota]]," ",""),"-",""),"(",""),")",""),".",""),",",""),"/",""))</f>
        <v/>
      </c>
      <c r="W457" s="4" t="str">
        <f ca="1">IF(ATALI[[#This Row],[concat]]="","",MATCH(ATALI[[#This Row],[concat]],[4]!db[NB NOTA_C],0)+1)</f>
        <v/>
      </c>
      <c r="X457" s="4" t="str">
        <f ca="1">IF(ATALI[[#This Row],[N.B.nota]]="","",ADDRESS(ROW(ATALI[QB]),COLUMN(ATALI[QB]))&amp;":"&amp;ADDRESS(ROW(),COLUMN(ATALI[QB])))</f>
        <v/>
      </c>
      <c r="Y457" s="13" t="str">
        <f ca="1">IF(ATALI[[#This Row],[//]]="","",HYPERLINK("[../DB.xlsx]DB!e"&amp;MATCH(ATALI[[#This Row],[concat]],[4]!db[NB NOTA_C],0)+1,"&gt;"))</f>
        <v/>
      </c>
    </row>
    <row r="458" spans="1:25" x14ac:dyDescent="0.25">
      <c r="A458" s="4"/>
      <c r="B458" s="6" t="str">
        <f>IF(ATALI[[#This Row],[N_ID]]="","",INDEX(Table1[ID],MATCH(ATALI[[#This Row],[N_ID]],Table1[N_ID],0)))</f>
        <v/>
      </c>
      <c r="C458" s="6" t="str">
        <f>IF(ATALI[[#This Row],[ID NOTA]]="","",HYPERLINK("[NOTA_.xlsx]NOTA!e"&amp;INDEX([2]!PAJAK[//],MATCH(ATALI[[#This Row],[ID NOTA]],[2]!PAJAK[ID],0)),"&gt;") )</f>
        <v/>
      </c>
      <c r="D458" s="6" t="str">
        <f>IF(ATALI[[#This Row],[ID NOTA]]="","",INDEX(Table1[QB],MATCH(ATALI[[#This Row],[ID NOTA]],Table1[ID],0)))</f>
        <v/>
      </c>
      <c r="E4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8" s="6"/>
      <c r="G458" s="3" t="str">
        <f>IF(ATALI[[#This Row],[ID NOTA]]="","",INDEX([2]!NOTA[TGL_H],MATCH(ATALI[[#This Row],[ID NOTA]],[2]!NOTA[ID],0)))</f>
        <v/>
      </c>
      <c r="H458" s="3" t="str">
        <f>IF(ATALI[[#This Row],[ID NOTA]]="","",INDEX([2]!NOTA[TGL.NOTA],MATCH(ATALI[[#This Row],[ID NOTA]],[2]!NOTA[ID],0)))</f>
        <v/>
      </c>
      <c r="I458" s="4" t="str">
        <f>IF(ATALI[[#This Row],[ID NOTA]]="","",INDEX([2]!NOTA[NO.NOTA],MATCH(ATALI[[#This Row],[ID NOTA]],[2]!NOTA[ID],0)))</f>
        <v/>
      </c>
      <c r="J458" s="4" t="str">
        <f ca="1">IF(ATALI[[#This Row],[//]]="","",INDEX([4]!db[NB PAJAK],ATALI[[#This Row],[stt]]-1))</f>
        <v/>
      </c>
      <c r="K458" s="6" t="str">
        <f ca="1">IF(ATALI[[#This Row],[//]]="","",IF(INDEX([2]!NOTA[C],ATALI[[#This Row],[//]]-2)="","",INDEX([2]!NOTA[C],ATALI[[#This Row],[//]]-2)))</f>
        <v/>
      </c>
      <c r="L458" s="6" t="str">
        <f ca="1">IF(ATALI[[#This Row],[//]]="","",INDEX([2]!NOTA[QTY],ATALI[[#This Row],[//]]-2))</f>
        <v/>
      </c>
      <c r="M458" s="6" t="str">
        <f ca="1">IF(ATALI[[#This Row],[//]]="","",INDEX([2]!NOTA[STN],ATALI[[#This Row],[//]]-2))</f>
        <v/>
      </c>
      <c r="N458" s="5" t="str">
        <f ca="1">IF(ATALI[[#This Row],[//]]="","",INDEX([2]!NOTA[HARGA SATUAN],ATALI[[#This Row],[//]]-2))</f>
        <v/>
      </c>
      <c r="O458" s="7" t="str">
        <f ca="1">IF(ATALI[[#This Row],[//]]="","",INDEX([2]!NOTA[DISC 1],ATALI[[#This Row],[//]]-2))</f>
        <v/>
      </c>
      <c r="P458" s="7" t="str">
        <f ca="1">IF(ATALI[[#This Row],[//]]="","",INDEX([2]!NOTA[DISC 2],ATALI[[#This Row],[//]]-2))</f>
        <v/>
      </c>
      <c r="Q458" s="5" t="str">
        <f ca="1">IF(ATALI[[#This Row],[//]]="","",INDEX([2]!NOTA[TOTAL],ATALI[[#This Row],[//]]-2))</f>
        <v/>
      </c>
      <c r="R4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8" s="4" t="str">
        <f ca="1">IF(ATALI[[#This Row],[//]]="","",INDEX([2]!NOTA[NAMA BARANG],ATALI[[#This Row],[//]]-2))</f>
        <v/>
      </c>
      <c r="V458" s="4" t="str">
        <f ca="1">LOWER(SUBSTITUTE(SUBSTITUTE(SUBSTITUTE(SUBSTITUTE(SUBSTITUTE(SUBSTITUTE(SUBSTITUTE(ATALI[[#This Row],[N.B.nota]]," ",""),"-",""),"(",""),")",""),".",""),",",""),"/",""))</f>
        <v/>
      </c>
      <c r="W458" s="4" t="str">
        <f ca="1">IF(ATALI[[#This Row],[concat]]="","",MATCH(ATALI[[#This Row],[concat]],[4]!db[NB NOTA_C],0)+1)</f>
        <v/>
      </c>
      <c r="X458" s="4" t="str">
        <f ca="1">IF(ATALI[[#This Row],[N.B.nota]]="","",ADDRESS(ROW(ATALI[QB]),COLUMN(ATALI[QB]))&amp;":"&amp;ADDRESS(ROW(),COLUMN(ATALI[QB])))</f>
        <v/>
      </c>
      <c r="Y458" s="13" t="str">
        <f ca="1">IF(ATALI[[#This Row],[//]]="","",HYPERLINK("[../DB.xlsx]DB!e"&amp;MATCH(ATALI[[#This Row],[concat]],[4]!db[NB NOTA_C],0)+1,"&gt;"))</f>
        <v/>
      </c>
    </row>
    <row r="459" spans="1:25" x14ac:dyDescent="0.25">
      <c r="A459" s="4"/>
      <c r="B459" s="6" t="str">
        <f>IF(ATALI[[#This Row],[N_ID]]="","",INDEX(Table1[ID],MATCH(ATALI[[#This Row],[N_ID]],Table1[N_ID],0)))</f>
        <v/>
      </c>
      <c r="C459" s="6" t="str">
        <f>IF(ATALI[[#This Row],[ID NOTA]]="","",HYPERLINK("[NOTA_.xlsx]NOTA!e"&amp;INDEX([2]!PAJAK[//],MATCH(ATALI[[#This Row],[ID NOTA]],[2]!PAJAK[ID],0)),"&gt;") )</f>
        <v/>
      </c>
      <c r="D459" s="6" t="str">
        <f>IF(ATALI[[#This Row],[ID NOTA]]="","",INDEX(Table1[QB],MATCH(ATALI[[#This Row],[ID NOTA]],Table1[ID],0)))</f>
        <v/>
      </c>
      <c r="E4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9" s="6"/>
      <c r="G459" s="3" t="str">
        <f>IF(ATALI[[#This Row],[ID NOTA]]="","",INDEX([2]!NOTA[TGL_H],MATCH(ATALI[[#This Row],[ID NOTA]],[2]!NOTA[ID],0)))</f>
        <v/>
      </c>
      <c r="H459" s="3" t="str">
        <f>IF(ATALI[[#This Row],[ID NOTA]]="","",INDEX([2]!NOTA[TGL.NOTA],MATCH(ATALI[[#This Row],[ID NOTA]],[2]!NOTA[ID],0)))</f>
        <v/>
      </c>
      <c r="I459" s="4" t="str">
        <f>IF(ATALI[[#This Row],[ID NOTA]]="","",INDEX([2]!NOTA[NO.NOTA],MATCH(ATALI[[#This Row],[ID NOTA]],[2]!NOTA[ID],0)))</f>
        <v/>
      </c>
      <c r="J459" s="4" t="str">
        <f ca="1">IF(ATALI[[#This Row],[//]]="","",INDEX([4]!db[NB PAJAK],ATALI[[#This Row],[stt]]-1))</f>
        <v/>
      </c>
      <c r="K459" s="6" t="str">
        <f ca="1">IF(ATALI[[#This Row],[//]]="","",IF(INDEX([2]!NOTA[C],ATALI[[#This Row],[//]]-2)="","",INDEX([2]!NOTA[C],ATALI[[#This Row],[//]]-2)))</f>
        <v/>
      </c>
      <c r="L459" s="6" t="str">
        <f ca="1">IF(ATALI[[#This Row],[//]]="","",INDEX([2]!NOTA[QTY],ATALI[[#This Row],[//]]-2))</f>
        <v/>
      </c>
      <c r="M459" s="6" t="str">
        <f ca="1">IF(ATALI[[#This Row],[//]]="","",INDEX([2]!NOTA[STN],ATALI[[#This Row],[//]]-2))</f>
        <v/>
      </c>
      <c r="N459" s="5" t="str">
        <f ca="1">IF(ATALI[[#This Row],[//]]="","",INDEX([2]!NOTA[HARGA SATUAN],ATALI[[#This Row],[//]]-2))</f>
        <v/>
      </c>
      <c r="O459" s="7" t="str">
        <f ca="1">IF(ATALI[[#This Row],[//]]="","",INDEX([2]!NOTA[DISC 1],ATALI[[#This Row],[//]]-2))</f>
        <v/>
      </c>
      <c r="P459" s="7" t="str">
        <f ca="1">IF(ATALI[[#This Row],[//]]="","",INDEX([2]!NOTA[DISC 2],ATALI[[#This Row],[//]]-2))</f>
        <v/>
      </c>
      <c r="Q459" s="5" t="str">
        <f ca="1">IF(ATALI[[#This Row],[//]]="","",INDEX([2]!NOTA[TOTAL],ATALI[[#This Row],[//]]-2))</f>
        <v/>
      </c>
      <c r="R4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9" s="4" t="str">
        <f ca="1">IF(ATALI[[#This Row],[//]]="","",INDEX([2]!NOTA[NAMA BARANG],ATALI[[#This Row],[//]]-2))</f>
        <v/>
      </c>
      <c r="V459" s="4" t="str">
        <f ca="1">LOWER(SUBSTITUTE(SUBSTITUTE(SUBSTITUTE(SUBSTITUTE(SUBSTITUTE(SUBSTITUTE(SUBSTITUTE(ATALI[[#This Row],[N.B.nota]]," ",""),"-",""),"(",""),")",""),".",""),",",""),"/",""))</f>
        <v/>
      </c>
      <c r="W459" s="4" t="str">
        <f ca="1">IF(ATALI[[#This Row],[concat]]="","",MATCH(ATALI[[#This Row],[concat]],[4]!db[NB NOTA_C],0)+1)</f>
        <v/>
      </c>
      <c r="X459" s="4" t="str">
        <f ca="1">IF(ATALI[[#This Row],[N.B.nota]]="","",ADDRESS(ROW(ATALI[QB]),COLUMN(ATALI[QB]))&amp;":"&amp;ADDRESS(ROW(),COLUMN(ATALI[QB])))</f>
        <v/>
      </c>
      <c r="Y459" s="13" t="str">
        <f ca="1">IF(ATALI[[#This Row],[//]]="","",HYPERLINK("[../DB.xlsx]DB!e"&amp;MATCH(ATALI[[#This Row],[concat]],[4]!db[NB NOTA_C],0)+1,"&gt;"))</f>
        <v/>
      </c>
    </row>
    <row r="460" spans="1:25" x14ac:dyDescent="0.25">
      <c r="A460" s="4"/>
      <c r="B460" s="6" t="str">
        <f>IF(ATALI[[#This Row],[N_ID]]="","",INDEX(Table1[ID],MATCH(ATALI[[#This Row],[N_ID]],Table1[N_ID],0)))</f>
        <v/>
      </c>
      <c r="C460" s="6" t="str">
        <f>IF(ATALI[[#This Row],[ID NOTA]]="","",HYPERLINK("[NOTA_.xlsx]NOTA!e"&amp;INDEX([2]!PAJAK[//],MATCH(ATALI[[#This Row],[ID NOTA]],[2]!PAJAK[ID],0)),"&gt;") )</f>
        <v/>
      </c>
      <c r="D460" s="6" t="str">
        <f>IF(ATALI[[#This Row],[ID NOTA]]="","",INDEX(Table1[QB],MATCH(ATALI[[#This Row],[ID NOTA]],Table1[ID],0)))</f>
        <v/>
      </c>
      <c r="E4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0" s="6"/>
      <c r="G460" s="3" t="str">
        <f>IF(ATALI[[#This Row],[ID NOTA]]="","",INDEX([2]!NOTA[TGL_H],MATCH(ATALI[[#This Row],[ID NOTA]],[2]!NOTA[ID],0)))</f>
        <v/>
      </c>
      <c r="H460" s="3" t="str">
        <f>IF(ATALI[[#This Row],[ID NOTA]]="","",INDEX([2]!NOTA[TGL.NOTA],MATCH(ATALI[[#This Row],[ID NOTA]],[2]!NOTA[ID],0)))</f>
        <v/>
      </c>
      <c r="I460" s="4" t="str">
        <f>IF(ATALI[[#This Row],[ID NOTA]]="","",INDEX([2]!NOTA[NO.NOTA],MATCH(ATALI[[#This Row],[ID NOTA]],[2]!NOTA[ID],0)))</f>
        <v/>
      </c>
      <c r="J460" s="4" t="str">
        <f ca="1">IF(ATALI[[#This Row],[//]]="","",INDEX([4]!db[NB PAJAK],ATALI[[#This Row],[stt]]-1))</f>
        <v/>
      </c>
      <c r="K460" s="6" t="str">
        <f ca="1">IF(ATALI[[#This Row],[//]]="","",IF(INDEX([2]!NOTA[C],ATALI[[#This Row],[//]]-2)="","",INDEX([2]!NOTA[C],ATALI[[#This Row],[//]]-2)))</f>
        <v/>
      </c>
      <c r="L460" s="6" t="str">
        <f ca="1">IF(ATALI[[#This Row],[//]]="","",INDEX([2]!NOTA[QTY],ATALI[[#This Row],[//]]-2))</f>
        <v/>
      </c>
      <c r="M460" s="6" t="str">
        <f ca="1">IF(ATALI[[#This Row],[//]]="","",INDEX([2]!NOTA[STN],ATALI[[#This Row],[//]]-2))</f>
        <v/>
      </c>
      <c r="N460" s="5" t="str">
        <f ca="1">IF(ATALI[[#This Row],[//]]="","",INDEX([2]!NOTA[HARGA SATUAN],ATALI[[#This Row],[//]]-2))</f>
        <v/>
      </c>
      <c r="O460" s="7" t="str">
        <f ca="1">IF(ATALI[[#This Row],[//]]="","",INDEX([2]!NOTA[DISC 1],ATALI[[#This Row],[//]]-2))</f>
        <v/>
      </c>
      <c r="P460" s="7" t="str">
        <f ca="1">IF(ATALI[[#This Row],[//]]="","",INDEX([2]!NOTA[DISC 2],ATALI[[#This Row],[//]]-2))</f>
        <v/>
      </c>
      <c r="Q460" s="5" t="str">
        <f ca="1">IF(ATALI[[#This Row],[//]]="","",INDEX([2]!NOTA[TOTAL],ATALI[[#This Row],[//]]-2))</f>
        <v/>
      </c>
      <c r="R4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0" s="4" t="str">
        <f ca="1">IF(ATALI[[#This Row],[//]]="","",INDEX([2]!NOTA[NAMA BARANG],ATALI[[#This Row],[//]]-2))</f>
        <v/>
      </c>
      <c r="V460" s="4" t="str">
        <f ca="1">LOWER(SUBSTITUTE(SUBSTITUTE(SUBSTITUTE(SUBSTITUTE(SUBSTITUTE(SUBSTITUTE(SUBSTITUTE(ATALI[[#This Row],[N.B.nota]]," ",""),"-",""),"(",""),")",""),".",""),",",""),"/",""))</f>
        <v/>
      </c>
      <c r="W460" s="4" t="str">
        <f ca="1">IF(ATALI[[#This Row],[concat]]="","",MATCH(ATALI[[#This Row],[concat]],[4]!db[NB NOTA_C],0)+1)</f>
        <v/>
      </c>
      <c r="X460" s="4" t="str">
        <f ca="1">IF(ATALI[[#This Row],[N.B.nota]]="","",ADDRESS(ROW(ATALI[QB]),COLUMN(ATALI[QB]))&amp;":"&amp;ADDRESS(ROW(),COLUMN(ATALI[QB])))</f>
        <v/>
      </c>
      <c r="Y460" s="13" t="str">
        <f ca="1">IF(ATALI[[#This Row],[//]]="","",HYPERLINK("[../DB.xlsx]DB!e"&amp;MATCH(ATALI[[#This Row],[concat]],[4]!db[NB NOTA_C],0)+1,"&gt;"))</f>
        <v/>
      </c>
    </row>
    <row r="461" spans="1:25" x14ac:dyDescent="0.25">
      <c r="A461" s="4"/>
      <c r="B461" s="6" t="str">
        <f>IF(ATALI[[#This Row],[N_ID]]="","",INDEX(Table1[ID],MATCH(ATALI[[#This Row],[N_ID]],Table1[N_ID],0)))</f>
        <v/>
      </c>
      <c r="C461" s="6" t="str">
        <f>IF(ATALI[[#This Row],[ID NOTA]]="","",HYPERLINK("[NOTA_.xlsx]NOTA!e"&amp;INDEX([2]!PAJAK[//],MATCH(ATALI[[#This Row],[ID NOTA]],[2]!PAJAK[ID],0)),"&gt;") )</f>
        <v/>
      </c>
      <c r="D461" s="6" t="str">
        <f>IF(ATALI[[#This Row],[ID NOTA]]="","",INDEX(Table1[QB],MATCH(ATALI[[#This Row],[ID NOTA]],Table1[ID],0)))</f>
        <v/>
      </c>
      <c r="E4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1" s="6"/>
      <c r="G461" s="3" t="str">
        <f>IF(ATALI[[#This Row],[ID NOTA]]="","",INDEX([2]!NOTA[TGL_H],MATCH(ATALI[[#This Row],[ID NOTA]],[2]!NOTA[ID],0)))</f>
        <v/>
      </c>
      <c r="H461" s="3" t="str">
        <f>IF(ATALI[[#This Row],[ID NOTA]]="","",INDEX([2]!NOTA[TGL.NOTA],MATCH(ATALI[[#This Row],[ID NOTA]],[2]!NOTA[ID],0)))</f>
        <v/>
      </c>
      <c r="I461" s="4" t="str">
        <f>IF(ATALI[[#This Row],[ID NOTA]]="","",INDEX([2]!NOTA[NO.NOTA],MATCH(ATALI[[#This Row],[ID NOTA]],[2]!NOTA[ID],0)))</f>
        <v/>
      </c>
      <c r="J461" s="4" t="str">
        <f ca="1">IF(ATALI[[#This Row],[//]]="","",INDEX([4]!db[NB PAJAK],ATALI[[#This Row],[stt]]-1))</f>
        <v/>
      </c>
      <c r="K461" s="6" t="str">
        <f ca="1">IF(ATALI[[#This Row],[//]]="","",IF(INDEX([2]!NOTA[C],ATALI[[#This Row],[//]]-2)="","",INDEX([2]!NOTA[C],ATALI[[#This Row],[//]]-2)))</f>
        <v/>
      </c>
      <c r="L461" s="6" t="str">
        <f ca="1">IF(ATALI[[#This Row],[//]]="","",INDEX([2]!NOTA[QTY],ATALI[[#This Row],[//]]-2))</f>
        <v/>
      </c>
      <c r="M461" s="6" t="str">
        <f ca="1">IF(ATALI[[#This Row],[//]]="","",INDEX([2]!NOTA[STN],ATALI[[#This Row],[//]]-2))</f>
        <v/>
      </c>
      <c r="N461" s="5" t="str">
        <f ca="1">IF(ATALI[[#This Row],[//]]="","",INDEX([2]!NOTA[HARGA SATUAN],ATALI[[#This Row],[//]]-2))</f>
        <v/>
      </c>
      <c r="O461" s="7" t="str">
        <f ca="1">IF(ATALI[[#This Row],[//]]="","",INDEX([2]!NOTA[DISC 1],ATALI[[#This Row],[//]]-2))</f>
        <v/>
      </c>
      <c r="P461" s="7" t="str">
        <f ca="1">IF(ATALI[[#This Row],[//]]="","",INDEX([2]!NOTA[DISC 2],ATALI[[#This Row],[//]]-2))</f>
        <v/>
      </c>
      <c r="Q461" s="5" t="str">
        <f ca="1">IF(ATALI[[#This Row],[//]]="","",INDEX([2]!NOTA[TOTAL],ATALI[[#This Row],[//]]-2))</f>
        <v/>
      </c>
      <c r="R4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1" s="4" t="str">
        <f ca="1">IF(ATALI[[#This Row],[//]]="","",INDEX([2]!NOTA[NAMA BARANG],ATALI[[#This Row],[//]]-2))</f>
        <v/>
      </c>
      <c r="V461" s="4" t="str">
        <f ca="1">LOWER(SUBSTITUTE(SUBSTITUTE(SUBSTITUTE(SUBSTITUTE(SUBSTITUTE(SUBSTITUTE(SUBSTITUTE(ATALI[[#This Row],[N.B.nota]]," ",""),"-",""),"(",""),")",""),".",""),",",""),"/",""))</f>
        <v/>
      </c>
      <c r="W461" s="4" t="str">
        <f ca="1">IF(ATALI[[#This Row],[concat]]="","",MATCH(ATALI[[#This Row],[concat]],[4]!db[NB NOTA_C],0)+1)</f>
        <v/>
      </c>
      <c r="X461" s="4" t="str">
        <f ca="1">IF(ATALI[[#This Row],[N.B.nota]]="","",ADDRESS(ROW(ATALI[QB]),COLUMN(ATALI[QB]))&amp;":"&amp;ADDRESS(ROW(),COLUMN(ATALI[QB])))</f>
        <v/>
      </c>
      <c r="Y461" s="13" t="str">
        <f ca="1">IF(ATALI[[#This Row],[//]]="","",HYPERLINK("[../DB.xlsx]DB!e"&amp;MATCH(ATALI[[#This Row],[concat]],[4]!db[NB NOTA_C],0)+1,"&gt;"))</f>
        <v/>
      </c>
    </row>
    <row r="462" spans="1:25" x14ac:dyDescent="0.25">
      <c r="A462" s="4"/>
      <c r="B462" s="6" t="str">
        <f>IF(ATALI[[#This Row],[N_ID]]="","",INDEX(Table1[ID],MATCH(ATALI[[#This Row],[N_ID]],Table1[N_ID],0)))</f>
        <v/>
      </c>
      <c r="C462" s="6" t="str">
        <f>IF(ATALI[[#This Row],[ID NOTA]]="","",HYPERLINK("[NOTA_.xlsx]NOTA!e"&amp;INDEX([2]!PAJAK[//],MATCH(ATALI[[#This Row],[ID NOTA]],[2]!PAJAK[ID],0)),"&gt;") )</f>
        <v/>
      </c>
      <c r="D462" s="6" t="str">
        <f>IF(ATALI[[#This Row],[ID NOTA]]="","",INDEX(Table1[QB],MATCH(ATALI[[#This Row],[ID NOTA]],Table1[ID],0)))</f>
        <v/>
      </c>
      <c r="E4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2" s="6"/>
      <c r="G462" s="3" t="str">
        <f>IF(ATALI[[#This Row],[ID NOTA]]="","",INDEX([2]!NOTA[TGL_H],MATCH(ATALI[[#This Row],[ID NOTA]],[2]!NOTA[ID],0)))</f>
        <v/>
      </c>
      <c r="H462" s="3" t="str">
        <f>IF(ATALI[[#This Row],[ID NOTA]]="","",INDEX([2]!NOTA[TGL.NOTA],MATCH(ATALI[[#This Row],[ID NOTA]],[2]!NOTA[ID],0)))</f>
        <v/>
      </c>
      <c r="I462" s="4" t="str">
        <f>IF(ATALI[[#This Row],[ID NOTA]]="","",INDEX([2]!NOTA[NO.NOTA],MATCH(ATALI[[#This Row],[ID NOTA]],[2]!NOTA[ID],0)))</f>
        <v/>
      </c>
      <c r="J462" s="4" t="str">
        <f ca="1">IF(ATALI[[#This Row],[//]]="","",INDEX([4]!db[NB PAJAK],ATALI[[#This Row],[stt]]-1))</f>
        <v/>
      </c>
      <c r="K462" s="6" t="str">
        <f ca="1">IF(ATALI[[#This Row],[//]]="","",IF(INDEX([2]!NOTA[C],ATALI[[#This Row],[//]]-2)="","",INDEX([2]!NOTA[C],ATALI[[#This Row],[//]]-2)))</f>
        <v/>
      </c>
      <c r="L462" s="6" t="str">
        <f ca="1">IF(ATALI[[#This Row],[//]]="","",INDEX([2]!NOTA[QTY],ATALI[[#This Row],[//]]-2))</f>
        <v/>
      </c>
      <c r="M462" s="6" t="str">
        <f ca="1">IF(ATALI[[#This Row],[//]]="","",INDEX([2]!NOTA[STN],ATALI[[#This Row],[//]]-2))</f>
        <v/>
      </c>
      <c r="N462" s="5" t="str">
        <f ca="1">IF(ATALI[[#This Row],[//]]="","",INDEX([2]!NOTA[HARGA SATUAN],ATALI[[#This Row],[//]]-2))</f>
        <v/>
      </c>
      <c r="O462" s="7" t="str">
        <f ca="1">IF(ATALI[[#This Row],[//]]="","",INDEX([2]!NOTA[DISC 1],ATALI[[#This Row],[//]]-2))</f>
        <v/>
      </c>
      <c r="P462" s="7" t="str">
        <f ca="1">IF(ATALI[[#This Row],[//]]="","",INDEX([2]!NOTA[DISC 2],ATALI[[#This Row],[//]]-2))</f>
        <v/>
      </c>
      <c r="Q462" s="5" t="str">
        <f ca="1">IF(ATALI[[#This Row],[//]]="","",INDEX([2]!NOTA[TOTAL],ATALI[[#This Row],[//]]-2))</f>
        <v/>
      </c>
      <c r="R4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2" s="4" t="str">
        <f ca="1">IF(ATALI[[#This Row],[//]]="","",INDEX([2]!NOTA[NAMA BARANG],ATALI[[#This Row],[//]]-2))</f>
        <v/>
      </c>
      <c r="V462" s="4" t="str">
        <f ca="1">LOWER(SUBSTITUTE(SUBSTITUTE(SUBSTITUTE(SUBSTITUTE(SUBSTITUTE(SUBSTITUTE(SUBSTITUTE(ATALI[[#This Row],[N.B.nota]]," ",""),"-",""),"(",""),")",""),".",""),",",""),"/",""))</f>
        <v/>
      </c>
      <c r="W462" s="4" t="str">
        <f ca="1">IF(ATALI[[#This Row],[concat]]="","",MATCH(ATALI[[#This Row],[concat]],[4]!db[NB NOTA_C],0)+1)</f>
        <v/>
      </c>
      <c r="X462" s="4" t="str">
        <f ca="1">IF(ATALI[[#This Row],[N.B.nota]]="","",ADDRESS(ROW(ATALI[QB]),COLUMN(ATALI[QB]))&amp;":"&amp;ADDRESS(ROW(),COLUMN(ATALI[QB])))</f>
        <v/>
      </c>
      <c r="Y462" s="13" t="str">
        <f ca="1">IF(ATALI[[#This Row],[//]]="","",HYPERLINK("[../DB.xlsx]DB!e"&amp;MATCH(ATALI[[#This Row],[concat]],[4]!db[NB NOTA_C],0)+1,"&gt;"))</f>
        <v/>
      </c>
    </row>
    <row r="463" spans="1:25" x14ac:dyDescent="0.25">
      <c r="A463" s="4"/>
      <c r="B463" s="6" t="str">
        <f>IF(ATALI[[#This Row],[N_ID]]="","",INDEX(Table1[ID],MATCH(ATALI[[#This Row],[N_ID]],Table1[N_ID],0)))</f>
        <v/>
      </c>
      <c r="C463" s="6" t="str">
        <f>IF(ATALI[[#This Row],[ID NOTA]]="","",HYPERLINK("[NOTA_.xlsx]NOTA!e"&amp;INDEX([2]!PAJAK[//],MATCH(ATALI[[#This Row],[ID NOTA]],[2]!PAJAK[ID],0)),"&gt;") )</f>
        <v/>
      </c>
      <c r="D463" s="6" t="str">
        <f>IF(ATALI[[#This Row],[ID NOTA]]="","",INDEX(Table1[QB],MATCH(ATALI[[#This Row],[ID NOTA]],Table1[ID],0)))</f>
        <v/>
      </c>
      <c r="E4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3" s="6"/>
      <c r="G463" s="3" t="str">
        <f>IF(ATALI[[#This Row],[ID NOTA]]="","",INDEX([2]!NOTA[TGL_H],MATCH(ATALI[[#This Row],[ID NOTA]],[2]!NOTA[ID],0)))</f>
        <v/>
      </c>
      <c r="H463" s="3" t="str">
        <f>IF(ATALI[[#This Row],[ID NOTA]]="","",INDEX([2]!NOTA[TGL.NOTA],MATCH(ATALI[[#This Row],[ID NOTA]],[2]!NOTA[ID],0)))</f>
        <v/>
      </c>
      <c r="I463" s="4" t="str">
        <f>IF(ATALI[[#This Row],[ID NOTA]]="","",INDEX([2]!NOTA[NO.NOTA],MATCH(ATALI[[#This Row],[ID NOTA]],[2]!NOTA[ID],0)))</f>
        <v/>
      </c>
      <c r="J463" s="4" t="str">
        <f ca="1">IF(ATALI[[#This Row],[//]]="","",INDEX([4]!db[NB PAJAK],ATALI[[#This Row],[stt]]-1))</f>
        <v/>
      </c>
      <c r="K463" s="6" t="str">
        <f ca="1">IF(ATALI[[#This Row],[//]]="","",IF(INDEX([2]!NOTA[C],ATALI[[#This Row],[//]]-2)="","",INDEX([2]!NOTA[C],ATALI[[#This Row],[//]]-2)))</f>
        <v/>
      </c>
      <c r="L463" s="6" t="str">
        <f ca="1">IF(ATALI[[#This Row],[//]]="","",INDEX([2]!NOTA[QTY],ATALI[[#This Row],[//]]-2))</f>
        <v/>
      </c>
      <c r="M463" s="6" t="str">
        <f ca="1">IF(ATALI[[#This Row],[//]]="","",INDEX([2]!NOTA[STN],ATALI[[#This Row],[//]]-2))</f>
        <v/>
      </c>
      <c r="N463" s="5" t="str">
        <f ca="1">IF(ATALI[[#This Row],[//]]="","",INDEX([2]!NOTA[HARGA SATUAN],ATALI[[#This Row],[//]]-2))</f>
        <v/>
      </c>
      <c r="O463" s="7" t="str">
        <f ca="1">IF(ATALI[[#This Row],[//]]="","",INDEX([2]!NOTA[DISC 1],ATALI[[#This Row],[//]]-2))</f>
        <v/>
      </c>
      <c r="P463" s="7" t="str">
        <f ca="1">IF(ATALI[[#This Row],[//]]="","",INDEX([2]!NOTA[DISC 2],ATALI[[#This Row],[//]]-2))</f>
        <v/>
      </c>
      <c r="Q463" s="5" t="str">
        <f ca="1">IF(ATALI[[#This Row],[//]]="","",INDEX([2]!NOTA[TOTAL],ATALI[[#This Row],[//]]-2))</f>
        <v/>
      </c>
      <c r="R4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3" s="4" t="str">
        <f ca="1">IF(ATALI[[#This Row],[//]]="","",INDEX([2]!NOTA[NAMA BARANG],ATALI[[#This Row],[//]]-2))</f>
        <v/>
      </c>
      <c r="V463" s="4" t="str">
        <f ca="1">LOWER(SUBSTITUTE(SUBSTITUTE(SUBSTITUTE(SUBSTITUTE(SUBSTITUTE(SUBSTITUTE(SUBSTITUTE(ATALI[[#This Row],[N.B.nota]]," ",""),"-",""),"(",""),")",""),".",""),",",""),"/",""))</f>
        <v/>
      </c>
      <c r="W463" s="4" t="str">
        <f ca="1">IF(ATALI[[#This Row],[concat]]="","",MATCH(ATALI[[#This Row],[concat]],[4]!db[NB NOTA_C],0)+1)</f>
        <v/>
      </c>
      <c r="X463" s="4" t="str">
        <f ca="1">IF(ATALI[[#This Row],[N.B.nota]]="","",ADDRESS(ROW(ATALI[QB]),COLUMN(ATALI[QB]))&amp;":"&amp;ADDRESS(ROW(),COLUMN(ATALI[QB])))</f>
        <v/>
      </c>
      <c r="Y463" s="13" t="str">
        <f ca="1">IF(ATALI[[#This Row],[//]]="","",HYPERLINK("[../DB.xlsx]DB!e"&amp;MATCH(ATALI[[#This Row],[concat]],[4]!db[NB NOTA_C],0)+1,"&gt;"))</f>
        <v/>
      </c>
    </row>
    <row r="464" spans="1:25" x14ac:dyDescent="0.25">
      <c r="A464" s="4"/>
      <c r="B464" s="6" t="str">
        <f>IF(ATALI[[#This Row],[N_ID]]="","",INDEX(Table1[ID],MATCH(ATALI[[#This Row],[N_ID]],Table1[N_ID],0)))</f>
        <v/>
      </c>
      <c r="C464" s="6" t="str">
        <f>IF(ATALI[[#This Row],[ID NOTA]]="","",HYPERLINK("[NOTA_.xlsx]NOTA!e"&amp;INDEX([2]!PAJAK[//],MATCH(ATALI[[#This Row],[ID NOTA]],[2]!PAJAK[ID],0)),"&gt;") )</f>
        <v/>
      </c>
      <c r="D464" s="6" t="str">
        <f>IF(ATALI[[#This Row],[ID NOTA]]="","",INDEX(Table1[QB],MATCH(ATALI[[#This Row],[ID NOTA]],Table1[ID],0)))</f>
        <v/>
      </c>
      <c r="E4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4" s="6"/>
      <c r="G464" s="3" t="str">
        <f>IF(ATALI[[#This Row],[ID NOTA]]="","",INDEX([2]!NOTA[TGL_H],MATCH(ATALI[[#This Row],[ID NOTA]],[2]!NOTA[ID],0)))</f>
        <v/>
      </c>
      <c r="H464" s="3" t="str">
        <f>IF(ATALI[[#This Row],[ID NOTA]]="","",INDEX([2]!NOTA[TGL.NOTA],MATCH(ATALI[[#This Row],[ID NOTA]],[2]!NOTA[ID],0)))</f>
        <v/>
      </c>
      <c r="I464" s="4" t="str">
        <f>IF(ATALI[[#This Row],[ID NOTA]]="","",INDEX([2]!NOTA[NO.NOTA],MATCH(ATALI[[#This Row],[ID NOTA]],[2]!NOTA[ID],0)))</f>
        <v/>
      </c>
      <c r="J464" s="4" t="str">
        <f ca="1">IF(ATALI[[#This Row],[//]]="","",INDEX([4]!db[NB PAJAK],ATALI[[#This Row],[stt]]-1))</f>
        <v/>
      </c>
      <c r="K464" s="6" t="str">
        <f ca="1">IF(ATALI[[#This Row],[//]]="","",IF(INDEX([2]!NOTA[C],ATALI[[#This Row],[//]]-2)="","",INDEX([2]!NOTA[C],ATALI[[#This Row],[//]]-2)))</f>
        <v/>
      </c>
      <c r="L464" s="6" t="str">
        <f ca="1">IF(ATALI[[#This Row],[//]]="","",INDEX([2]!NOTA[QTY],ATALI[[#This Row],[//]]-2))</f>
        <v/>
      </c>
      <c r="M464" s="6" t="str">
        <f ca="1">IF(ATALI[[#This Row],[//]]="","",INDEX([2]!NOTA[STN],ATALI[[#This Row],[//]]-2))</f>
        <v/>
      </c>
      <c r="N464" s="5" t="str">
        <f ca="1">IF(ATALI[[#This Row],[//]]="","",INDEX([2]!NOTA[HARGA SATUAN],ATALI[[#This Row],[//]]-2))</f>
        <v/>
      </c>
      <c r="O464" s="7" t="str">
        <f ca="1">IF(ATALI[[#This Row],[//]]="","",INDEX([2]!NOTA[DISC 1],ATALI[[#This Row],[//]]-2))</f>
        <v/>
      </c>
      <c r="P464" s="7" t="str">
        <f ca="1">IF(ATALI[[#This Row],[//]]="","",INDEX([2]!NOTA[DISC 2],ATALI[[#This Row],[//]]-2))</f>
        <v/>
      </c>
      <c r="Q464" s="5" t="str">
        <f ca="1">IF(ATALI[[#This Row],[//]]="","",INDEX([2]!NOTA[TOTAL],ATALI[[#This Row],[//]]-2))</f>
        <v/>
      </c>
      <c r="R4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4" s="4" t="str">
        <f ca="1">IF(ATALI[[#This Row],[//]]="","",INDEX([2]!NOTA[NAMA BARANG],ATALI[[#This Row],[//]]-2))</f>
        <v/>
      </c>
      <c r="V464" s="4" t="str">
        <f ca="1">LOWER(SUBSTITUTE(SUBSTITUTE(SUBSTITUTE(SUBSTITUTE(SUBSTITUTE(SUBSTITUTE(SUBSTITUTE(ATALI[[#This Row],[N.B.nota]]," ",""),"-",""),"(",""),")",""),".",""),",",""),"/",""))</f>
        <v/>
      </c>
      <c r="W464" s="4" t="str">
        <f ca="1">IF(ATALI[[#This Row],[concat]]="","",MATCH(ATALI[[#This Row],[concat]],[4]!db[NB NOTA_C],0)+1)</f>
        <v/>
      </c>
      <c r="X464" s="4" t="str">
        <f ca="1">IF(ATALI[[#This Row],[N.B.nota]]="","",ADDRESS(ROW(ATALI[QB]),COLUMN(ATALI[QB]))&amp;":"&amp;ADDRESS(ROW(),COLUMN(ATALI[QB])))</f>
        <v/>
      </c>
      <c r="Y464" s="13" t="str">
        <f ca="1">IF(ATALI[[#This Row],[//]]="","",HYPERLINK("[../DB.xlsx]DB!e"&amp;MATCH(ATALI[[#This Row],[concat]],[4]!db[NB NOTA_C],0)+1,"&gt;"))</f>
        <v/>
      </c>
    </row>
    <row r="465" spans="1:25" x14ac:dyDescent="0.25">
      <c r="A465" s="4"/>
      <c r="B465" s="6" t="str">
        <f>IF(ATALI[[#This Row],[N_ID]]="","",INDEX(Table1[ID],MATCH(ATALI[[#This Row],[N_ID]],Table1[N_ID],0)))</f>
        <v/>
      </c>
      <c r="C465" s="6" t="str">
        <f>IF(ATALI[[#This Row],[ID NOTA]]="","",HYPERLINK("[NOTA_.xlsx]NOTA!e"&amp;INDEX([2]!PAJAK[//],MATCH(ATALI[[#This Row],[ID NOTA]],[2]!PAJAK[ID],0)),"&gt;") )</f>
        <v/>
      </c>
      <c r="D465" s="6" t="str">
        <f>IF(ATALI[[#This Row],[ID NOTA]]="","",INDEX(Table1[QB],MATCH(ATALI[[#This Row],[ID NOTA]],Table1[ID],0)))</f>
        <v/>
      </c>
      <c r="E4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5" s="6"/>
      <c r="G465" s="3" t="str">
        <f>IF(ATALI[[#This Row],[ID NOTA]]="","",INDEX([2]!NOTA[TGL_H],MATCH(ATALI[[#This Row],[ID NOTA]],[2]!NOTA[ID],0)))</f>
        <v/>
      </c>
      <c r="H465" s="3" t="str">
        <f>IF(ATALI[[#This Row],[ID NOTA]]="","",INDEX([2]!NOTA[TGL.NOTA],MATCH(ATALI[[#This Row],[ID NOTA]],[2]!NOTA[ID],0)))</f>
        <v/>
      </c>
      <c r="I465" s="4" t="str">
        <f>IF(ATALI[[#This Row],[ID NOTA]]="","",INDEX([2]!NOTA[NO.NOTA],MATCH(ATALI[[#This Row],[ID NOTA]],[2]!NOTA[ID],0)))</f>
        <v/>
      </c>
      <c r="J465" s="4" t="str">
        <f ca="1">IF(ATALI[[#This Row],[//]]="","",INDEX([4]!db[NB PAJAK],ATALI[[#This Row],[stt]]-1))</f>
        <v/>
      </c>
      <c r="K465" s="6" t="str">
        <f ca="1">IF(ATALI[[#This Row],[//]]="","",IF(INDEX([2]!NOTA[C],ATALI[[#This Row],[//]]-2)="","",INDEX([2]!NOTA[C],ATALI[[#This Row],[//]]-2)))</f>
        <v/>
      </c>
      <c r="L465" s="6" t="str">
        <f ca="1">IF(ATALI[[#This Row],[//]]="","",INDEX([2]!NOTA[QTY],ATALI[[#This Row],[//]]-2))</f>
        <v/>
      </c>
      <c r="M465" s="6" t="str">
        <f ca="1">IF(ATALI[[#This Row],[//]]="","",INDEX([2]!NOTA[STN],ATALI[[#This Row],[//]]-2))</f>
        <v/>
      </c>
      <c r="N465" s="5" t="str">
        <f ca="1">IF(ATALI[[#This Row],[//]]="","",INDEX([2]!NOTA[HARGA SATUAN],ATALI[[#This Row],[//]]-2))</f>
        <v/>
      </c>
      <c r="O465" s="7" t="str">
        <f ca="1">IF(ATALI[[#This Row],[//]]="","",INDEX([2]!NOTA[DISC 1],ATALI[[#This Row],[//]]-2))</f>
        <v/>
      </c>
      <c r="P465" s="7" t="str">
        <f ca="1">IF(ATALI[[#This Row],[//]]="","",INDEX([2]!NOTA[DISC 2],ATALI[[#This Row],[//]]-2))</f>
        <v/>
      </c>
      <c r="Q465" s="5" t="str">
        <f ca="1">IF(ATALI[[#This Row],[//]]="","",INDEX([2]!NOTA[TOTAL],ATALI[[#This Row],[//]]-2))</f>
        <v/>
      </c>
      <c r="R4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5" s="4" t="str">
        <f ca="1">IF(ATALI[[#This Row],[//]]="","",INDEX([2]!NOTA[NAMA BARANG],ATALI[[#This Row],[//]]-2))</f>
        <v/>
      </c>
      <c r="V465" s="4" t="str">
        <f ca="1">LOWER(SUBSTITUTE(SUBSTITUTE(SUBSTITUTE(SUBSTITUTE(SUBSTITUTE(SUBSTITUTE(SUBSTITUTE(ATALI[[#This Row],[N.B.nota]]," ",""),"-",""),"(",""),")",""),".",""),",",""),"/",""))</f>
        <v/>
      </c>
      <c r="W465" s="4" t="str">
        <f ca="1">IF(ATALI[[#This Row],[concat]]="","",MATCH(ATALI[[#This Row],[concat]],[4]!db[NB NOTA_C],0)+1)</f>
        <v/>
      </c>
      <c r="X465" s="4" t="str">
        <f ca="1">IF(ATALI[[#This Row],[N.B.nota]]="","",ADDRESS(ROW(ATALI[QB]),COLUMN(ATALI[QB]))&amp;":"&amp;ADDRESS(ROW(),COLUMN(ATALI[QB])))</f>
        <v/>
      </c>
      <c r="Y465" s="13" t="str">
        <f ca="1">IF(ATALI[[#This Row],[//]]="","",HYPERLINK("[../DB.xlsx]DB!e"&amp;MATCH(ATALI[[#This Row],[concat]],[4]!db[NB NOTA_C],0)+1,"&gt;"))</f>
        <v/>
      </c>
    </row>
    <row r="466" spans="1:25" x14ac:dyDescent="0.25">
      <c r="A466" s="4"/>
      <c r="B466" s="6" t="str">
        <f>IF(ATALI[[#This Row],[N_ID]]="","",INDEX(Table1[ID],MATCH(ATALI[[#This Row],[N_ID]],Table1[N_ID],0)))</f>
        <v/>
      </c>
      <c r="C466" s="6" t="str">
        <f>IF(ATALI[[#This Row],[ID NOTA]]="","",HYPERLINK("[NOTA_.xlsx]NOTA!e"&amp;INDEX([2]!PAJAK[//],MATCH(ATALI[[#This Row],[ID NOTA]],[2]!PAJAK[ID],0)),"&gt;") )</f>
        <v/>
      </c>
      <c r="D466" s="6" t="str">
        <f>IF(ATALI[[#This Row],[ID NOTA]]="","",INDEX(Table1[QB],MATCH(ATALI[[#This Row],[ID NOTA]],Table1[ID],0)))</f>
        <v/>
      </c>
      <c r="E4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6" s="6"/>
      <c r="G466" s="3" t="str">
        <f>IF(ATALI[[#This Row],[ID NOTA]]="","",INDEX([2]!NOTA[TGL_H],MATCH(ATALI[[#This Row],[ID NOTA]],[2]!NOTA[ID],0)))</f>
        <v/>
      </c>
      <c r="H466" s="3" t="str">
        <f>IF(ATALI[[#This Row],[ID NOTA]]="","",INDEX([2]!NOTA[TGL.NOTA],MATCH(ATALI[[#This Row],[ID NOTA]],[2]!NOTA[ID],0)))</f>
        <v/>
      </c>
      <c r="I466" s="4" t="str">
        <f>IF(ATALI[[#This Row],[ID NOTA]]="","",INDEX([2]!NOTA[NO.NOTA],MATCH(ATALI[[#This Row],[ID NOTA]],[2]!NOTA[ID],0)))</f>
        <v/>
      </c>
      <c r="J466" s="4" t="str">
        <f ca="1">IF(ATALI[[#This Row],[//]]="","",INDEX([4]!db[NB PAJAK],ATALI[[#This Row],[stt]]-1))</f>
        <v/>
      </c>
      <c r="K466" s="6" t="str">
        <f ca="1">IF(ATALI[[#This Row],[//]]="","",IF(INDEX([2]!NOTA[C],ATALI[[#This Row],[//]]-2)="","",INDEX([2]!NOTA[C],ATALI[[#This Row],[//]]-2)))</f>
        <v/>
      </c>
      <c r="L466" s="6" t="str">
        <f ca="1">IF(ATALI[[#This Row],[//]]="","",INDEX([2]!NOTA[QTY],ATALI[[#This Row],[//]]-2))</f>
        <v/>
      </c>
      <c r="M466" s="6" t="str">
        <f ca="1">IF(ATALI[[#This Row],[//]]="","",INDEX([2]!NOTA[STN],ATALI[[#This Row],[//]]-2))</f>
        <v/>
      </c>
      <c r="N466" s="5" t="str">
        <f ca="1">IF(ATALI[[#This Row],[//]]="","",INDEX([2]!NOTA[HARGA SATUAN],ATALI[[#This Row],[//]]-2))</f>
        <v/>
      </c>
      <c r="O466" s="7" t="str">
        <f ca="1">IF(ATALI[[#This Row],[//]]="","",INDEX([2]!NOTA[DISC 1],ATALI[[#This Row],[//]]-2))</f>
        <v/>
      </c>
      <c r="P466" s="7" t="str">
        <f ca="1">IF(ATALI[[#This Row],[//]]="","",INDEX([2]!NOTA[DISC 2],ATALI[[#This Row],[//]]-2))</f>
        <v/>
      </c>
      <c r="Q466" s="5" t="str">
        <f ca="1">IF(ATALI[[#This Row],[//]]="","",INDEX([2]!NOTA[TOTAL],ATALI[[#This Row],[//]]-2))</f>
        <v/>
      </c>
      <c r="R4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6" s="4" t="str">
        <f ca="1">IF(ATALI[[#This Row],[//]]="","",INDEX([2]!NOTA[NAMA BARANG],ATALI[[#This Row],[//]]-2))</f>
        <v/>
      </c>
      <c r="V466" s="4" t="str">
        <f ca="1">LOWER(SUBSTITUTE(SUBSTITUTE(SUBSTITUTE(SUBSTITUTE(SUBSTITUTE(SUBSTITUTE(SUBSTITUTE(ATALI[[#This Row],[N.B.nota]]," ",""),"-",""),"(",""),")",""),".",""),",",""),"/",""))</f>
        <v/>
      </c>
      <c r="W466" s="4" t="str">
        <f ca="1">IF(ATALI[[#This Row],[concat]]="","",MATCH(ATALI[[#This Row],[concat]],[4]!db[NB NOTA_C],0)+1)</f>
        <v/>
      </c>
      <c r="X466" s="4" t="str">
        <f ca="1">IF(ATALI[[#This Row],[N.B.nota]]="","",ADDRESS(ROW(ATALI[QB]),COLUMN(ATALI[QB]))&amp;":"&amp;ADDRESS(ROW(),COLUMN(ATALI[QB])))</f>
        <v/>
      </c>
      <c r="Y466" s="13" t="str">
        <f ca="1">IF(ATALI[[#This Row],[//]]="","",HYPERLINK("[../DB.xlsx]DB!e"&amp;MATCH(ATALI[[#This Row],[concat]],[4]!db[NB NOTA_C],0)+1,"&gt;"))</f>
        <v/>
      </c>
    </row>
    <row r="467" spans="1:25" x14ac:dyDescent="0.25">
      <c r="A467" s="4"/>
      <c r="B467" s="6" t="str">
        <f>IF(ATALI[[#This Row],[N_ID]]="","",INDEX(Table1[ID],MATCH(ATALI[[#This Row],[N_ID]],Table1[N_ID],0)))</f>
        <v/>
      </c>
      <c r="C467" s="6" t="str">
        <f>IF(ATALI[[#This Row],[ID NOTA]]="","",HYPERLINK("[NOTA_.xlsx]NOTA!e"&amp;INDEX([2]!PAJAK[//],MATCH(ATALI[[#This Row],[ID NOTA]],[2]!PAJAK[ID],0)),"&gt;") )</f>
        <v/>
      </c>
      <c r="D467" s="6" t="str">
        <f>IF(ATALI[[#This Row],[ID NOTA]]="","",INDEX(Table1[QB],MATCH(ATALI[[#This Row],[ID NOTA]],Table1[ID],0)))</f>
        <v/>
      </c>
      <c r="E4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7" s="6"/>
      <c r="G467" s="3" t="str">
        <f>IF(ATALI[[#This Row],[ID NOTA]]="","",INDEX([2]!NOTA[TGL_H],MATCH(ATALI[[#This Row],[ID NOTA]],[2]!NOTA[ID],0)))</f>
        <v/>
      </c>
      <c r="H467" s="3" t="str">
        <f>IF(ATALI[[#This Row],[ID NOTA]]="","",INDEX([2]!NOTA[TGL.NOTA],MATCH(ATALI[[#This Row],[ID NOTA]],[2]!NOTA[ID],0)))</f>
        <v/>
      </c>
      <c r="I467" s="4" t="str">
        <f>IF(ATALI[[#This Row],[ID NOTA]]="","",INDEX([2]!NOTA[NO.NOTA],MATCH(ATALI[[#This Row],[ID NOTA]],[2]!NOTA[ID],0)))</f>
        <v/>
      </c>
      <c r="J467" s="4" t="str">
        <f ca="1">IF(ATALI[[#This Row],[//]]="","",INDEX([4]!db[NB PAJAK],ATALI[[#This Row],[stt]]-1))</f>
        <v/>
      </c>
      <c r="K467" s="6" t="str">
        <f ca="1">IF(ATALI[[#This Row],[//]]="","",IF(INDEX([2]!NOTA[C],ATALI[[#This Row],[//]]-2)="","",INDEX([2]!NOTA[C],ATALI[[#This Row],[//]]-2)))</f>
        <v/>
      </c>
      <c r="L467" s="6" t="str">
        <f ca="1">IF(ATALI[[#This Row],[//]]="","",INDEX([2]!NOTA[QTY],ATALI[[#This Row],[//]]-2))</f>
        <v/>
      </c>
      <c r="M467" s="6" t="str">
        <f ca="1">IF(ATALI[[#This Row],[//]]="","",INDEX([2]!NOTA[STN],ATALI[[#This Row],[//]]-2))</f>
        <v/>
      </c>
      <c r="N467" s="5" t="str">
        <f ca="1">IF(ATALI[[#This Row],[//]]="","",INDEX([2]!NOTA[HARGA SATUAN],ATALI[[#This Row],[//]]-2))</f>
        <v/>
      </c>
      <c r="O467" s="7" t="str">
        <f ca="1">IF(ATALI[[#This Row],[//]]="","",INDEX([2]!NOTA[DISC 1],ATALI[[#This Row],[//]]-2))</f>
        <v/>
      </c>
      <c r="P467" s="7" t="str">
        <f ca="1">IF(ATALI[[#This Row],[//]]="","",INDEX([2]!NOTA[DISC 2],ATALI[[#This Row],[//]]-2))</f>
        <v/>
      </c>
      <c r="Q467" s="5" t="str">
        <f ca="1">IF(ATALI[[#This Row],[//]]="","",INDEX([2]!NOTA[TOTAL],ATALI[[#This Row],[//]]-2))</f>
        <v/>
      </c>
      <c r="R4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7" s="4" t="str">
        <f ca="1">IF(ATALI[[#This Row],[//]]="","",INDEX([2]!NOTA[NAMA BARANG],ATALI[[#This Row],[//]]-2))</f>
        <v/>
      </c>
      <c r="V467" s="4" t="str">
        <f ca="1">LOWER(SUBSTITUTE(SUBSTITUTE(SUBSTITUTE(SUBSTITUTE(SUBSTITUTE(SUBSTITUTE(SUBSTITUTE(ATALI[[#This Row],[N.B.nota]]," ",""),"-",""),"(",""),")",""),".",""),",",""),"/",""))</f>
        <v/>
      </c>
      <c r="W467" s="4" t="str">
        <f ca="1">IF(ATALI[[#This Row],[concat]]="","",MATCH(ATALI[[#This Row],[concat]],[4]!db[NB NOTA_C],0)+1)</f>
        <v/>
      </c>
      <c r="X467" s="4" t="str">
        <f ca="1">IF(ATALI[[#This Row],[N.B.nota]]="","",ADDRESS(ROW(ATALI[QB]),COLUMN(ATALI[QB]))&amp;":"&amp;ADDRESS(ROW(),COLUMN(ATALI[QB])))</f>
        <v/>
      </c>
      <c r="Y467" s="13" t="str">
        <f ca="1">IF(ATALI[[#This Row],[//]]="","",HYPERLINK("[../DB.xlsx]DB!e"&amp;MATCH(ATALI[[#This Row],[concat]],[4]!db[NB NOTA_C],0)+1,"&gt;"))</f>
        <v/>
      </c>
    </row>
    <row r="468" spans="1:25" x14ac:dyDescent="0.25">
      <c r="A468" s="4"/>
      <c r="B468" s="6" t="str">
        <f>IF(ATALI[[#This Row],[N_ID]]="","",INDEX(Table1[ID],MATCH(ATALI[[#This Row],[N_ID]],Table1[N_ID],0)))</f>
        <v/>
      </c>
      <c r="C468" s="6" t="str">
        <f>IF(ATALI[[#This Row],[ID NOTA]]="","",HYPERLINK("[NOTA_.xlsx]NOTA!e"&amp;INDEX([2]!PAJAK[//],MATCH(ATALI[[#This Row],[ID NOTA]],[2]!PAJAK[ID],0)),"&gt;") )</f>
        <v/>
      </c>
      <c r="D468" s="6" t="str">
        <f>IF(ATALI[[#This Row],[ID NOTA]]="","",INDEX(Table1[QB],MATCH(ATALI[[#This Row],[ID NOTA]],Table1[ID],0)))</f>
        <v/>
      </c>
      <c r="E4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8" s="6"/>
      <c r="G468" s="3" t="str">
        <f>IF(ATALI[[#This Row],[ID NOTA]]="","",INDEX([2]!NOTA[TGL_H],MATCH(ATALI[[#This Row],[ID NOTA]],[2]!NOTA[ID],0)))</f>
        <v/>
      </c>
      <c r="H468" s="3" t="str">
        <f>IF(ATALI[[#This Row],[ID NOTA]]="","",INDEX([2]!NOTA[TGL.NOTA],MATCH(ATALI[[#This Row],[ID NOTA]],[2]!NOTA[ID],0)))</f>
        <v/>
      </c>
      <c r="I468" s="4" t="str">
        <f>IF(ATALI[[#This Row],[ID NOTA]]="","",INDEX([2]!NOTA[NO.NOTA],MATCH(ATALI[[#This Row],[ID NOTA]],[2]!NOTA[ID],0)))</f>
        <v/>
      </c>
      <c r="J468" s="4" t="str">
        <f ca="1">IF(ATALI[[#This Row],[//]]="","",INDEX([4]!db[NB PAJAK],ATALI[[#This Row],[stt]]-1))</f>
        <v/>
      </c>
      <c r="K468" s="6" t="str">
        <f ca="1">IF(ATALI[[#This Row],[//]]="","",IF(INDEX([2]!NOTA[C],ATALI[[#This Row],[//]]-2)="","",INDEX([2]!NOTA[C],ATALI[[#This Row],[//]]-2)))</f>
        <v/>
      </c>
      <c r="L468" s="6" t="str">
        <f ca="1">IF(ATALI[[#This Row],[//]]="","",INDEX([2]!NOTA[QTY],ATALI[[#This Row],[//]]-2))</f>
        <v/>
      </c>
      <c r="M468" s="6" t="str">
        <f ca="1">IF(ATALI[[#This Row],[//]]="","",INDEX([2]!NOTA[STN],ATALI[[#This Row],[//]]-2))</f>
        <v/>
      </c>
      <c r="N468" s="5" t="str">
        <f ca="1">IF(ATALI[[#This Row],[//]]="","",INDEX([2]!NOTA[HARGA SATUAN],ATALI[[#This Row],[//]]-2))</f>
        <v/>
      </c>
      <c r="O468" s="7" t="str">
        <f ca="1">IF(ATALI[[#This Row],[//]]="","",INDEX([2]!NOTA[DISC 1],ATALI[[#This Row],[//]]-2))</f>
        <v/>
      </c>
      <c r="P468" s="7" t="str">
        <f ca="1">IF(ATALI[[#This Row],[//]]="","",INDEX([2]!NOTA[DISC 2],ATALI[[#This Row],[//]]-2))</f>
        <v/>
      </c>
      <c r="Q468" s="5" t="str">
        <f ca="1">IF(ATALI[[#This Row],[//]]="","",INDEX([2]!NOTA[TOTAL],ATALI[[#This Row],[//]]-2))</f>
        <v/>
      </c>
      <c r="R4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8" s="4" t="str">
        <f ca="1">IF(ATALI[[#This Row],[//]]="","",INDEX([2]!NOTA[NAMA BARANG],ATALI[[#This Row],[//]]-2))</f>
        <v/>
      </c>
      <c r="V468" s="4" t="str">
        <f ca="1">LOWER(SUBSTITUTE(SUBSTITUTE(SUBSTITUTE(SUBSTITUTE(SUBSTITUTE(SUBSTITUTE(SUBSTITUTE(ATALI[[#This Row],[N.B.nota]]," ",""),"-",""),"(",""),")",""),".",""),",",""),"/",""))</f>
        <v/>
      </c>
      <c r="W468" s="4" t="str">
        <f ca="1">IF(ATALI[[#This Row],[concat]]="","",MATCH(ATALI[[#This Row],[concat]],[4]!db[NB NOTA_C],0)+1)</f>
        <v/>
      </c>
      <c r="X468" s="4" t="str">
        <f ca="1">IF(ATALI[[#This Row],[N.B.nota]]="","",ADDRESS(ROW(ATALI[QB]),COLUMN(ATALI[QB]))&amp;":"&amp;ADDRESS(ROW(),COLUMN(ATALI[QB])))</f>
        <v/>
      </c>
      <c r="Y468" s="13" t="str">
        <f ca="1">IF(ATALI[[#This Row],[//]]="","",HYPERLINK("[../DB.xlsx]DB!e"&amp;MATCH(ATALI[[#This Row],[concat]],[4]!db[NB NOTA_C],0)+1,"&gt;"))</f>
        <v/>
      </c>
    </row>
    <row r="469" spans="1:25" x14ac:dyDescent="0.25">
      <c r="A469" s="4"/>
      <c r="B469" s="6" t="str">
        <f>IF(ATALI[[#This Row],[N_ID]]="","",INDEX(Table1[ID],MATCH(ATALI[[#This Row],[N_ID]],Table1[N_ID],0)))</f>
        <v/>
      </c>
      <c r="C469" s="6" t="str">
        <f>IF(ATALI[[#This Row],[ID NOTA]]="","",HYPERLINK("[NOTA_.xlsx]NOTA!e"&amp;INDEX([2]!PAJAK[//],MATCH(ATALI[[#This Row],[ID NOTA]],[2]!PAJAK[ID],0)),"&gt;") )</f>
        <v/>
      </c>
      <c r="D469" s="6" t="str">
        <f>IF(ATALI[[#This Row],[ID NOTA]]="","",INDEX(Table1[QB],MATCH(ATALI[[#This Row],[ID NOTA]],Table1[ID],0)))</f>
        <v/>
      </c>
      <c r="E4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9" s="6"/>
      <c r="G469" s="3" t="str">
        <f>IF(ATALI[[#This Row],[ID NOTA]]="","",INDEX([2]!NOTA[TGL_H],MATCH(ATALI[[#This Row],[ID NOTA]],[2]!NOTA[ID],0)))</f>
        <v/>
      </c>
      <c r="H469" s="3" t="str">
        <f>IF(ATALI[[#This Row],[ID NOTA]]="","",INDEX([2]!NOTA[TGL.NOTA],MATCH(ATALI[[#This Row],[ID NOTA]],[2]!NOTA[ID],0)))</f>
        <v/>
      </c>
      <c r="I469" s="4" t="str">
        <f>IF(ATALI[[#This Row],[ID NOTA]]="","",INDEX([2]!NOTA[NO.NOTA],MATCH(ATALI[[#This Row],[ID NOTA]],[2]!NOTA[ID],0)))</f>
        <v/>
      </c>
      <c r="J469" s="4" t="str">
        <f ca="1">IF(ATALI[[#This Row],[//]]="","",INDEX([4]!db[NB PAJAK],ATALI[[#This Row],[stt]]-1))</f>
        <v/>
      </c>
      <c r="K469" s="6" t="str">
        <f ca="1">IF(ATALI[[#This Row],[//]]="","",IF(INDEX([2]!NOTA[C],ATALI[[#This Row],[//]]-2)="","",INDEX([2]!NOTA[C],ATALI[[#This Row],[//]]-2)))</f>
        <v/>
      </c>
      <c r="L469" s="6" t="str">
        <f ca="1">IF(ATALI[[#This Row],[//]]="","",INDEX([2]!NOTA[QTY],ATALI[[#This Row],[//]]-2))</f>
        <v/>
      </c>
      <c r="M469" s="6" t="str">
        <f ca="1">IF(ATALI[[#This Row],[//]]="","",INDEX([2]!NOTA[STN],ATALI[[#This Row],[//]]-2))</f>
        <v/>
      </c>
      <c r="N469" s="5" t="str">
        <f ca="1">IF(ATALI[[#This Row],[//]]="","",INDEX([2]!NOTA[HARGA SATUAN],ATALI[[#This Row],[//]]-2))</f>
        <v/>
      </c>
      <c r="O469" s="7" t="str">
        <f ca="1">IF(ATALI[[#This Row],[//]]="","",INDEX([2]!NOTA[DISC 1],ATALI[[#This Row],[//]]-2))</f>
        <v/>
      </c>
      <c r="P469" s="7" t="str">
        <f ca="1">IF(ATALI[[#This Row],[//]]="","",INDEX([2]!NOTA[DISC 2],ATALI[[#This Row],[//]]-2))</f>
        <v/>
      </c>
      <c r="Q469" s="5" t="str">
        <f ca="1">IF(ATALI[[#This Row],[//]]="","",INDEX([2]!NOTA[TOTAL],ATALI[[#This Row],[//]]-2))</f>
        <v/>
      </c>
      <c r="R4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9" s="4" t="str">
        <f ca="1">IF(ATALI[[#This Row],[//]]="","",INDEX([2]!NOTA[NAMA BARANG],ATALI[[#This Row],[//]]-2))</f>
        <v/>
      </c>
      <c r="V469" s="4" t="str">
        <f ca="1">LOWER(SUBSTITUTE(SUBSTITUTE(SUBSTITUTE(SUBSTITUTE(SUBSTITUTE(SUBSTITUTE(SUBSTITUTE(ATALI[[#This Row],[N.B.nota]]," ",""),"-",""),"(",""),")",""),".",""),",",""),"/",""))</f>
        <v/>
      </c>
      <c r="W469" s="4" t="str">
        <f ca="1">IF(ATALI[[#This Row],[concat]]="","",MATCH(ATALI[[#This Row],[concat]],[4]!db[NB NOTA_C],0)+1)</f>
        <v/>
      </c>
      <c r="X469" s="4" t="str">
        <f ca="1">IF(ATALI[[#This Row],[N.B.nota]]="","",ADDRESS(ROW(ATALI[QB]),COLUMN(ATALI[QB]))&amp;":"&amp;ADDRESS(ROW(),COLUMN(ATALI[QB])))</f>
        <v/>
      </c>
      <c r="Y469" s="13" t="str">
        <f ca="1">IF(ATALI[[#This Row],[//]]="","",HYPERLINK("[../DB.xlsx]DB!e"&amp;MATCH(ATALI[[#This Row],[concat]],[4]!db[NB NOTA_C],0)+1,"&gt;"))</f>
        <v/>
      </c>
    </row>
    <row r="470" spans="1:25" x14ac:dyDescent="0.25">
      <c r="A470" s="4"/>
      <c r="B470" s="6" t="str">
        <f>IF(ATALI[[#This Row],[N_ID]]="","",INDEX(Table1[ID],MATCH(ATALI[[#This Row],[N_ID]],Table1[N_ID],0)))</f>
        <v/>
      </c>
      <c r="C470" s="6" t="str">
        <f>IF(ATALI[[#This Row],[ID NOTA]]="","",HYPERLINK("[NOTA_.xlsx]NOTA!e"&amp;INDEX([2]!PAJAK[//],MATCH(ATALI[[#This Row],[ID NOTA]],[2]!PAJAK[ID],0)),"&gt;") )</f>
        <v/>
      </c>
      <c r="D470" s="6" t="str">
        <f>IF(ATALI[[#This Row],[ID NOTA]]="","",INDEX(Table1[QB],MATCH(ATALI[[#This Row],[ID NOTA]],Table1[ID],0)))</f>
        <v/>
      </c>
      <c r="E4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0" s="6"/>
      <c r="G470" s="3" t="str">
        <f>IF(ATALI[[#This Row],[ID NOTA]]="","",INDEX([2]!NOTA[TGL_H],MATCH(ATALI[[#This Row],[ID NOTA]],[2]!NOTA[ID],0)))</f>
        <v/>
      </c>
      <c r="H470" s="3" t="str">
        <f>IF(ATALI[[#This Row],[ID NOTA]]="","",INDEX([2]!NOTA[TGL.NOTA],MATCH(ATALI[[#This Row],[ID NOTA]],[2]!NOTA[ID],0)))</f>
        <v/>
      </c>
      <c r="I470" s="4" t="str">
        <f>IF(ATALI[[#This Row],[ID NOTA]]="","",INDEX([2]!NOTA[NO.NOTA],MATCH(ATALI[[#This Row],[ID NOTA]],[2]!NOTA[ID],0)))</f>
        <v/>
      </c>
      <c r="J470" s="4" t="str">
        <f ca="1">IF(ATALI[[#This Row],[//]]="","",INDEX([4]!db[NB PAJAK],ATALI[[#This Row],[stt]]-1))</f>
        <v/>
      </c>
      <c r="K470" s="6" t="str">
        <f ca="1">IF(ATALI[[#This Row],[//]]="","",IF(INDEX([2]!NOTA[C],ATALI[[#This Row],[//]]-2)="","",INDEX([2]!NOTA[C],ATALI[[#This Row],[//]]-2)))</f>
        <v/>
      </c>
      <c r="L470" s="6" t="str">
        <f ca="1">IF(ATALI[[#This Row],[//]]="","",INDEX([2]!NOTA[QTY],ATALI[[#This Row],[//]]-2))</f>
        <v/>
      </c>
      <c r="M470" s="6" t="str">
        <f ca="1">IF(ATALI[[#This Row],[//]]="","",INDEX([2]!NOTA[STN],ATALI[[#This Row],[//]]-2))</f>
        <v/>
      </c>
      <c r="N470" s="5" t="str">
        <f ca="1">IF(ATALI[[#This Row],[//]]="","",INDEX([2]!NOTA[HARGA SATUAN],ATALI[[#This Row],[//]]-2))</f>
        <v/>
      </c>
      <c r="O470" s="7" t="str">
        <f ca="1">IF(ATALI[[#This Row],[//]]="","",INDEX([2]!NOTA[DISC 1],ATALI[[#This Row],[//]]-2))</f>
        <v/>
      </c>
      <c r="P470" s="7" t="str">
        <f ca="1">IF(ATALI[[#This Row],[//]]="","",INDEX([2]!NOTA[DISC 2],ATALI[[#This Row],[//]]-2))</f>
        <v/>
      </c>
      <c r="Q470" s="5" t="str">
        <f ca="1">IF(ATALI[[#This Row],[//]]="","",INDEX([2]!NOTA[TOTAL],ATALI[[#This Row],[//]]-2))</f>
        <v/>
      </c>
      <c r="R4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0" s="4" t="str">
        <f ca="1">IF(ATALI[[#This Row],[//]]="","",INDEX([2]!NOTA[NAMA BARANG],ATALI[[#This Row],[//]]-2))</f>
        <v/>
      </c>
      <c r="V470" s="4" t="str">
        <f ca="1">LOWER(SUBSTITUTE(SUBSTITUTE(SUBSTITUTE(SUBSTITUTE(SUBSTITUTE(SUBSTITUTE(SUBSTITUTE(ATALI[[#This Row],[N.B.nota]]," ",""),"-",""),"(",""),")",""),".",""),",",""),"/",""))</f>
        <v/>
      </c>
      <c r="W470" s="4" t="str">
        <f ca="1">IF(ATALI[[#This Row],[concat]]="","",MATCH(ATALI[[#This Row],[concat]],[4]!db[NB NOTA_C],0)+1)</f>
        <v/>
      </c>
      <c r="X470" s="4" t="str">
        <f ca="1">IF(ATALI[[#This Row],[N.B.nota]]="","",ADDRESS(ROW(ATALI[QB]),COLUMN(ATALI[QB]))&amp;":"&amp;ADDRESS(ROW(),COLUMN(ATALI[QB])))</f>
        <v/>
      </c>
      <c r="Y470" s="13" t="str">
        <f ca="1">IF(ATALI[[#This Row],[//]]="","",HYPERLINK("[../DB.xlsx]DB!e"&amp;MATCH(ATALI[[#This Row],[concat]],[4]!db[NB NOTA_C],0)+1,"&gt;"))</f>
        <v/>
      </c>
    </row>
    <row r="471" spans="1:25" x14ac:dyDescent="0.25">
      <c r="A471" s="4"/>
      <c r="B471" s="6" t="str">
        <f>IF(ATALI[[#This Row],[N_ID]]="","",INDEX(Table1[ID],MATCH(ATALI[[#This Row],[N_ID]],Table1[N_ID],0)))</f>
        <v/>
      </c>
      <c r="C471" s="6" t="str">
        <f>IF(ATALI[[#This Row],[ID NOTA]]="","",HYPERLINK("[NOTA_.xlsx]NOTA!e"&amp;INDEX([2]!PAJAK[//],MATCH(ATALI[[#This Row],[ID NOTA]],[2]!PAJAK[ID],0)),"&gt;") )</f>
        <v/>
      </c>
      <c r="D471" s="6" t="str">
        <f>IF(ATALI[[#This Row],[ID NOTA]]="","",INDEX(Table1[QB],MATCH(ATALI[[#This Row],[ID NOTA]],Table1[ID],0)))</f>
        <v/>
      </c>
      <c r="E4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1" s="6"/>
      <c r="G471" s="3" t="str">
        <f>IF(ATALI[[#This Row],[ID NOTA]]="","",INDEX([2]!NOTA[TGL_H],MATCH(ATALI[[#This Row],[ID NOTA]],[2]!NOTA[ID],0)))</f>
        <v/>
      </c>
      <c r="H471" s="3" t="str">
        <f>IF(ATALI[[#This Row],[ID NOTA]]="","",INDEX([2]!NOTA[TGL.NOTA],MATCH(ATALI[[#This Row],[ID NOTA]],[2]!NOTA[ID],0)))</f>
        <v/>
      </c>
      <c r="I471" s="4" t="str">
        <f>IF(ATALI[[#This Row],[ID NOTA]]="","",INDEX([2]!NOTA[NO.NOTA],MATCH(ATALI[[#This Row],[ID NOTA]],[2]!NOTA[ID],0)))</f>
        <v/>
      </c>
      <c r="J471" s="4" t="str">
        <f ca="1">IF(ATALI[[#This Row],[//]]="","",INDEX([4]!db[NB PAJAK],ATALI[[#This Row],[stt]]-1))</f>
        <v/>
      </c>
      <c r="K471" s="6" t="str">
        <f ca="1">IF(ATALI[[#This Row],[//]]="","",IF(INDEX([2]!NOTA[C],ATALI[[#This Row],[//]]-2)="","",INDEX([2]!NOTA[C],ATALI[[#This Row],[//]]-2)))</f>
        <v/>
      </c>
      <c r="L471" s="6" t="str">
        <f ca="1">IF(ATALI[[#This Row],[//]]="","",INDEX([2]!NOTA[QTY],ATALI[[#This Row],[//]]-2))</f>
        <v/>
      </c>
      <c r="M471" s="6" t="str">
        <f ca="1">IF(ATALI[[#This Row],[//]]="","",INDEX([2]!NOTA[STN],ATALI[[#This Row],[//]]-2))</f>
        <v/>
      </c>
      <c r="N471" s="5" t="str">
        <f ca="1">IF(ATALI[[#This Row],[//]]="","",INDEX([2]!NOTA[HARGA SATUAN],ATALI[[#This Row],[//]]-2))</f>
        <v/>
      </c>
      <c r="O471" s="7" t="str">
        <f ca="1">IF(ATALI[[#This Row],[//]]="","",INDEX([2]!NOTA[DISC 1],ATALI[[#This Row],[//]]-2))</f>
        <v/>
      </c>
      <c r="P471" s="7" t="str">
        <f ca="1">IF(ATALI[[#This Row],[//]]="","",INDEX([2]!NOTA[DISC 2],ATALI[[#This Row],[//]]-2))</f>
        <v/>
      </c>
      <c r="Q471" s="5" t="str">
        <f ca="1">IF(ATALI[[#This Row],[//]]="","",INDEX([2]!NOTA[TOTAL],ATALI[[#This Row],[//]]-2))</f>
        <v/>
      </c>
      <c r="R4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1" s="4" t="str">
        <f ca="1">IF(ATALI[[#This Row],[//]]="","",INDEX([2]!NOTA[NAMA BARANG],ATALI[[#This Row],[//]]-2))</f>
        <v/>
      </c>
      <c r="V471" s="4" t="str">
        <f ca="1">LOWER(SUBSTITUTE(SUBSTITUTE(SUBSTITUTE(SUBSTITUTE(SUBSTITUTE(SUBSTITUTE(SUBSTITUTE(ATALI[[#This Row],[N.B.nota]]," ",""),"-",""),"(",""),")",""),".",""),",",""),"/",""))</f>
        <v/>
      </c>
      <c r="W471" s="4" t="str">
        <f ca="1">IF(ATALI[[#This Row],[concat]]="","",MATCH(ATALI[[#This Row],[concat]],[4]!db[NB NOTA_C],0)+1)</f>
        <v/>
      </c>
      <c r="X471" s="4" t="str">
        <f ca="1">IF(ATALI[[#This Row],[N.B.nota]]="","",ADDRESS(ROW(ATALI[QB]),COLUMN(ATALI[QB]))&amp;":"&amp;ADDRESS(ROW(),COLUMN(ATALI[QB])))</f>
        <v/>
      </c>
      <c r="Y471" s="13" t="str">
        <f ca="1">IF(ATALI[[#This Row],[//]]="","",HYPERLINK("[../DB.xlsx]DB!e"&amp;MATCH(ATALI[[#This Row],[concat]],[4]!db[NB NOTA_C],0)+1,"&gt;"))</f>
        <v/>
      </c>
    </row>
    <row r="472" spans="1:25" x14ac:dyDescent="0.25">
      <c r="A472" s="4"/>
      <c r="B472" s="6" t="str">
        <f>IF(ATALI[[#This Row],[N_ID]]="","",INDEX(Table1[ID],MATCH(ATALI[[#This Row],[N_ID]],Table1[N_ID],0)))</f>
        <v/>
      </c>
      <c r="C472" s="6" t="str">
        <f>IF(ATALI[[#This Row],[ID NOTA]]="","",HYPERLINK("[NOTA_.xlsx]NOTA!e"&amp;INDEX([2]!PAJAK[//],MATCH(ATALI[[#This Row],[ID NOTA]],[2]!PAJAK[ID],0)),"&gt;") )</f>
        <v/>
      </c>
      <c r="D472" s="6" t="str">
        <f>IF(ATALI[[#This Row],[ID NOTA]]="","",INDEX(Table1[QB],MATCH(ATALI[[#This Row],[ID NOTA]],Table1[ID],0)))</f>
        <v/>
      </c>
      <c r="E4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2" s="6"/>
      <c r="G472" s="3" t="str">
        <f>IF(ATALI[[#This Row],[ID NOTA]]="","",INDEX([2]!NOTA[TGL_H],MATCH(ATALI[[#This Row],[ID NOTA]],[2]!NOTA[ID],0)))</f>
        <v/>
      </c>
      <c r="H472" s="3" t="str">
        <f>IF(ATALI[[#This Row],[ID NOTA]]="","",INDEX([2]!NOTA[TGL.NOTA],MATCH(ATALI[[#This Row],[ID NOTA]],[2]!NOTA[ID],0)))</f>
        <v/>
      </c>
      <c r="I472" s="4" t="str">
        <f>IF(ATALI[[#This Row],[ID NOTA]]="","",INDEX([2]!NOTA[NO.NOTA],MATCH(ATALI[[#This Row],[ID NOTA]],[2]!NOTA[ID],0)))</f>
        <v/>
      </c>
      <c r="J472" s="4" t="str">
        <f ca="1">IF(ATALI[[#This Row],[//]]="","",INDEX([4]!db[NB PAJAK],ATALI[[#This Row],[stt]]-1))</f>
        <v/>
      </c>
      <c r="K472" s="6" t="str">
        <f ca="1">IF(ATALI[[#This Row],[//]]="","",IF(INDEX([2]!NOTA[C],ATALI[[#This Row],[//]]-2)="","",INDEX([2]!NOTA[C],ATALI[[#This Row],[//]]-2)))</f>
        <v/>
      </c>
      <c r="L472" s="6" t="str">
        <f ca="1">IF(ATALI[[#This Row],[//]]="","",INDEX([2]!NOTA[QTY],ATALI[[#This Row],[//]]-2))</f>
        <v/>
      </c>
      <c r="M472" s="6" t="str">
        <f ca="1">IF(ATALI[[#This Row],[//]]="","",INDEX([2]!NOTA[STN],ATALI[[#This Row],[//]]-2))</f>
        <v/>
      </c>
      <c r="N472" s="5" t="str">
        <f ca="1">IF(ATALI[[#This Row],[//]]="","",INDEX([2]!NOTA[HARGA SATUAN],ATALI[[#This Row],[//]]-2))</f>
        <v/>
      </c>
      <c r="O472" s="7" t="str">
        <f ca="1">IF(ATALI[[#This Row],[//]]="","",INDEX([2]!NOTA[DISC 1],ATALI[[#This Row],[//]]-2))</f>
        <v/>
      </c>
      <c r="P472" s="7" t="str">
        <f ca="1">IF(ATALI[[#This Row],[//]]="","",INDEX([2]!NOTA[DISC 2],ATALI[[#This Row],[//]]-2))</f>
        <v/>
      </c>
      <c r="Q472" s="5" t="str">
        <f ca="1">IF(ATALI[[#This Row],[//]]="","",INDEX([2]!NOTA[TOTAL],ATALI[[#This Row],[//]]-2))</f>
        <v/>
      </c>
      <c r="R4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2" s="4" t="str">
        <f ca="1">IF(ATALI[[#This Row],[//]]="","",INDEX([2]!NOTA[NAMA BARANG],ATALI[[#This Row],[//]]-2))</f>
        <v/>
      </c>
      <c r="V472" s="4" t="str">
        <f ca="1">LOWER(SUBSTITUTE(SUBSTITUTE(SUBSTITUTE(SUBSTITUTE(SUBSTITUTE(SUBSTITUTE(SUBSTITUTE(ATALI[[#This Row],[N.B.nota]]," ",""),"-",""),"(",""),")",""),".",""),",",""),"/",""))</f>
        <v/>
      </c>
      <c r="W472" s="4" t="str">
        <f ca="1">IF(ATALI[[#This Row],[concat]]="","",MATCH(ATALI[[#This Row],[concat]],[4]!db[NB NOTA_C],0)+1)</f>
        <v/>
      </c>
      <c r="X472" s="4" t="str">
        <f ca="1">IF(ATALI[[#This Row],[N.B.nota]]="","",ADDRESS(ROW(ATALI[QB]),COLUMN(ATALI[QB]))&amp;":"&amp;ADDRESS(ROW(),COLUMN(ATALI[QB])))</f>
        <v/>
      </c>
      <c r="Y472" s="13" t="str">
        <f ca="1">IF(ATALI[[#This Row],[//]]="","",HYPERLINK("[../DB.xlsx]DB!e"&amp;MATCH(ATALI[[#This Row],[concat]],[4]!db[NB NOTA_C],0)+1,"&gt;"))</f>
        <v/>
      </c>
    </row>
    <row r="473" spans="1:25" x14ac:dyDescent="0.25">
      <c r="A473" s="4"/>
      <c r="B473" s="6" t="str">
        <f>IF(ATALI[[#This Row],[N_ID]]="","",INDEX(Table1[ID],MATCH(ATALI[[#This Row],[N_ID]],Table1[N_ID],0)))</f>
        <v/>
      </c>
      <c r="C473" s="6" t="str">
        <f>IF(ATALI[[#This Row],[ID NOTA]]="","",HYPERLINK("[NOTA_.xlsx]NOTA!e"&amp;INDEX([2]!PAJAK[//],MATCH(ATALI[[#This Row],[ID NOTA]],[2]!PAJAK[ID],0)),"&gt;") )</f>
        <v/>
      </c>
      <c r="D473" s="6" t="str">
        <f>IF(ATALI[[#This Row],[ID NOTA]]="","",INDEX(Table1[QB],MATCH(ATALI[[#This Row],[ID NOTA]],Table1[ID],0)))</f>
        <v/>
      </c>
      <c r="E4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3" s="6"/>
      <c r="G473" s="3" t="str">
        <f>IF(ATALI[[#This Row],[ID NOTA]]="","",INDEX([2]!NOTA[TGL_H],MATCH(ATALI[[#This Row],[ID NOTA]],[2]!NOTA[ID],0)))</f>
        <v/>
      </c>
      <c r="H473" s="3" t="str">
        <f>IF(ATALI[[#This Row],[ID NOTA]]="","",INDEX([2]!NOTA[TGL.NOTA],MATCH(ATALI[[#This Row],[ID NOTA]],[2]!NOTA[ID],0)))</f>
        <v/>
      </c>
      <c r="I473" s="4" t="str">
        <f>IF(ATALI[[#This Row],[ID NOTA]]="","",INDEX([2]!NOTA[NO.NOTA],MATCH(ATALI[[#This Row],[ID NOTA]],[2]!NOTA[ID],0)))</f>
        <v/>
      </c>
      <c r="J473" s="4" t="str">
        <f ca="1">IF(ATALI[[#This Row],[//]]="","",INDEX([4]!db[NB PAJAK],ATALI[[#This Row],[stt]]-1))</f>
        <v/>
      </c>
      <c r="K473" s="6" t="str">
        <f ca="1">IF(ATALI[[#This Row],[//]]="","",IF(INDEX([2]!NOTA[C],ATALI[[#This Row],[//]]-2)="","",INDEX([2]!NOTA[C],ATALI[[#This Row],[//]]-2)))</f>
        <v/>
      </c>
      <c r="L473" s="6" t="str">
        <f ca="1">IF(ATALI[[#This Row],[//]]="","",INDEX([2]!NOTA[QTY],ATALI[[#This Row],[//]]-2))</f>
        <v/>
      </c>
      <c r="M473" s="6" t="str">
        <f ca="1">IF(ATALI[[#This Row],[//]]="","",INDEX([2]!NOTA[STN],ATALI[[#This Row],[//]]-2))</f>
        <v/>
      </c>
      <c r="N473" s="5" t="str">
        <f ca="1">IF(ATALI[[#This Row],[//]]="","",INDEX([2]!NOTA[HARGA SATUAN],ATALI[[#This Row],[//]]-2))</f>
        <v/>
      </c>
      <c r="O473" s="7" t="str">
        <f ca="1">IF(ATALI[[#This Row],[//]]="","",INDEX([2]!NOTA[DISC 1],ATALI[[#This Row],[//]]-2))</f>
        <v/>
      </c>
      <c r="P473" s="7" t="str">
        <f ca="1">IF(ATALI[[#This Row],[//]]="","",INDEX([2]!NOTA[DISC 2],ATALI[[#This Row],[//]]-2))</f>
        <v/>
      </c>
      <c r="Q473" s="5" t="str">
        <f ca="1">IF(ATALI[[#This Row],[//]]="","",INDEX([2]!NOTA[TOTAL],ATALI[[#This Row],[//]]-2))</f>
        <v/>
      </c>
      <c r="R4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3" s="4" t="str">
        <f ca="1">IF(ATALI[[#This Row],[//]]="","",INDEX([2]!NOTA[NAMA BARANG],ATALI[[#This Row],[//]]-2))</f>
        <v/>
      </c>
      <c r="V473" s="4" t="str">
        <f ca="1">LOWER(SUBSTITUTE(SUBSTITUTE(SUBSTITUTE(SUBSTITUTE(SUBSTITUTE(SUBSTITUTE(SUBSTITUTE(ATALI[[#This Row],[N.B.nota]]," ",""),"-",""),"(",""),")",""),".",""),",",""),"/",""))</f>
        <v/>
      </c>
      <c r="W473" s="4" t="str">
        <f ca="1">IF(ATALI[[#This Row],[concat]]="","",MATCH(ATALI[[#This Row],[concat]],[4]!db[NB NOTA_C],0)+1)</f>
        <v/>
      </c>
      <c r="X473" s="4" t="str">
        <f ca="1">IF(ATALI[[#This Row],[N.B.nota]]="","",ADDRESS(ROW(ATALI[QB]),COLUMN(ATALI[QB]))&amp;":"&amp;ADDRESS(ROW(),COLUMN(ATALI[QB])))</f>
        <v/>
      </c>
      <c r="Y473" s="13" t="str">
        <f ca="1">IF(ATALI[[#This Row],[//]]="","",HYPERLINK("[../DB.xlsx]DB!e"&amp;MATCH(ATALI[[#This Row],[concat]],[4]!db[NB NOTA_C],0)+1,"&gt;"))</f>
        <v/>
      </c>
    </row>
    <row r="474" spans="1:25" x14ac:dyDescent="0.25">
      <c r="A474" s="4"/>
      <c r="B474" s="6" t="str">
        <f>IF(ATALI[[#This Row],[N_ID]]="","",INDEX(Table1[ID],MATCH(ATALI[[#This Row],[N_ID]],Table1[N_ID],0)))</f>
        <v/>
      </c>
      <c r="C474" s="6" t="str">
        <f>IF(ATALI[[#This Row],[ID NOTA]]="","",HYPERLINK("[NOTA_.xlsx]NOTA!e"&amp;INDEX([2]!PAJAK[//],MATCH(ATALI[[#This Row],[ID NOTA]],[2]!PAJAK[ID],0)),"&gt;") )</f>
        <v/>
      </c>
      <c r="D474" s="6" t="str">
        <f>IF(ATALI[[#This Row],[ID NOTA]]="","",INDEX(Table1[QB],MATCH(ATALI[[#This Row],[ID NOTA]],Table1[ID],0)))</f>
        <v/>
      </c>
      <c r="E4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4" s="6"/>
      <c r="G474" s="3" t="str">
        <f>IF(ATALI[[#This Row],[ID NOTA]]="","",INDEX([2]!NOTA[TGL_H],MATCH(ATALI[[#This Row],[ID NOTA]],[2]!NOTA[ID],0)))</f>
        <v/>
      </c>
      <c r="H474" s="3" t="str">
        <f>IF(ATALI[[#This Row],[ID NOTA]]="","",INDEX([2]!NOTA[TGL.NOTA],MATCH(ATALI[[#This Row],[ID NOTA]],[2]!NOTA[ID],0)))</f>
        <v/>
      </c>
      <c r="I474" s="4" t="str">
        <f>IF(ATALI[[#This Row],[ID NOTA]]="","",INDEX([2]!NOTA[NO.NOTA],MATCH(ATALI[[#This Row],[ID NOTA]],[2]!NOTA[ID],0)))</f>
        <v/>
      </c>
      <c r="J474" s="4" t="str">
        <f ca="1">IF(ATALI[[#This Row],[//]]="","",INDEX([4]!db[NB PAJAK],ATALI[[#This Row],[stt]]-1))</f>
        <v/>
      </c>
      <c r="K474" s="6" t="str">
        <f ca="1">IF(ATALI[[#This Row],[//]]="","",IF(INDEX([2]!NOTA[C],ATALI[[#This Row],[//]]-2)="","",INDEX([2]!NOTA[C],ATALI[[#This Row],[//]]-2)))</f>
        <v/>
      </c>
      <c r="L474" s="6" t="str">
        <f ca="1">IF(ATALI[[#This Row],[//]]="","",INDEX([2]!NOTA[QTY],ATALI[[#This Row],[//]]-2))</f>
        <v/>
      </c>
      <c r="M474" s="6" t="str">
        <f ca="1">IF(ATALI[[#This Row],[//]]="","",INDEX([2]!NOTA[STN],ATALI[[#This Row],[//]]-2))</f>
        <v/>
      </c>
      <c r="N474" s="5" t="str">
        <f ca="1">IF(ATALI[[#This Row],[//]]="","",INDEX([2]!NOTA[HARGA SATUAN],ATALI[[#This Row],[//]]-2))</f>
        <v/>
      </c>
      <c r="O474" s="7" t="str">
        <f ca="1">IF(ATALI[[#This Row],[//]]="","",INDEX([2]!NOTA[DISC 1],ATALI[[#This Row],[//]]-2))</f>
        <v/>
      </c>
      <c r="P474" s="7" t="str">
        <f ca="1">IF(ATALI[[#This Row],[//]]="","",INDEX([2]!NOTA[DISC 2],ATALI[[#This Row],[//]]-2))</f>
        <v/>
      </c>
      <c r="Q474" s="5" t="str">
        <f ca="1">IF(ATALI[[#This Row],[//]]="","",INDEX([2]!NOTA[TOTAL],ATALI[[#This Row],[//]]-2))</f>
        <v/>
      </c>
      <c r="R4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4" s="4" t="str">
        <f ca="1">IF(ATALI[[#This Row],[//]]="","",INDEX([2]!NOTA[NAMA BARANG],ATALI[[#This Row],[//]]-2))</f>
        <v/>
      </c>
      <c r="V474" s="4" t="str">
        <f ca="1">LOWER(SUBSTITUTE(SUBSTITUTE(SUBSTITUTE(SUBSTITUTE(SUBSTITUTE(SUBSTITUTE(SUBSTITUTE(ATALI[[#This Row],[N.B.nota]]," ",""),"-",""),"(",""),")",""),".",""),",",""),"/",""))</f>
        <v/>
      </c>
      <c r="W474" s="4" t="str">
        <f ca="1">IF(ATALI[[#This Row],[concat]]="","",MATCH(ATALI[[#This Row],[concat]],[4]!db[NB NOTA_C],0)+1)</f>
        <v/>
      </c>
      <c r="X474" s="4" t="str">
        <f ca="1">IF(ATALI[[#This Row],[N.B.nota]]="","",ADDRESS(ROW(ATALI[QB]),COLUMN(ATALI[QB]))&amp;":"&amp;ADDRESS(ROW(),COLUMN(ATALI[QB])))</f>
        <v/>
      </c>
      <c r="Y474" s="13" t="str">
        <f ca="1">IF(ATALI[[#This Row],[//]]="","",HYPERLINK("[../DB.xlsx]DB!e"&amp;MATCH(ATALI[[#This Row],[concat]],[4]!db[NB NOTA_C],0)+1,"&gt;"))</f>
        <v/>
      </c>
    </row>
    <row r="475" spans="1:25" x14ac:dyDescent="0.25">
      <c r="A475" s="4"/>
      <c r="B475" s="6" t="str">
        <f>IF(ATALI[[#This Row],[N_ID]]="","",INDEX(Table1[ID],MATCH(ATALI[[#This Row],[N_ID]],Table1[N_ID],0)))</f>
        <v/>
      </c>
      <c r="C475" s="6" t="str">
        <f>IF(ATALI[[#This Row],[ID NOTA]]="","",HYPERLINK("[NOTA_.xlsx]NOTA!e"&amp;INDEX([2]!PAJAK[//],MATCH(ATALI[[#This Row],[ID NOTA]],[2]!PAJAK[ID],0)),"&gt;") )</f>
        <v/>
      </c>
      <c r="D475" s="6" t="str">
        <f>IF(ATALI[[#This Row],[ID NOTA]]="","",INDEX(Table1[QB],MATCH(ATALI[[#This Row],[ID NOTA]],Table1[ID],0)))</f>
        <v/>
      </c>
      <c r="E4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5" s="6"/>
      <c r="G475" s="3" t="str">
        <f>IF(ATALI[[#This Row],[ID NOTA]]="","",INDEX([2]!NOTA[TGL_H],MATCH(ATALI[[#This Row],[ID NOTA]],[2]!NOTA[ID],0)))</f>
        <v/>
      </c>
      <c r="H475" s="3" t="str">
        <f>IF(ATALI[[#This Row],[ID NOTA]]="","",INDEX([2]!NOTA[TGL.NOTA],MATCH(ATALI[[#This Row],[ID NOTA]],[2]!NOTA[ID],0)))</f>
        <v/>
      </c>
      <c r="I475" s="4" t="str">
        <f>IF(ATALI[[#This Row],[ID NOTA]]="","",INDEX([2]!NOTA[NO.NOTA],MATCH(ATALI[[#This Row],[ID NOTA]],[2]!NOTA[ID],0)))</f>
        <v/>
      </c>
      <c r="J475" s="4" t="str">
        <f ca="1">IF(ATALI[[#This Row],[//]]="","",INDEX([4]!db[NB PAJAK],ATALI[[#This Row],[stt]]-1))</f>
        <v/>
      </c>
      <c r="K475" s="6" t="str">
        <f ca="1">IF(ATALI[[#This Row],[//]]="","",IF(INDEX([2]!NOTA[C],ATALI[[#This Row],[//]]-2)="","",INDEX([2]!NOTA[C],ATALI[[#This Row],[//]]-2)))</f>
        <v/>
      </c>
      <c r="L475" s="6" t="str">
        <f ca="1">IF(ATALI[[#This Row],[//]]="","",INDEX([2]!NOTA[QTY],ATALI[[#This Row],[//]]-2))</f>
        <v/>
      </c>
      <c r="M475" s="6" t="str">
        <f ca="1">IF(ATALI[[#This Row],[//]]="","",INDEX([2]!NOTA[STN],ATALI[[#This Row],[//]]-2))</f>
        <v/>
      </c>
      <c r="N475" s="5" t="str">
        <f ca="1">IF(ATALI[[#This Row],[//]]="","",INDEX([2]!NOTA[HARGA SATUAN],ATALI[[#This Row],[//]]-2))</f>
        <v/>
      </c>
      <c r="O475" s="7" t="str">
        <f ca="1">IF(ATALI[[#This Row],[//]]="","",INDEX([2]!NOTA[DISC 1],ATALI[[#This Row],[//]]-2))</f>
        <v/>
      </c>
      <c r="P475" s="7" t="str">
        <f ca="1">IF(ATALI[[#This Row],[//]]="","",INDEX([2]!NOTA[DISC 2],ATALI[[#This Row],[//]]-2))</f>
        <v/>
      </c>
      <c r="Q475" s="5" t="str">
        <f ca="1">IF(ATALI[[#This Row],[//]]="","",INDEX([2]!NOTA[TOTAL],ATALI[[#This Row],[//]]-2))</f>
        <v/>
      </c>
      <c r="R4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5" s="4" t="str">
        <f ca="1">IF(ATALI[[#This Row],[//]]="","",INDEX([2]!NOTA[NAMA BARANG],ATALI[[#This Row],[//]]-2))</f>
        <v/>
      </c>
      <c r="V475" s="4" t="str">
        <f ca="1">LOWER(SUBSTITUTE(SUBSTITUTE(SUBSTITUTE(SUBSTITUTE(SUBSTITUTE(SUBSTITUTE(SUBSTITUTE(ATALI[[#This Row],[N.B.nota]]," ",""),"-",""),"(",""),")",""),".",""),",",""),"/",""))</f>
        <v/>
      </c>
      <c r="W475" s="4" t="str">
        <f ca="1">IF(ATALI[[#This Row],[concat]]="","",MATCH(ATALI[[#This Row],[concat]],[4]!db[NB NOTA_C],0)+1)</f>
        <v/>
      </c>
      <c r="X475" s="4" t="str">
        <f ca="1">IF(ATALI[[#This Row],[N.B.nota]]="","",ADDRESS(ROW(ATALI[QB]),COLUMN(ATALI[QB]))&amp;":"&amp;ADDRESS(ROW(),COLUMN(ATALI[QB])))</f>
        <v/>
      </c>
      <c r="Y475" s="13" t="str">
        <f ca="1">IF(ATALI[[#This Row],[//]]="","",HYPERLINK("[../DB.xlsx]DB!e"&amp;MATCH(ATALI[[#This Row],[concat]],[4]!db[NB NOTA_C],0)+1,"&gt;"))</f>
        <v/>
      </c>
    </row>
    <row r="476" spans="1:25" x14ac:dyDescent="0.25">
      <c r="A476" s="4"/>
      <c r="B476" s="6" t="str">
        <f>IF(ATALI[[#This Row],[N_ID]]="","",INDEX(Table1[ID],MATCH(ATALI[[#This Row],[N_ID]],Table1[N_ID],0)))</f>
        <v/>
      </c>
      <c r="C476" s="6" t="str">
        <f>IF(ATALI[[#This Row],[ID NOTA]]="","",HYPERLINK("[NOTA_.xlsx]NOTA!e"&amp;INDEX([2]!PAJAK[//],MATCH(ATALI[[#This Row],[ID NOTA]],[2]!PAJAK[ID],0)),"&gt;") )</f>
        <v/>
      </c>
      <c r="D476" s="6" t="str">
        <f>IF(ATALI[[#This Row],[ID NOTA]]="","",INDEX(Table1[QB],MATCH(ATALI[[#This Row],[ID NOTA]],Table1[ID],0)))</f>
        <v/>
      </c>
      <c r="E4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6" s="6"/>
      <c r="G476" s="3" t="str">
        <f>IF(ATALI[[#This Row],[ID NOTA]]="","",INDEX([2]!NOTA[TGL_H],MATCH(ATALI[[#This Row],[ID NOTA]],[2]!NOTA[ID],0)))</f>
        <v/>
      </c>
      <c r="H476" s="3" t="str">
        <f>IF(ATALI[[#This Row],[ID NOTA]]="","",INDEX([2]!NOTA[TGL.NOTA],MATCH(ATALI[[#This Row],[ID NOTA]],[2]!NOTA[ID],0)))</f>
        <v/>
      </c>
      <c r="I476" s="4" t="str">
        <f>IF(ATALI[[#This Row],[ID NOTA]]="","",INDEX([2]!NOTA[NO.NOTA],MATCH(ATALI[[#This Row],[ID NOTA]],[2]!NOTA[ID],0)))</f>
        <v/>
      </c>
      <c r="J476" s="4" t="str">
        <f ca="1">IF(ATALI[[#This Row],[//]]="","",INDEX([4]!db[NB PAJAK],ATALI[[#This Row],[stt]]-1))</f>
        <v/>
      </c>
      <c r="K476" s="6" t="str">
        <f ca="1">IF(ATALI[[#This Row],[//]]="","",IF(INDEX([2]!NOTA[C],ATALI[[#This Row],[//]]-2)="","",INDEX([2]!NOTA[C],ATALI[[#This Row],[//]]-2)))</f>
        <v/>
      </c>
      <c r="L476" s="6" t="str">
        <f ca="1">IF(ATALI[[#This Row],[//]]="","",INDEX([2]!NOTA[QTY],ATALI[[#This Row],[//]]-2))</f>
        <v/>
      </c>
      <c r="M476" s="6" t="str">
        <f ca="1">IF(ATALI[[#This Row],[//]]="","",INDEX([2]!NOTA[STN],ATALI[[#This Row],[//]]-2))</f>
        <v/>
      </c>
      <c r="N476" s="5" t="str">
        <f ca="1">IF(ATALI[[#This Row],[//]]="","",INDEX([2]!NOTA[HARGA SATUAN],ATALI[[#This Row],[//]]-2))</f>
        <v/>
      </c>
      <c r="O476" s="7" t="str">
        <f ca="1">IF(ATALI[[#This Row],[//]]="","",INDEX([2]!NOTA[DISC 1],ATALI[[#This Row],[//]]-2))</f>
        <v/>
      </c>
      <c r="P476" s="7" t="str">
        <f ca="1">IF(ATALI[[#This Row],[//]]="","",INDEX([2]!NOTA[DISC 2],ATALI[[#This Row],[//]]-2))</f>
        <v/>
      </c>
      <c r="Q476" s="5" t="str">
        <f ca="1">IF(ATALI[[#This Row],[//]]="","",INDEX([2]!NOTA[TOTAL],ATALI[[#This Row],[//]]-2))</f>
        <v/>
      </c>
      <c r="R4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6" s="4" t="str">
        <f ca="1">IF(ATALI[[#This Row],[//]]="","",INDEX([2]!NOTA[NAMA BARANG],ATALI[[#This Row],[//]]-2))</f>
        <v/>
      </c>
      <c r="V476" s="4" t="str">
        <f ca="1">LOWER(SUBSTITUTE(SUBSTITUTE(SUBSTITUTE(SUBSTITUTE(SUBSTITUTE(SUBSTITUTE(SUBSTITUTE(ATALI[[#This Row],[N.B.nota]]," ",""),"-",""),"(",""),")",""),".",""),",",""),"/",""))</f>
        <v/>
      </c>
      <c r="W476" s="4" t="str">
        <f ca="1">IF(ATALI[[#This Row],[concat]]="","",MATCH(ATALI[[#This Row],[concat]],[4]!db[NB NOTA_C],0)+1)</f>
        <v/>
      </c>
      <c r="X476" s="4" t="str">
        <f ca="1">IF(ATALI[[#This Row],[N.B.nota]]="","",ADDRESS(ROW(ATALI[QB]),COLUMN(ATALI[QB]))&amp;":"&amp;ADDRESS(ROW(),COLUMN(ATALI[QB])))</f>
        <v/>
      </c>
      <c r="Y476" s="13" t="str">
        <f ca="1">IF(ATALI[[#This Row],[//]]="","",HYPERLINK("[../DB.xlsx]DB!e"&amp;MATCH(ATALI[[#This Row],[concat]],[4]!db[NB NOTA_C],0)+1,"&gt;"))</f>
        <v/>
      </c>
    </row>
    <row r="477" spans="1:25" x14ac:dyDescent="0.25">
      <c r="A477" s="4"/>
      <c r="B477" s="6" t="str">
        <f>IF(ATALI[[#This Row],[N_ID]]="","",INDEX(Table1[ID],MATCH(ATALI[[#This Row],[N_ID]],Table1[N_ID],0)))</f>
        <v/>
      </c>
      <c r="C477" s="6" t="str">
        <f>IF(ATALI[[#This Row],[ID NOTA]]="","",HYPERLINK("[NOTA_.xlsx]NOTA!e"&amp;INDEX([2]!PAJAK[//],MATCH(ATALI[[#This Row],[ID NOTA]],[2]!PAJAK[ID],0)),"&gt;") )</f>
        <v/>
      </c>
      <c r="D477" s="6" t="str">
        <f>IF(ATALI[[#This Row],[ID NOTA]]="","",INDEX(Table1[QB],MATCH(ATALI[[#This Row],[ID NOTA]],Table1[ID],0)))</f>
        <v/>
      </c>
      <c r="E4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7" s="6"/>
      <c r="G477" s="3" t="str">
        <f>IF(ATALI[[#This Row],[ID NOTA]]="","",INDEX([2]!NOTA[TGL_H],MATCH(ATALI[[#This Row],[ID NOTA]],[2]!NOTA[ID],0)))</f>
        <v/>
      </c>
      <c r="H477" s="3" t="str">
        <f>IF(ATALI[[#This Row],[ID NOTA]]="","",INDEX([2]!NOTA[TGL.NOTA],MATCH(ATALI[[#This Row],[ID NOTA]],[2]!NOTA[ID],0)))</f>
        <v/>
      </c>
      <c r="I477" s="4" t="str">
        <f>IF(ATALI[[#This Row],[ID NOTA]]="","",INDEX([2]!NOTA[NO.NOTA],MATCH(ATALI[[#This Row],[ID NOTA]],[2]!NOTA[ID],0)))</f>
        <v/>
      </c>
      <c r="J477" s="4" t="str">
        <f ca="1">IF(ATALI[[#This Row],[//]]="","",INDEX([4]!db[NB PAJAK],ATALI[[#This Row],[stt]]-1))</f>
        <v/>
      </c>
      <c r="K477" s="6" t="str">
        <f ca="1">IF(ATALI[[#This Row],[//]]="","",IF(INDEX([2]!NOTA[C],ATALI[[#This Row],[//]]-2)="","",INDEX([2]!NOTA[C],ATALI[[#This Row],[//]]-2)))</f>
        <v/>
      </c>
      <c r="L477" s="6" t="str">
        <f ca="1">IF(ATALI[[#This Row],[//]]="","",INDEX([2]!NOTA[QTY],ATALI[[#This Row],[//]]-2))</f>
        <v/>
      </c>
      <c r="M477" s="6" t="str">
        <f ca="1">IF(ATALI[[#This Row],[//]]="","",INDEX([2]!NOTA[STN],ATALI[[#This Row],[//]]-2))</f>
        <v/>
      </c>
      <c r="N477" s="5" t="str">
        <f ca="1">IF(ATALI[[#This Row],[//]]="","",INDEX([2]!NOTA[HARGA SATUAN],ATALI[[#This Row],[//]]-2))</f>
        <v/>
      </c>
      <c r="O477" s="7" t="str">
        <f ca="1">IF(ATALI[[#This Row],[//]]="","",INDEX([2]!NOTA[DISC 1],ATALI[[#This Row],[//]]-2))</f>
        <v/>
      </c>
      <c r="P477" s="7" t="str">
        <f ca="1">IF(ATALI[[#This Row],[//]]="","",INDEX([2]!NOTA[DISC 2],ATALI[[#This Row],[//]]-2))</f>
        <v/>
      </c>
      <c r="Q477" s="5" t="str">
        <f ca="1">IF(ATALI[[#This Row],[//]]="","",INDEX([2]!NOTA[TOTAL],ATALI[[#This Row],[//]]-2))</f>
        <v/>
      </c>
      <c r="R4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7" s="4" t="str">
        <f ca="1">IF(ATALI[[#This Row],[//]]="","",INDEX([2]!NOTA[NAMA BARANG],ATALI[[#This Row],[//]]-2))</f>
        <v/>
      </c>
      <c r="V477" s="4" t="str">
        <f ca="1">LOWER(SUBSTITUTE(SUBSTITUTE(SUBSTITUTE(SUBSTITUTE(SUBSTITUTE(SUBSTITUTE(SUBSTITUTE(ATALI[[#This Row],[N.B.nota]]," ",""),"-",""),"(",""),")",""),".",""),",",""),"/",""))</f>
        <v/>
      </c>
      <c r="W477" s="4" t="str">
        <f ca="1">IF(ATALI[[#This Row],[concat]]="","",MATCH(ATALI[[#This Row],[concat]],[4]!db[NB NOTA_C],0)+1)</f>
        <v/>
      </c>
      <c r="X477" s="4" t="str">
        <f ca="1">IF(ATALI[[#This Row],[N.B.nota]]="","",ADDRESS(ROW(ATALI[QB]),COLUMN(ATALI[QB]))&amp;":"&amp;ADDRESS(ROW(),COLUMN(ATALI[QB])))</f>
        <v/>
      </c>
      <c r="Y477" s="13" t="str">
        <f ca="1">IF(ATALI[[#This Row],[//]]="","",HYPERLINK("[../DB.xlsx]DB!e"&amp;MATCH(ATALI[[#This Row],[concat]],[4]!db[NB NOTA_C],0)+1,"&gt;"))</f>
        <v/>
      </c>
    </row>
    <row r="478" spans="1:25" x14ac:dyDescent="0.25">
      <c r="A478" s="4"/>
      <c r="B478" s="6" t="str">
        <f>IF(ATALI[[#This Row],[N_ID]]="","",INDEX(Table1[ID],MATCH(ATALI[[#This Row],[N_ID]],Table1[N_ID],0)))</f>
        <v/>
      </c>
      <c r="C478" s="6" t="str">
        <f>IF(ATALI[[#This Row],[ID NOTA]]="","",HYPERLINK("[NOTA_.xlsx]NOTA!e"&amp;INDEX([2]!PAJAK[//],MATCH(ATALI[[#This Row],[ID NOTA]],[2]!PAJAK[ID],0)),"&gt;") )</f>
        <v/>
      </c>
      <c r="D478" s="6" t="str">
        <f>IF(ATALI[[#This Row],[ID NOTA]]="","",INDEX(Table1[QB],MATCH(ATALI[[#This Row],[ID NOTA]],Table1[ID],0)))</f>
        <v/>
      </c>
      <c r="E4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8" s="6"/>
      <c r="G478" s="3" t="str">
        <f>IF(ATALI[[#This Row],[ID NOTA]]="","",INDEX([2]!NOTA[TGL_H],MATCH(ATALI[[#This Row],[ID NOTA]],[2]!NOTA[ID],0)))</f>
        <v/>
      </c>
      <c r="H478" s="3" t="str">
        <f>IF(ATALI[[#This Row],[ID NOTA]]="","",INDEX([2]!NOTA[TGL.NOTA],MATCH(ATALI[[#This Row],[ID NOTA]],[2]!NOTA[ID],0)))</f>
        <v/>
      </c>
      <c r="I478" s="4" t="str">
        <f>IF(ATALI[[#This Row],[ID NOTA]]="","",INDEX([2]!NOTA[NO.NOTA],MATCH(ATALI[[#This Row],[ID NOTA]],[2]!NOTA[ID],0)))</f>
        <v/>
      </c>
      <c r="J478" s="4" t="str">
        <f ca="1">IF(ATALI[[#This Row],[//]]="","",INDEX([4]!db[NB PAJAK],ATALI[[#This Row],[stt]]-1))</f>
        <v/>
      </c>
      <c r="K478" s="6" t="str">
        <f ca="1">IF(ATALI[[#This Row],[//]]="","",IF(INDEX([2]!NOTA[C],ATALI[[#This Row],[//]]-2)="","",INDEX([2]!NOTA[C],ATALI[[#This Row],[//]]-2)))</f>
        <v/>
      </c>
      <c r="L478" s="6" t="str">
        <f ca="1">IF(ATALI[[#This Row],[//]]="","",INDEX([2]!NOTA[QTY],ATALI[[#This Row],[//]]-2))</f>
        <v/>
      </c>
      <c r="M478" s="6" t="str">
        <f ca="1">IF(ATALI[[#This Row],[//]]="","",INDEX([2]!NOTA[STN],ATALI[[#This Row],[//]]-2))</f>
        <v/>
      </c>
      <c r="N478" s="5" t="str">
        <f ca="1">IF(ATALI[[#This Row],[//]]="","",INDEX([2]!NOTA[HARGA SATUAN],ATALI[[#This Row],[//]]-2))</f>
        <v/>
      </c>
      <c r="O478" s="7" t="str">
        <f ca="1">IF(ATALI[[#This Row],[//]]="","",INDEX([2]!NOTA[DISC 1],ATALI[[#This Row],[//]]-2))</f>
        <v/>
      </c>
      <c r="P478" s="7" t="str">
        <f ca="1">IF(ATALI[[#This Row],[//]]="","",INDEX([2]!NOTA[DISC 2],ATALI[[#This Row],[//]]-2))</f>
        <v/>
      </c>
      <c r="Q478" s="5" t="str">
        <f ca="1">IF(ATALI[[#This Row],[//]]="","",INDEX([2]!NOTA[TOTAL],ATALI[[#This Row],[//]]-2))</f>
        <v/>
      </c>
      <c r="R4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8" s="4" t="str">
        <f ca="1">IF(ATALI[[#This Row],[//]]="","",INDEX([2]!NOTA[NAMA BARANG],ATALI[[#This Row],[//]]-2))</f>
        <v/>
      </c>
      <c r="V478" s="4" t="str">
        <f ca="1">LOWER(SUBSTITUTE(SUBSTITUTE(SUBSTITUTE(SUBSTITUTE(SUBSTITUTE(SUBSTITUTE(SUBSTITUTE(ATALI[[#This Row],[N.B.nota]]," ",""),"-",""),"(",""),")",""),".",""),",",""),"/",""))</f>
        <v/>
      </c>
      <c r="W478" s="4" t="str">
        <f ca="1">IF(ATALI[[#This Row],[concat]]="","",MATCH(ATALI[[#This Row],[concat]],[4]!db[NB NOTA_C],0)+1)</f>
        <v/>
      </c>
      <c r="X478" s="4" t="str">
        <f ca="1">IF(ATALI[[#This Row],[N.B.nota]]="","",ADDRESS(ROW(ATALI[QB]),COLUMN(ATALI[QB]))&amp;":"&amp;ADDRESS(ROW(),COLUMN(ATALI[QB])))</f>
        <v/>
      </c>
      <c r="Y478" s="13" t="str">
        <f ca="1">IF(ATALI[[#This Row],[//]]="","",HYPERLINK("[../DB.xlsx]DB!e"&amp;MATCH(ATALI[[#This Row],[concat]],[4]!db[NB NOTA_C],0)+1,"&gt;"))</f>
        <v/>
      </c>
    </row>
    <row r="479" spans="1:25" x14ac:dyDescent="0.25">
      <c r="A479" s="4"/>
      <c r="B479" s="6" t="str">
        <f>IF(ATALI[[#This Row],[N_ID]]="","",INDEX(Table1[ID],MATCH(ATALI[[#This Row],[N_ID]],Table1[N_ID],0)))</f>
        <v/>
      </c>
      <c r="C479" s="6" t="str">
        <f>IF(ATALI[[#This Row],[ID NOTA]]="","",HYPERLINK("[NOTA_.xlsx]NOTA!e"&amp;INDEX([2]!PAJAK[//],MATCH(ATALI[[#This Row],[ID NOTA]],[2]!PAJAK[ID],0)),"&gt;") )</f>
        <v/>
      </c>
      <c r="D479" s="6" t="str">
        <f>IF(ATALI[[#This Row],[ID NOTA]]="","",INDEX(Table1[QB],MATCH(ATALI[[#This Row],[ID NOTA]],Table1[ID],0)))</f>
        <v/>
      </c>
      <c r="E4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9" s="6"/>
      <c r="G479" s="3" t="str">
        <f>IF(ATALI[[#This Row],[ID NOTA]]="","",INDEX([2]!NOTA[TGL_H],MATCH(ATALI[[#This Row],[ID NOTA]],[2]!NOTA[ID],0)))</f>
        <v/>
      </c>
      <c r="H479" s="3" t="str">
        <f>IF(ATALI[[#This Row],[ID NOTA]]="","",INDEX([2]!NOTA[TGL.NOTA],MATCH(ATALI[[#This Row],[ID NOTA]],[2]!NOTA[ID],0)))</f>
        <v/>
      </c>
      <c r="I479" s="4" t="str">
        <f>IF(ATALI[[#This Row],[ID NOTA]]="","",INDEX([2]!NOTA[NO.NOTA],MATCH(ATALI[[#This Row],[ID NOTA]],[2]!NOTA[ID],0)))</f>
        <v/>
      </c>
      <c r="J479" s="4" t="str">
        <f ca="1">IF(ATALI[[#This Row],[//]]="","",INDEX([4]!db[NB PAJAK],ATALI[[#This Row],[stt]]-1))</f>
        <v/>
      </c>
      <c r="K479" s="6" t="str">
        <f ca="1">IF(ATALI[[#This Row],[//]]="","",IF(INDEX([2]!NOTA[C],ATALI[[#This Row],[//]]-2)="","",INDEX([2]!NOTA[C],ATALI[[#This Row],[//]]-2)))</f>
        <v/>
      </c>
      <c r="L479" s="6" t="str">
        <f ca="1">IF(ATALI[[#This Row],[//]]="","",INDEX([2]!NOTA[QTY],ATALI[[#This Row],[//]]-2))</f>
        <v/>
      </c>
      <c r="M479" s="6" t="str">
        <f ca="1">IF(ATALI[[#This Row],[//]]="","",INDEX([2]!NOTA[STN],ATALI[[#This Row],[//]]-2))</f>
        <v/>
      </c>
      <c r="N479" s="5" t="str">
        <f ca="1">IF(ATALI[[#This Row],[//]]="","",INDEX([2]!NOTA[HARGA SATUAN],ATALI[[#This Row],[//]]-2))</f>
        <v/>
      </c>
      <c r="O479" s="7" t="str">
        <f ca="1">IF(ATALI[[#This Row],[//]]="","",INDEX([2]!NOTA[DISC 1],ATALI[[#This Row],[//]]-2))</f>
        <v/>
      </c>
      <c r="P479" s="7" t="str">
        <f ca="1">IF(ATALI[[#This Row],[//]]="","",INDEX([2]!NOTA[DISC 2],ATALI[[#This Row],[//]]-2))</f>
        <v/>
      </c>
      <c r="Q479" s="5" t="str">
        <f ca="1">IF(ATALI[[#This Row],[//]]="","",INDEX([2]!NOTA[TOTAL],ATALI[[#This Row],[//]]-2))</f>
        <v/>
      </c>
      <c r="R4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9" s="4" t="str">
        <f ca="1">IF(ATALI[[#This Row],[//]]="","",INDEX([2]!NOTA[NAMA BARANG],ATALI[[#This Row],[//]]-2))</f>
        <v/>
      </c>
      <c r="V479" s="4" t="str">
        <f ca="1">LOWER(SUBSTITUTE(SUBSTITUTE(SUBSTITUTE(SUBSTITUTE(SUBSTITUTE(SUBSTITUTE(SUBSTITUTE(ATALI[[#This Row],[N.B.nota]]," ",""),"-",""),"(",""),")",""),".",""),",",""),"/",""))</f>
        <v/>
      </c>
      <c r="W479" s="4" t="str">
        <f ca="1">IF(ATALI[[#This Row],[concat]]="","",MATCH(ATALI[[#This Row],[concat]],[4]!db[NB NOTA_C],0)+1)</f>
        <v/>
      </c>
      <c r="X479" s="4" t="str">
        <f ca="1">IF(ATALI[[#This Row],[N.B.nota]]="","",ADDRESS(ROW(ATALI[QB]),COLUMN(ATALI[QB]))&amp;":"&amp;ADDRESS(ROW(),COLUMN(ATALI[QB])))</f>
        <v/>
      </c>
      <c r="Y479" s="13" t="str">
        <f ca="1">IF(ATALI[[#This Row],[//]]="","",HYPERLINK("[../DB.xlsx]DB!e"&amp;MATCH(ATALI[[#This Row],[concat]],[4]!db[NB NOTA_C],0)+1,"&gt;"))</f>
        <v/>
      </c>
    </row>
    <row r="480" spans="1:25" x14ac:dyDescent="0.25">
      <c r="A480" s="4"/>
      <c r="B480" s="6" t="str">
        <f>IF(ATALI[[#This Row],[N_ID]]="","",INDEX(Table1[ID],MATCH(ATALI[[#This Row],[N_ID]],Table1[N_ID],0)))</f>
        <v/>
      </c>
      <c r="C480" s="6" t="str">
        <f>IF(ATALI[[#This Row],[ID NOTA]]="","",HYPERLINK("[NOTA_.xlsx]NOTA!e"&amp;INDEX([2]!PAJAK[//],MATCH(ATALI[[#This Row],[ID NOTA]],[2]!PAJAK[ID],0)),"&gt;") )</f>
        <v/>
      </c>
      <c r="D480" s="6" t="str">
        <f>IF(ATALI[[#This Row],[ID NOTA]]="","",INDEX(Table1[QB],MATCH(ATALI[[#This Row],[ID NOTA]],Table1[ID],0)))</f>
        <v/>
      </c>
      <c r="E4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0" s="6"/>
      <c r="G480" s="3" t="str">
        <f>IF(ATALI[[#This Row],[ID NOTA]]="","",INDEX([2]!NOTA[TGL_H],MATCH(ATALI[[#This Row],[ID NOTA]],[2]!NOTA[ID],0)))</f>
        <v/>
      </c>
      <c r="H480" s="3" t="str">
        <f>IF(ATALI[[#This Row],[ID NOTA]]="","",INDEX([2]!NOTA[TGL.NOTA],MATCH(ATALI[[#This Row],[ID NOTA]],[2]!NOTA[ID],0)))</f>
        <v/>
      </c>
      <c r="I480" s="4" t="str">
        <f>IF(ATALI[[#This Row],[ID NOTA]]="","",INDEX([2]!NOTA[NO.NOTA],MATCH(ATALI[[#This Row],[ID NOTA]],[2]!NOTA[ID],0)))</f>
        <v/>
      </c>
      <c r="J480" s="4" t="str">
        <f ca="1">IF(ATALI[[#This Row],[//]]="","",INDEX([4]!db[NB PAJAK],ATALI[[#This Row],[stt]]-1))</f>
        <v/>
      </c>
      <c r="K480" s="6" t="str">
        <f ca="1">IF(ATALI[[#This Row],[//]]="","",IF(INDEX([2]!NOTA[C],ATALI[[#This Row],[//]]-2)="","",INDEX([2]!NOTA[C],ATALI[[#This Row],[//]]-2)))</f>
        <v/>
      </c>
      <c r="L480" s="6" t="str">
        <f ca="1">IF(ATALI[[#This Row],[//]]="","",INDEX([2]!NOTA[QTY],ATALI[[#This Row],[//]]-2))</f>
        <v/>
      </c>
      <c r="M480" s="6" t="str">
        <f ca="1">IF(ATALI[[#This Row],[//]]="","",INDEX([2]!NOTA[STN],ATALI[[#This Row],[//]]-2))</f>
        <v/>
      </c>
      <c r="N480" s="5" t="str">
        <f ca="1">IF(ATALI[[#This Row],[//]]="","",INDEX([2]!NOTA[HARGA SATUAN],ATALI[[#This Row],[//]]-2))</f>
        <v/>
      </c>
      <c r="O480" s="7" t="str">
        <f ca="1">IF(ATALI[[#This Row],[//]]="","",INDEX([2]!NOTA[DISC 1],ATALI[[#This Row],[//]]-2))</f>
        <v/>
      </c>
      <c r="P480" s="7" t="str">
        <f ca="1">IF(ATALI[[#This Row],[//]]="","",INDEX([2]!NOTA[DISC 2],ATALI[[#This Row],[//]]-2))</f>
        <v/>
      </c>
      <c r="Q480" s="5" t="str">
        <f ca="1">IF(ATALI[[#This Row],[//]]="","",INDEX([2]!NOTA[TOTAL],ATALI[[#This Row],[//]]-2))</f>
        <v/>
      </c>
      <c r="R4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0" s="4" t="str">
        <f ca="1">IF(ATALI[[#This Row],[//]]="","",INDEX([2]!NOTA[NAMA BARANG],ATALI[[#This Row],[//]]-2))</f>
        <v/>
      </c>
      <c r="V480" s="4" t="str">
        <f ca="1">LOWER(SUBSTITUTE(SUBSTITUTE(SUBSTITUTE(SUBSTITUTE(SUBSTITUTE(SUBSTITUTE(SUBSTITUTE(ATALI[[#This Row],[N.B.nota]]," ",""),"-",""),"(",""),")",""),".",""),",",""),"/",""))</f>
        <v/>
      </c>
      <c r="W480" s="4" t="str">
        <f ca="1">IF(ATALI[[#This Row],[concat]]="","",MATCH(ATALI[[#This Row],[concat]],[4]!db[NB NOTA_C],0)+1)</f>
        <v/>
      </c>
      <c r="X480" s="4" t="str">
        <f ca="1">IF(ATALI[[#This Row],[N.B.nota]]="","",ADDRESS(ROW(ATALI[QB]),COLUMN(ATALI[QB]))&amp;":"&amp;ADDRESS(ROW(),COLUMN(ATALI[QB])))</f>
        <v/>
      </c>
      <c r="Y480" s="13" t="str">
        <f ca="1">IF(ATALI[[#This Row],[//]]="","",HYPERLINK("[../DB.xlsx]DB!e"&amp;MATCH(ATALI[[#This Row],[concat]],[4]!db[NB NOTA_C],0)+1,"&gt;"))</f>
        <v/>
      </c>
    </row>
    <row r="481" spans="1:25" x14ac:dyDescent="0.25">
      <c r="A481" s="4"/>
      <c r="B481" s="6" t="str">
        <f>IF(ATALI[[#This Row],[N_ID]]="","",INDEX(Table1[ID],MATCH(ATALI[[#This Row],[N_ID]],Table1[N_ID],0)))</f>
        <v/>
      </c>
      <c r="C481" s="6" t="str">
        <f>IF(ATALI[[#This Row],[ID NOTA]]="","",HYPERLINK("[NOTA_.xlsx]NOTA!e"&amp;INDEX([2]!PAJAK[//],MATCH(ATALI[[#This Row],[ID NOTA]],[2]!PAJAK[ID],0)),"&gt;") )</f>
        <v/>
      </c>
      <c r="D481" s="6" t="str">
        <f>IF(ATALI[[#This Row],[ID NOTA]]="","",INDEX(Table1[QB],MATCH(ATALI[[#This Row],[ID NOTA]],Table1[ID],0)))</f>
        <v/>
      </c>
      <c r="E4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1" s="6"/>
      <c r="G481" s="3" t="str">
        <f>IF(ATALI[[#This Row],[ID NOTA]]="","",INDEX([2]!NOTA[TGL_H],MATCH(ATALI[[#This Row],[ID NOTA]],[2]!NOTA[ID],0)))</f>
        <v/>
      </c>
      <c r="H481" s="3" t="str">
        <f>IF(ATALI[[#This Row],[ID NOTA]]="","",INDEX([2]!NOTA[TGL.NOTA],MATCH(ATALI[[#This Row],[ID NOTA]],[2]!NOTA[ID],0)))</f>
        <v/>
      </c>
      <c r="I481" s="4" t="str">
        <f>IF(ATALI[[#This Row],[ID NOTA]]="","",INDEX([2]!NOTA[NO.NOTA],MATCH(ATALI[[#This Row],[ID NOTA]],[2]!NOTA[ID],0)))</f>
        <v/>
      </c>
      <c r="J481" s="4" t="str">
        <f ca="1">IF(ATALI[[#This Row],[//]]="","",INDEX([4]!db[NB PAJAK],ATALI[[#This Row],[stt]]-1))</f>
        <v/>
      </c>
      <c r="K481" s="6" t="str">
        <f ca="1">IF(ATALI[[#This Row],[//]]="","",IF(INDEX([2]!NOTA[C],ATALI[[#This Row],[//]]-2)="","",INDEX([2]!NOTA[C],ATALI[[#This Row],[//]]-2)))</f>
        <v/>
      </c>
      <c r="L481" s="6" t="str">
        <f ca="1">IF(ATALI[[#This Row],[//]]="","",INDEX([2]!NOTA[QTY],ATALI[[#This Row],[//]]-2))</f>
        <v/>
      </c>
      <c r="M481" s="6" t="str">
        <f ca="1">IF(ATALI[[#This Row],[//]]="","",INDEX([2]!NOTA[STN],ATALI[[#This Row],[//]]-2))</f>
        <v/>
      </c>
      <c r="N481" s="5" t="str">
        <f ca="1">IF(ATALI[[#This Row],[//]]="","",INDEX([2]!NOTA[HARGA SATUAN],ATALI[[#This Row],[//]]-2))</f>
        <v/>
      </c>
      <c r="O481" s="7" t="str">
        <f ca="1">IF(ATALI[[#This Row],[//]]="","",INDEX([2]!NOTA[DISC 1],ATALI[[#This Row],[//]]-2))</f>
        <v/>
      </c>
      <c r="P481" s="7" t="str">
        <f ca="1">IF(ATALI[[#This Row],[//]]="","",INDEX([2]!NOTA[DISC 2],ATALI[[#This Row],[//]]-2))</f>
        <v/>
      </c>
      <c r="Q481" s="5" t="str">
        <f ca="1">IF(ATALI[[#This Row],[//]]="","",INDEX([2]!NOTA[TOTAL],ATALI[[#This Row],[//]]-2))</f>
        <v/>
      </c>
      <c r="R4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1" s="4" t="str">
        <f ca="1">IF(ATALI[[#This Row],[//]]="","",INDEX([2]!NOTA[NAMA BARANG],ATALI[[#This Row],[//]]-2))</f>
        <v/>
      </c>
      <c r="V481" s="4" t="str">
        <f ca="1">LOWER(SUBSTITUTE(SUBSTITUTE(SUBSTITUTE(SUBSTITUTE(SUBSTITUTE(SUBSTITUTE(SUBSTITUTE(ATALI[[#This Row],[N.B.nota]]," ",""),"-",""),"(",""),")",""),".",""),",",""),"/",""))</f>
        <v/>
      </c>
      <c r="W481" s="4" t="str">
        <f ca="1">IF(ATALI[[#This Row],[concat]]="","",MATCH(ATALI[[#This Row],[concat]],[4]!db[NB NOTA_C],0)+1)</f>
        <v/>
      </c>
      <c r="X481" s="4" t="str">
        <f ca="1">IF(ATALI[[#This Row],[N.B.nota]]="","",ADDRESS(ROW(ATALI[QB]),COLUMN(ATALI[QB]))&amp;":"&amp;ADDRESS(ROW(),COLUMN(ATALI[QB])))</f>
        <v/>
      </c>
      <c r="Y481" s="13" t="str">
        <f ca="1">IF(ATALI[[#This Row],[//]]="","",HYPERLINK("[../DB.xlsx]DB!e"&amp;MATCH(ATALI[[#This Row],[concat]],[4]!db[NB NOTA_C],0)+1,"&gt;"))</f>
        <v/>
      </c>
    </row>
    <row r="482" spans="1:25" x14ac:dyDescent="0.25">
      <c r="A482" s="4"/>
      <c r="B482" s="6" t="str">
        <f>IF(ATALI[[#This Row],[N_ID]]="","",INDEX(Table1[ID],MATCH(ATALI[[#This Row],[N_ID]],Table1[N_ID],0)))</f>
        <v/>
      </c>
      <c r="C482" s="6" t="str">
        <f>IF(ATALI[[#This Row],[ID NOTA]]="","",HYPERLINK("[NOTA_.xlsx]NOTA!e"&amp;INDEX([2]!PAJAK[//],MATCH(ATALI[[#This Row],[ID NOTA]],[2]!PAJAK[ID],0)),"&gt;") )</f>
        <v/>
      </c>
      <c r="D482" s="6" t="str">
        <f>IF(ATALI[[#This Row],[ID NOTA]]="","",INDEX(Table1[QB],MATCH(ATALI[[#This Row],[ID NOTA]],Table1[ID],0)))</f>
        <v/>
      </c>
      <c r="E4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2" s="6"/>
      <c r="G482" s="3" t="str">
        <f>IF(ATALI[[#This Row],[ID NOTA]]="","",INDEX([2]!NOTA[TGL_H],MATCH(ATALI[[#This Row],[ID NOTA]],[2]!NOTA[ID],0)))</f>
        <v/>
      </c>
      <c r="H482" s="3" t="str">
        <f>IF(ATALI[[#This Row],[ID NOTA]]="","",INDEX([2]!NOTA[TGL.NOTA],MATCH(ATALI[[#This Row],[ID NOTA]],[2]!NOTA[ID],0)))</f>
        <v/>
      </c>
      <c r="I482" s="4" t="str">
        <f>IF(ATALI[[#This Row],[ID NOTA]]="","",INDEX([2]!NOTA[NO.NOTA],MATCH(ATALI[[#This Row],[ID NOTA]],[2]!NOTA[ID],0)))</f>
        <v/>
      </c>
      <c r="J482" s="4" t="str">
        <f ca="1">IF(ATALI[[#This Row],[//]]="","",INDEX([4]!db[NB PAJAK],ATALI[[#This Row],[stt]]-1))</f>
        <v/>
      </c>
      <c r="K482" s="6" t="str">
        <f ca="1">IF(ATALI[[#This Row],[//]]="","",IF(INDEX([2]!NOTA[C],ATALI[[#This Row],[//]]-2)="","",INDEX([2]!NOTA[C],ATALI[[#This Row],[//]]-2)))</f>
        <v/>
      </c>
      <c r="L482" s="6" t="str">
        <f ca="1">IF(ATALI[[#This Row],[//]]="","",INDEX([2]!NOTA[QTY],ATALI[[#This Row],[//]]-2))</f>
        <v/>
      </c>
      <c r="M482" s="6" t="str">
        <f ca="1">IF(ATALI[[#This Row],[//]]="","",INDEX([2]!NOTA[STN],ATALI[[#This Row],[//]]-2))</f>
        <v/>
      </c>
      <c r="N482" s="5" t="str">
        <f ca="1">IF(ATALI[[#This Row],[//]]="","",INDEX([2]!NOTA[HARGA SATUAN],ATALI[[#This Row],[//]]-2))</f>
        <v/>
      </c>
      <c r="O482" s="7" t="str">
        <f ca="1">IF(ATALI[[#This Row],[//]]="","",INDEX([2]!NOTA[DISC 1],ATALI[[#This Row],[//]]-2))</f>
        <v/>
      </c>
      <c r="P482" s="7" t="str">
        <f ca="1">IF(ATALI[[#This Row],[//]]="","",INDEX([2]!NOTA[DISC 2],ATALI[[#This Row],[//]]-2))</f>
        <v/>
      </c>
      <c r="Q482" s="5" t="str">
        <f ca="1">IF(ATALI[[#This Row],[//]]="","",INDEX([2]!NOTA[TOTAL],ATALI[[#This Row],[//]]-2))</f>
        <v/>
      </c>
      <c r="R4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2" s="4" t="str">
        <f ca="1">IF(ATALI[[#This Row],[//]]="","",INDEX([2]!NOTA[NAMA BARANG],ATALI[[#This Row],[//]]-2))</f>
        <v/>
      </c>
      <c r="V482" s="4" t="str">
        <f ca="1">LOWER(SUBSTITUTE(SUBSTITUTE(SUBSTITUTE(SUBSTITUTE(SUBSTITUTE(SUBSTITUTE(SUBSTITUTE(ATALI[[#This Row],[N.B.nota]]," ",""),"-",""),"(",""),")",""),".",""),",",""),"/",""))</f>
        <v/>
      </c>
      <c r="W482" s="4" t="str">
        <f ca="1">IF(ATALI[[#This Row],[concat]]="","",MATCH(ATALI[[#This Row],[concat]],[4]!db[NB NOTA_C],0)+1)</f>
        <v/>
      </c>
      <c r="X482" s="4" t="str">
        <f ca="1">IF(ATALI[[#This Row],[N.B.nota]]="","",ADDRESS(ROW(ATALI[QB]),COLUMN(ATALI[QB]))&amp;":"&amp;ADDRESS(ROW(),COLUMN(ATALI[QB])))</f>
        <v/>
      </c>
      <c r="Y482" s="13" t="str">
        <f ca="1">IF(ATALI[[#This Row],[//]]="","",HYPERLINK("[../DB.xlsx]DB!e"&amp;MATCH(ATALI[[#This Row],[concat]],[4]!db[NB NOTA_C],0)+1,"&gt;"))</f>
        <v/>
      </c>
    </row>
    <row r="483" spans="1:25" x14ac:dyDescent="0.25">
      <c r="A483" s="4"/>
      <c r="B483" s="6" t="str">
        <f>IF(ATALI[[#This Row],[N_ID]]="","",INDEX(Table1[ID],MATCH(ATALI[[#This Row],[N_ID]],Table1[N_ID],0)))</f>
        <v/>
      </c>
      <c r="C483" s="6" t="str">
        <f>IF(ATALI[[#This Row],[ID NOTA]]="","",HYPERLINK("[NOTA_.xlsx]NOTA!e"&amp;INDEX([2]!PAJAK[//],MATCH(ATALI[[#This Row],[ID NOTA]],[2]!PAJAK[ID],0)),"&gt;") )</f>
        <v/>
      </c>
      <c r="D483" s="6" t="str">
        <f>IF(ATALI[[#This Row],[ID NOTA]]="","",INDEX(Table1[QB],MATCH(ATALI[[#This Row],[ID NOTA]],Table1[ID],0)))</f>
        <v/>
      </c>
      <c r="E4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3" s="6"/>
      <c r="G483" s="3" t="str">
        <f>IF(ATALI[[#This Row],[ID NOTA]]="","",INDEX([2]!NOTA[TGL_H],MATCH(ATALI[[#This Row],[ID NOTA]],[2]!NOTA[ID],0)))</f>
        <v/>
      </c>
      <c r="H483" s="3" t="str">
        <f>IF(ATALI[[#This Row],[ID NOTA]]="","",INDEX([2]!NOTA[TGL.NOTA],MATCH(ATALI[[#This Row],[ID NOTA]],[2]!NOTA[ID],0)))</f>
        <v/>
      </c>
      <c r="I483" s="4" t="str">
        <f>IF(ATALI[[#This Row],[ID NOTA]]="","",INDEX([2]!NOTA[NO.NOTA],MATCH(ATALI[[#This Row],[ID NOTA]],[2]!NOTA[ID],0)))</f>
        <v/>
      </c>
      <c r="J483" s="4" t="str">
        <f ca="1">IF(ATALI[[#This Row],[//]]="","",INDEX([4]!db[NB PAJAK],ATALI[[#This Row],[stt]]-1))</f>
        <v/>
      </c>
      <c r="K483" s="6" t="str">
        <f ca="1">IF(ATALI[[#This Row],[//]]="","",IF(INDEX([2]!NOTA[C],ATALI[[#This Row],[//]]-2)="","",INDEX([2]!NOTA[C],ATALI[[#This Row],[//]]-2)))</f>
        <v/>
      </c>
      <c r="L483" s="6" t="str">
        <f ca="1">IF(ATALI[[#This Row],[//]]="","",INDEX([2]!NOTA[QTY],ATALI[[#This Row],[//]]-2))</f>
        <v/>
      </c>
      <c r="M483" s="6" t="str">
        <f ca="1">IF(ATALI[[#This Row],[//]]="","",INDEX([2]!NOTA[STN],ATALI[[#This Row],[//]]-2))</f>
        <v/>
      </c>
      <c r="N483" s="5" t="str">
        <f ca="1">IF(ATALI[[#This Row],[//]]="","",INDEX([2]!NOTA[HARGA SATUAN],ATALI[[#This Row],[//]]-2))</f>
        <v/>
      </c>
      <c r="O483" s="7" t="str">
        <f ca="1">IF(ATALI[[#This Row],[//]]="","",INDEX([2]!NOTA[DISC 1],ATALI[[#This Row],[//]]-2))</f>
        <v/>
      </c>
      <c r="P483" s="7" t="str">
        <f ca="1">IF(ATALI[[#This Row],[//]]="","",INDEX([2]!NOTA[DISC 2],ATALI[[#This Row],[//]]-2))</f>
        <v/>
      </c>
      <c r="Q483" s="5" t="str">
        <f ca="1">IF(ATALI[[#This Row],[//]]="","",INDEX([2]!NOTA[TOTAL],ATALI[[#This Row],[//]]-2))</f>
        <v/>
      </c>
      <c r="R4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3" s="4" t="str">
        <f ca="1">IF(ATALI[[#This Row],[//]]="","",INDEX([2]!NOTA[NAMA BARANG],ATALI[[#This Row],[//]]-2))</f>
        <v/>
      </c>
      <c r="V483" s="4" t="str">
        <f ca="1">LOWER(SUBSTITUTE(SUBSTITUTE(SUBSTITUTE(SUBSTITUTE(SUBSTITUTE(SUBSTITUTE(SUBSTITUTE(ATALI[[#This Row],[N.B.nota]]," ",""),"-",""),"(",""),")",""),".",""),",",""),"/",""))</f>
        <v/>
      </c>
      <c r="W483" s="4" t="str">
        <f ca="1">IF(ATALI[[#This Row],[concat]]="","",MATCH(ATALI[[#This Row],[concat]],[4]!db[NB NOTA_C],0)+1)</f>
        <v/>
      </c>
      <c r="X483" s="4" t="str">
        <f ca="1">IF(ATALI[[#This Row],[N.B.nota]]="","",ADDRESS(ROW(ATALI[QB]),COLUMN(ATALI[QB]))&amp;":"&amp;ADDRESS(ROW(),COLUMN(ATALI[QB])))</f>
        <v/>
      </c>
      <c r="Y483" s="13" t="str">
        <f ca="1">IF(ATALI[[#This Row],[//]]="","",HYPERLINK("[../DB.xlsx]DB!e"&amp;MATCH(ATALI[[#This Row],[concat]],[4]!db[NB NOTA_C],0)+1,"&gt;"))</f>
        <v/>
      </c>
    </row>
    <row r="484" spans="1:25" x14ac:dyDescent="0.25">
      <c r="A484" s="4"/>
      <c r="B484" s="6" t="str">
        <f>IF(ATALI[[#This Row],[N_ID]]="","",INDEX(Table1[ID],MATCH(ATALI[[#This Row],[N_ID]],Table1[N_ID],0)))</f>
        <v/>
      </c>
      <c r="C484" s="6" t="str">
        <f>IF(ATALI[[#This Row],[ID NOTA]]="","",HYPERLINK("[NOTA_.xlsx]NOTA!e"&amp;INDEX([2]!PAJAK[//],MATCH(ATALI[[#This Row],[ID NOTA]],[2]!PAJAK[ID],0)),"&gt;") )</f>
        <v/>
      </c>
      <c r="D484" s="6" t="str">
        <f>IF(ATALI[[#This Row],[ID NOTA]]="","",INDEX(Table1[QB],MATCH(ATALI[[#This Row],[ID NOTA]],Table1[ID],0)))</f>
        <v/>
      </c>
      <c r="E4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4" s="6"/>
      <c r="G484" s="3" t="str">
        <f>IF(ATALI[[#This Row],[ID NOTA]]="","",INDEX([2]!NOTA[TGL_H],MATCH(ATALI[[#This Row],[ID NOTA]],[2]!NOTA[ID],0)))</f>
        <v/>
      </c>
      <c r="H484" s="3" t="str">
        <f>IF(ATALI[[#This Row],[ID NOTA]]="","",INDEX([2]!NOTA[TGL.NOTA],MATCH(ATALI[[#This Row],[ID NOTA]],[2]!NOTA[ID],0)))</f>
        <v/>
      </c>
      <c r="I484" s="4" t="str">
        <f>IF(ATALI[[#This Row],[ID NOTA]]="","",INDEX([2]!NOTA[NO.NOTA],MATCH(ATALI[[#This Row],[ID NOTA]],[2]!NOTA[ID],0)))</f>
        <v/>
      </c>
      <c r="J484" s="4" t="str">
        <f ca="1">IF(ATALI[[#This Row],[//]]="","",INDEX([4]!db[NB PAJAK],ATALI[[#This Row],[stt]]-1))</f>
        <v/>
      </c>
      <c r="K484" s="6" t="str">
        <f ca="1">IF(ATALI[[#This Row],[//]]="","",IF(INDEX([2]!NOTA[C],ATALI[[#This Row],[//]]-2)="","",INDEX([2]!NOTA[C],ATALI[[#This Row],[//]]-2)))</f>
        <v/>
      </c>
      <c r="L484" s="6" t="str">
        <f ca="1">IF(ATALI[[#This Row],[//]]="","",INDEX([2]!NOTA[QTY],ATALI[[#This Row],[//]]-2))</f>
        <v/>
      </c>
      <c r="M484" s="6" t="str">
        <f ca="1">IF(ATALI[[#This Row],[//]]="","",INDEX([2]!NOTA[STN],ATALI[[#This Row],[//]]-2))</f>
        <v/>
      </c>
      <c r="N484" s="5" t="str">
        <f ca="1">IF(ATALI[[#This Row],[//]]="","",INDEX([2]!NOTA[HARGA SATUAN],ATALI[[#This Row],[//]]-2))</f>
        <v/>
      </c>
      <c r="O484" s="7" t="str">
        <f ca="1">IF(ATALI[[#This Row],[//]]="","",INDEX([2]!NOTA[DISC 1],ATALI[[#This Row],[//]]-2))</f>
        <v/>
      </c>
      <c r="P484" s="7" t="str">
        <f ca="1">IF(ATALI[[#This Row],[//]]="","",INDEX([2]!NOTA[DISC 2],ATALI[[#This Row],[//]]-2))</f>
        <v/>
      </c>
      <c r="Q484" s="5" t="str">
        <f ca="1">IF(ATALI[[#This Row],[//]]="","",INDEX([2]!NOTA[TOTAL],ATALI[[#This Row],[//]]-2))</f>
        <v/>
      </c>
      <c r="R4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4" s="4" t="str">
        <f ca="1">IF(ATALI[[#This Row],[//]]="","",INDEX([2]!NOTA[NAMA BARANG],ATALI[[#This Row],[//]]-2))</f>
        <v/>
      </c>
      <c r="V484" s="4" t="str">
        <f ca="1">LOWER(SUBSTITUTE(SUBSTITUTE(SUBSTITUTE(SUBSTITUTE(SUBSTITUTE(SUBSTITUTE(SUBSTITUTE(ATALI[[#This Row],[N.B.nota]]," ",""),"-",""),"(",""),")",""),".",""),",",""),"/",""))</f>
        <v/>
      </c>
      <c r="W484" s="4" t="str">
        <f ca="1">IF(ATALI[[#This Row],[concat]]="","",MATCH(ATALI[[#This Row],[concat]],[4]!db[NB NOTA_C],0)+1)</f>
        <v/>
      </c>
      <c r="X484" s="4" t="str">
        <f ca="1">IF(ATALI[[#This Row],[N.B.nota]]="","",ADDRESS(ROW(ATALI[QB]),COLUMN(ATALI[QB]))&amp;":"&amp;ADDRESS(ROW(),COLUMN(ATALI[QB])))</f>
        <v/>
      </c>
      <c r="Y484" s="13" t="str">
        <f ca="1">IF(ATALI[[#This Row],[//]]="","",HYPERLINK("[../DB.xlsx]DB!e"&amp;MATCH(ATALI[[#This Row],[concat]],[4]!db[NB NOTA_C],0)+1,"&gt;"))</f>
        <v/>
      </c>
    </row>
    <row r="485" spans="1:25" x14ac:dyDescent="0.25">
      <c r="A485" s="4"/>
      <c r="B485" s="6" t="str">
        <f>IF(ATALI[[#This Row],[N_ID]]="","",INDEX(Table1[ID],MATCH(ATALI[[#This Row],[N_ID]],Table1[N_ID],0)))</f>
        <v/>
      </c>
      <c r="C485" s="6" t="str">
        <f>IF(ATALI[[#This Row],[ID NOTA]]="","",HYPERLINK("[NOTA_.xlsx]NOTA!e"&amp;INDEX([2]!PAJAK[//],MATCH(ATALI[[#This Row],[ID NOTA]],[2]!PAJAK[ID],0)),"&gt;") )</f>
        <v/>
      </c>
      <c r="D485" s="6" t="str">
        <f>IF(ATALI[[#This Row],[ID NOTA]]="","",INDEX(Table1[QB],MATCH(ATALI[[#This Row],[ID NOTA]],Table1[ID],0)))</f>
        <v/>
      </c>
      <c r="E4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5" s="6"/>
      <c r="G485" s="3" t="str">
        <f>IF(ATALI[[#This Row],[ID NOTA]]="","",INDEX([2]!NOTA[TGL_H],MATCH(ATALI[[#This Row],[ID NOTA]],[2]!NOTA[ID],0)))</f>
        <v/>
      </c>
      <c r="H485" s="3" t="str">
        <f>IF(ATALI[[#This Row],[ID NOTA]]="","",INDEX([2]!NOTA[TGL.NOTA],MATCH(ATALI[[#This Row],[ID NOTA]],[2]!NOTA[ID],0)))</f>
        <v/>
      </c>
      <c r="I485" s="4" t="str">
        <f>IF(ATALI[[#This Row],[ID NOTA]]="","",INDEX([2]!NOTA[NO.NOTA],MATCH(ATALI[[#This Row],[ID NOTA]],[2]!NOTA[ID],0)))</f>
        <v/>
      </c>
      <c r="J485" s="4" t="str">
        <f ca="1">IF(ATALI[[#This Row],[//]]="","",INDEX([4]!db[NB PAJAK],ATALI[[#This Row],[stt]]-1))</f>
        <v/>
      </c>
      <c r="K485" s="6" t="str">
        <f ca="1">IF(ATALI[[#This Row],[//]]="","",IF(INDEX([2]!NOTA[C],ATALI[[#This Row],[//]]-2)="","",INDEX([2]!NOTA[C],ATALI[[#This Row],[//]]-2)))</f>
        <v/>
      </c>
      <c r="L485" s="6" t="str">
        <f ca="1">IF(ATALI[[#This Row],[//]]="","",INDEX([2]!NOTA[QTY],ATALI[[#This Row],[//]]-2))</f>
        <v/>
      </c>
      <c r="M485" s="6" t="str">
        <f ca="1">IF(ATALI[[#This Row],[//]]="","",INDEX([2]!NOTA[STN],ATALI[[#This Row],[//]]-2))</f>
        <v/>
      </c>
      <c r="N485" s="5" t="str">
        <f ca="1">IF(ATALI[[#This Row],[//]]="","",INDEX([2]!NOTA[HARGA SATUAN],ATALI[[#This Row],[//]]-2))</f>
        <v/>
      </c>
      <c r="O485" s="7" t="str">
        <f ca="1">IF(ATALI[[#This Row],[//]]="","",INDEX([2]!NOTA[DISC 1],ATALI[[#This Row],[//]]-2))</f>
        <v/>
      </c>
      <c r="P485" s="7" t="str">
        <f ca="1">IF(ATALI[[#This Row],[//]]="","",INDEX([2]!NOTA[DISC 2],ATALI[[#This Row],[//]]-2))</f>
        <v/>
      </c>
      <c r="Q485" s="5" t="str">
        <f ca="1">IF(ATALI[[#This Row],[//]]="","",INDEX([2]!NOTA[TOTAL],ATALI[[#This Row],[//]]-2))</f>
        <v/>
      </c>
      <c r="R4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5" s="4" t="str">
        <f ca="1">IF(ATALI[[#This Row],[//]]="","",INDEX([2]!NOTA[NAMA BARANG],ATALI[[#This Row],[//]]-2))</f>
        <v/>
      </c>
      <c r="V485" s="4" t="str">
        <f ca="1">LOWER(SUBSTITUTE(SUBSTITUTE(SUBSTITUTE(SUBSTITUTE(SUBSTITUTE(SUBSTITUTE(SUBSTITUTE(ATALI[[#This Row],[N.B.nota]]," ",""),"-",""),"(",""),")",""),".",""),",",""),"/",""))</f>
        <v/>
      </c>
      <c r="W485" s="4" t="str">
        <f ca="1">IF(ATALI[[#This Row],[concat]]="","",MATCH(ATALI[[#This Row],[concat]],[4]!db[NB NOTA_C],0)+1)</f>
        <v/>
      </c>
      <c r="X485" s="4" t="str">
        <f ca="1">IF(ATALI[[#This Row],[N.B.nota]]="","",ADDRESS(ROW(ATALI[QB]),COLUMN(ATALI[QB]))&amp;":"&amp;ADDRESS(ROW(),COLUMN(ATALI[QB])))</f>
        <v/>
      </c>
      <c r="Y485" s="13" t="str">
        <f ca="1">IF(ATALI[[#This Row],[//]]="","",HYPERLINK("[../DB.xlsx]DB!e"&amp;MATCH(ATALI[[#This Row],[concat]],[4]!db[NB NOTA_C],0)+1,"&gt;"))</f>
        <v/>
      </c>
    </row>
    <row r="486" spans="1:25" x14ac:dyDescent="0.25">
      <c r="A486" s="4"/>
      <c r="B486" s="6" t="str">
        <f>IF(ATALI[[#This Row],[N_ID]]="","",INDEX(Table1[ID],MATCH(ATALI[[#This Row],[N_ID]],Table1[N_ID],0)))</f>
        <v/>
      </c>
      <c r="C486" s="6" t="str">
        <f>IF(ATALI[[#This Row],[ID NOTA]]="","",HYPERLINK("[NOTA_.xlsx]NOTA!e"&amp;INDEX([2]!PAJAK[//],MATCH(ATALI[[#This Row],[ID NOTA]],[2]!PAJAK[ID],0)),"&gt;") )</f>
        <v/>
      </c>
      <c r="D486" s="6" t="str">
        <f>IF(ATALI[[#This Row],[ID NOTA]]="","",INDEX(Table1[QB],MATCH(ATALI[[#This Row],[ID NOTA]],Table1[ID],0)))</f>
        <v/>
      </c>
      <c r="E4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6" s="6"/>
      <c r="G486" s="3" t="str">
        <f>IF(ATALI[[#This Row],[ID NOTA]]="","",INDEX([2]!NOTA[TGL_H],MATCH(ATALI[[#This Row],[ID NOTA]],[2]!NOTA[ID],0)))</f>
        <v/>
      </c>
      <c r="H486" s="3" t="str">
        <f>IF(ATALI[[#This Row],[ID NOTA]]="","",INDEX([2]!NOTA[TGL.NOTA],MATCH(ATALI[[#This Row],[ID NOTA]],[2]!NOTA[ID],0)))</f>
        <v/>
      </c>
      <c r="I486" s="4" t="str">
        <f>IF(ATALI[[#This Row],[ID NOTA]]="","",INDEX([2]!NOTA[NO.NOTA],MATCH(ATALI[[#This Row],[ID NOTA]],[2]!NOTA[ID],0)))</f>
        <v/>
      </c>
      <c r="J486" s="4" t="str">
        <f ca="1">IF(ATALI[[#This Row],[//]]="","",INDEX([4]!db[NB PAJAK],ATALI[[#This Row],[stt]]-1))</f>
        <v/>
      </c>
      <c r="K486" s="6" t="str">
        <f ca="1">IF(ATALI[[#This Row],[//]]="","",IF(INDEX([2]!NOTA[C],ATALI[[#This Row],[//]]-2)="","",INDEX([2]!NOTA[C],ATALI[[#This Row],[//]]-2)))</f>
        <v/>
      </c>
      <c r="L486" s="6" t="str">
        <f ca="1">IF(ATALI[[#This Row],[//]]="","",INDEX([2]!NOTA[QTY],ATALI[[#This Row],[//]]-2))</f>
        <v/>
      </c>
      <c r="M486" s="6" t="str">
        <f ca="1">IF(ATALI[[#This Row],[//]]="","",INDEX([2]!NOTA[STN],ATALI[[#This Row],[//]]-2))</f>
        <v/>
      </c>
      <c r="N486" s="5" t="str">
        <f ca="1">IF(ATALI[[#This Row],[//]]="","",INDEX([2]!NOTA[HARGA SATUAN],ATALI[[#This Row],[//]]-2))</f>
        <v/>
      </c>
      <c r="O486" s="7" t="str">
        <f ca="1">IF(ATALI[[#This Row],[//]]="","",INDEX([2]!NOTA[DISC 1],ATALI[[#This Row],[//]]-2))</f>
        <v/>
      </c>
      <c r="P486" s="7" t="str">
        <f ca="1">IF(ATALI[[#This Row],[//]]="","",INDEX([2]!NOTA[DISC 2],ATALI[[#This Row],[//]]-2))</f>
        <v/>
      </c>
      <c r="Q486" s="5" t="str">
        <f ca="1">IF(ATALI[[#This Row],[//]]="","",INDEX([2]!NOTA[TOTAL],ATALI[[#This Row],[//]]-2))</f>
        <v/>
      </c>
      <c r="R4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6" s="4" t="str">
        <f ca="1">IF(ATALI[[#This Row],[//]]="","",INDEX([2]!NOTA[NAMA BARANG],ATALI[[#This Row],[//]]-2))</f>
        <v/>
      </c>
      <c r="V486" s="4" t="str">
        <f ca="1">LOWER(SUBSTITUTE(SUBSTITUTE(SUBSTITUTE(SUBSTITUTE(SUBSTITUTE(SUBSTITUTE(SUBSTITUTE(ATALI[[#This Row],[N.B.nota]]," ",""),"-",""),"(",""),")",""),".",""),",",""),"/",""))</f>
        <v/>
      </c>
      <c r="W486" s="4" t="str">
        <f ca="1">IF(ATALI[[#This Row],[concat]]="","",MATCH(ATALI[[#This Row],[concat]],[4]!db[NB NOTA_C],0)+1)</f>
        <v/>
      </c>
      <c r="X486" s="4" t="str">
        <f ca="1">IF(ATALI[[#This Row],[N.B.nota]]="","",ADDRESS(ROW(ATALI[QB]),COLUMN(ATALI[QB]))&amp;":"&amp;ADDRESS(ROW(),COLUMN(ATALI[QB])))</f>
        <v/>
      </c>
      <c r="Y486" s="13" t="str">
        <f ca="1">IF(ATALI[[#This Row],[//]]="","",HYPERLINK("[../DB.xlsx]DB!e"&amp;MATCH(ATALI[[#This Row],[concat]],[4]!db[NB NOTA_C],0)+1,"&gt;"))</f>
        <v/>
      </c>
    </row>
    <row r="487" spans="1:25" x14ac:dyDescent="0.25">
      <c r="A487" s="4"/>
      <c r="B487" s="6" t="str">
        <f>IF(ATALI[[#This Row],[N_ID]]="","",INDEX(Table1[ID],MATCH(ATALI[[#This Row],[N_ID]],Table1[N_ID],0)))</f>
        <v/>
      </c>
      <c r="C487" s="6" t="str">
        <f>IF(ATALI[[#This Row],[ID NOTA]]="","",HYPERLINK("[NOTA_.xlsx]NOTA!e"&amp;INDEX([2]!PAJAK[//],MATCH(ATALI[[#This Row],[ID NOTA]],[2]!PAJAK[ID],0)),"&gt;") )</f>
        <v/>
      </c>
      <c r="D487" s="6" t="str">
        <f>IF(ATALI[[#This Row],[ID NOTA]]="","",INDEX(Table1[QB],MATCH(ATALI[[#This Row],[ID NOTA]],Table1[ID],0)))</f>
        <v/>
      </c>
      <c r="E4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7" s="6"/>
      <c r="G487" s="3" t="str">
        <f>IF(ATALI[[#This Row],[ID NOTA]]="","",INDEX([2]!NOTA[TGL_H],MATCH(ATALI[[#This Row],[ID NOTA]],[2]!NOTA[ID],0)))</f>
        <v/>
      </c>
      <c r="H487" s="3" t="str">
        <f>IF(ATALI[[#This Row],[ID NOTA]]="","",INDEX([2]!NOTA[TGL.NOTA],MATCH(ATALI[[#This Row],[ID NOTA]],[2]!NOTA[ID],0)))</f>
        <v/>
      </c>
      <c r="I487" s="4" t="str">
        <f>IF(ATALI[[#This Row],[ID NOTA]]="","",INDEX([2]!NOTA[NO.NOTA],MATCH(ATALI[[#This Row],[ID NOTA]],[2]!NOTA[ID],0)))</f>
        <v/>
      </c>
      <c r="J487" s="4" t="str">
        <f ca="1">IF(ATALI[[#This Row],[//]]="","",INDEX([4]!db[NB PAJAK],ATALI[[#This Row],[stt]]-1))</f>
        <v/>
      </c>
      <c r="K487" s="6" t="str">
        <f ca="1">IF(ATALI[[#This Row],[//]]="","",IF(INDEX([2]!NOTA[C],ATALI[[#This Row],[//]]-2)="","",INDEX([2]!NOTA[C],ATALI[[#This Row],[//]]-2)))</f>
        <v/>
      </c>
      <c r="L487" s="6" t="str">
        <f ca="1">IF(ATALI[[#This Row],[//]]="","",INDEX([2]!NOTA[QTY],ATALI[[#This Row],[//]]-2))</f>
        <v/>
      </c>
      <c r="M487" s="6" t="str">
        <f ca="1">IF(ATALI[[#This Row],[//]]="","",INDEX([2]!NOTA[STN],ATALI[[#This Row],[//]]-2))</f>
        <v/>
      </c>
      <c r="N487" s="5" t="str">
        <f ca="1">IF(ATALI[[#This Row],[//]]="","",INDEX([2]!NOTA[HARGA SATUAN],ATALI[[#This Row],[//]]-2))</f>
        <v/>
      </c>
      <c r="O487" s="7" t="str">
        <f ca="1">IF(ATALI[[#This Row],[//]]="","",INDEX([2]!NOTA[DISC 1],ATALI[[#This Row],[//]]-2))</f>
        <v/>
      </c>
      <c r="P487" s="7" t="str">
        <f ca="1">IF(ATALI[[#This Row],[//]]="","",INDEX([2]!NOTA[DISC 2],ATALI[[#This Row],[//]]-2))</f>
        <v/>
      </c>
      <c r="Q487" s="5" t="str">
        <f ca="1">IF(ATALI[[#This Row],[//]]="","",INDEX([2]!NOTA[TOTAL],ATALI[[#This Row],[//]]-2))</f>
        <v/>
      </c>
      <c r="R4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7" s="4" t="str">
        <f ca="1">IF(ATALI[[#This Row],[//]]="","",INDEX([2]!NOTA[NAMA BARANG],ATALI[[#This Row],[//]]-2))</f>
        <v/>
      </c>
      <c r="V487" s="4" t="str">
        <f ca="1">LOWER(SUBSTITUTE(SUBSTITUTE(SUBSTITUTE(SUBSTITUTE(SUBSTITUTE(SUBSTITUTE(SUBSTITUTE(ATALI[[#This Row],[N.B.nota]]," ",""),"-",""),"(",""),")",""),".",""),",",""),"/",""))</f>
        <v/>
      </c>
      <c r="W487" s="4" t="str">
        <f ca="1">IF(ATALI[[#This Row],[concat]]="","",MATCH(ATALI[[#This Row],[concat]],[4]!db[NB NOTA_C],0)+1)</f>
        <v/>
      </c>
      <c r="X487" s="4" t="str">
        <f ca="1">IF(ATALI[[#This Row],[N.B.nota]]="","",ADDRESS(ROW(ATALI[QB]),COLUMN(ATALI[QB]))&amp;":"&amp;ADDRESS(ROW(),COLUMN(ATALI[QB])))</f>
        <v/>
      </c>
      <c r="Y487" s="13" t="str">
        <f ca="1">IF(ATALI[[#This Row],[//]]="","",HYPERLINK("[../DB.xlsx]DB!e"&amp;MATCH(ATALI[[#This Row],[concat]],[4]!db[NB NOTA_C],0)+1,"&gt;"))</f>
        <v/>
      </c>
    </row>
    <row r="488" spans="1:25" x14ac:dyDescent="0.25">
      <c r="A488" s="4"/>
      <c r="B488" s="6" t="str">
        <f>IF(ATALI[[#This Row],[N_ID]]="","",INDEX(Table1[ID],MATCH(ATALI[[#This Row],[N_ID]],Table1[N_ID],0)))</f>
        <v/>
      </c>
      <c r="C488" s="6" t="str">
        <f>IF(ATALI[[#This Row],[ID NOTA]]="","",HYPERLINK("[NOTA_.xlsx]NOTA!e"&amp;INDEX([2]!PAJAK[//],MATCH(ATALI[[#This Row],[ID NOTA]],[2]!PAJAK[ID],0)),"&gt;") )</f>
        <v/>
      </c>
      <c r="D488" s="6" t="str">
        <f>IF(ATALI[[#This Row],[ID NOTA]]="","",INDEX(Table1[QB],MATCH(ATALI[[#This Row],[ID NOTA]],Table1[ID],0)))</f>
        <v/>
      </c>
      <c r="E4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8" s="6"/>
      <c r="G488" s="3" t="str">
        <f>IF(ATALI[[#This Row],[ID NOTA]]="","",INDEX([2]!NOTA[TGL_H],MATCH(ATALI[[#This Row],[ID NOTA]],[2]!NOTA[ID],0)))</f>
        <v/>
      </c>
      <c r="H488" s="3" t="str">
        <f>IF(ATALI[[#This Row],[ID NOTA]]="","",INDEX([2]!NOTA[TGL.NOTA],MATCH(ATALI[[#This Row],[ID NOTA]],[2]!NOTA[ID],0)))</f>
        <v/>
      </c>
      <c r="I488" s="4" t="str">
        <f>IF(ATALI[[#This Row],[ID NOTA]]="","",INDEX([2]!NOTA[NO.NOTA],MATCH(ATALI[[#This Row],[ID NOTA]],[2]!NOTA[ID],0)))</f>
        <v/>
      </c>
      <c r="J488" s="4" t="str">
        <f ca="1">IF(ATALI[[#This Row],[//]]="","",INDEX([4]!db[NB PAJAK],ATALI[[#This Row],[stt]]-1))</f>
        <v/>
      </c>
      <c r="K488" s="6" t="str">
        <f ca="1">IF(ATALI[[#This Row],[//]]="","",IF(INDEX([2]!NOTA[C],ATALI[[#This Row],[//]]-2)="","",INDEX([2]!NOTA[C],ATALI[[#This Row],[//]]-2)))</f>
        <v/>
      </c>
      <c r="L488" s="6" t="str">
        <f ca="1">IF(ATALI[[#This Row],[//]]="","",INDEX([2]!NOTA[QTY],ATALI[[#This Row],[//]]-2))</f>
        <v/>
      </c>
      <c r="M488" s="6" t="str">
        <f ca="1">IF(ATALI[[#This Row],[//]]="","",INDEX([2]!NOTA[STN],ATALI[[#This Row],[//]]-2))</f>
        <v/>
      </c>
      <c r="N488" s="5" t="str">
        <f ca="1">IF(ATALI[[#This Row],[//]]="","",INDEX([2]!NOTA[HARGA SATUAN],ATALI[[#This Row],[//]]-2))</f>
        <v/>
      </c>
      <c r="O488" s="7" t="str">
        <f ca="1">IF(ATALI[[#This Row],[//]]="","",INDEX([2]!NOTA[DISC 1],ATALI[[#This Row],[//]]-2))</f>
        <v/>
      </c>
      <c r="P488" s="7" t="str">
        <f ca="1">IF(ATALI[[#This Row],[//]]="","",INDEX([2]!NOTA[DISC 2],ATALI[[#This Row],[//]]-2))</f>
        <v/>
      </c>
      <c r="Q488" s="5" t="str">
        <f ca="1">IF(ATALI[[#This Row],[//]]="","",INDEX([2]!NOTA[TOTAL],ATALI[[#This Row],[//]]-2))</f>
        <v/>
      </c>
      <c r="R4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8" s="4" t="str">
        <f ca="1">IF(ATALI[[#This Row],[//]]="","",INDEX([2]!NOTA[NAMA BARANG],ATALI[[#This Row],[//]]-2))</f>
        <v/>
      </c>
      <c r="V488" s="4" t="str">
        <f ca="1">LOWER(SUBSTITUTE(SUBSTITUTE(SUBSTITUTE(SUBSTITUTE(SUBSTITUTE(SUBSTITUTE(SUBSTITUTE(ATALI[[#This Row],[N.B.nota]]," ",""),"-",""),"(",""),")",""),".",""),",",""),"/",""))</f>
        <v/>
      </c>
      <c r="W488" s="4" t="str">
        <f ca="1">IF(ATALI[[#This Row],[concat]]="","",MATCH(ATALI[[#This Row],[concat]],[4]!db[NB NOTA_C],0)+1)</f>
        <v/>
      </c>
      <c r="X488" s="4" t="str">
        <f ca="1">IF(ATALI[[#This Row],[N.B.nota]]="","",ADDRESS(ROW(ATALI[QB]),COLUMN(ATALI[QB]))&amp;":"&amp;ADDRESS(ROW(),COLUMN(ATALI[QB])))</f>
        <v/>
      </c>
      <c r="Y488" s="13" t="str">
        <f ca="1">IF(ATALI[[#This Row],[//]]="","",HYPERLINK("[../DB.xlsx]DB!e"&amp;MATCH(ATALI[[#This Row],[concat]],[4]!db[NB NOTA_C],0)+1,"&gt;"))</f>
        <v/>
      </c>
    </row>
    <row r="489" spans="1:25" x14ac:dyDescent="0.25">
      <c r="A489" s="4"/>
      <c r="B489" s="6" t="str">
        <f>IF(ATALI[[#This Row],[N_ID]]="","",INDEX(Table1[ID],MATCH(ATALI[[#This Row],[N_ID]],Table1[N_ID],0)))</f>
        <v/>
      </c>
      <c r="C489" s="6" t="str">
        <f>IF(ATALI[[#This Row],[ID NOTA]]="","",HYPERLINK("[NOTA_.xlsx]NOTA!e"&amp;INDEX([2]!PAJAK[//],MATCH(ATALI[[#This Row],[ID NOTA]],[2]!PAJAK[ID],0)),"&gt;") )</f>
        <v/>
      </c>
      <c r="D489" s="6" t="str">
        <f>IF(ATALI[[#This Row],[ID NOTA]]="","",INDEX(Table1[QB],MATCH(ATALI[[#This Row],[ID NOTA]],Table1[ID],0)))</f>
        <v/>
      </c>
      <c r="E4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9" s="6"/>
      <c r="G489" s="3" t="str">
        <f>IF(ATALI[[#This Row],[ID NOTA]]="","",INDEX([2]!NOTA[TGL_H],MATCH(ATALI[[#This Row],[ID NOTA]],[2]!NOTA[ID],0)))</f>
        <v/>
      </c>
      <c r="H489" s="3" t="str">
        <f>IF(ATALI[[#This Row],[ID NOTA]]="","",INDEX([2]!NOTA[TGL.NOTA],MATCH(ATALI[[#This Row],[ID NOTA]],[2]!NOTA[ID],0)))</f>
        <v/>
      </c>
      <c r="I489" s="4" t="str">
        <f>IF(ATALI[[#This Row],[ID NOTA]]="","",INDEX([2]!NOTA[NO.NOTA],MATCH(ATALI[[#This Row],[ID NOTA]],[2]!NOTA[ID],0)))</f>
        <v/>
      </c>
      <c r="J489" s="4" t="str">
        <f ca="1">IF(ATALI[[#This Row],[//]]="","",INDEX([4]!db[NB PAJAK],ATALI[[#This Row],[stt]]-1))</f>
        <v/>
      </c>
      <c r="K489" s="6" t="str">
        <f ca="1">IF(ATALI[[#This Row],[//]]="","",IF(INDEX([2]!NOTA[C],ATALI[[#This Row],[//]]-2)="","",INDEX([2]!NOTA[C],ATALI[[#This Row],[//]]-2)))</f>
        <v/>
      </c>
      <c r="L489" s="6" t="str">
        <f ca="1">IF(ATALI[[#This Row],[//]]="","",INDEX([2]!NOTA[QTY],ATALI[[#This Row],[//]]-2))</f>
        <v/>
      </c>
      <c r="M489" s="6" t="str">
        <f ca="1">IF(ATALI[[#This Row],[//]]="","",INDEX([2]!NOTA[STN],ATALI[[#This Row],[//]]-2))</f>
        <v/>
      </c>
      <c r="N489" s="5" t="str">
        <f ca="1">IF(ATALI[[#This Row],[//]]="","",INDEX([2]!NOTA[HARGA SATUAN],ATALI[[#This Row],[//]]-2))</f>
        <v/>
      </c>
      <c r="O489" s="7" t="str">
        <f ca="1">IF(ATALI[[#This Row],[//]]="","",INDEX([2]!NOTA[DISC 1],ATALI[[#This Row],[//]]-2))</f>
        <v/>
      </c>
      <c r="P489" s="7" t="str">
        <f ca="1">IF(ATALI[[#This Row],[//]]="","",INDEX([2]!NOTA[DISC 2],ATALI[[#This Row],[//]]-2))</f>
        <v/>
      </c>
      <c r="Q489" s="5" t="str">
        <f ca="1">IF(ATALI[[#This Row],[//]]="","",INDEX([2]!NOTA[TOTAL],ATALI[[#This Row],[//]]-2))</f>
        <v/>
      </c>
      <c r="R4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9" s="4" t="str">
        <f ca="1">IF(ATALI[[#This Row],[//]]="","",INDEX([2]!NOTA[NAMA BARANG],ATALI[[#This Row],[//]]-2))</f>
        <v/>
      </c>
      <c r="V489" s="4" t="str">
        <f ca="1">LOWER(SUBSTITUTE(SUBSTITUTE(SUBSTITUTE(SUBSTITUTE(SUBSTITUTE(SUBSTITUTE(SUBSTITUTE(ATALI[[#This Row],[N.B.nota]]," ",""),"-",""),"(",""),")",""),".",""),",",""),"/",""))</f>
        <v/>
      </c>
      <c r="W489" s="4" t="str">
        <f ca="1">IF(ATALI[[#This Row],[concat]]="","",MATCH(ATALI[[#This Row],[concat]],[4]!db[NB NOTA_C],0)+1)</f>
        <v/>
      </c>
      <c r="X489" s="4" t="str">
        <f ca="1">IF(ATALI[[#This Row],[N.B.nota]]="","",ADDRESS(ROW(ATALI[QB]),COLUMN(ATALI[QB]))&amp;":"&amp;ADDRESS(ROW(),COLUMN(ATALI[QB])))</f>
        <v/>
      </c>
      <c r="Y489" s="13" t="str">
        <f ca="1">IF(ATALI[[#This Row],[//]]="","",HYPERLINK("[../DB.xlsx]DB!e"&amp;MATCH(ATALI[[#This Row],[concat]],[4]!db[NB NOTA_C],0)+1,"&gt;"))</f>
        <v/>
      </c>
    </row>
    <row r="490" spans="1:25" x14ac:dyDescent="0.25">
      <c r="A490" s="4"/>
      <c r="B490" s="6" t="str">
        <f>IF(ATALI[[#This Row],[N_ID]]="","",INDEX(Table1[ID],MATCH(ATALI[[#This Row],[N_ID]],Table1[N_ID],0)))</f>
        <v/>
      </c>
      <c r="C490" s="6" t="str">
        <f>IF(ATALI[[#This Row],[ID NOTA]]="","",HYPERLINK("[NOTA_.xlsx]NOTA!e"&amp;INDEX([2]!PAJAK[//],MATCH(ATALI[[#This Row],[ID NOTA]],[2]!PAJAK[ID],0)),"&gt;") )</f>
        <v/>
      </c>
      <c r="D490" s="6" t="str">
        <f>IF(ATALI[[#This Row],[ID NOTA]]="","",INDEX(Table1[QB],MATCH(ATALI[[#This Row],[ID NOTA]],Table1[ID],0)))</f>
        <v/>
      </c>
      <c r="E4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0" s="6"/>
      <c r="G490" s="3" t="str">
        <f>IF(ATALI[[#This Row],[ID NOTA]]="","",INDEX([2]!NOTA[TGL_H],MATCH(ATALI[[#This Row],[ID NOTA]],[2]!NOTA[ID],0)))</f>
        <v/>
      </c>
      <c r="H490" s="3" t="str">
        <f>IF(ATALI[[#This Row],[ID NOTA]]="","",INDEX([2]!NOTA[TGL.NOTA],MATCH(ATALI[[#This Row],[ID NOTA]],[2]!NOTA[ID],0)))</f>
        <v/>
      </c>
      <c r="I490" s="4" t="str">
        <f>IF(ATALI[[#This Row],[ID NOTA]]="","",INDEX([2]!NOTA[NO.NOTA],MATCH(ATALI[[#This Row],[ID NOTA]],[2]!NOTA[ID],0)))</f>
        <v/>
      </c>
      <c r="J490" s="4" t="str">
        <f ca="1">IF(ATALI[[#This Row],[//]]="","",INDEX([4]!db[NB PAJAK],ATALI[[#This Row],[stt]]-1))</f>
        <v/>
      </c>
      <c r="K490" s="6" t="str">
        <f ca="1">IF(ATALI[[#This Row],[//]]="","",IF(INDEX([2]!NOTA[C],ATALI[[#This Row],[//]]-2)="","",INDEX([2]!NOTA[C],ATALI[[#This Row],[//]]-2)))</f>
        <v/>
      </c>
      <c r="L490" s="6" t="str">
        <f ca="1">IF(ATALI[[#This Row],[//]]="","",INDEX([2]!NOTA[QTY],ATALI[[#This Row],[//]]-2))</f>
        <v/>
      </c>
      <c r="M490" s="6" t="str">
        <f ca="1">IF(ATALI[[#This Row],[//]]="","",INDEX([2]!NOTA[STN],ATALI[[#This Row],[//]]-2))</f>
        <v/>
      </c>
      <c r="N490" s="5" t="str">
        <f ca="1">IF(ATALI[[#This Row],[//]]="","",INDEX([2]!NOTA[HARGA SATUAN],ATALI[[#This Row],[//]]-2))</f>
        <v/>
      </c>
      <c r="O490" s="7" t="str">
        <f ca="1">IF(ATALI[[#This Row],[//]]="","",INDEX([2]!NOTA[DISC 1],ATALI[[#This Row],[//]]-2))</f>
        <v/>
      </c>
      <c r="P490" s="7" t="str">
        <f ca="1">IF(ATALI[[#This Row],[//]]="","",INDEX([2]!NOTA[DISC 2],ATALI[[#This Row],[//]]-2))</f>
        <v/>
      </c>
      <c r="Q490" s="5" t="str">
        <f ca="1">IF(ATALI[[#This Row],[//]]="","",INDEX([2]!NOTA[TOTAL],ATALI[[#This Row],[//]]-2))</f>
        <v/>
      </c>
      <c r="R4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0" s="4" t="str">
        <f ca="1">IF(ATALI[[#This Row],[//]]="","",INDEX([2]!NOTA[NAMA BARANG],ATALI[[#This Row],[//]]-2))</f>
        <v/>
      </c>
      <c r="V490" s="4" t="str">
        <f ca="1">LOWER(SUBSTITUTE(SUBSTITUTE(SUBSTITUTE(SUBSTITUTE(SUBSTITUTE(SUBSTITUTE(SUBSTITUTE(ATALI[[#This Row],[N.B.nota]]," ",""),"-",""),"(",""),")",""),".",""),",",""),"/",""))</f>
        <v/>
      </c>
      <c r="W490" s="4" t="str">
        <f ca="1">IF(ATALI[[#This Row],[concat]]="","",MATCH(ATALI[[#This Row],[concat]],[4]!db[NB NOTA_C],0)+1)</f>
        <v/>
      </c>
      <c r="X490" s="4" t="str">
        <f ca="1">IF(ATALI[[#This Row],[N.B.nota]]="","",ADDRESS(ROW(ATALI[QB]),COLUMN(ATALI[QB]))&amp;":"&amp;ADDRESS(ROW(),COLUMN(ATALI[QB])))</f>
        <v/>
      </c>
      <c r="Y490" s="13" t="str">
        <f ca="1">IF(ATALI[[#This Row],[//]]="","",HYPERLINK("[../DB.xlsx]DB!e"&amp;MATCH(ATALI[[#This Row],[concat]],[4]!db[NB NOTA_C],0)+1,"&gt;"))</f>
        <v/>
      </c>
    </row>
    <row r="491" spans="1:25" x14ac:dyDescent="0.25">
      <c r="A491" s="4"/>
      <c r="B491" s="6" t="str">
        <f>IF(ATALI[[#This Row],[N_ID]]="","",INDEX(Table1[ID],MATCH(ATALI[[#This Row],[N_ID]],Table1[N_ID],0)))</f>
        <v/>
      </c>
      <c r="C491" s="6" t="str">
        <f>IF(ATALI[[#This Row],[ID NOTA]]="","",HYPERLINK("[NOTA_.xlsx]NOTA!e"&amp;INDEX([2]!PAJAK[//],MATCH(ATALI[[#This Row],[ID NOTA]],[2]!PAJAK[ID],0)),"&gt;") )</f>
        <v/>
      </c>
      <c r="D491" s="6" t="str">
        <f>IF(ATALI[[#This Row],[ID NOTA]]="","",INDEX(Table1[QB],MATCH(ATALI[[#This Row],[ID NOTA]],Table1[ID],0)))</f>
        <v/>
      </c>
      <c r="E4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1" s="6"/>
      <c r="G491" s="3" t="str">
        <f>IF(ATALI[[#This Row],[ID NOTA]]="","",INDEX([2]!NOTA[TGL_H],MATCH(ATALI[[#This Row],[ID NOTA]],[2]!NOTA[ID],0)))</f>
        <v/>
      </c>
      <c r="H491" s="3" t="str">
        <f>IF(ATALI[[#This Row],[ID NOTA]]="","",INDEX([2]!NOTA[TGL.NOTA],MATCH(ATALI[[#This Row],[ID NOTA]],[2]!NOTA[ID],0)))</f>
        <v/>
      </c>
      <c r="I491" s="4" t="str">
        <f>IF(ATALI[[#This Row],[ID NOTA]]="","",INDEX([2]!NOTA[NO.NOTA],MATCH(ATALI[[#This Row],[ID NOTA]],[2]!NOTA[ID],0)))</f>
        <v/>
      </c>
      <c r="J491" s="4" t="str">
        <f ca="1">IF(ATALI[[#This Row],[//]]="","",INDEX([4]!db[NB PAJAK],ATALI[[#This Row],[stt]]-1))</f>
        <v/>
      </c>
      <c r="K491" s="6" t="str">
        <f ca="1">IF(ATALI[[#This Row],[//]]="","",IF(INDEX([2]!NOTA[C],ATALI[[#This Row],[//]]-2)="","",INDEX([2]!NOTA[C],ATALI[[#This Row],[//]]-2)))</f>
        <v/>
      </c>
      <c r="L491" s="6" t="str">
        <f ca="1">IF(ATALI[[#This Row],[//]]="","",INDEX([2]!NOTA[QTY],ATALI[[#This Row],[//]]-2))</f>
        <v/>
      </c>
      <c r="M491" s="6" t="str">
        <f ca="1">IF(ATALI[[#This Row],[//]]="","",INDEX([2]!NOTA[STN],ATALI[[#This Row],[//]]-2))</f>
        <v/>
      </c>
      <c r="N491" s="5" t="str">
        <f ca="1">IF(ATALI[[#This Row],[//]]="","",INDEX([2]!NOTA[HARGA SATUAN],ATALI[[#This Row],[//]]-2))</f>
        <v/>
      </c>
      <c r="O491" s="7" t="str">
        <f ca="1">IF(ATALI[[#This Row],[//]]="","",INDEX([2]!NOTA[DISC 1],ATALI[[#This Row],[//]]-2))</f>
        <v/>
      </c>
      <c r="P491" s="7" t="str">
        <f ca="1">IF(ATALI[[#This Row],[//]]="","",INDEX([2]!NOTA[DISC 2],ATALI[[#This Row],[//]]-2))</f>
        <v/>
      </c>
      <c r="Q491" s="5" t="str">
        <f ca="1">IF(ATALI[[#This Row],[//]]="","",INDEX([2]!NOTA[TOTAL],ATALI[[#This Row],[//]]-2))</f>
        <v/>
      </c>
      <c r="R4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1" s="4" t="str">
        <f ca="1">IF(ATALI[[#This Row],[//]]="","",INDEX([2]!NOTA[NAMA BARANG],ATALI[[#This Row],[//]]-2))</f>
        <v/>
      </c>
      <c r="V491" s="4" t="str">
        <f ca="1">LOWER(SUBSTITUTE(SUBSTITUTE(SUBSTITUTE(SUBSTITUTE(SUBSTITUTE(SUBSTITUTE(SUBSTITUTE(ATALI[[#This Row],[N.B.nota]]," ",""),"-",""),"(",""),")",""),".",""),",",""),"/",""))</f>
        <v/>
      </c>
      <c r="W491" s="4" t="str">
        <f ca="1">IF(ATALI[[#This Row],[concat]]="","",MATCH(ATALI[[#This Row],[concat]],[4]!db[NB NOTA_C],0)+1)</f>
        <v/>
      </c>
      <c r="X491" s="4" t="str">
        <f ca="1">IF(ATALI[[#This Row],[N.B.nota]]="","",ADDRESS(ROW(ATALI[QB]),COLUMN(ATALI[QB]))&amp;":"&amp;ADDRESS(ROW(),COLUMN(ATALI[QB])))</f>
        <v/>
      </c>
      <c r="Y491" s="13" t="str">
        <f ca="1">IF(ATALI[[#This Row],[//]]="","",HYPERLINK("[../DB.xlsx]DB!e"&amp;MATCH(ATALI[[#This Row],[concat]],[4]!db[NB NOTA_C],0)+1,"&gt;"))</f>
        <v/>
      </c>
    </row>
    <row r="492" spans="1:25" x14ac:dyDescent="0.25">
      <c r="A492" s="4"/>
      <c r="B492" s="6" t="str">
        <f>IF(ATALI[[#This Row],[N_ID]]="","",INDEX(Table1[ID],MATCH(ATALI[[#This Row],[N_ID]],Table1[N_ID],0)))</f>
        <v/>
      </c>
      <c r="C492" s="6" t="str">
        <f>IF(ATALI[[#This Row],[ID NOTA]]="","",HYPERLINK("[NOTA_.xlsx]NOTA!e"&amp;INDEX([2]!PAJAK[//],MATCH(ATALI[[#This Row],[ID NOTA]],[2]!PAJAK[ID],0)),"&gt;") )</f>
        <v/>
      </c>
      <c r="D492" s="6" t="str">
        <f>IF(ATALI[[#This Row],[ID NOTA]]="","",INDEX(Table1[QB],MATCH(ATALI[[#This Row],[ID NOTA]],Table1[ID],0)))</f>
        <v/>
      </c>
      <c r="E4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2" s="6"/>
      <c r="G492" s="3" t="str">
        <f>IF(ATALI[[#This Row],[ID NOTA]]="","",INDEX([2]!NOTA[TGL_H],MATCH(ATALI[[#This Row],[ID NOTA]],[2]!NOTA[ID],0)))</f>
        <v/>
      </c>
      <c r="H492" s="3" t="str">
        <f>IF(ATALI[[#This Row],[ID NOTA]]="","",INDEX([2]!NOTA[TGL.NOTA],MATCH(ATALI[[#This Row],[ID NOTA]],[2]!NOTA[ID],0)))</f>
        <v/>
      </c>
      <c r="I492" s="4" t="str">
        <f>IF(ATALI[[#This Row],[ID NOTA]]="","",INDEX([2]!NOTA[NO.NOTA],MATCH(ATALI[[#This Row],[ID NOTA]],[2]!NOTA[ID],0)))</f>
        <v/>
      </c>
      <c r="J492" s="4" t="str">
        <f ca="1">IF(ATALI[[#This Row],[//]]="","",INDEX([4]!db[NB PAJAK],ATALI[[#This Row],[stt]]-1))</f>
        <v/>
      </c>
      <c r="K492" s="6" t="str">
        <f ca="1">IF(ATALI[[#This Row],[//]]="","",IF(INDEX([2]!NOTA[C],ATALI[[#This Row],[//]]-2)="","",INDEX([2]!NOTA[C],ATALI[[#This Row],[//]]-2)))</f>
        <v/>
      </c>
      <c r="L492" s="6" t="str">
        <f ca="1">IF(ATALI[[#This Row],[//]]="","",INDEX([2]!NOTA[QTY],ATALI[[#This Row],[//]]-2))</f>
        <v/>
      </c>
      <c r="M492" s="6" t="str">
        <f ca="1">IF(ATALI[[#This Row],[//]]="","",INDEX([2]!NOTA[STN],ATALI[[#This Row],[//]]-2))</f>
        <v/>
      </c>
      <c r="N492" s="5" t="str">
        <f ca="1">IF(ATALI[[#This Row],[//]]="","",INDEX([2]!NOTA[HARGA SATUAN],ATALI[[#This Row],[//]]-2))</f>
        <v/>
      </c>
      <c r="O492" s="7" t="str">
        <f ca="1">IF(ATALI[[#This Row],[//]]="","",INDEX([2]!NOTA[DISC 1],ATALI[[#This Row],[//]]-2))</f>
        <v/>
      </c>
      <c r="P492" s="7" t="str">
        <f ca="1">IF(ATALI[[#This Row],[//]]="","",INDEX([2]!NOTA[DISC 2],ATALI[[#This Row],[//]]-2))</f>
        <v/>
      </c>
      <c r="Q492" s="5" t="str">
        <f ca="1">IF(ATALI[[#This Row],[//]]="","",INDEX([2]!NOTA[TOTAL],ATALI[[#This Row],[//]]-2))</f>
        <v/>
      </c>
      <c r="R4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2" s="4" t="str">
        <f ca="1">IF(ATALI[[#This Row],[//]]="","",INDEX([2]!NOTA[NAMA BARANG],ATALI[[#This Row],[//]]-2))</f>
        <v/>
      </c>
      <c r="V492" s="4" t="str">
        <f ca="1">LOWER(SUBSTITUTE(SUBSTITUTE(SUBSTITUTE(SUBSTITUTE(SUBSTITUTE(SUBSTITUTE(SUBSTITUTE(ATALI[[#This Row],[N.B.nota]]," ",""),"-",""),"(",""),")",""),".",""),",",""),"/",""))</f>
        <v/>
      </c>
      <c r="W492" s="4" t="str">
        <f ca="1">IF(ATALI[[#This Row],[concat]]="","",MATCH(ATALI[[#This Row],[concat]],[4]!db[NB NOTA_C],0)+1)</f>
        <v/>
      </c>
      <c r="X492" s="4" t="str">
        <f ca="1">IF(ATALI[[#This Row],[N.B.nota]]="","",ADDRESS(ROW(ATALI[QB]),COLUMN(ATALI[QB]))&amp;":"&amp;ADDRESS(ROW(),COLUMN(ATALI[QB])))</f>
        <v/>
      </c>
      <c r="Y492" s="13" t="str">
        <f ca="1">IF(ATALI[[#This Row],[//]]="","",HYPERLINK("[../DB.xlsx]DB!e"&amp;MATCH(ATALI[[#This Row],[concat]],[4]!db[NB NOTA_C],0)+1,"&gt;"))</f>
        <v/>
      </c>
    </row>
    <row r="493" spans="1:25" x14ac:dyDescent="0.25">
      <c r="A493" s="4"/>
      <c r="B493" s="6" t="str">
        <f>IF(ATALI[[#This Row],[N_ID]]="","",INDEX(Table1[ID],MATCH(ATALI[[#This Row],[N_ID]],Table1[N_ID],0)))</f>
        <v/>
      </c>
      <c r="C493" s="6" t="str">
        <f>IF(ATALI[[#This Row],[ID NOTA]]="","",HYPERLINK("[NOTA_.xlsx]NOTA!e"&amp;INDEX([2]!PAJAK[//],MATCH(ATALI[[#This Row],[ID NOTA]],[2]!PAJAK[ID],0)),"&gt;") )</f>
        <v/>
      </c>
      <c r="D493" s="6" t="str">
        <f>IF(ATALI[[#This Row],[ID NOTA]]="","",INDEX(Table1[QB],MATCH(ATALI[[#This Row],[ID NOTA]],Table1[ID],0)))</f>
        <v/>
      </c>
      <c r="E4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3" s="6"/>
      <c r="G493" s="3" t="str">
        <f>IF(ATALI[[#This Row],[ID NOTA]]="","",INDEX([2]!NOTA[TGL_H],MATCH(ATALI[[#This Row],[ID NOTA]],[2]!NOTA[ID],0)))</f>
        <v/>
      </c>
      <c r="H493" s="3" t="str">
        <f>IF(ATALI[[#This Row],[ID NOTA]]="","",INDEX([2]!NOTA[TGL.NOTA],MATCH(ATALI[[#This Row],[ID NOTA]],[2]!NOTA[ID],0)))</f>
        <v/>
      </c>
      <c r="I493" s="4" t="str">
        <f>IF(ATALI[[#This Row],[ID NOTA]]="","",INDEX([2]!NOTA[NO.NOTA],MATCH(ATALI[[#This Row],[ID NOTA]],[2]!NOTA[ID],0)))</f>
        <v/>
      </c>
      <c r="J493" s="4" t="str">
        <f ca="1">IF(ATALI[[#This Row],[//]]="","",INDEX([4]!db[NB PAJAK],ATALI[[#This Row],[stt]]-1))</f>
        <v/>
      </c>
      <c r="K493" s="6" t="str">
        <f ca="1">IF(ATALI[[#This Row],[//]]="","",IF(INDEX([2]!NOTA[C],ATALI[[#This Row],[//]]-2)="","",INDEX([2]!NOTA[C],ATALI[[#This Row],[//]]-2)))</f>
        <v/>
      </c>
      <c r="L493" s="6" t="str">
        <f ca="1">IF(ATALI[[#This Row],[//]]="","",INDEX([2]!NOTA[QTY],ATALI[[#This Row],[//]]-2))</f>
        <v/>
      </c>
      <c r="M493" s="6" t="str">
        <f ca="1">IF(ATALI[[#This Row],[//]]="","",INDEX([2]!NOTA[STN],ATALI[[#This Row],[//]]-2))</f>
        <v/>
      </c>
      <c r="N493" s="5" t="str">
        <f ca="1">IF(ATALI[[#This Row],[//]]="","",INDEX([2]!NOTA[HARGA SATUAN],ATALI[[#This Row],[//]]-2))</f>
        <v/>
      </c>
      <c r="O493" s="7" t="str">
        <f ca="1">IF(ATALI[[#This Row],[//]]="","",INDEX([2]!NOTA[DISC 1],ATALI[[#This Row],[//]]-2))</f>
        <v/>
      </c>
      <c r="P493" s="7" t="str">
        <f ca="1">IF(ATALI[[#This Row],[//]]="","",INDEX([2]!NOTA[DISC 2],ATALI[[#This Row],[//]]-2))</f>
        <v/>
      </c>
      <c r="Q493" s="5" t="str">
        <f ca="1">IF(ATALI[[#This Row],[//]]="","",INDEX([2]!NOTA[TOTAL],ATALI[[#This Row],[//]]-2))</f>
        <v/>
      </c>
      <c r="R4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3" s="4" t="str">
        <f ca="1">IF(ATALI[[#This Row],[//]]="","",INDEX([2]!NOTA[NAMA BARANG],ATALI[[#This Row],[//]]-2))</f>
        <v/>
      </c>
      <c r="V493" s="4" t="str">
        <f ca="1">LOWER(SUBSTITUTE(SUBSTITUTE(SUBSTITUTE(SUBSTITUTE(SUBSTITUTE(SUBSTITUTE(SUBSTITUTE(ATALI[[#This Row],[N.B.nota]]," ",""),"-",""),"(",""),")",""),".",""),",",""),"/",""))</f>
        <v/>
      </c>
      <c r="W493" s="4" t="str">
        <f ca="1">IF(ATALI[[#This Row],[concat]]="","",MATCH(ATALI[[#This Row],[concat]],[4]!db[NB NOTA_C],0)+1)</f>
        <v/>
      </c>
      <c r="X493" s="4" t="str">
        <f ca="1">IF(ATALI[[#This Row],[N.B.nota]]="","",ADDRESS(ROW(ATALI[QB]),COLUMN(ATALI[QB]))&amp;":"&amp;ADDRESS(ROW(),COLUMN(ATALI[QB])))</f>
        <v/>
      </c>
      <c r="Y493" s="13" t="str">
        <f ca="1">IF(ATALI[[#This Row],[//]]="","",HYPERLINK("[../DB.xlsx]DB!e"&amp;MATCH(ATALI[[#This Row],[concat]],[4]!db[NB NOTA_C],0)+1,"&gt;"))</f>
        <v/>
      </c>
    </row>
    <row r="494" spans="1:25" x14ac:dyDescent="0.25">
      <c r="A494" s="4"/>
      <c r="B494" s="6" t="str">
        <f>IF(ATALI[[#This Row],[N_ID]]="","",INDEX(Table1[ID],MATCH(ATALI[[#This Row],[N_ID]],Table1[N_ID],0)))</f>
        <v/>
      </c>
      <c r="C494" s="6" t="str">
        <f>IF(ATALI[[#This Row],[ID NOTA]]="","",HYPERLINK("[NOTA_.xlsx]NOTA!e"&amp;INDEX([2]!PAJAK[//],MATCH(ATALI[[#This Row],[ID NOTA]],[2]!PAJAK[ID],0)),"&gt;") )</f>
        <v/>
      </c>
      <c r="D494" s="6" t="str">
        <f>IF(ATALI[[#This Row],[ID NOTA]]="","",INDEX(Table1[QB],MATCH(ATALI[[#This Row],[ID NOTA]],Table1[ID],0)))</f>
        <v/>
      </c>
      <c r="E4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4" s="6"/>
      <c r="G494" s="3" t="str">
        <f>IF(ATALI[[#This Row],[ID NOTA]]="","",INDEX([2]!NOTA[TGL_H],MATCH(ATALI[[#This Row],[ID NOTA]],[2]!NOTA[ID],0)))</f>
        <v/>
      </c>
      <c r="H494" s="3" t="str">
        <f>IF(ATALI[[#This Row],[ID NOTA]]="","",INDEX([2]!NOTA[TGL.NOTA],MATCH(ATALI[[#This Row],[ID NOTA]],[2]!NOTA[ID],0)))</f>
        <v/>
      </c>
      <c r="I494" s="4" t="str">
        <f>IF(ATALI[[#This Row],[ID NOTA]]="","",INDEX([2]!NOTA[NO.NOTA],MATCH(ATALI[[#This Row],[ID NOTA]],[2]!NOTA[ID],0)))</f>
        <v/>
      </c>
      <c r="J494" s="4" t="str">
        <f ca="1">IF(ATALI[[#This Row],[//]]="","",INDEX([4]!db[NB PAJAK],ATALI[[#This Row],[stt]]-1))</f>
        <v/>
      </c>
      <c r="K494" s="6" t="str">
        <f ca="1">IF(ATALI[[#This Row],[//]]="","",IF(INDEX([2]!NOTA[C],ATALI[[#This Row],[//]]-2)="","",INDEX([2]!NOTA[C],ATALI[[#This Row],[//]]-2)))</f>
        <v/>
      </c>
      <c r="L494" s="6" t="str">
        <f ca="1">IF(ATALI[[#This Row],[//]]="","",INDEX([2]!NOTA[QTY],ATALI[[#This Row],[//]]-2))</f>
        <v/>
      </c>
      <c r="M494" s="6" t="str">
        <f ca="1">IF(ATALI[[#This Row],[//]]="","",INDEX([2]!NOTA[STN],ATALI[[#This Row],[//]]-2))</f>
        <v/>
      </c>
      <c r="N494" s="5" t="str">
        <f ca="1">IF(ATALI[[#This Row],[//]]="","",INDEX([2]!NOTA[HARGA SATUAN],ATALI[[#This Row],[//]]-2))</f>
        <v/>
      </c>
      <c r="O494" s="7" t="str">
        <f ca="1">IF(ATALI[[#This Row],[//]]="","",INDEX([2]!NOTA[DISC 1],ATALI[[#This Row],[//]]-2))</f>
        <v/>
      </c>
      <c r="P494" s="7" t="str">
        <f ca="1">IF(ATALI[[#This Row],[//]]="","",INDEX([2]!NOTA[DISC 2],ATALI[[#This Row],[//]]-2))</f>
        <v/>
      </c>
      <c r="Q494" s="5" t="str">
        <f ca="1">IF(ATALI[[#This Row],[//]]="","",INDEX([2]!NOTA[TOTAL],ATALI[[#This Row],[//]]-2))</f>
        <v/>
      </c>
      <c r="R4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4" s="4" t="str">
        <f ca="1">IF(ATALI[[#This Row],[//]]="","",INDEX([2]!NOTA[NAMA BARANG],ATALI[[#This Row],[//]]-2))</f>
        <v/>
      </c>
      <c r="V494" s="4" t="str">
        <f ca="1">LOWER(SUBSTITUTE(SUBSTITUTE(SUBSTITUTE(SUBSTITUTE(SUBSTITUTE(SUBSTITUTE(SUBSTITUTE(ATALI[[#This Row],[N.B.nota]]," ",""),"-",""),"(",""),")",""),".",""),",",""),"/",""))</f>
        <v/>
      </c>
      <c r="W494" s="4" t="str">
        <f ca="1">IF(ATALI[[#This Row],[concat]]="","",MATCH(ATALI[[#This Row],[concat]],[4]!db[NB NOTA_C],0)+1)</f>
        <v/>
      </c>
      <c r="X494" s="4" t="str">
        <f ca="1">IF(ATALI[[#This Row],[N.B.nota]]="","",ADDRESS(ROW(ATALI[QB]),COLUMN(ATALI[QB]))&amp;":"&amp;ADDRESS(ROW(),COLUMN(ATALI[QB])))</f>
        <v/>
      </c>
      <c r="Y494" s="13" t="str">
        <f ca="1">IF(ATALI[[#This Row],[//]]="","",HYPERLINK("[../DB.xlsx]DB!e"&amp;MATCH(ATALI[[#This Row],[concat]],[4]!db[NB NOTA_C],0)+1,"&gt;"))</f>
        <v/>
      </c>
    </row>
    <row r="495" spans="1:25" x14ac:dyDescent="0.25">
      <c r="A495" s="4"/>
      <c r="B495" s="6" t="str">
        <f>IF(ATALI[[#This Row],[N_ID]]="","",INDEX(Table1[ID],MATCH(ATALI[[#This Row],[N_ID]],Table1[N_ID],0)))</f>
        <v/>
      </c>
      <c r="C495" s="6" t="str">
        <f>IF(ATALI[[#This Row],[ID NOTA]]="","",HYPERLINK("[NOTA_.xlsx]NOTA!e"&amp;INDEX([2]!PAJAK[//],MATCH(ATALI[[#This Row],[ID NOTA]],[2]!PAJAK[ID],0)),"&gt;") )</f>
        <v/>
      </c>
      <c r="D495" s="6" t="str">
        <f>IF(ATALI[[#This Row],[ID NOTA]]="","",INDEX(Table1[QB],MATCH(ATALI[[#This Row],[ID NOTA]],Table1[ID],0)))</f>
        <v/>
      </c>
      <c r="E4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5" s="6"/>
      <c r="G495" s="3" t="str">
        <f>IF(ATALI[[#This Row],[ID NOTA]]="","",INDEX([2]!NOTA[TGL_H],MATCH(ATALI[[#This Row],[ID NOTA]],[2]!NOTA[ID],0)))</f>
        <v/>
      </c>
      <c r="H495" s="3" t="str">
        <f>IF(ATALI[[#This Row],[ID NOTA]]="","",INDEX([2]!NOTA[TGL.NOTA],MATCH(ATALI[[#This Row],[ID NOTA]],[2]!NOTA[ID],0)))</f>
        <v/>
      </c>
      <c r="I495" s="4" t="str">
        <f>IF(ATALI[[#This Row],[ID NOTA]]="","",INDEX([2]!NOTA[NO.NOTA],MATCH(ATALI[[#This Row],[ID NOTA]],[2]!NOTA[ID],0)))</f>
        <v/>
      </c>
      <c r="J495" s="4" t="str">
        <f ca="1">IF(ATALI[[#This Row],[//]]="","",INDEX([4]!db[NB PAJAK],ATALI[[#This Row],[stt]]-1))</f>
        <v/>
      </c>
      <c r="K495" s="6" t="str">
        <f ca="1">IF(ATALI[[#This Row],[//]]="","",IF(INDEX([2]!NOTA[C],ATALI[[#This Row],[//]]-2)="","",INDEX([2]!NOTA[C],ATALI[[#This Row],[//]]-2)))</f>
        <v/>
      </c>
      <c r="L495" s="6" t="str">
        <f ca="1">IF(ATALI[[#This Row],[//]]="","",INDEX([2]!NOTA[QTY],ATALI[[#This Row],[//]]-2))</f>
        <v/>
      </c>
      <c r="M495" s="6" t="str">
        <f ca="1">IF(ATALI[[#This Row],[//]]="","",INDEX([2]!NOTA[STN],ATALI[[#This Row],[//]]-2))</f>
        <v/>
      </c>
      <c r="N495" s="5" t="str">
        <f ca="1">IF(ATALI[[#This Row],[//]]="","",INDEX([2]!NOTA[HARGA SATUAN],ATALI[[#This Row],[//]]-2))</f>
        <v/>
      </c>
      <c r="O495" s="7" t="str">
        <f ca="1">IF(ATALI[[#This Row],[//]]="","",INDEX([2]!NOTA[DISC 1],ATALI[[#This Row],[//]]-2))</f>
        <v/>
      </c>
      <c r="P495" s="7" t="str">
        <f ca="1">IF(ATALI[[#This Row],[//]]="","",INDEX([2]!NOTA[DISC 2],ATALI[[#This Row],[//]]-2))</f>
        <v/>
      </c>
      <c r="Q495" s="5" t="str">
        <f ca="1">IF(ATALI[[#This Row],[//]]="","",INDEX([2]!NOTA[TOTAL],ATALI[[#This Row],[//]]-2))</f>
        <v/>
      </c>
      <c r="R4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5" s="4" t="str">
        <f ca="1">IF(ATALI[[#This Row],[//]]="","",INDEX([2]!NOTA[NAMA BARANG],ATALI[[#This Row],[//]]-2))</f>
        <v/>
      </c>
      <c r="V495" s="4" t="str">
        <f ca="1">LOWER(SUBSTITUTE(SUBSTITUTE(SUBSTITUTE(SUBSTITUTE(SUBSTITUTE(SUBSTITUTE(SUBSTITUTE(ATALI[[#This Row],[N.B.nota]]," ",""),"-",""),"(",""),")",""),".",""),",",""),"/",""))</f>
        <v/>
      </c>
      <c r="W495" s="4" t="str">
        <f ca="1">IF(ATALI[[#This Row],[concat]]="","",MATCH(ATALI[[#This Row],[concat]],[4]!db[NB NOTA_C],0)+1)</f>
        <v/>
      </c>
      <c r="X495" s="4" t="str">
        <f ca="1">IF(ATALI[[#This Row],[N.B.nota]]="","",ADDRESS(ROW(ATALI[QB]),COLUMN(ATALI[QB]))&amp;":"&amp;ADDRESS(ROW(),COLUMN(ATALI[QB])))</f>
        <v/>
      </c>
      <c r="Y495" s="13" t="str">
        <f ca="1">IF(ATALI[[#This Row],[//]]="","",HYPERLINK("[../DB.xlsx]DB!e"&amp;MATCH(ATALI[[#This Row],[concat]],[4]!db[NB NOTA_C],0)+1,"&gt;"))</f>
        <v/>
      </c>
    </row>
    <row r="496" spans="1:25" x14ac:dyDescent="0.25">
      <c r="A496" s="4"/>
      <c r="B496" s="6" t="str">
        <f>IF(ATALI[[#This Row],[N_ID]]="","",INDEX(Table1[ID],MATCH(ATALI[[#This Row],[N_ID]],Table1[N_ID],0)))</f>
        <v/>
      </c>
      <c r="C496" s="6" t="str">
        <f>IF(ATALI[[#This Row],[ID NOTA]]="","",HYPERLINK("[NOTA_.xlsx]NOTA!e"&amp;INDEX([2]!PAJAK[//],MATCH(ATALI[[#This Row],[ID NOTA]],[2]!PAJAK[ID],0)),"&gt;") )</f>
        <v/>
      </c>
      <c r="D496" s="6" t="str">
        <f>IF(ATALI[[#This Row],[ID NOTA]]="","",INDEX(Table1[QB],MATCH(ATALI[[#This Row],[ID NOTA]],Table1[ID],0)))</f>
        <v/>
      </c>
      <c r="E4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6" s="6"/>
      <c r="G496" s="3" t="str">
        <f>IF(ATALI[[#This Row],[ID NOTA]]="","",INDEX([2]!NOTA[TGL_H],MATCH(ATALI[[#This Row],[ID NOTA]],[2]!NOTA[ID],0)))</f>
        <v/>
      </c>
      <c r="H496" s="3" t="str">
        <f>IF(ATALI[[#This Row],[ID NOTA]]="","",INDEX([2]!NOTA[TGL.NOTA],MATCH(ATALI[[#This Row],[ID NOTA]],[2]!NOTA[ID],0)))</f>
        <v/>
      </c>
      <c r="I496" s="4" t="str">
        <f>IF(ATALI[[#This Row],[ID NOTA]]="","",INDEX([2]!NOTA[NO.NOTA],MATCH(ATALI[[#This Row],[ID NOTA]],[2]!NOTA[ID],0)))</f>
        <v/>
      </c>
      <c r="J496" s="4" t="str">
        <f ca="1">IF(ATALI[[#This Row],[//]]="","",INDEX([4]!db[NB PAJAK],ATALI[[#This Row],[stt]]-1))</f>
        <v/>
      </c>
      <c r="K496" s="6" t="str">
        <f ca="1">IF(ATALI[[#This Row],[//]]="","",IF(INDEX([2]!NOTA[C],ATALI[[#This Row],[//]]-2)="","",INDEX([2]!NOTA[C],ATALI[[#This Row],[//]]-2)))</f>
        <v/>
      </c>
      <c r="L496" s="6" t="str">
        <f ca="1">IF(ATALI[[#This Row],[//]]="","",INDEX([2]!NOTA[QTY],ATALI[[#This Row],[//]]-2))</f>
        <v/>
      </c>
      <c r="M496" s="6" t="str">
        <f ca="1">IF(ATALI[[#This Row],[//]]="","",INDEX([2]!NOTA[STN],ATALI[[#This Row],[//]]-2))</f>
        <v/>
      </c>
      <c r="N496" s="5" t="str">
        <f ca="1">IF(ATALI[[#This Row],[//]]="","",INDEX([2]!NOTA[HARGA SATUAN],ATALI[[#This Row],[//]]-2))</f>
        <v/>
      </c>
      <c r="O496" s="7" t="str">
        <f ca="1">IF(ATALI[[#This Row],[//]]="","",INDEX([2]!NOTA[DISC 1],ATALI[[#This Row],[//]]-2))</f>
        <v/>
      </c>
      <c r="P496" s="7" t="str">
        <f ca="1">IF(ATALI[[#This Row],[//]]="","",INDEX([2]!NOTA[DISC 2],ATALI[[#This Row],[//]]-2))</f>
        <v/>
      </c>
      <c r="Q496" s="5" t="str">
        <f ca="1">IF(ATALI[[#This Row],[//]]="","",INDEX([2]!NOTA[TOTAL],ATALI[[#This Row],[//]]-2))</f>
        <v/>
      </c>
      <c r="R4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6" s="4" t="str">
        <f ca="1">IF(ATALI[[#This Row],[//]]="","",INDEX([2]!NOTA[NAMA BARANG],ATALI[[#This Row],[//]]-2))</f>
        <v/>
      </c>
      <c r="V496" s="4" t="str">
        <f ca="1">LOWER(SUBSTITUTE(SUBSTITUTE(SUBSTITUTE(SUBSTITUTE(SUBSTITUTE(SUBSTITUTE(SUBSTITUTE(ATALI[[#This Row],[N.B.nota]]," ",""),"-",""),"(",""),")",""),".",""),",",""),"/",""))</f>
        <v/>
      </c>
      <c r="W496" s="4" t="str">
        <f ca="1">IF(ATALI[[#This Row],[concat]]="","",MATCH(ATALI[[#This Row],[concat]],[4]!db[NB NOTA_C],0)+1)</f>
        <v/>
      </c>
      <c r="X496" s="4" t="str">
        <f ca="1">IF(ATALI[[#This Row],[N.B.nota]]="","",ADDRESS(ROW(ATALI[QB]),COLUMN(ATALI[QB]))&amp;":"&amp;ADDRESS(ROW(),COLUMN(ATALI[QB])))</f>
        <v/>
      </c>
      <c r="Y496" s="13" t="str">
        <f ca="1">IF(ATALI[[#This Row],[//]]="","",HYPERLINK("[../DB.xlsx]DB!e"&amp;MATCH(ATALI[[#This Row],[concat]],[4]!db[NB NOTA_C],0)+1,"&gt;"))</f>
        <v/>
      </c>
    </row>
    <row r="497" spans="1:25" x14ac:dyDescent="0.25">
      <c r="A497" s="4"/>
      <c r="B497" s="6" t="str">
        <f>IF(ATALI[[#This Row],[N_ID]]="","",INDEX(Table1[ID],MATCH(ATALI[[#This Row],[N_ID]],Table1[N_ID],0)))</f>
        <v/>
      </c>
      <c r="C497" s="6" t="str">
        <f>IF(ATALI[[#This Row],[ID NOTA]]="","",HYPERLINK("[NOTA_.xlsx]NOTA!e"&amp;INDEX([2]!PAJAK[//],MATCH(ATALI[[#This Row],[ID NOTA]],[2]!PAJAK[ID],0)),"&gt;") )</f>
        <v/>
      </c>
      <c r="D497" s="6" t="str">
        <f>IF(ATALI[[#This Row],[ID NOTA]]="","",INDEX(Table1[QB],MATCH(ATALI[[#This Row],[ID NOTA]],Table1[ID],0)))</f>
        <v/>
      </c>
      <c r="E4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7" s="6"/>
      <c r="G497" s="3" t="str">
        <f>IF(ATALI[[#This Row],[ID NOTA]]="","",INDEX([2]!NOTA[TGL_H],MATCH(ATALI[[#This Row],[ID NOTA]],[2]!NOTA[ID],0)))</f>
        <v/>
      </c>
      <c r="H497" s="3" t="str">
        <f>IF(ATALI[[#This Row],[ID NOTA]]="","",INDEX([2]!NOTA[TGL.NOTA],MATCH(ATALI[[#This Row],[ID NOTA]],[2]!NOTA[ID],0)))</f>
        <v/>
      </c>
      <c r="I497" s="4" t="str">
        <f>IF(ATALI[[#This Row],[ID NOTA]]="","",INDEX([2]!NOTA[NO.NOTA],MATCH(ATALI[[#This Row],[ID NOTA]],[2]!NOTA[ID],0)))</f>
        <v/>
      </c>
      <c r="J497" s="4" t="str">
        <f ca="1">IF(ATALI[[#This Row],[//]]="","",INDEX([4]!db[NB PAJAK],ATALI[[#This Row],[stt]]-1))</f>
        <v/>
      </c>
      <c r="K497" s="6" t="str">
        <f ca="1">IF(ATALI[[#This Row],[//]]="","",IF(INDEX([2]!NOTA[C],ATALI[[#This Row],[//]]-2)="","",INDEX([2]!NOTA[C],ATALI[[#This Row],[//]]-2)))</f>
        <v/>
      </c>
      <c r="L497" s="6" t="str">
        <f ca="1">IF(ATALI[[#This Row],[//]]="","",INDEX([2]!NOTA[QTY],ATALI[[#This Row],[//]]-2))</f>
        <v/>
      </c>
      <c r="M497" s="6" t="str">
        <f ca="1">IF(ATALI[[#This Row],[//]]="","",INDEX([2]!NOTA[STN],ATALI[[#This Row],[//]]-2))</f>
        <v/>
      </c>
      <c r="N497" s="5" t="str">
        <f ca="1">IF(ATALI[[#This Row],[//]]="","",INDEX([2]!NOTA[HARGA SATUAN],ATALI[[#This Row],[//]]-2))</f>
        <v/>
      </c>
      <c r="O497" s="7" t="str">
        <f ca="1">IF(ATALI[[#This Row],[//]]="","",INDEX([2]!NOTA[DISC 1],ATALI[[#This Row],[//]]-2))</f>
        <v/>
      </c>
      <c r="P497" s="7" t="str">
        <f ca="1">IF(ATALI[[#This Row],[//]]="","",INDEX([2]!NOTA[DISC 2],ATALI[[#This Row],[//]]-2))</f>
        <v/>
      </c>
      <c r="Q497" s="5" t="str">
        <f ca="1">IF(ATALI[[#This Row],[//]]="","",INDEX([2]!NOTA[TOTAL],ATALI[[#This Row],[//]]-2))</f>
        <v/>
      </c>
      <c r="R4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7" s="4" t="str">
        <f ca="1">IF(ATALI[[#This Row],[//]]="","",INDEX([2]!NOTA[NAMA BARANG],ATALI[[#This Row],[//]]-2))</f>
        <v/>
      </c>
      <c r="V497" s="4" t="str">
        <f ca="1">LOWER(SUBSTITUTE(SUBSTITUTE(SUBSTITUTE(SUBSTITUTE(SUBSTITUTE(SUBSTITUTE(SUBSTITUTE(ATALI[[#This Row],[N.B.nota]]," ",""),"-",""),"(",""),")",""),".",""),",",""),"/",""))</f>
        <v/>
      </c>
      <c r="W497" s="4" t="str">
        <f ca="1">IF(ATALI[[#This Row],[concat]]="","",MATCH(ATALI[[#This Row],[concat]],[4]!db[NB NOTA_C],0)+1)</f>
        <v/>
      </c>
      <c r="X497" s="4" t="str">
        <f ca="1">IF(ATALI[[#This Row],[N.B.nota]]="","",ADDRESS(ROW(ATALI[QB]),COLUMN(ATALI[QB]))&amp;":"&amp;ADDRESS(ROW(),COLUMN(ATALI[QB])))</f>
        <v/>
      </c>
      <c r="Y497" s="13" t="str">
        <f ca="1">IF(ATALI[[#This Row],[//]]="","",HYPERLINK("[../DB.xlsx]DB!e"&amp;MATCH(ATALI[[#This Row],[concat]],[4]!db[NB NOTA_C],0)+1,"&gt;"))</f>
        <v/>
      </c>
    </row>
    <row r="498" spans="1:25" x14ac:dyDescent="0.25">
      <c r="A498" s="4"/>
      <c r="B498" s="6" t="str">
        <f>IF(ATALI[[#This Row],[N_ID]]="","",INDEX(Table1[ID],MATCH(ATALI[[#This Row],[N_ID]],Table1[N_ID],0)))</f>
        <v/>
      </c>
      <c r="C498" s="6" t="str">
        <f>IF(ATALI[[#This Row],[ID NOTA]]="","",HYPERLINK("[NOTA_.xlsx]NOTA!e"&amp;INDEX([2]!PAJAK[//],MATCH(ATALI[[#This Row],[ID NOTA]],[2]!PAJAK[ID],0)),"&gt;") )</f>
        <v/>
      </c>
      <c r="D498" s="6" t="str">
        <f>IF(ATALI[[#This Row],[ID NOTA]]="","",INDEX(Table1[QB],MATCH(ATALI[[#This Row],[ID NOTA]],Table1[ID],0)))</f>
        <v/>
      </c>
      <c r="E4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8" s="6"/>
      <c r="G498" s="3" t="str">
        <f>IF(ATALI[[#This Row],[ID NOTA]]="","",INDEX([2]!NOTA[TGL_H],MATCH(ATALI[[#This Row],[ID NOTA]],[2]!NOTA[ID],0)))</f>
        <v/>
      </c>
      <c r="H498" s="3" t="str">
        <f>IF(ATALI[[#This Row],[ID NOTA]]="","",INDEX([2]!NOTA[TGL.NOTA],MATCH(ATALI[[#This Row],[ID NOTA]],[2]!NOTA[ID],0)))</f>
        <v/>
      </c>
      <c r="I498" s="4" t="str">
        <f>IF(ATALI[[#This Row],[ID NOTA]]="","",INDEX([2]!NOTA[NO.NOTA],MATCH(ATALI[[#This Row],[ID NOTA]],[2]!NOTA[ID],0)))</f>
        <v/>
      </c>
      <c r="J498" s="4" t="str">
        <f ca="1">IF(ATALI[[#This Row],[//]]="","",INDEX([4]!db[NB PAJAK],ATALI[[#This Row],[stt]]-1))</f>
        <v/>
      </c>
      <c r="K498" s="6" t="str">
        <f ca="1">IF(ATALI[[#This Row],[//]]="","",IF(INDEX([2]!NOTA[C],ATALI[[#This Row],[//]]-2)="","",INDEX([2]!NOTA[C],ATALI[[#This Row],[//]]-2)))</f>
        <v/>
      </c>
      <c r="L498" s="6" t="str">
        <f ca="1">IF(ATALI[[#This Row],[//]]="","",INDEX([2]!NOTA[QTY],ATALI[[#This Row],[//]]-2))</f>
        <v/>
      </c>
      <c r="M498" s="6" t="str">
        <f ca="1">IF(ATALI[[#This Row],[//]]="","",INDEX([2]!NOTA[STN],ATALI[[#This Row],[//]]-2))</f>
        <v/>
      </c>
      <c r="N498" s="5" t="str">
        <f ca="1">IF(ATALI[[#This Row],[//]]="","",INDEX([2]!NOTA[HARGA SATUAN],ATALI[[#This Row],[//]]-2))</f>
        <v/>
      </c>
      <c r="O498" s="7" t="str">
        <f ca="1">IF(ATALI[[#This Row],[//]]="","",INDEX([2]!NOTA[DISC 1],ATALI[[#This Row],[//]]-2))</f>
        <v/>
      </c>
      <c r="P498" s="7" t="str">
        <f ca="1">IF(ATALI[[#This Row],[//]]="","",INDEX([2]!NOTA[DISC 2],ATALI[[#This Row],[//]]-2))</f>
        <v/>
      </c>
      <c r="Q498" s="5" t="str">
        <f ca="1">IF(ATALI[[#This Row],[//]]="","",INDEX([2]!NOTA[TOTAL],ATALI[[#This Row],[//]]-2))</f>
        <v/>
      </c>
      <c r="R4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8" s="4" t="str">
        <f ca="1">IF(ATALI[[#This Row],[//]]="","",INDEX([2]!NOTA[NAMA BARANG],ATALI[[#This Row],[//]]-2))</f>
        <v/>
      </c>
      <c r="V498" s="4" t="str">
        <f ca="1">LOWER(SUBSTITUTE(SUBSTITUTE(SUBSTITUTE(SUBSTITUTE(SUBSTITUTE(SUBSTITUTE(SUBSTITUTE(ATALI[[#This Row],[N.B.nota]]," ",""),"-",""),"(",""),")",""),".",""),",",""),"/",""))</f>
        <v/>
      </c>
      <c r="W498" s="4" t="str">
        <f ca="1">IF(ATALI[[#This Row],[concat]]="","",MATCH(ATALI[[#This Row],[concat]],[4]!db[NB NOTA_C],0)+1)</f>
        <v/>
      </c>
      <c r="X498" s="4" t="str">
        <f ca="1">IF(ATALI[[#This Row],[N.B.nota]]="","",ADDRESS(ROW(ATALI[QB]),COLUMN(ATALI[QB]))&amp;":"&amp;ADDRESS(ROW(),COLUMN(ATALI[QB])))</f>
        <v/>
      </c>
      <c r="Y498" s="13" t="str">
        <f ca="1">IF(ATALI[[#This Row],[//]]="","",HYPERLINK("[../DB.xlsx]DB!e"&amp;MATCH(ATALI[[#This Row],[concat]],[4]!db[NB NOTA_C],0)+1,"&gt;"))</f>
        <v/>
      </c>
    </row>
    <row r="499" spans="1:25" x14ac:dyDescent="0.25">
      <c r="A499" s="4"/>
      <c r="B499" s="6" t="str">
        <f>IF(ATALI[[#This Row],[N_ID]]="","",INDEX(Table1[ID],MATCH(ATALI[[#This Row],[N_ID]],Table1[N_ID],0)))</f>
        <v/>
      </c>
      <c r="C499" s="6" t="str">
        <f>IF(ATALI[[#This Row],[ID NOTA]]="","",HYPERLINK("[NOTA_.xlsx]NOTA!e"&amp;INDEX([2]!PAJAK[//],MATCH(ATALI[[#This Row],[ID NOTA]],[2]!PAJAK[ID],0)),"&gt;") )</f>
        <v/>
      </c>
      <c r="D499" s="6" t="str">
        <f>IF(ATALI[[#This Row],[ID NOTA]]="","",INDEX(Table1[QB],MATCH(ATALI[[#This Row],[ID NOTA]],Table1[ID],0)))</f>
        <v/>
      </c>
      <c r="E4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9" s="6"/>
      <c r="G499" s="3" t="str">
        <f>IF(ATALI[[#This Row],[ID NOTA]]="","",INDEX([2]!NOTA[TGL_H],MATCH(ATALI[[#This Row],[ID NOTA]],[2]!NOTA[ID],0)))</f>
        <v/>
      </c>
      <c r="H499" s="3" t="str">
        <f>IF(ATALI[[#This Row],[ID NOTA]]="","",INDEX([2]!NOTA[TGL.NOTA],MATCH(ATALI[[#This Row],[ID NOTA]],[2]!NOTA[ID],0)))</f>
        <v/>
      </c>
      <c r="I499" s="4" t="str">
        <f>IF(ATALI[[#This Row],[ID NOTA]]="","",INDEX([2]!NOTA[NO.NOTA],MATCH(ATALI[[#This Row],[ID NOTA]],[2]!NOTA[ID],0)))</f>
        <v/>
      </c>
      <c r="J499" s="4" t="str">
        <f ca="1">IF(ATALI[[#This Row],[//]]="","",INDEX([4]!db[NB PAJAK],ATALI[[#This Row],[stt]]-1))</f>
        <v/>
      </c>
      <c r="K499" s="6" t="str">
        <f ca="1">IF(ATALI[[#This Row],[//]]="","",IF(INDEX([2]!NOTA[C],ATALI[[#This Row],[//]]-2)="","",INDEX([2]!NOTA[C],ATALI[[#This Row],[//]]-2)))</f>
        <v/>
      </c>
      <c r="L499" s="6" t="str">
        <f ca="1">IF(ATALI[[#This Row],[//]]="","",INDEX([2]!NOTA[QTY],ATALI[[#This Row],[//]]-2))</f>
        <v/>
      </c>
      <c r="M499" s="6" t="str">
        <f ca="1">IF(ATALI[[#This Row],[//]]="","",INDEX([2]!NOTA[STN],ATALI[[#This Row],[//]]-2))</f>
        <v/>
      </c>
      <c r="N499" s="5" t="str">
        <f ca="1">IF(ATALI[[#This Row],[//]]="","",INDEX([2]!NOTA[HARGA SATUAN],ATALI[[#This Row],[//]]-2))</f>
        <v/>
      </c>
      <c r="O499" s="7" t="str">
        <f ca="1">IF(ATALI[[#This Row],[//]]="","",INDEX([2]!NOTA[DISC 1],ATALI[[#This Row],[//]]-2))</f>
        <v/>
      </c>
      <c r="P499" s="7" t="str">
        <f ca="1">IF(ATALI[[#This Row],[//]]="","",INDEX([2]!NOTA[DISC 2],ATALI[[#This Row],[//]]-2))</f>
        <v/>
      </c>
      <c r="Q499" s="5" t="str">
        <f ca="1">IF(ATALI[[#This Row],[//]]="","",INDEX([2]!NOTA[TOTAL],ATALI[[#This Row],[//]]-2))</f>
        <v/>
      </c>
      <c r="R4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9" s="4" t="str">
        <f ca="1">IF(ATALI[[#This Row],[//]]="","",INDEX([2]!NOTA[NAMA BARANG],ATALI[[#This Row],[//]]-2))</f>
        <v/>
      </c>
      <c r="V499" s="4" t="str">
        <f ca="1">LOWER(SUBSTITUTE(SUBSTITUTE(SUBSTITUTE(SUBSTITUTE(SUBSTITUTE(SUBSTITUTE(SUBSTITUTE(ATALI[[#This Row],[N.B.nota]]," ",""),"-",""),"(",""),")",""),".",""),",",""),"/",""))</f>
        <v/>
      </c>
      <c r="W499" s="4" t="str">
        <f ca="1">IF(ATALI[[#This Row],[concat]]="","",MATCH(ATALI[[#This Row],[concat]],[4]!db[NB NOTA_C],0)+1)</f>
        <v/>
      </c>
      <c r="X499" s="4" t="str">
        <f ca="1">IF(ATALI[[#This Row],[N.B.nota]]="","",ADDRESS(ROW(ATALI[QB]),COLUMN(ATALI[QB]))&amp;":"&amp;ADDRESS(ROW(),COLUMN(ATALI[QB])))</f>
        <v/>
      </c>
      <c r="Y499" s="13" t="str">
        <f ca="1">IF(ATALI[[#This Row],[//]]="","",HYPERLINK("[../DB.xlsx]DB!e"&amp;MATCH(ATALI[[#This Row],[concat]],[4]!db[NB NOTA_C],0)+1,"&gt;"))</f>
        <v/>
      </c>
    </row>
    <row r="500" spans="1:25" x14ac:dyDescent="0.25">
      <c r="A500" s="4"/>
      <c r="B500" s="6" t="str">
        <f>IF(ATALI[[#This Row],[N_ID]]="","",INDEX(Table1[ID],MATCH(ATALI[[#This Row],[N_ID]],Table1[N_ID],0)))</f>
        <v/>
      </c>
      <c r="C500" s="6" t="str">
        <f>IF(ATALI[[#This Row],[ID NOTA]]="","",HYPERLINK("[NOTA_.xlsx]NOTA!e"&amp;INDEX([2]!PAJAK[//],MATCH(ATALI[[#This Row],[ID NOTA]],[2]!PAJAK[ID],0)),"&gt;") )</f>
        <v/>
      </c>
      <c r="D500" s="6" t="str">
        <f>IF(ATALI[[#This Row],[ID NOTA]]="","",INDEX(Table1[QB],MATCH(ATALI[[#This Row],[ID NOTA]],Table1[ID],0)))</f>
        <v/>
      </c>
      <c r="E5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0" s="6"/>
      <c r="G500" s="3" t="str">
        <f>IF(ATALI[[#This Row],[ID NOTA]]="","",INDEX([2]!NOTA[TGL_H],MATCH(ATALI[[#This Row],[ID NOTA]],[2]!NOTA[ID],0)))</f>
        <v/>
      </c>
      <c r="H500" s="3" t="str">
        <f>IF(ATALI[[#This Row],[ID NOTA]]="","",INDEX([2]!NOTA[TGL.NOTA],MATCH(ATALI[[#This Row],[ID NOTA]],[2]!NOTA[ID],0)))</f>
        <v/>
      </c>
      <c r="I500" s="4" t="str">
        <f>IF(ATALI[[#This Row],[ID NOTA]]="","",INDEX([2]!NOTA[NO.NOTA],MATCH(ATALI[[#This Row],[ID NOTA]],[2]!NOTA[ID],0)))</f>
        <v/>
      </c>
      <c r="J500" s="4" t="str">
        <f ca="1">IF(ATALI[[#This Row],[//]]="","",INDEX([4]!db[NB PAJAK],ATALI[[#This Row],[stt]]-1))</f>
        <v/>
      </c>
      <c r="K500" s="6" t="str">
        <f ca="1">IF(ATALI[[#This Row],[//]]="","",IF(INDEX([2]!NOTA[C],ATALI[[#This Row],[//]]-2)="","",INDEX([2]!NOTA[C],ATALI[[#This Row],[//]]-2)))</f>
        <v/>
      </c>
      <c r="L500" s="6" t="str">
        <f ca="1">IF(ATALI[[#This Row],[//]]="","",INDEX([2]!NOTA[QTY],ATALI[[#This Row],[//]]-2))</f>
        <v/>
      </c>
      <c r="M500" s="6" t="str">
        <f ca="1">IF(ATALI[[#This Row],[//]]="","",INDEX([2]!NOTA[STN],ATALI[[#This Row],[//]]-2))</f>
        <v/>
      </c>
      <c r="N500" s="5" t="str">
        <f ca="1">IF(ATALI[[#This Row],[//]]="","",INDEX([2]!NOTA[HARGA SATUAN],ATALI[[#This Row],[//]]-2))</f>
        <v/>
      </c>
      <c r="O500" s="7" t="str">
        <f ca="1">IF(ATALI[[#This Row],[//]]="","",INDEX([2]!NOTA[DISC 1],ATALI[[#This Row],[//]]-2))</f>
        <v/>
      </c>
      <c r="P500" s="7" t="str">
        <f ca="1">IF(ATALI[[#This Row],[//]]="","",INDEX([2]!NOTA[DISC 2],ATALI[[#This Row],[//]]-2))</f>
        <v/>
      </c>
      <c r="Q500" s="5" t="str">
        <f ca="1">IF(ATALI[[#This Row],[//]]="","",INDEX([2]!NOTA[TOTAL],ATALI[[#This Row],[//]]-2))</f>
        <v/>
      </c>
      <c r="R5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0" s="4" t="str">
        <f ca="1">IF(ATALI[[#This Row],[//]]="","",INDEX([2]!NOTA[NAMA BARANG],ATALI[[#This Row],[//]]-2))</f>
        <v/>
      </c>
      <c r="V500" s="4" t="str">
        <f ca="1">LOWER(SUBSTITUTE(SUBSTITUTE(SUBSTITUTE(SUBSTITUTE(SUBSTITUTE(SUBSTITUTE(SUBSTITUTE(ATALI[[#This Row],[N.B.nota]]," ",""),"-",""),"(",""),")",""),".",""),",",""),"/",""))</f>
        <v/>
      </c>
      <c r="W500" s="4" t="str">
        <f ca="1">IF(ATALI[[#This Row],[concat]]="","",MATCH(ATALI[[#This Row],[concat]],[4]!db[NB NOTA_C],0)+1)</f>
        <v/>
      </c>
      <c r="X500" s="4" t="str">
        <f ca="1">IF(ATALI[[#This Row],[N.B.nota]]="","",ADDRESS(ROW(ATALI[QB]),COLUMN(ATALI[QB]))&amp;":"&amp;ADDRESS(ROW(),COLUMN(ATALI[QB])))</f>
        <v/>
      </c>
      <c r="Y500" s="13" t="str">
        <f ca="1">IF(ATALI[[#This Row],[//]]="","",HYPERLINK("[../DB.xlsx]DB!e"&amp;MATCH(ATALI[[#This Row],[concat]],[4]!db[NB NOTA_C],0)+1,"&gt;"))</f>
        <v/>
      </c>
    </row>
    <row r="501" spans="1:25" x14ac:dyDescent="0.25">
      <c r="A501" s="4"/>
      <c r="B501" s="6" t="str">
        <f>IF(ATALI[[#This Row],[N_ID]]="","",INDEX(Table1[ID],MATCH(ATALI[[#This Row],[N_ID]],Table1[N_ID],0)))</f>
        <v/>
      </c>
      <c r="C501" s="6" t="str">
        <f>IF(ATALI[[#This Row],[ID NOTA]]="","",HYPERLINK("[NOTA_.xlsx]NOTA!e"&amp;INDEX([2]!PAJAK[//],MATCH(ATALI[[#This Row],[ID NOTA]],[2]!PAJAK[ID],0)),"&gt;") )</f>
        <v/>
      </c>
      <c r="D501" s="6" t="str">
        <f>IF(ATALI[[#This Row],[ID NOTA]]="","",INDEX(Table1[QB],MATCH(ATALI[[#This Row],[ID NOTA]],Table1[ID],0)))</f>
        <v/>
      </c>
      <c r="E5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1" s="6"/>
      <c r="G501" s="3" t="str">
        <f>IF(ATALI[[#This Row],[ID NOTA]]="","",INDEX([2]!NOTA[TGL_H],MATCH(ATALI[[#This Row],[ID NOTA]],[2]!NOTA[ID],0)))</f>
        <v/>
      </c>
      <c r="H501" s="3" t="str">
        <f>IF(ATALI[[#This Row],[ID NOTA]]="","",INDEX([2]!NOTA[TGL.NOTA],MATCH(ATALI[[#This Row],[ID NOTA]],[2]!NOTA[ID],0)))</f>
        <v/>
      </c>
      <c r="I501" s="4" t="str">
        <f>IF(ATALI[[#This Row],[ID NOTA]]="","",INDEX([2]!NOTA[NO.NOTA],MATCH(ATALI[[#This Row],[ID NOTA]],[2]!NOTA[ID],0)))</f>
        <v/>
      </c>
      <c r="J501" s="4" t="str">
        <f ca="1">IF(ATALI[[#This Row],[//]]="","",INDEX([4]!db[NB PAJAK],ATALI[[#This Row],[stt]]-1))</f>
        <v/>
      </c>
      <c r="K501" s="6" t="str">
        <f ca="1">IF(ATALI[[#This Row],[//]]="","",IF(INDEX([2]!NOTA[C],ATALI[[#This Row],[//]]-2)="","",INDEX([2]!NOTA[C],ATALI[[#This Row],[//]]-2)))</f>
        <v/>
      </c>
      <c r="L501" s="6" t="str">
        <f ca="1">IF(ATALI[[#This Row],[//]]="","",INDEX([2]!NOTA[QTY],ATALI[[#This Row],[//]]-2))</f>
        <v/>
      </c>
      <c r="M501" s="6" t="str">
        <f ca="1">IF(ATALI[[#This Row],[//]]="","",INDEX([2]!NOTA[STN],ATALI[[#This Row],[//]]-2))</f>
        <v/>
      </c>
      <c r="N501" s="5" t="str">
        <f ca="1">IF(ATALI[[#This Row],[//]]="","",INDEX([2]!NOTA[HARGA SATUAN],ATALI[[#This Row],[//]]-2))</f>
        <v/>
      </c>
      <c r="O501" s="7" t="str">
        <f ca="1">IF(ATALI[[#This Row],[//]]="","",INDEX([2]!NOTA[DISC 1],ATALI[[#This Row],[//]]-2))</f>
        <v/>
      </c>
      <c r="P501" s="7" t="str">
        <f ca="1">IF(ATALI[[#This Row],[//]]="","",INDEX([2]!NOTA[DISC 2],ATALI[[#This Row],[//]]-2))</f>
        <v/>
      </c>
      <c r="Q501" s="5" t="str">
        <f ca="1">IF(ATALI[[#This Row],[//]]="","",INDEX([2]!NOTA[TOTAL],ATALI[[#This Row],[//]]-2))</f>
        <v/>
      </c>
      <c r="R5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1" s="4" t="str">
        <f ca="1">IF(ATALI[[#This Row],[//]]="","",INDEX([2]!NOTA[NAMA BARANG],ATALI[[#This Row],[//]]-2))</f>
        <v/>
      </c>
      <c r="V501" s="4" t="str">
        <f ca="1">LOWER(SUBSTITUTE(SUBSTITUTE(SUBSTITUTE(SUBSTITUTE(SUBSTITUTE(SUBSTITUTE(SUBSTITUTE(ATALI[[#This Row],[N.B.nota]]," ",""),"-",""),"(",""),")",""),".",""),",",""),"/",""))</f>
        <v/>
      </c>
      <c r="W501" s="4" t="str">
        <f ca="1">IF(ATALI[[#This Row],[concat]]="","",MATCH(ATALI[[#This Row],[concat]],[4]!db[NB NOTA_C],0)+1)</f>
        <v/>
      </c>
      <c r="X501" s="4" t="str">
        <f ca="1">IF(ATALI[[#This Row],[N.B.nota]]="","",ADDRESS(ROW(ATALI[QB]),COLUMN(ATALI[QB]))&amp;":"&amp;ADDRESS(ROW(),COLUMN(ATALI[QB])))</f>
        <v/>
      </c>
      <c r="Y501" s="13" t="str">
        <f ca="1">IF(ATALI[[#This Row],[//]]="","",HYPERLINK("[../DB.xlsx]DB!e"&amp;MATCH(ATALI[[#This Row],[concat]],[4]!db[NB NOTA_C],0)+1,"&gt;"))</f>
        <v/>
      </c>
    </row>
    <row r="502" spans="1:25" x14ac:dyDescent="0.25">
      <c r="A502" s="4"/>
      <c r="B502" s="6" t="str">
        <f>IF(ATALI[[#This Row],[N_ID]]="","",INDEX(Table1[ID],MATCH(ATALI[[#This Row],[N_ID]],Table1[N_ID],0)))</f>
        <v/>
      </c>
      <c r="C502" s="6" t="str">
        <f>IF(ATALI[[#This Row],[ID NOTA]]="","",HYPERLINK("[NOTA_.xlsx]NOTA!e"&amp;INDEX([2]!PAJAK[//],MATCH(ATALI[[#This Row],[ID NOTA]],[2]!PAJAK[ID],0)),"&gt;") )</f>
        <v/>
      </c>
      <c r="D502" s="6" t="str">
        <f>IF(ATALI[[#This Row],[ID NOTA]]="","",INDEX(Table1[QB],MATCH(ATALI[[#This Row],[ID NOTA]],Table1[ID],0)))</f>
        <v/>
      </c>
      <c r="E5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2" s="6"/>
      <c r="G502" s="3" t="str">
        <f>IF(ATALI[[#This Row],[ID NOTA]]="","",INDEX([2]!NOTA[TGL_H],MATCH(ATALI[[#This Row],[ID NOTA]],[2]!NOTA[ID],0)))</f>
        <v/>
      </c>
      <c r="H502" s="3" t="str">
        <f>IF(ATALI[[#This Row],[ID NOTA]]="","",INDEX([2]!NOTA[TGL.NOTA],MATCH(ATALI[[#This Row],[ID NOTA]],[2]!NOTA[ID],0)))</f>
        <v/>
      </c>
      <c r="I502" s="4" t="str">
        <f>IF(ATALI[[#This Row],[ID NOTA]]="","",INDEX([2]!NOTA[NO.NOTA],MATCH(ATALI[[#This Row],[ID NOTA]],[2]!NOTA[ID],0)))</f>
        <v/>
      </c>
      <c r="J502" s="4" t="str">
        <f ca="1">IF(ATALI[[#This Row],[//]]="","",INDEX([4]!db[NB PAJAK],ATALI[[#This Row],[stt]]-1))</f>
        <v/>
      </c>
      <c r="K502" s="6" t="str">
        <f ca="1">IF(ATALI[[#This Row],[//]]="","",IF(INDEX([2]!NOTA[C],ATALI[[#This Row],[//]]-2)="","",INDEX([2]!NOTA[C],ATALI[[#This Row],[//]]-2)))</f>
        <v/>
      </c>
      <c r="L502" s="6" t="str">
        <f ca="1">IF(ATALI[[#This Row],[//]]="","",INDEX([2]!NOTA[QTY],ATALI[[#This Row],[//]]-2))</f>
        <v/>
      </c>
      <c r="M502" s="6" t="str">
        <f ca="1">IF(ATALI[[#This Row],[//]]="","",INDEX([2]!NOTA[STN],ATALI[[#This Row],[//]]-2))</f>
        <v/>
      </c>
      <c r="N502" s="5" t="str">
        <f ca="1">IF(ATALI[[#This Row],[//]]="","",INDEX([2]!NOTA[HARGA SATUAN],ATALI[[#This Row],[//]]-2))</f>
        <v/>
      </c>
      <c r="O502" s="7" t="str">
        <f ca="1">IF(ATALI[[#This Row],[//]]="","",INDEX([2]!NOTA[DISC 1],ATALI[[#This Row],[//]]-2))</f>
        <v/>
      </c>
      <c r="P502" s="7" t="str">
        <f ca="1">IF(ATALI[[#This Row],[//]]="","",INDEX([2]!NOTA[DISC 2],ATALI[[#This Row],[//]]-2))</f>
        <v/>
      </c>
      <c r="Q502" s="5" t="str">
        <f ca="1">IF(ATALI[[#This Row],[//]]="","",INDEX([2]!NOTA[TOTAL],ATALI[[#This Row],[//]]-2))</f>
        <v/>
      </c>
      <c r="R5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2" s="4" t="str">
        <f ca="1">IF(ATALI[[#This Row],[//]]="","",INDEX([2]!NOTA[NAMA BARANG],ATALI[[#This Row],[//]]-2))</f>
        <v/>
      </c>
      <c r="V502" s="4" t="str">
        <f ca="1">LOWER(SUBSTITUTE(SUBSTITUTE(SUBSTITUTE(SUBSTITUTE(SUBSTITUTE(SUBSTITUTE(SUBSTITUTE(ATALI[[#This Row],[N.B.nota]]," ",""),"-",""),"(",""),")",""),".",""),",",""),"/",""))</f>
        <v/>
      </c>
      <c r="W502" s="4" t="str">
        <f ca="1">IF(ATALI[[#This Row],[concat]]="","",MATCH(ATALI[[#This Row],[concat]],[4]!db[NB NOTA_C],0)+1)</f>
        <v/>
      </c>
      <c r="X502" s="4" t="str">
        <f ca="1">IF(ATALI[[#This Row],[N.B.nota]]="","",ADDRESS(ROW(ATALI[QB]),COLUMN(ATALI[QB]))&amp;":"&amp;ADDRESS(ROW(),COLUMN(ATALI[QB])))</f>
        <v/>
      </c>
      <c r="Y502" s="13" t="str">
        <f ca="1">IF(ATALI[[#This Row],[//]]="","",HYPERLINK("[../DB.xlsx]DB!e"&amp;MATCH(ATALI[[#This Row],[concat]],[4]!db[NB NOTA_C],0)+1,"&gt;"))</f>
        <v/>
      </c>
    </row>
    <row r="503" spans="1:25" x14ac:dyDescent="0.25">
      <c r="A503" s="4"/>
      <c r="B503" s="6" t="str">
        <f>IF(ATALI[[#This Row],[N_ID]]="","",INDEX(Table1[ID],MATCH(ATALI[[#This Row],[N_ID]],Table1[N_ID],0)))</f>
        <v/>
      </c>
      <c r="C503" s="6" t="str">
        <f>IF(ATALI[[#This Row],[ID NOTA]]="","",HYPERLINK("[NOTA_.xlsx]NOTA!e"&amp;INDEX([2]!PAJAK[//],MATCH(ATALI[[#This Row],[ID NOTA]],[2]!PAJAK[ID],0)),"&gt;") )</f>
        <v/>
      </c>
      <c r="D503" s="6" t="str">
        <f>IF(ATALI[[#This Row],[ID NOTA]]="","",INDEX(Table1[QB],MATCH(ATALI[[#This Row],[ID NOTA]],Table1[ID],0)))</f>
        <v/>
      </c>
      <c r="E5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3" s="6"/>
      <c r="G503" s="3" t="str">
        <f>IF(ATALI[[#This Row],[ID NOTA]]="","",INDEX([2]!NOTA[TGL_H],MATCH(ATALI[[#This Row],[ID NOTA]],[2]!NOTA[ID],0)))</f>
        <v/>
      </c>
      <c r="H503" s="3" t="str">
        <f>IF(ATALI[[#This Row],[ID NOTA]]="","",INDEX([2]!NOTA[TGL.NOTA],MATCH(ATALI[[#This Row],[ID NOTA]],[2]!NOTA[ID],0)))</f>
        <v/>
      </c>
      <c r="I503" s="4" t="str">
        <f>IF(ATALI[[#This Row],[ID NOTA]]="","",INDEX([2]!NOTA[NO.NOTA],MATCH(ATALI[[#This Row],[ID NOTA]],[2]!NOTA[ID],0)))</f>
        <v/>
      </c>
      <c r="J503" s="4" t="str">
        <f ca="1">IF(ATALI[[#This Row],[//]]="","",INDEX([4]!db[NB PAJAK],ATALI[[#This Row],[stt]]-1))</f>
        <v/>
      </c>
      <c r="K503" s="6" t="str">
        <f ca="1">IF(ATALI[[#This Row],[//]]="","",IF(INDEX([2]!NOTA[C],ATALI[[#This Row],[//]]-2)="","",INDEX([2]!NOTA[C],ATALI[[#This Row],[//]]-2)))</f>
        <v/>
      </c>
      <c r="L503" s="6" t="str">
        <f ca="1">IF(ATALI[[#This Row],[//]]="","",INDEX([2]!NOTA[QTY],ATALI[[#This Row],[//]]-2))</f>
        <v/>
      </c>
      <c r="M503" s="6" t="str">
        <f ca="1">IF(ATALI[[#This Row],[//]]="","",INDEX([2]!NOTA[STN],ATALI[[#This Row],[//]]-2))</f>
        <v/>
      </c>
      <c r="N503" s="5" t="str">
        <f ca="1">IF(ATALI[[#This Row],[//]]="","",INDEX([2]!NOTA[HARGA SATUAN],ATALI[[#This Row],[//]]-2))</f>
        <v/>
      </c>
      <c r="O503" s="7" t="str">
        <f ca="1">IF(ATALI[[#This Row],[//]]="","",INDEX([2]!NOTA[DISC 1],ATALI[[#This Row],[//]]-2))</f>
        <v/>
      </c>
      <c r="P503" s="7" t="str">
        <f ca="1">IF(ATALI[[#This Row],[//]]="","",INDEX([2]!NOTA[DISC 2],ATALI[[#This Row],[//]]-2))</f>
        <v/>
      </c>
      <c r="Q503" s="5" t="str">
        <f ca="1">IF(ATALI[[#This Row],[//]]="","",INDEX([2]!NOTA[TOTAL],ATALI[[#This Row],[//]]-2))</f>
        <v/>
      </c>
      <c r="R5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3" s="4" t="str">
        <f ca="1">IF(ATALI[[#This Row],[//]]="","",INDEX([2]!NOTA[NAMA BARANG],ATALI[[#This Row],[//]]-2))</f>
        <v/>
      </c>
      <c r="V503" s="4" t="str">
        <f ca="1">LOWER(SUBSTITUTE(SUBSTITUTE(SUBSTITUTE(SUBSTITUTE(SUBSTITUTE(SUBSTITUTE(SUBSTITUTE(ATALI[[#This Row],[N.B.nota]]," ",""),"-",""),"(",""),")",""),".",""),",",""),"/",""))</f>
        <v/>
      </c>
      <c r="W503" s="4" t="str">
        <f ca="1">IF(ATALI[[#This Row],[concat]]="","",MATCH(ATALI[[#This Row],[concat]],[4]!db[NB NOTA_C],0)+1)</f>
        <v/>
      </c>
      <c r="X503" s="4" t="str">
        <f ca="1">IF(ATALI[[#This Row],[N.B.nota]]="","",ADDRESS(ROW(ATALI[QB]),COLUMN(ATALI[QB]))&amp;":"&amp;ADDRESS(ROW(),COLUMN(ATALI[QB])))</f>
        <v/>
      </c>
      <c r="Y503" s="13" t="str">
        <f ca="1">IF(ATALI[[#This Row],[//]]="","",HYPERLINK("[../DB.xlsx]DB!e"&amp;MATCH(ATALI[[#This Row],[concat]],[4]!db[NB NOTA_C],0)+1,"&gt;"))</f>
        <v/>
      </c>
    </row>
    <row r="504" spans="1:25" x14ac:dyDescent="0.25">
      <c r="A504" s="4"/>
      <c r="B504" s="6" t="str">
        <f>IF(ATALI[[#This Row],[N_ID]]="","",INDEX(Table1[ID],MATCH(ATALI[[#This Row],[N_ID]],Table1[N_ID],0)))</f>
        <v/>
      </c>
      <c r="C504" s="6" t="str">
        <f>IF(ATALI[[#This Row],[ID NOTA]]="","",HYPERLINK("[NOTA_.xlsx]NOTA!e"&amp;INDEX([2]!PAJAK[//],MATCH(ATALI[[#This Row],[ID NOTA]],[2]!PAJAK[ID],0)),"&gt;") )</f>
        <v/>
      </c>
      <c r="D504" s="6" t="str">
        <f>IF(ATALI[[#This Row],[ID NOTA]]="","",INDEX(Table1[QB],MATCH(ATALI[[#This Row],[ID NOTA]],Table1[ID],0)))</f>
        <v/>
      </c>
      <c r="E5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4" s="6"/>
      <c r="G504" s="3" t="str">
        <f>IF(ATALI[[#This Row],[ID NOTA]]="","",INDEX([2]!NOTA[TGL_H],MATCH(ATALI[[#This Row],[ID NOTA]],[2]!NOTA[ID],0)))</f>
        <v/>
      </c>
      <c r="H504" s="3" t="str">
        <f>IF(ATALI[[#This Row],[ID NOTA]]="","",INDEX([2]!NOTA[TGL.NOTA],MATCH(ATALI[[#This Row],[ID NOTA]],[2]!NOTA[ID],0)))</f>
        <v/>
      </c>
      <c r="I504" s="4" t="str">
        <f>IF(ATALI[[#This Row],[ID NOTA]]="","",INDEX([2]!NOTA[NO.NOTA],MATCH(ATALI[[#This Row],[ID NOTA]],[2]!NOTA[ID],0)))</f>
        <v/>
      </c>
      <c r="J504" s="4" t="str">
        <f ca="1">IF(ATALI[[#This Row],[//]]="","",INDEX([4]!db[NB PAJAK],ATALI[[#This Row],[stt]]-1))</f>
        <v/>
      </c>
      <c r="K504" s="6" t="str">
        <f ca="1">IF(ATALI[[#This Row],[//]]="","",IF(INDEX([2]!NOTA[C],ATALI[[#This Row],[//]]-2)="","",INDEX([2]!NOTA[C],ATALI[[#This Row],[//]]-2)))</f>
        <v/>
      </c>
      <c r="L504" s="6" t="str">
        <f ca="1">IF(ATALI[[#This Row],[//]]="","",INDEX([2]!NOTA[QTY],ATALI[[#This Row],[//]]-2))</f>
        <v/>
      </c>
      <c r="M504" s="6" t="str">
        <f ca="1">IF(ATALI[[#This Row],[//]]="","",INDEX([2]!NOTA[STN],ATALI[[#This Row],[//]]-2))</f>
        <v/>
      </c>
      <c r="N504" s="5" t="str">
        <f ca="1">IF(ATALI[[#This Row],[//]]="","",INDEX([2]!NOTA[HARGA SATUAN],ATALI[[#This Row],[//]]-2))</f>
        <v/>
      </c>
      <c r="O504" s="7" t="str">
        <f ca="1">IF(ATALI[[#This Row],[//]]="","",INDEX([2]!NOTA[DISC 1],ATALI[[#This Row],[//]]-2))</f>
        <v/>
      </c>
      <c r="P504" s="7" t="str">
        <f ca="1">IF(ATALI[[#This Row],[//]]="","",INDEX([2]!NOTA[DISC 2],ATALI[[#This Row],[//]]-2))</f>
        <v/>
      </c>
      <c r="Q504" s="5" t="str">
        <f ca="1">IF(ATALI[[#This Row],[//]]="","",INDEX([2]!NOTA[TOTAL],ATALI[[#This Row],[//]]-2))</f>
        <v/>
      </c>
      <c r="R5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4" s="4" t="str">
        <f ca="1">IF(ATALI[[#This Row],[//]]="","",INDEX([2]!NOTA[NAMA BARANG],ATALI[[#This Row],[//]]-2))</f>
        <v/>
      </c>
      <c r="V504" s="4" t="str">
        <f ca="1">LOWER(SUBSTITUTE(SUBSTITUTE(SUBSTITUTE(SUBSTITUTE(SUBSTITUTE(SUBSTITUTE(SUBSTITUTE(ATALI[[#This Row],[N.B.nota]]," ",""),"-",""),"(",""),")",""),".",""),",",""),"/",""))</f>
        <v/>
      </c>
      <c r="W504" s="4" t="str">
        <f ca="1">IF(ATALI[[#This Row],[concat]]="","",MATCH(ATALI[[#This Row],[concat]],[4]!db[NB NOTA_C],0)+1)</f>
        <v/>
      </c>
      <c r="X504" s="4" t="str">
        <f ca="1">IF(ATALI[[#This Row],[N.B.nota]]="","",ADDRESS(ROW(ATALI[QB]),COLUMN(ATALI[QB]))&amp;":"&amp;ADDRESS(ROW(),COLUMN(ATALI[QB])))</f>
        <v/>
      </c>
      <c r="Y504" s="13" t="str">
        <f ca="1">IF(ATALI[[#This Row],[//]]="","",HYPERLINK("[../DB.xlsx]DB!e"&amp;MATCH(ATALI[[#This Row],[concat]],[4]!db[NB NOTA_C],0)+1,"&gt;"))</f>
        <v/>
      </c>
    </row>
    <row r="505" spans="1:25" x14ac:dyDescent="0.25">
      <c r="A505" s="4"/>
      <c r="B505" s="6" t="str">
        <f>IF(ATALI[[#This Row],[N_ID]]="","",INDEX(Table1[ID],MATCH(ATALI[[#This Row],[N_ID]],Table1[N_ID],0)))</f>
        <v/>
      </c>
      <c r="C505" s="6" t="str">
        <f>IF(ATALI[[#This Row],[ID NOTA]]="","",HYPERLINK("[NOTA_.xlsx]NOTA!e"&amp;INDEX([2]!PAJAK[//],MATCH(ATALI[[#This Row],[ID NOTA]],[2]!PAJAK[ID],0)),"&gt;") )</f>
        <v/>
      </c>
      <c r="D505" s="6" t="str">
        <f>IF(ATALI[[#This Row],[ID NOTA]]="","",INDEX(Table1[QB],MATCH(ATALI[[#This Row],[ID NOTA]],Table1[ID],0)))</f>
        <v/>
      </c>
      <c r="E5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5" s="6"/>
      <c r="G505" s="3" t="str">
        <f>IF(ATALI[[#This Row],[ID NOTA]]="","",INDEX([2]!NOTA[TGL_H],MATCH(ATALI[[#This Row],[ID NOTA]],[2]!NOTA[ID],0)))</f>
        <v/>
      </c>
      <c r="H505" s="3" t="str">
        <f>IF(ATALI[[#This Row],[ID NOTA]]="","",INDEX([2]!NOTA[TGL.NOTA],MATCH(ATALI[[#This Row],[ID NOTA]],[2]!NOTA[ID],0)))</f>
        <v/>
      </c>
      <c r="I505" s="4" t="str">
        <f>IF(ATALI[[#This Row],[ID NOTA]]="","",INDEX([2]!NOTA[NO.NOTA],MATCH(ATALI[[#This Row],[ID NOTA]],[2]!NOTA[ID],0)))</f>
        <v/>
      </c>
      <c r="J505" s="4" t="str">
        <f ca="1">IF(ATALI[[#This Row],[//]]="","",INDEX([4]!db[NB PAJAK],ATALI[[#This Row],[stt]]-1))</f>
        <v/>
      </c>
      <c r="K505" s="6" t="str">
        <f ca="1">IF(ATALI[[#This Row],[//]]="","",IF(INDEX([2]!NOTA[C],ATALI[[#This Row],[//]]-2)="","",INDEX([2]!NOTA[C],ATALI[[#This Row],[//]]-2)))</f>
        <v/>
      </c>
      <c r="L505" s="6" t="str">
        <f ca="1">IF(ATALI[[#This Row],[//]]="","",INDEX([2]!NOTA[QTY],ATALI[[#This Row],[//]]-2))</f>
        <v/>
      </c>
      <c r="M505" s="6" t="str">
        <f ca="1">IF(ATALI[[#This Row],[//]]="","",INDEX([2]!NOTA[STN],ATALI[[#This Row],[//]]-2))</f>
        <v/>
      </c>
      <c r="N505" s="5" t="str">
        <f ca="1">IF(ATALI[[#This Row],[//]]="","",INDEX([2]!NOTA[HARGA SATUAN],ATALI[[#This Row],[//]]-2))</f>
        <v/>
      </c>
      <c r="O505" s="7" t="str">
        <f ca="1">IF(ATALI[[#This Row],[//]]="","",INDEX([2]!NOTA[DISC 1],ATALI[[#This Row],[//]]-2))</f>
        <v/>
      </c>
      <c r="P505" s="7" t="str">
        <f ca="1">IF(ATALI[[#This Row],[//]]="","",INDEX([2]!NOTA[DISC 2],ATALI[[#This Row],[//]]-2))</f>
        <v/>
      </c>
      <c r="Q505" s="5" t="str">
        <f ca="1">IF(ATALI[[#This Row],[//]]="","",INDEX([2]!NOTA[TOTAL],ATALI[[#This Row],[//]]-2))</f>
        <v/>
      </c>
      <c r="R5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5" s="4" t="str">
        <f ca="1">IF(ATALI[[#This Row],[//]]="","",INDEX([2]!NOTA[NAMA BARANG],ATALI[[#This Row],[//]]-2))</f>
        <v/>
      </c>
      <c r="V505" s="4" t="str">
        <f ca="1">LOWER(SUBSTITUTE(SUBSTITUTE(SUBSTITUTE(SUBSTITUTE(SUBSTITUTE(SUBSTITUTE(SUBSTITUTE(ATALI[[#This Row],[N.B.nota]]," ",""),"-",""),"(",""),")",""),".",""),",",""),"/",""))</f>
        <v/>
      </c>
      <c r="W505" s="4" t="str">
        <f ca="1">IF(ATALI[[#This Row],[concat]]="","",MATCH(ATALI[[#This Row],[concat]],[4]!db[NB NOTA_C],0)+1)</f>
        <v/>
      </c>
      <c r="X505" s="4" t="str">
        <f ca="1">IF(ATALI[[#This Row],[N.B.nota]]="","",ADDRESS(ROW(ATALI[QB]),COLUMN(ATALI[QB]))&amp;":"&amp;ADDRESS(ROW(),COLUMN(ATALI[QB])))</f>
        <v/>
      </c>
      <c r="Y505" s="13" t="str">
        <f ca="1">IF(ATALI[[#This Row],[//]]="","",HYPERLINK("[../DB.xlsx]DB!e"&amp;MATCH(ATALI[[#This Row],[concat]],[4]!db[NB NOTA_C],0)+1,"&gt;"))</f>
        <v/>
      </c>
    </row>
    <row r="506" spans="1:25" x14ac:dyDescent="0.25">
      <c r="A506" s="4"/>
      <c r="B506" s="6" t="str">
        <f>IF(ATALI[[#This Row],[N_ID]]="","",INDEX(Table1[ID],MATCH(ATALI[[#This Row],[N_ID]],Table1[N_ID],0)))</f>
        <v/>
      </c>
      <c r="C506" s="6" t="str">
        <f>IF(ATALI[[#This Row],[ID NOTA]]="","",HYPERLINK("[NOTA_.xlsx]NOTA!e"&amp;INDEX([2]!PAJAK[//],MATCH(ATALI[[#This Row],[ID NOTA]],[2]!PAJAK[ID],0)),"&gt;") )</f>
        <v/>
      </c>
      <c r="D506" s="6" t="str">
        <f>IF(ATALI[[#This Row],[ID NOTA]]="","",INDEX(Table1[QB],MATCH(ATALI[[#This Row],[ID NOTA]],Table1[ID],0)))</f>
        <v/>
      </c>
      <c r="E5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6" s="6"/>
      <c r="G506" s="3" t="str">
        <f>IF(ATALI[[#This Row],[ID NOTA]]="","",INDEX([2]!NOTA[TGL_H],MATCH(ATALI[[#This Row],[ID NOTA]],[2]!NOTA[ID],0)))</f>
        <v/>
      </c>
      <c r="H506" s="3" t="str">
        <f>IF(ATALI[[#This Row],[ID NOTA]]="","",INDEX([2]!NOTA[TGL.NOTA],MATCH(ATALI[[#This Row],[ID NOTA]],[2]!NOTA[ID],0)))</f>
        <v/>
      </c>
      <c r="I506" s="4" t="str">
        <f>IF(ATALI[[#This Row],[ID NOTA]]="","",INDEX([2]!NOTA[NO.NOTA],MATCH(ATALI[[#This Row],[ID NOTA]],[2]!NOTA[ID],0)))</f>
        <v/>
      </c>
      <c r="J506" s="4" t="str">
        <f ca="1">IF(ATALI[[#This Row],[//]]="","",INDEX([4]!db[NB PAJAK],ATALI[[#This Row],[stt]]-1))</f>
        <v/>
      </c>
      <c r="K506" s="6" t="str">
        <f ca="1">IF(ATALI[[#This Row],[//]]="","",IF(INDEX([2]!NOTA[C],ATALI[[#This Row],[//]]-2)="","",INDEX([2]!NOTA[C],ATALI[[#This Row],[//]]-2)))</f>
        <v/>
      </c>
      <c r="L506" s="6" t="str">
        <f ca="1">IF(ATALI[[#This Row],[//]]="","",INDEX([2]!NOTA[QTY],ATALI[[#This Row],[//]]-2))</f>
        <v/>
      </c>
      <c r="M506" s="6" t="str">
        <f ca="1">IF(ATALI[[#This Row],[//]]="","",INDEX([2]!NOTA[STN],ATALI[[#This Row],[//]]-2))</f>
        <v/>
      </c>
      <c r="N506" s="5" t="str">
        <f ca="1">IF(ATALI[[#This Row],[//]]="","",INDEX([2]!NOTA[HARGA SATUAN],ATALI[[#This Row],[//]]-2))</f>
        <v/>
      </c>
      <c r="O506" s="7" t="str">
        <f ca="1">IF(ATALI[[#This Row],[//]]="","",INDEX([2]!NOTA[DISC 1],ATALI[[#This Row],[//]]-2))</f>
        <v/>
      </c>
      <c r="P506" s="7" t="str">
        <f ca="1">IF(ATALI[[#This Row],[//]]="","",INDEX([2]!NOTA[DISC 2],ATALI[[#This Row],[//]]-2))</f>
        <v/>
      </c>
      <c r="Q506" s="5" t="str">
        <f ca="1">IF(ATALI[[#This Row],[//]]="","",INDEX([2]!NOTA[TOTAL],ATALI[[#This Row],[//]]-2))</f>
        <v/>
      </c>
      <c r="R5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6" s="4" t="str">
        <f ca="1">IF(ATALI[[#This Row],[//]]="","",INDEX([2]!NOTA[NAMA BARANG],ATALI[[#This Row],[//]]-2))</f>
        <v/>
      </c>
      <c r="V506" s="4" t="str">
        <f ca="1">LOWER(SUBSTITUTE(SUBSTITUTE(SUBSTITUTE(SUBSTITUTE(SUBSTITUTE(SUBSTITUTE(SUBSTITUTE(ATALI[[#This Row],[N.B.nota]]," ",""),"-",""),"(",""),")",""),".",""),",",""),"/",""))</f>
        <v/>
      </c>
      <c r="W506" s="4" t="str">
        <f ca="1">IF(ATALI[[#This Row],[concat]]="","",MATCH(ATALI[[#This Row],[concat]],[4]!db[NB NOTA_C],0)+1)</f>
        <v/>
      </c>
      <c r="X506" s="4" t="str">
        <f ca="1">IF(ATALI[[#This Row],[N.B.nota]]="","",ADDRESS(ROW(ATALI[QB]),COLUMN(ATALI[QB]))&amp;":"&amp;ADDRESS(ROW(),COLUMN(ATALI[QB])))</f>
        <v/>
      </c>
      <c r="Y506" s="13" t="str">
        <f ca="1">IF(ATALI[[#This Row],[//]]="","",HYPERLINK("[../DB.xlsx]DB!e"&amp;MATCH(ATALI[[#This Row],[concat]],[4]!db[NB NOTA_C],0)+1,"&gt;"))</f>
        <v/>
      </c>
    </row>
    <row r="507" spans="1:25" x14ac:dyDescent="0.25">
      <c r="A507" s="4"/>
      <c r="B507" s="6" t="str">
        <f>IF(ATALI[[#This Row],[N_ID]]="","",INDEX(Table1[ID],MATCH(ATALI[[#This Row],[N_ID]],Table1[N_ID],0)))</f>
        <v/>
      </c>
      <c r="C507" s="6" t="str">
        <f>IF(ATALI[[#This Row],[ID NOTA]]="","",HYPERLINK("[NOTA_.xlsx]NOTA!e"&amp;INDEX([2]!PAJAK[//],MATCH(ATALI[[#This Row],[ID NOTA]],[2]!PAJAK[ID],0)),"&gt;") )</f>
        <v/>
      </c>
      <c r="D507" s="6" t="str">
        <f>IF(ATALI[[#This Row],[ID NOTA]]="","",INDEX(Table1[QB],MATCH(ATALI[[#This Row],[ID NOTA]],Table1[ID],0)))</f>
        <v/>
      </c>
      <c r="E5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7" s="6"/>
      <c r="G507" s="3" t="str">
        <f>IF(ATALI[[#This Row],[ID NOTA]]="","",INDEX([2]!NOTA[TGL_H],MATCH(ATALI[[#This Row],[ID NOTA]],[2]!NOTA[ID],0)))</f>
        <v/>
      </c>
      <c r="H507" s="3" t="str">
        <f>IF(ATALI[[#This Row],[ID NOTA]]="","",INDEX([2]!NOTA[TGL.NOTA],MATCH(ATALI[[#This Row],[ID NOTA]],[2]!NOTA[ID],0)))</f>
        <v/>
      </c>
      <c r="I507" s="4" t="str">
        <f>IF(ATALI[[#This Row],[ID NOTA]]="","",INDEX([2]!NOTA[NO.NOTA],MATCH(ATALI[[#This Row],[ID NOTA]],[2]!NOTA[ID],0)))</f>
        <v/>
      </c>
      <c r="J507" s="4" t="str">
        <f ca="1">IF(ATALI[[#This Row],[//]]="","",INDEX([4]!db[NB PAJAK],ATALI[[#This Row],[stt]]-1))</f>
        <v/>
      </c>
      <c r="K507" s="6" t="str">
        <f ca="1">IF(ATALI[[#This Row],[//]]="","",IF(INDEX([2]!NOTA[C],ATALI[[#This Row],[//]]-2)="","",INDEX([2]!NOTA[C],ATALI[[#This Row],[//]]-2)))</f>
        <v/>
      </c>
      <c r="L507" s="6" t="str">
        <f ca="1">IF(ATALI[[#This Row],[//]]="","",INDEX([2]!NOTA[QTY],ATALI[[#This Row],[//]]-2))</f>
        <v/>
      </c>
      <c r="M507" s="6" t="str">
        <f ca="1">IF(ATALI[[#This Row],[//]]="","",INDEX([2]!NOTA[STN],ATALI[[#This Row],[//]]-2))</f>
        <v/>
      </c>
      <c r="N507" s="5" t="str">
        <f ca="1">IF(ATALI[[#This Row],[//]]="","",INDEX([2]!NOTA[HARGA SATUAN],ATALI[[#This Row],[//]]-2))</f>
        <v/>
      </c>
      <c r="O507" s="7" t="str">
        <f ca="1">IF(ATALI[[#This Row],[//]]="","",INDEX([2]!NOTA[DISC 1],ATALI[[#This Row],[//]]-2))</f>
        <v/>
      </c>
      <c r="P507" s="7" t="str">
        <f ca="1">IF(ATALI[[#This Row],[//]]="","",INDEX([2]!NOTA[DISC 2],ATALI[[#This Row],[//]]-2))</f>
        <v/>
      </c>
      <c r="Q507" s="5" t="str">
        <f ca="1">IF(ATALI[[#This Row],[//]]="","",INDEX([2]!NOTA[TOTAL],ATALI[[#This Row],[//]]-2))</f>
        <v/>
      </c>
      <c r="R5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7" s="4" t="str">
        <f ca="1">IF(ATALI[[#This Row],[//]]="","",INDEX([2]!NOTA[NAMA BARANG],ATALI[[#This Row],[//]]-2))</f>
        <v/>
      </c>
      <c r="V507" s="4" t="str">
        <f ca="1">LOWER(SUBSTITUTE(SUBSTITUTE(SUBSTITUTE(SUBSTITUTE(SUBSTITUTE(SUBSTITUTE(SUBSTITUTE(ATALI[[#This Row],[N.B.nota]]," ",""),"-",""),"(",""),")",""),".",""),",",""),"/",""))</f>
        <v/>
      </c>
      <c r="W507" s="4" t="str">
        <f ca="1">IF(ATALI[[#This Row],[concat]]="","",MATCH(ATALI[[#This Row],[concat]],[4]!db[NB NOTA_C],0)+1)</f>
        <v/>
      </c>
      <c r="X507" s="4" t="str">
        <f ca="1">IF(ATALI[[#This Row],[N.B.nota]]="","",ADDRESS(ROW(ATALI[QB]),COLUMN(ATALI[QB]))&amp;":"&amp;ADDRESS(ROW(),COLUMN(ATALI[QB])))</f>
        <v/>
      </c>
      <c r="Y507" s="13" t="str">
        <f ca="1">IF(ATALI[[#This Row],[//]]="","",HYPERLINK("[../DB.xlsx]DB!e"&amp;MATCH(ATALI[[#This Row],[concat]],[4]!db[NB NOTA_C],0)+1,"&gt;"))</f>
        <v/>
      </c>
    </row>
    <row r="508" spans="1:25" x14ac:dyDescent="0.25">
      <c r="A508" s="4"/>
      <c r="B508" s="6" t="str">
        <f>IF(ATALI[[#This Row],[N_ID]]="","",INDEX(Table1[ID],MATCH(ATALI[[#This Row],[N_ID]],Table1[N_ID],0)))</f>
        <v/>
      </c>
      <c r="C508" s="6" t="str">
        <f>IF(ATALI[[#This Row],[ID NOTA]]="","",HYPERLINK("[NOTA_.xlsx]NOTA!e"&amp;INDEX([2]!PAJAK[//],MATCH(ATALI[[#This Row],[ID NOTA]],[2]!PAJAK[ID],0)),"&gt;") )</f>
        <v/>
      </c>
      <c r="D508" s="6" t="str">
        <f>IF(ATALI[[#This Row],[ID NOTA]]="","",INDEX(Table1[QB],MATCH(ATALI[[#This Row],[ID NOTA]],Table1[ID],0)))</f>
        <v/>
      </c>
      <c r="E5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8" s="6"/>
      <c r="G508" s="3" t="str">
        <f>IF(ATALI[[#This Row],[ID NOTA]]="","",INDEX([2]!NOTA[TGL_H],MATCH(ATALI[[#This Row],[ID NOTA]],[2]!NOTA[ID],0)))</f>
        <v/>
      </c>
      <c r="H508" s="3" t="str">
        <f>IF(ATALI[[#This Row],[ID NOTA]]="","",INDEX([2]!NOTA[TGL.NOTA],MATCH(ATALI[[#This Row],[ID NOTA]],[2]!NOTA[ID],0)))</f>
        <v/>
      </c>
      <c r="I508" s="4" t="str">
        <f>IF(ATALI[[#This Row],[ID NOTA]]="","",INDEX([2]!NOTA[NO.NOTA],MATCH(ATALI[[#This Row],[ID NOTA]],[2]!NOTA[ID],0)))</f>
        <v/>
      </c>
      <c r="J508" s="4" t="str">
        <f ca="1">IF(ATALI[[#This Row],[//]]="","",INDEX([4]!db[NB PAJAK],ATALI[[#This Row],[stt]]-1))</f>
        <v/>
      </c>
      <c r="K508" s="6" t="str">
        <f ca="1">IF(ATALI[[#This Row],[//]]="","",IF(INDEX([2]!NOTA[C],ATALI[[#This Row],[//]]-2)="","",INDEX([2]!NOTA[C],ATALI[[#This Row],[//]]-2)))</f>
        <v/>
      </c>
      <c r="L508" s="6" t="str">
        <f ca="1">IF(ATALI[[#This Row],[//]]="","",INDEX([2]!NOTA[QTY],ATALI[[#This Row],[//]]-2))</f>
        <v/>
      </c>
      <c r="M508" s="6" t="str">
        <f ca="1">IF(ATALI[[#This Row],[//]]="","",INDEX([2]!NOTA[STN],ATALI[[#This Row],[//]]-2))</f>
        <v/>
      </c>
      <c r="N508" s="5" t="str">
        <f ca="1">IF(ATALI[[#This Row],[//]]="","",INDEX([2]!NOTA[HARGA SATUAN],ATALI[[#This Row],[//]]-2))</f>
        <v/>
      </c>
      <c r="O508" s="7" t="str">
        <f ca="1">IF(ATALI[[#This Row],[//]]="","",INDEX([2]!NOTA[DISC 1],ATALI[[#This Row],[//]]-2))</f>
        <v/>
      </c>
      <c r="P508" s="7" t="str">
        <f ca="1">IF(ATALI[[#This Row],[//]]="","",INDEX([2]!NOTA[DISC 2],ATALI[[#This Row],[//]]-2))</f>
        <v/>
      </c>
      <c r="Q508" s="5" t="str">
        <f ca="1">IF(ATALI[[#This Row],[//]]="","",INDEX([2]!NOTA[TOTAL],ATALI[[#This Row],[//]]-2))</f>
        <v/>
      </c>
      <c r="R5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8" s="4" t="str">
        <f ca="1">IF(ATALI[[#This Row],[//]]="","",INDEX([2]!NOTA[NAMA BARANG],ATALI[[#This Row],[//]]-2))</f>
        <v/>
      </c>
      <c r="V508" s="4" t="str">
        <f ca="1">LOWER(SUBSTITUTE(SUBSTITUTE(SUBSTITUTE(SUBSTITUTE(SUBSTITUTE(SUBSTITUTE(SUBSTITUTE(ATALI[[#This Row],[N.B.nota]]," ",""),"-",""),"(",""),")",""),".",""),",",""),"/",""))</f>
        <v/>
      </c>
      <c r="W508" s="4" t="str">
        <f ca="1">IF(ATALI[[#This Row],[concat]]="","",MATCH(ATALI[[#This Row],[concat]],[4]!db[NB NOTA_C],0)+1)</f>
        <v/>
      </c>
      <c r="X508" s="4" t="str">
        <f ca="1">IF(ATALI[[#This Row],[N.B.nota]]="","",ADDRESS(ROW(ATALI[QB]),COLUMN(ATALI[QB]))&amp;":"&amp;ADDRESS(ROW(),COLUMN(ATALI[QB])))</f>
        <v/>
      </c>
      <c r="Y508" s="13" t="str">
        <f ca="1">IF(ATALI[[#This Row],[//]]="","",HYPERLINK("[../DB.xlsx]DB!e"&amp;MATCH(ATALI[[#This Row],[concat]],[4]!db[NB NOTA_C],0)+1,"&gt;"))</f>
        <v/>
      </c>
    </row>
    <row r="509" spans="1:25" x14ac:dyDescent="0.25">
      <c r="A509" s="4"/>
      <c r="B509" s="6" t="str">
        <f>IF(ATALI[[#This Row],[N_ID]]="","",INDEX(Table1[ID],MATCH(ATALI[[#This Row],[N_ID]],Table1[N_ID],0)))</f>
        <v/>
      </c>
      <c r="C509" s="6" t="str">
        <f>IF(ATALI[[#This Row],[ID NOTA]]="","",HYPERLINK("[NOTA_.xlsx]NOTA!e"&amp;INDEX([2]!PAJAK[//],MATCH(ATALI[[#This Row],[ID NOTA]],[2]!PAJAK[ID],0)),"&gt;") )</f>
        <v/>
      </c>
      <c r="D509" s="6" t="str">
        <f>IF(ATALI[[#This Row],[ID NOTA]]="","",INDEX(Table1[QB],MATCH(ATALI[[#This Row],[ID NOTA]],Table1[ID],0)))</f>
        <v/>
      </c>
      <c r="E5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9" s="6"/>
      <c r="G509" s="3" t="str">
        <f>IF(ATALI[[#This Row],[ID NOTA]]="","",INDEX([2]!NOTA[TGL_H],MATCH(ATALI[[#This Row],[ID NOTA]],[2]!NOTA[ID],0)))</f>
        <v/>
      </c>
      <c r="H509" s="3" t="str">
        <f>IF(ATALI[[#This Row],[ID NOTA]]="","",INDEX([2]!NOTA[TGL.NOTA],MATCH(ATALI[[#This Row],[ID NOTA]],[2]!NOTA[ID],0)))</f>
        <v/>
      </c>
      <c r="I509" s="4" t="str">
        <f>IF(ATALI[[#This Row],[ID NOTA]]="","",INDEX([2]!NOTA[NO.NOTA],MATCH(ATALI[[#This Row],[ID NOTA]],[2]!NOTA[ID],0)))</f>
        <v/>
      </c>
      <c r="J509" s="4" t="str">
        <f ca="1">IF(ATALI[[#This Row],[//]]="","",INDEX([4]!db[NB PAJAK],ATALI[[#This Row],[stt]]-1))</f>
        <v/>
      </c>
      <c r="K509" s="6" t="str">
        <f ca="1">IF(ATALI[[#This Row],[//]]="","",IF(INDEX([2]!NOTA[C],ATALI[[#This Row],[//]]-2)="","",INDEX([2]!NOTA[C],ATALI[[#This Row],[//]]-2)))</f>
        <v/>
      </c>
      <c r="L509" s="6" t="str">
        <f ca="1">IF(ATALI[[#This Row],[//]]="","",INDEX([2]!NOTA[QTY],ATALI[[#This Row],[//]]-2))</f>
        <v/>
      </c>
      <c r="M509" s="6" t="str">
        <f ca="1">IF(ATALI[[#This Row],[//]]="","",INDEX([2]!NOTA[STN],ATALI[[#This Row],[//]]-2))</f>
        <v/>
      </c>
      <c r="N509" s="5" t="str">
        <f ca="1">IF(ATALI[[#This Row],[//]]="","",INDEX([2]!NOTA[HARGA SATUAN],ATALI[[#This Row],[//]]-2))</f>
        <v/>
      </c>
      <c r="O509" s="7" t="str">
        <f ca="1">IF(ATALI[[#This Row],[//]]="","",INDEX([2]!NOTA[DISC 1],ATALI[[#This Row],[//]]-2))</f>
        <v/>
      </c>
      <c r="P509" s="7" t="str">
        <f ca="1">IF(ATALI[[#This Row],[//]]="","",INDEX([2]!NOTA[DISC 2],ATALI[[#This Row],[//]]-2))</f>
        <v/>
      </c>
      <c r="Q509" s="5" t="str">
        <f ca="1">IF(ATALI[[#This Row],[//]]="","",INDEX([2]!NOTA[TOTAL],ATALI[[#This Row],[//]]-2))</f>
        <v/>
      </c>
      <c r="R5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9" s="4" t="str">
        <f ca="1">IF(ATALI[[#This Row],[//]]="","",INDEX([2]!NOTA[NAMA BARANG],ATALI[[#This Row],[//]]-2))</f>
        <v/>
      </c>
      <c r="V509" s="4" t="str">
        <f ca="1">LOWER(SUBSTITUTE(SUBSTITUTE(SUBSTITUTE(SUBSTITUTE(SUBSTITUTE(SUBSTITUTE(SUBSTITUTE(ATALI[[#This Row],[N.B.nota]]," ",""),"-",""),"(",""),")",""),".",""),",",""),"/",""))</f>
        <v/>
      </c>
      <c r="W509" s="4" t="str">
        <f ca="1">IF(ATALI[[#This Row],[concat]]="","",MATCH(ATALI[[#This Row],[concat]],[4]!db[NB NOTA_C],0)+1)</f>
        <v/>
      </c>
      <c r="X509" s="4" t="str">
        <f ca="1">IF(ATALI[[#This Row],[N.B.nota]]="","",ADDRESS(ROW(ATALI[QB]),COLUMN(ATALI[QB]))&amp;":"&amp;ADDRESS(ROW(),COLUMN(ATALI[QB])))</f>
        <v/>
      </c>
      <c r="Y509" s="13" t="str">
        <f ca="1">IF(ATALI[[#This Row],[//]]="","",HYPERLINK("[../DB.xlsx]DB!e"&amp;MATCH(ATALI[[#This Row],[concat]],[4]!db[NB NOTA_C],0)+1,"&gt;"))</f>
        <v/>
      </c>
    </row>
    <row r="510" spans="1:25" x14ac:dyDescent="0.25">
      <c r="A510" s="4"/>
      <c r="B510" s="6" t="str">
        <f>IF(ATALI[[#This Row],[N_ID]]="","",INDEX(Table1[ID],MATCH(ATALI[[#This Row],[N_ID]],Table1[N_ID],0)))</f>
        <v/>
      </c>
      <c r="C510" s="6" t="str">
        <f>IF(ATALI[[#This Row],[ID NOTA]]="","",HYPERLINK("[NOTA_.xlsx]NOTA!e"&amp;INDEX([2]!PAJAK[//],MATCH(ATALI[[#This Row],[ID NOTA]],[2]!PAJAK[ID],0)),"&gt;") )</f>
        <v/>
      </c>
      <c r="D510" s="6" t="str">
        <f>IF(ATALI[[#This Row],[ID NOTA]]="","",INDEX(Table1[QB],MATCH(ATALI[[#This Row],[ID NOTA]],Table1[ID],0)))</f>
        <v/>
      </c>
      <c r="E5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0" s="6"/>
      <c r="G510" s="3" t="str">
        <f>IF(ATALI[[#This Row],[ID NOTA]]="","",INDEX([2]!NOTA[TGL_H],MATCH(ATALI[[#This Row],[ID NOTA]],[2]!NOTA[ID],0)))</f>
        <v/>
      </c>
      <c r="H510" s="3" t="str">
        <f>IF(ATALI[[#This Row],[ID NOTA]]="","",INDEX([2]!NOTA[TGL.NOTA],MATCH(ATALI[[#This Row],[ID NOTA]],[2]!NOTA[ID],0)))</f>
        <v/>
      </c>
      <c r="I510" s="4" t="str">
        <f>IF(ATALI[[#This Row],[ID NOTA]]="","",INDEX([2]!NOTA[NO.NOTA],MATCH(ATALI[[#This Row],[ID NOTA]],[2]!NOTA[ID],0)))</f>
        <v/>
      </c>
      <c r="J510" s="4" t="str">
        <f ca="1">IF(ATALI[[#This Row],[//]]="","",INDEX([4]!db[NB PAJAK],ATALI[[#This Row],[stt]]-1))</f>
        <v/>
      </c>
      <c r="K510" s="6" t="str">
        <f ca="1">IF(ATALI[[#This Row],[//]]="","",IF(INDEX([2]!NOTA[C],ATALI[[#This Row],[//]]-2)="","",INDEX([2]!NOTA[C],ATALI[[#This Row],[//]]-2)))</f>
        <v/>
      </c>
      <c r="L510" s="6" t="str">
        <f ca="1">IF(ATALI[[#This Row],[//]]="","",INDEX([2]!NOTA[QTY],ATALI[[#This Row],[//]]-2))</f>
        <v/>
      </c>
      <c r="M510" s="6" t="str">
        <f ca="1">IF(ATALI[[#This Row],[//]]="","",INDEX([2]!NOTA[STN],ATALI[[#This Row],[//]]-2))</f>
        <v/>
      </c>
      <c r="N510" s="5" t="str">
        <f ca="1">IF(ATALI[[#This Row],[//]]="","",INDEX([2]!NOTA[HARGA SATUAN],ATALI[[#This Row],[//]]-2))</f>
        <v/>
      </c>
      <c r="O510" s="7" t="str">
        <f ca="1">IF(ATALI[[#This Row],[//]]="","",INDEX([2]!NOTA[DISC 1],ATALI[[#This Row],[//]]-2))</f>
        <v/>
      </c>
      <c r="P510" s="7" t="str">
        <f ca="1">IF(ATALI[[#This Row],[//]]="","",INDEX([2]!NOTA[DISC 2],ATALI[[#This Row],[//]]-2))</f>
        <v/>
      </c>
      <c r="Q510" s="5" t="str">
        <f ca="1">IF(ATALI[[#This Row],[//]]="","",INDEX([2]!NOTA[TOTAL],ATALI[[#This Row],[//]]-2))</f>
        <v/>
      </c>
      <c r="R5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0" s="4" t="str">
        <f ca="1">IF(ATALI[[#This Row],[//]]="","",INDEX([2]!NOTA[NAMA BARANG],ATALI[[#This Row],[//]]-2))</f>
        <v/>
      </c>
      <c r="V510" s="4" t="str">
        <f ca="1">LOWER(SUBSTITUTE(SUBSTITUTE(SUBSTITUTE(SUBSTITUTE(SUBSTITUTE(SUBSTITUTE(SUBSTITUTE(ATALI[[#This Row],[N.B.nota]]," ",""),"-",""),"(",""),")",""),".",""),",",""),"/",""))</f>
        <v/>
      </c>
      <c r="W510" s="4" t="str">
        <f ca="1">IF(ATALI[[#This Row],[concat]]="","",MATCH(ATALI[[#This Row],[concat]],[4]!db[NB NOTA_C],0)+1)</f>
        <v/>
      </c>
      <c r="X510" s="4" t="str">
        <f ca="1">IF(ATALI[[#This Row],[N.B.nota]]="","",ADDRESS(ROW(ATALI[QB]),COLUMN(ATALI[QB]))&amp;":"&amp;ADDRESS(ROW(),COLUMN(ATALI[QB])))</f>
        <v/>
      </c>
      <c r="Y510" s="13" t="str">
        <f ca="1">IF(ATALI[[#This Row],[//]]="","",HYPERLINK("[../DB.xlsx]DB!e"&amp;MATCH(ATALI[[#This Row],[concat]],[4]!db[NB NOTA_C],0)+1,"&gt;"))</f>
        <v/>
      </c>
    </row>
    <row r="511" spans="1:25" x14ac:dyDescent="0.25">
      <c r="A511" s="4"/>
      <c r="B511" s="6" t="str">
        <f>IF(ATALI[[#This Row],[N_ID]]="","",INDEX(Table1[ID],MATCH(ATALI[[#This Row],[N_ID]],Table1[N_ID],0)))</f>
        <v/>
      </c>
      <c r="C511" s="6" t="str">
        <f>IF(ATALI[[#This Row],[ID NOTA]]="","",HYPERLINK("[NOTA_.xlsx]NOTA!e"&amp;INDEX([2]!PAJAK[//],MATCH(ATALI[[#This Row],[ID NOTA]],[2]!PAJAK[ID],0)),"&gt;") )</f>
        <v/>
      </c>
      <c r="D511" s="6" t="str">
        <f>IF(ATALI[[#This Row],[ID NOTA]]="","",INDEX(Table1[QB],MATCH(ATALI[[#This Row],[ID NOTA]],Table1[ID],0)))</f>
        <v/>
      </c>
      <c r="E5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1" s="6"/>
      <c r="G511" s="3" t="str">
        <f>IF(ATALI[[#This Row],[ID NOTA]]="","",INDEX([2]!NOTA[TGL_H],MATCH(ATALI[[#This Row],[ID NOTA]],[2]!NOTA[ID],0)))</f>
        <v/>
      </c>
      <c r="H511" s="3" t="str">
        <f>IF(ATALI[[#This Row],[ID NOTA]]="","",INDEX([2]!NOTA[TGL.NOTA],MATCH(ATALI[[#This Row],[ID NOTA]],[2]!NOTA[ID],0)))</f>
        <v/>
      </c>
      <c r="I511" s="4" t="str">
        <f>IF(ATALI[[#This Row],[ID NOTA]]="","",INDEX([2]!NOTA[NO.NOTA],MATCH(ATALI[[#This Row],[ID NOTA]],[2]!NOTA[ID],0)))</f>
        <v/>
      </c>
      <c r="J511" s="4" t="str">
        <f ca="1">IF(ATALI[[#This Row],[//]]="","",INDEX([4]!db[NB PAJAK],ATALI[[#This Row],[stt]]-1))</f>
        <v/>
      </c>
      <c r="K511" s="6" t="str">
        <f ca="1">IF(ATALI[[#This Row],[//]]="","",IF(INDEX([2]!NOTA[C],ATALI[[#This Row],[//]]-2)="","",INDEX([2]!NOTA[C],ATALI[[#This Row],[//]]-2)))</f>
        <v/>
      </c>
      <c r="L511" s="6" t="str">
        <f ca="1">IF(ATALI[[#This Row],[//]]="","",INDEX([2]!NOTA[QTY],ATALI[[#This Row],[//]]-2))</f>
        <v/>
      </c>
      <c r="M511" s="6" t="str">
        <f ca="1">IF(ATALI[[#This Row],[//]]="","",INDEX([2]!NOTA[STN],ATALI[[#This Row],[//]]-2))</f>
        <v/>
      </c>
      <c r="N511" s="5" t="str">
        <f ca="1">IF(ATALI[[#This Row],[//]]="","",INDEX([2]!NOTA[HARGA SATUAN],ATALI[[#This Row],[//]]-2))</f>
        <v/>
      </c>
      <c r="O511" s="7" t="str">
        <f ca="1">IF(ATALI[[#This Row],[//]]="","",INDEX([2]!NOTA[DISC 1],ATALI[[#This Row],[//]]-2))</f>
        <v/>
      </c>
      <c r="P511" s="7" t="str">
        <f ca="1">IF(ATALI[[#This Row],[//]]="","",INDEX([2]!NOTA[DISC 2],ATALI[[#This Row],[//]]-2))</f>
        <v/>
      </c>
      <c r="Q511" s="5" t="str">
        <f ca="1">IF(ATALI[[#This Row],[//]]="","",INDEX([2]!NOTA[TOTAL],ATALI[[#This Row],[//]]-2))</f>
        <v/>
      </c>
      <c r="R5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1" s="4" t="str">
        <f ca="1">IF(ATALI[[#This Row],[//]]="","",INDEX([2]!NOTA[NAMA BARANG],ATALI[[#This Row],[//]]-2))</f>
        <v/>
      </c>
      <c r="V511" s="4" t="str">
        <f ca="1">LOWER(SUBSTITUTE(SUBSTITUTE(SUBSTITUTE(SUBSTITUTE(SUBSTITUTE(SUBSTITUTE(SUBSTITUTE(ATALI[[#This Row],[N.B.nota]]," ",""),"-",""),"(",""),")",""),".",""),",",""),"/",""))</f>
        <v/>
      </c>
      <c r="W511" s="4" t="str">
        <f ca="1">IF(ATALI[[#This Row],[concat]]="","",MATCH(ATALI[[#This Row],[concat]],[4]!db[NB NOTA_C],0)+1)</f>
        <v/>
      </c>
      <c r="X511" s="4" t="str">
        <f ca="1">IF(ATALI[[#This Row],[N.B.nota]]="","",ADDRESS(ROW(ATALI[QB]),COLUMN(ATALI[QB]))&amp;":"&amp;ADDRESS(ROW(),COLUMN(ATALI[QB])))</f>
        <v/>
      </c>
      <c r="Y511" s="13" t="str">
        <f ca="1">IF(ATALI[[#This Row],[//]]="","",HYPERLINK("[../DB.xlsx]DB!e"&amp;MATCH(ATALI[[#This Row],[concat]],[4]!db[NB NOTA_C],0)+1,"&gt;"))</f>
        <v/>
      </c>
    </row>
    <row r="512" spans="1:25" x14ac:dyDescent="0.25">
      <c r="A512" s="4"/>
      <c r="B512" s="6" t="str">
        <f>IF(ATALI[[#This Row],[N_ID]]="","",INDEX(Table1[ID],MATCH(ATALI[[#This Row],[N_ID]],Table1[N_ID],0)))</f>
        <v/>
      </c>
      <c r="C512" s="6" t="str">
        <f>IF(ATALI[[#This Row],[ID NOTA]]="","",HYPERLINK("[NOTA_.xlsx]NOTA!e"&amp;INDEX([2]!PAJAK[//],MATCH(ATALI[[#This Row],[ID NOTA]],[2]!PAJAK[ID],0)),"&gt;") )</f>
        <v/>
      </c>
      <c r="D512" s="6" t="str">
        <f>IF(ATALI[[#This Row],[ID NOTA]]="","",INDEX(Table1[QB],MATCH(ATALI[[#This Row],[ID NOTA]],Table1[ID],0)))</f>
        <v/>
      </c>
      <c r="E5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2" s="6"/>
      <c r="G512" s="3" t="str">
        <f>IF(ATALI[[#This Row],[ID NOTA]]="","",INDEX([2]!NOTA[TGL_H],MATCH(ATALI[[#This Row],[ID NOTA]],[2]!NOTA[ID],0)))</f>
        <v/>
      </c>
      <c r="H512" s="3" t="str">
        <f>IF(ATALI[[#This Row],[ID NOTA]]="","",INDEX([2]!NOTA[TGL.NOTA],MATCH(ATALI[[#This Row],[ID NOTA]],[2]!NOTA[ID],0)))</f>
        <v/>
      </c>
      <c r="I512" s="4" t="str">
        <f>IF(ATALI[[#This Row],[ID NOTA]]="","",INDEX([2]!NOTA[NO.NOTA],MATCH(ATALI[[#This Row],[ID NOTA]],[2]!NOTA[ID],0)))</f>
        <v/>
      </c>
      <c r="J512" s="4" t="str">
        <f ca="1">IF(ATALI[[#This Row],[//]]="","",INDEX([4]!db[NB PAJAK],ATALI[[#This Row],[stt]]-1))</f>
        <v/>
      </c>
      <c r="K512" s="6" t="str">
        <f ca="1">IF(ATALI[[#This Row],[//]]="","",IF(INDEX([2]!NOTA[C],ATALI[[#This Row],[//]]-2)="","",INDEX([2]!NOTA[C],ATALI[[#This Row],[//]]-2)))</f>
        <v/>
      </c>
      <c r="L512" s="6" t="str">
        <f ca="1">IF(ATALI[[#This Row],[//]]="","",INDEX([2]!NOTA[QTY],ATALI[[#This Row],[//]]-2))</f>
        <v/>
      </c>
      <c r="M512" s="6" t="str">
        <f ca="1">IF(ATALI[[#This Row],[//]]="","",INDEX([2]!NOTA[STN],ATALI[[#This Row],[//]]-2))</f>
        <v/>
      </c>
      <c r="N512" s="5" t="str">
        <f ca="1">IF(ATALI[[#This Row],[//]]="","",INDEX([2]!NOTA[HARGA SATUAN],ATALI[[#This Row],[//]]-2))</f>
        <v/>
      </c>
      <c r="O512" s="7" t="str">
        <f ca="1">IF(ATALI[[#This Row],[//]]="","",INDEX([2]!NOTA[DISC 1],ATALI[[#This Row],[//]]-2))</f>
        <v/>
      </c>
      <c r="P512" s="7" t="str">
        <f ca="1">IF(ATALI[[#This Row],[//]]="","",INDEX([2]!NOTA[DISC 2],ATALI[[#This Row],[//]]-2))</f>
        <v/>
      </c>
      <c r="Q512" s="5" t="str">
        <f ca="1">IF(ATALI[[#This Row],[//]]="","",INDEX([2]!NOTA[TOTAL],ATALI[[#This Row],[//]]-2))</f>
        <v/>
      </c>
      <c r="R5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2" s="4" t="str">
        <f ca="1">IF(ATALI[[#This Row],[//]]="","",INDEX([2]!NOTA[NAMA BARANG],ATALI[[#This Row],[//]]-2))</f>
        <v/>
      </c>
      <c r="V512" s="4" t="str">
        <f ca="1">LOWER(SUBSTITUTE(SUBSTITUTE(SUBSTITUTE(SUBSTITUTE(SUBSTITUTE(SUBSTITUTE(SUBSTITUTE(ATALI[[#This Row],[N.B.nota]]," ",""),"-",""),"(",""),")",""),".",""),",",""),"/",""))</f>
        <v/>
      </c>
      <c r="W512" s="4" t="str">
        <f ca="1">IF(ATALI[[#This Row],[concat]]="","",MATCH(ATALI[[#This Row],[concat]],[4]!db[NB NOTA_C],0)+1)</f>
        <v/>
      </c>
      <c r="X512" s="4" t="str">
        <f ca="1">IF(ATALI[[#This Row],[N.B.nota]]="","",ADDRESS(ROW(ATALI[QB]),COLUMN(ATALI[QB]))&amp;":"&amp;ADDRESS(ROW(),COLUMN(ATALI[QB])))</f>
        <v/>
      </c>
      <c r="Y512" s="13" t="str">
        <f ca="1">IF(ATALI[[#This Row],[//]]="","",HYPERLINK("[../DB.xlsx]DB!e"&amp;MATCH(ATALI[[#This Row],[concat]],[4]!db[NB NOTA_C],0)+1,"&gt;"))</f>
        <v/>
      </c>
    </row>
    <row r="513" spans="1:25" x14ac:dyDescent="0.25">
      <c r="A513" s="4"/>
      <c r="B513" s="6" t="str">
        <f>IF(ATALI[[#This Row],[N_ID]]="","",INDEX(Table1[ID],MATCH(ATALI[[#This Row],[N_ID]],Table1[N_ID],0)))</f>
        <v/>
      </c>
      <c r="C513" s="6" t="str">
        <f>IF(ATALI[[#This Row],[ID NOTA]]="","",HYPERLINK("[NOTA_.xlsx]NOTA!e"&amp;INDEX([2]!PAJAK[//],MATCH(ATALI[[#This Row],[ID NOTA]],[2]!PAJAK[ID],0)),"&gt;") )</f>
        <v/>
      </c>
      <c r="D513" s="6" t="str">
        <f>IF(ATALI[[#This Row],[ID NOTA]]="","",INDEX(Table1[QB],MATCH(ATALI[[#This Row],[ID NOTA]],Table1[ID],0)))</f>
        <v/>
      </c>
      <c r="E5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3" s="6"/>
      <c r="G513" s="3" t="str">
        <f>IF(ATALI[[#This Row],[ID NOTA]]="","",INDEX([2]!NOTA[TGL_H],MATCH(ATALI[[#This Row],[ID NOTA]],[2]!NOTA[ID],0)))</f>
        <v/>
      </c>
      <c r="H513" s="3" t="str">
        <f>IF(ATALI[[#This Row],[ID NOTA]]="","",INDEX([2]!NOTA[TGL.NOTA],MATCH(ATALI[[#This Row],[ID NOTA]],[2]!NOTA[ID],0)))</f>
        <v/>
      </c>
      <c r="I513" s="4" t="str">
        <f>IF(ATALI[[#This Row],[ID NOTA]]="","",INDEX([2]!NOTA[NO.NOTA],MATCH(ATALI[[#This Row],[ID NOTA]],[2]!NOTA[ID],0)))</f>
        <v/>
      </c>
      <c r="J513" s="4" t="str">
        <f ca="1">IF(ATALI[[#This Row],[//]]="","",INDEX([4]!db[NB PAJAK],ATALI[[#This Row],[stt]]-1))</f>
        <v/>
      </c>
      <c r="K513" s="6" t="str">
        <f ca="1">IF(ATALI[[#This Row],[//]]="","",IF(INDEX([2]!NOTA[C],ATALI[[#This Row],[//]]-2)="","",INDEX([2]!NOTA[C],ATALI[[#This Row],[//]]-2)))</f>
        <v/>
      </c>
      <c r="L513" s="6" t="str">
        <f ca="1">IF(ATALI[[#This Row],[//]]="","",INDEX([2]!NOTA[QTY],ATALI[[#This Row],[//]]-2))</f>
        <v/>
      </c>
      <c r="M513" s="6" t="str">
        <f ca="1">IF(ATALI[[#This Row],[//]]="","",INDEX([2]!NOTA[STN],ATALI[[#This Row],[//]]-2))</f>
        <v/>
      </c>
      <c r="N513" s="5" t="str">
        <f ca="1">IF(ATALI[[#This Row],[//]]="","",INDEX([2]!NOTA[HARGA SATUAN],ATALI[[#This Row],[//]]-2))</f>
        <v/>
      </c>
      <c r="O513" s="7" t="str">
        <f ca="1">IF(ATALI[[#This Row],[//]]="","",INDEX([2]!NOTA[DISC 1],ATALI[[#This Row],[//]]-2))</f>
        <v/>
      </c>
      <c r="P513" s="7" t="str">
        <f ca="1">IF(ATALI[[#This Row],[//]]="","",INDEX([2]!NOTA[DISC 2],ATALI[[#This Row],[//]]-2))</f>
        <v/>
      </c>
      <c r="Q513" s="5" t="str">
        <f ca="1">IF(ATALI[[#This Row],[//]]="","",INDEX([2]!NOTA[TOTAL],ATALI[[#This Row],[//]]-2))</f>
        <v/>
      </c>
      <c r="R5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3" s="4" t="str">
        <f ca="1">IF(ATALI[[#This Row],[//]]="","",INDEX([2]!NOTA[NAMA BARANG],ATALI[[#This Row],[//]]-2))</f>
        <v/>
      </c>
      <c r="V513" s="4" t="str">
        <f ca="1">LOWER(SUBSTITUTE(SUBSTITUTE(SUBSTITUTE(SUBSTITUTE(SUBSTITUTE(SUBSTITUTE(SUBSTITUTE(ATALI[[#This Row],[N.B.nota]]," ",""),"-",""),"(",""),")",""),".",""),",",""),"/",""))</f>
        <v/>
      </c>
      <c r="W513" s="4" t="str">
        <f ca="1">IF(ATALI[[#This Row],[concat]]="","",MATCH(ATALI[[#This Row],[concat]],[4]!db[NB NOTA_C],0)+1)</f>
        <v/>
      </c>
      <c r="X513" s="4" t="str">
        <f ca="1">IF(ATALI[[#This Row],[N.B.nota]]="","",ADDRESS(ROW(ATALI[QB]),COLUMN(ATALI[QB]))&amp;":"&amp;ADDRESS(ROW(),COLUMN(ATALI[QB])))</f>
        <v/>
      </c>
      <c r="Y513" s="13" t="str">
        <f ca="1">IF(ATALI[[#This Row],[//]]="","",HYPERLINK("[../DB.xlsx]DB!e"&amp;MATCH(ATALI[[#This Row],[concat]],[4]!db[NB NOTA_C],0)+1,"&gt;"))</f>
        <v/>
      </c>
    </row>
    <row r="514" spans="1:25" x14ac:dyDescent="0.25">
      <c r="A514" s="4"/>
      <c r="B514" s="6" t="str">
        <f>IF(ATALI[[#This Row],[N_ID]]="","",INDEX(Table1[ID],MATCH(ATALI[[#This Row],[N_ID]],Table1[N_ID],0)))</f>
        <v/>
      </c>
      <c r="C514" s="6" t="str">
        <f>IF(ATALI[[#This Row],[ID NOTA]]="","",HYPERLINK("[NOTA_.xlsx]NOTA!e"&amp;INDEX([2]!PAJAK[//],MATCH(ATALI[[#This Row],[ID NOTA]],[2]!PAJAK[ID],0)),"&gt;") )</f>
        <v/>
      </c>
      <c r="D514" s="6" t="str">
        <f>IF(ATALI[[#This Row],[ID NOTA]]="","",INDEX(Table1[QB],MATCH(ATALI[[#This Row],[ID NOTA]],Table1[ID],0)))</f>
        <v/>
      </c>
      <c r="E5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4" s="6"/>
      <c r="G514" s="3" t="str">
        <f>IF(ATALI[[#This Row],[ID NOTA]]="","",INDEX([2]!NOTA[TGL_H],MATCH(ATALI[[#This Row],[ID NOTA]],[2]!NOTA[ID],0)))</f>
        <v/>
      </c>
      <c r="H514" s="3" t="str">
        <f>IF(ATALI[[#This Row],[ID NOTA]]="","",INDEX([2]!NOTA[TGL.NOTA],MATCH(ATALI[[#This Row],[ID NOTA]],[2]!NOTA[ID],0)))</f>
        <v/>
      </c>
      <c r="I514" s="4" t="str">
        <f>IF(ATALI[[#This Row],[ID NOTA]]="","",INDEX([2]!NOTA[NO.NOTA],MATCH(ATALI[[#This Row],[ID NOTA]],[2]!NOTA[ID],0)))</f>
        <v/>
      </c>
      <c r="J514" s="4" t="str">
        <f ca="1">IF(ATALI[[#This Row],[//]]="","",INDEX([4]!db[NB PAJAK],ATALI[[#This Row],[stt]]-1))</f>
        <v/>
      </c>
      <c r="K514" s="6" t="str">
        <f ca="1">IF(ATALI[[#This Row],[//]]="","",IF(INDEX([2]!NOTA[C],ATALI[[#This Row],[//]]-2)="","",INDEX([2]!NOTA[C],ATALI[[#This Row],[//]]-2)))</f>
        <v/>
      </c>
      <c r="L514" s="6" t="str">
        <f ca="1">IF(ATALI[[#This Row],[//]]="","",INDEX([2]!NOTA[QTY],ATALI[[#This Row],[//]]-2))</f>
        <v/>
      </c>
      <c r="M514" s="6" t="str">
        <f ca="1">IF(ATALI[[#This Row],[//]]="","",INDEX([2]!NOTA[STN],ATALI[[#This Row],[//]]-2))</f>
        <v/>
      </c>
      <c r="N514" s="5" t="str">
        <f ca="1">IF(ATALI[[#This Row],[//]]="","",INDEX([2]!NOTA[HARGA SATUAN],ATALI[[#This Row],[//]]-2))</f>
        <v/>
      </c>
      <c r="O514" s="7" t="str">
        <f ca="1">IF(ATALI[[#This Row],[//]]="","",INDEX([2]!NOTA[DISC 1],ATALI[[#This Row],[//]]-2))</f>
        <v/>
      </c>
      <c r="P514" s="7" t="str">
        <f ca="1">IF(ATALI[[#This Row],[//]]="","",INDEX([2]!NOTA[DISC 2],ATALI[[#This Row],[//]]-2))</f>
        <v/>
      </c>
      <c r="Q514" s="5" t="str">
        <f ca="1">IF(ATALI[[#This Row],[//]]="","",INDEX([2]!NOTA[TOTAL],ATALI[[#This Row],[//]]-2))</f>
        <v/>
      </c>
      <c r="R5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4" s="4" t="str">
        <f ca="1">IF(ATALI[[#This Row],[//]]="","",INDEX([2]!NOTA[NAMA BARANG],ATALI[[#This Row],[//]]-2))</f>
        <v/>
      </c>
      <c r="V514" s="4" t="str">
        <f ca="1">LOWER(SUBSTITUTE(SUBSTITUTE(SUBSTITUTE(SUBSTITUTE(SUBSTITUTE(SUBSTITUTE(SUBSTITUTE(ATALI[[#This Row],[N.B.nota]]," ",""),"-",""),"(",""),")",""),".",""),",",""),"/",""))</f>
        <v/>
      </c>
      <c r="W514" s="4" t="str">
        <f ca="1">IF(ATALI[[#This Row],[concat]]="","",MATCH(ATALI[[#This Row],[concat]],[4]!db[NB NOTA_C],0)+1)</f>
        <v/>
      </c>
      <c r="X514" s="4" t="str">
        <f ca="1">IF(ATALI[[#This Row],[N.B.nota]]="","",ADDRESS(ROW(ATALI[QB]),COLUMN(ATALI[QB]))&amp;":"&amp;ADDRESS(ROW(),COLUMN(ATALI[QB])))</f>
        <v/>
      </c>
      <c r="Y514" s="13" t="str">
        <f ca="1">IF(ATALI[[#This Row],[//]]="","",HYPERLINK("[../DB.xlsx]DB!e"&amp;MATCH(ATALI[[#This Row],[concat]],[4]!db[NB NOTA_C],0)+1,"&gt;"))</f>
        <v/>
      </c>
    </row>
    <row r="515" spans="1:25" x14ac:dyDescent="0.25">
      <c r="A515" s="4"/>
      <c r="B515" s="6" t="str">
        <f>IF(ATALI[[#This Row],[N_ID]]="","",INDEX(Table1[ID],MATCH(ATALI[[#This Row],[N_ID]],Table1[N_ID],0)))</f>
        <v/>
      </c>
      <c r="C515" s="6" t="str">
        <f>IF(ATALI[[#This Row],[ID NOTA]]="","",HYPERLINK("[NOTA_.xlsx]NOTA!e"&amp;INDEX([2]!PAJAK[//],MATCH(ATALI[[#This Row],[ID NOTA]],[2]!PAJAK[ID],0)),"&gt;") )</f>
        <v/>
      </c>
      <c r="D515" s="6" t="str">
        <f>IF(ATALI[[#This Row],[ID NOTA]]="","",INDEX(Table1[QB],MATCH(ATALI[[#This Row],[ID NOTA]],Table1[ID],0)))</f>
        <v/>
      </c>
      <c r="E5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5" s="6"/>
      <c r="G515" s="3" t="str">
        <f>IF(ATALI[[#This Row],[ID NOTA]]="","",INDEX([2]!NOTA[TGL_H],MATCH(ATALI[[#This Row],[ID NOTA]],[2]!NOTA[ID],0)))</f>
        <v/>
      </c>
      <c r="H515" s="3" t="str">
        <f>IF(ATALI[[#This Row],[ID NOTA]]="","",INDEX([2]!NOTA[TGL.NOTA],MATCH(ATALI[[#This Row],[ID NOTA]],[2]!NOTA[ID],0)))</f>
        <v/>
      </c>
      <c r="I515" s="4" t="str">
        <f>IF(ATALI[[#This Row],[ID NOTA]]="","",INDEX([2]!NOTA[NO.NOTA],MATCH(ATALI[[#This Row],[ID NOTA]],[2]!NOTA[ID],0)))</f>
        <v/>
      </c>
      <c r="J515" s="4" t="str">
        <f ca="1">IF(ATALI[[#This Row],[//]]="","",INDEX([4]!db[NB PAJAK],ATALI[[#This Row],[stt]]-1))</f>
        <v/>
      </c>
      <c r="K515" s="6" t="str">
        <f ca="1">IF(ATALI[[#This Row],[//]]="","",IF(INDEX([2]!NOTA[C],ATALI[[#This Row],[//]]-2)="","",INDEX([2]!NOTA[C],ATALI[[#This Row],[//]]-2)))</f>
        <v/>
      </c>
      <c r="L515" s="6" t="str">
        <f ca="1">IF(ATALI[[#This Row],[//]]="","",INDEX([2]!NOTA[QTY],ATALI[[#This Row],[//]]-2))</f>
        <v/>
      </c>
      <c r="M515" s="6" t="str">
        <f ca="1">IF(ATALI[[#This Row],[//]]="","",INDEX([2]!NOTA[STN],ATALI[[#This Row],[//]]-2))</f>
        <v/>
      </c>
      <c r="N515" s="5" t="str">
        <f ca="1">IF(ATALI[[#This Row],[//]]="","",INDEX([2]!NOTA[HARGA SATUAN],ATALI[[#This Row],[//]]-2))</f>
        <v/>
      </c>
      <c r="O515" s="7" t="str">
        <f ca="1">IF(ATALI[[#This Row],[//]]="","",INDEX([2]!NOTA[DISC 1],ATALI[[#This Row],[//]]-2))</f>
        <v/>
      </c>
      <c r="P515" s="7" t="str">
        <f ca="1">IF(ATALI[[#This Row],[//]]="","",INDEX([2]!NOTA[DISC 2],ATALI[[#This Row],[//]]-2))</f>
        <v/>
      </c>
      <c r="Q515" s="5" t="str">
        <f ca="1">IF(ATALI[[#This Row],[//]]="","",INDEX([2]!NOTA[TOTAL],ATALI[[#This Row],[//]]-2))</f>
        <v/>
      </c>
      <c r="R5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5" s="4" t="str">
        <f ca="1">IF(ATALI[[#This Row],[//]]="","",INDEX([2]!NOTA[NAMA BARANG],ATALI[[#This Row],[//]]-2))</f>
        <v/>
      </c>
      <c r="V515" s="4" t="str">
        <f ca="1">LOWER(SUBSTITUTE(SUBSTITUTE(SUBSTITUTE(SUBSTITUTE(SUBSTITUTE(SUBSTITUTE(SUBSTITUTE(ATALI[[#This Row],[N.B.nota]]," ",""),"-",""),"(",""),")",""),".",""),",",""),"/",""))</f>
        <v/>
      </c>
      <c r="W515" s="4" t="str">
        <f ca="1">IF(ATALI[[#This Row],[concat]]="","",MATCH(ATALI[[#This Row],[concat]],[4]!db[NB NOTA_C],0)+1)</f>
        <v/>
      </c>
      <c r="X515" s="4" t="str">
        <f ca="1">IF(ATALI[[#This Row],[N.B.nota]]="","",ADDRESS(ROW(ATALI[QB]),COLUMN(ATALI[QB]))&amp;":"&amp;ADDRESS(ROW(),COLUMN(ATALI[QB])))</f>
        <v/>
      </c>
      <c r="Y515" s="13" t="str">
        <f ca="1">IF(ATALI[[#This Row],[//]]="","",HYPERLINK("[../DB.xlsx]DB!e"&amp;MATCH(ATALI[[#This Row],[concat]],[4]!db[NB NOTA_C],0)+1,"&gt;"))</f>
        <v/>
      </c>
    </row>
    <row r="516" spans="1:25" x14ac:dyDescent="0.25">
      <c r="A516" s="4"/>
      <c r="B516" s="6" t="str">
        <f>IF(ATALI[[#This Row],[N_ID]]="","",INDEX(Table1[ID],MATCH(ATALI[[#This Row],[N_ID]],Table1[N_ID],0)))</f>
        <v/>
      </c>
      <c r="C516" s="6" t="str">
        <f>IF(ATALI[[#This Row],[ID NOTA]]="","",HYPERLINK("[NOTA_.xlsx]NOTA!e"&amp;INDEX([2]!PAJAK[//],MATCH(ATALI[[#This Row],[ID NOTA]],[2]!PAJAK[ID],0)),"&gt;") )</f>
        <v/>
      </c>
      <c r="D516" s="6" t="str">
        <f>IF(ATALI[[#This Row],[ID NOTA]]="","",INDEX(Table1[QB],MATCH(ATALI[[#This Row],[ID NOTA]],Table1[ID],0)))</f>
        <v/>
      </c>
      <c r="E5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6" s="6"/>
      <c r="G516" s="3" t="str">
        <f>IF(ATALI[[#This Row],[ID NOTA]]="","",INDEX([2]!NOTA[TGL_H],MATCH(ATALI[[#This Row],[ID NOTA]],[2]!NOTA[ID],0)))</f>
        <v/>
      </c>
      <c r="H516" s="3" t="str">
        <f>IF(ATALI[[#This Row],[ID NOTA]]="","",INDEX([2]!NOTA[TGL.NOTA],MATCH(ATALI[[#This Row],[ID NOTA]],[2]!NOTA[ID],0)))</f>
        <v/>
      </c>
      <c r="I516" s="4" t="str">
        <f>IF(ATALI[[#This Row],[ID NOTA]]="","",INDEX([2]!NOTA[NO.NOTA],MATCH(ATALI[[#This Row],[ID NOTA]],[2]!NOTA[ID],0)))</f>
        <v/>
      </c>
      <c r="J516" s="4" t="str">
        <f ca="1">IF(ATALI[[#This Row],[//]]="","",INDEX([4]!db[NB PAJAK],ATALI[[#This Row],[stt]]-1))</f>
        <v/>
      </c>
      <c r="K516" s="6" t="str">
        <f ca="1">IF(ATALI[[#This Row],[//]]="","",IF(INDEX([2]!NOTA[C],ATALI[[#This Row],[//]]-2)="","",INDEX([2]!NOTA[C],ATALI[[#This Row],[//]]-2)))</f>
        <v/>
      </c>
      <c r="L516" s="6" t="str">
        <f ca="1">IF(ATALI[[#This Row],[//]]="","",INDEX([2]!NOTA[QTY],ATALI[[#This Row],[//]]-2))</f>
        <v/>
      </c>
      <c r="M516" s="6" t="str">
        <f ca="1">IF(ATALI[[#This Row],[//]]="","",INDEX([2]!NOTA[STN],ATALI[[#This Row],[//]]-2))</f>
        <v/>
      </c>
      <c r="N516" s="5" t="str">
        <f ca="1">IF(ATALI[[#This Row],[//]]="","",INDEX([2]!NOTA[HARGA SATUAN],ATALI[[#This Row],[//]]-2))</f>
        <v/>
      </c>
      <c r="O516" s="7" t="str">
        <f ca="1">IF(ATALI[[#This Row],[//]]="","",INDEX([2]!NOTA[DISC 1],ATALI[[#This Row],[//]]-2))</f>
        <v/>
      </c>
      <c r="P516" s="7" t="str">
        <f ca="1">IF(ATALI[[#This Row],[//]]="","",INDEX([2]!NOTA[DISC 2],ATALI[[#This Row],[//]]-2))</f>
        <v/>
      </c>
      <c r="Q516" s="5" t="str">
        <f ca="1">IF(ATALI[[#This Row],[//]]="","",INDEX([2]!NOTA[TOTAL],ATALI[[#This Row],[//]]-2))</f>
        <v/>
      </c>
      <c r="R5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6" s="4" t="str">
        <f ca="1">IF(ATALI[[#This Row],[//]]="","",INDEX([2]!NOTA[NAMA BARANG],ATALI[[#This Row],[//]]-2))</f>
        <v/>
      </c>
      <c r="V516" s="4" t="str">
        <f ca="1">LOWER(SUBSTITUTE(SUBSTITUTE(SUBSTITUTE(SUBSTITUTE(SUBSTITUTE(SUBSTITUTE(SUBSTITUTE(ATALI[[#This Row],[N.B.nota]]," ",""),"-",""),"(",""),")",""),".",""),",",""),"/",""))</f>
        <v/>
      </c>
      <c r="W516" s="4" t="str">
        <f ca="1">IF(ATALI[[#This Row],[concat]]="","",MATCH(ATALI[[#This Row],[concat]],[4]!db[NB NOTA_C],0)+1)</f>
        <v/>
      </c>
      <c r="X516" s="4" t="str">
        <f ca="1">IF(ATALI[[#This Row],[N.B.nota]]="","",ADDRESS(ROW(ATALI[QB]),COLUMN(ATALI[QB]))&amp;":"&amp;ADDRESS(ROW(),COLUMN(ATALI[QB])))</f>
        <v/>
      </c>
      <c r="Y516" s="13" t="str">
        <f ca="1">IF(ATALI[[#This Row],[//]]="","",HYPERLINK("[../DB.xlsx]DB!e"&amp;MATCH(ATALI[[#This Row],[concat]],[4]!db[NB NOTA_C],0)+1,"&gt;"))</f>
        <v/>
      </c>
    </row>
    <row r="517" spans="1:25" x14ac:dyDescent="0.25">
      <c r="A517" s="4"/>
      <c r="B517" s="6" t="str">
        <f>IF(ATALI[[#This Row],[N_ID]]="","",INDEX(Table1[ID],MATCH(ATALI[[#This Row],[N_ID]],Table1[N_ID],0)))</f>
        <v/>
      </c>
      <c r="C517" s="6" t="str">
        <f>IF(ATALI[[#This Row],[ID NOTA]]="","",HYPERLINK("[NOTA_.xlsx]NOTA!e"&amp;INDEX([2]!PAJAK[//],MATCH(ATALI[[#This Row],[ID NOTA]],[2]!PAJAK[ID],0)),"&gt;") )</f>
        <v/>
      </c>
      <c r="D517" s="6" t="str">
        <f>IF(ATALI[[#This Row],[ID NOTA]]="","",INDEX(Table1[QB],MATCH(ATALI[[#This Row],[ID NOTA]],Table1[ID],0)))</f>
        <v/>
      </c>
      <c r="E5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7" s="6"/>
      <c r="G517" s="3" t="str">
        <f>IF(ATALI[[#This Row],[ID NOTA]]="","",INDEX([2]!NOTA[TGL_H],MATCH(ATALI[[#This Row],[ID NOTA]],[2]!NOTA[ID],0)))</f>
        <v/>
      </c>
      <c r="H517" s="3" t="str">
        <f>IF(ATALI[[#This Row],[ID NOTA]]="","",INDEX([2]!NOTA[TGL.NOTA],MATCH(ATALI[[#This Row],[ID NOTA]],[2]!NOTA[ID],0)))</f>
        <v/>
      </c>
      <c r="I517" s="4" t="str">
        <f>IF(ATALI[[#This Row],[ID NOTA]]="","",INDEX([2]!NOTA[NO.NOTA],MATCH(ATALI[[#This Row],[ID NOTA]],[2]!NOTA[ID],0)))</f>
        <v/>
      </c>
      <c r="J517" s="4" t="str">
        <f ca="1">IF(ATALI[[#This Row],[//]]="","",INDEX([4]!db[NB PAJAK],ATALI[[#This Row],[stt]]-1))</f>
        <v/>
      </c>
      <c r="K517" s="6" t="str">
        <f ca="1">IF(ATALI[[#This Row],[//]]="","",IF(INDEX([2]!NOTA[C],ATALI[[#This Row],[//]]-2)="","",INDEX([2]!NOTA[C],ATALI[[#This Row],[//]]-2)))</f>
        <v/>
      </c>
      <c r="L517" s="6" t="str">
        <f ca="1">IF(ATALI[[#This Row],[//]]="","",INDEX([2]!NOTA[QTY],ATALI[[#This Row],[//]]-2))</f>
        <v/>
      </c>
      <c r="M517" s="6" t="str">
        <f ca="1">IF(ATALI[[#This Row],[//]]="","",INDEX([2]!NOTA[STN],ATALI[[#This Row],[//]]-2))</f>
        <v/>
      </c>
      <c r="N517" s="5" t="str">
        <f ca="1">IF(ATALI[[#This Row],[//]]="","",INDEX([2]!NOTA[HARGA SATUAN],ATALI[[#This Row],[//]]-2))</f>
        <v/>
      </c>
      <c r="O517" s="7" t="str">
        <f ca="1">IF(ATALI[[#This Row],[//]]="","",INDEX([2]!NOTA[DISC 1],ATALI[[#This Row],[//]]-2))</f>
        <v/>
      </c>
      <c r="P517" s="7" t="str">
        <f ca="1">IF(ATALI[[#This Row],[//]]="","",INDEX([2]!NOTA[DISC 2],ATALI[[#This Row],[//]]-2))</f>
        <v/>
      </c>
      <c r="Q517" s="5" t="str">
        <f ca="1">IF(ATALI[[#This Row],[//]]="","",INDEX([2]!NOTA[TOTAL],ATALI[[#This Row],[//]]-2))</f>
        <v/>
      </c>
      <c r="R5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7" s="4" t="str">
        <f ca="1">IF(ATALI[[#This Row],[//]]="","",INDEX([2]!NOTA[NAMA BARANG],ATALI[[#This Row],[//]]-2))</f>
        <v/>
      </c>
      <c r="V517" s="4" t="str">
        <f ca="1">LOWER(SUBSTITUTE(SUBSTITUTE(SUBSTITUTE(SUBSTITUTE(SUBSTITUTE(SUBSTITUTE(SUBSTITUTE(ATALI[[#This Row],[N.B.nota]]," ",""),"-",""),"(",""),")",""),".",""),",",""),"/",""))</f>
        <v/>
      </c>
      <c r="W517" s="4" t="str">
        <f ca="1">IF(ATALI[[#This Row],[concat]]="","",MATCH(ATALI[[#This Row],[concat]],[4]!db[NB NOTA_C],0)+1)</f>
        <v/>
      </c>
      <c r="X517" s="4" t="str">
        <f ca="1">IF(ATALI[[#This Row],[N.B.nota]]="","",ADDRESS(ROW(ATALI[QB]),COLUMN(ATALI[QB]))&amp;":"&amp;ADDRESS(ROW(),COLUMN(ATALI[QB])))</f>
        <v/>
      </c>
      <c r="Y517" s="13" t="str">
        <f ca="1">IF(ATALI[[#This Row],[//]]="","",HYPERLINK("[../DB.xlsx]DB!e"&amp;MATCH(ATALI[[#This Row],[concat]],[4]!db[NB NOTA_C],0)+1,"&gt;"))</f>
        <v/>
      </c>
    </row>
    <row r="518" spans="1:25" x14ac:dyDescent="0.25">
      <c r="A518" s="4"/>
      <c r="B518" s="6" t="str">
        <f>IF(ATALI[[#This Row],[N_ID]]="","",INDEX(Table1[ID],MATCH(ATALI[[#This Row],[N_ID]],Table1[N_ID],0)))</f>
        <v/>
      </c>
      <c r="C518" s="6" t="str">
        <f>IF(ATALI[[#This Row],[ID NOTA]]="","",HYPERLINK("[NOTA_.xlsx]NOTA!e"&amp;INDEX([2]!PAJAK[//],MATCH(ATALI[[#This Row],[ID NOTA]],[2]!PAJAK[ID],0)),"&gt;") )</f>
        <v/>
      </c>
      <c r="D518" s="6" t="str">
        <f>IF(ATALI[[#This Row],[ID NOTA]]="","",INDEX(Table1[QB],MATCH(ATALI[[#This Row],[ID NOTA]],Table1[ID],0)))</f>
        <v/>
      </c>
      <c r="E5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8" s="6"/>
      <c r="G518" s="3" t="str">
        <f>IF(ATALI[[#This Row],[ID NOTA]]="","",INDEX([2]!NOTA[TGL_H],MATCH(ATALI[[#This Row],[ID NOTA]],[2]!NOTA[ID],0)))</f>
        <v/>
      </c>
      <c r="H518" s="3" t="str">
        <f>IF(ATALI[[#This Row],[ID NOTA]]="","",INDEX([2]!NOTA[TGL.NOTA],MATCH(ATALI[[#This Row],[ID NOTA]],[2]!NOTA[ID],0)))</f>
        <v/>
      </c>
      <c r="I518" s="4" t="str">
        <f>IF(ATALI[[#This Row],[ID NOTA]]="","",INDEX([2]!NOTA[NO.NOTA],MATCH(ATALI[[#This Row],[ID NOTA]],[2]!NOTA[ID],0)))</f>
        <v/>
      </c>
      <c r="J518" s="4" t="str">
        <f ca="1">IF(ATALI[[#This Row],[//]]="","",INDEX([4]!db[NB PAJAK],ATALI[[#This Row],[stt]]-1))</f>
        <v/>
      </c>
      <c r="K518" s="6" t="str">
        <f ca="1">IF(ATALI[[#This Row],[//]]="","",IF(INDEX([2]!NOTA[C],ATALI[[#This Row],[//]]-2)="","",INDEX([2]!NOTA[C],ATALI[[#This Row],[//]]-2)))</f>
        <v/>
      </c>
      <c r="L518" s="6" t="str">
        <f ca="1">IF(ATALI[[#This Row],[//]]="","",INDEX([2]!NOTA[QTY],ATALI[[#This Row],[//]]-2))</f>
        <v/>
      </c>
      <c r="M518" s="6" t="str">
        <f ca="1">IF(ATALI[[#This Row],[//]]="","",INDEX([2]!NOTA[STN],ATALI[[#This Row],[//]]-2))</f>
        <v/>
      </c>
      <c r="N518" s="5" t="str">
        <f ca="1">IF(ATALI[[#This Row],[//]]="","",INDEX([2]!NOTA[HARGA SATUAN],ATALI[[#This Row],[//]]-2))</f>
        <v/>
      </c>
      <c r="O518" s="7" t="str">
        <f ca="1">IF(ATALI[[#This Row],[//]]="","",INDEX([2]!NOTA[DISC 1],ATALI[[#This Row],[//]]-2))</f>
        <v/>
      </c>
      <c r="P518" s="7" t="str">
        <f ca="1">IF(ATALI[[#This Row],[//]]="","",INDEX([2]!NOTA[DISC 2],ATALI[[#This Row],[//]]-2))</f>
        <v/>
      </c>
      <c r="Q518" s="5" t="str">
        <f ca="1">IF(ATALI[[#This Row],[//]]="","",INDEX([2]!NOTA[TOTAL],ATALI[[#This Row],[//]]-2))</f>
        <v/>
      </c>
      <c r="R5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8" s="4" t="str">
        <f ca="1">IF(ATALI[[#This Row],[//]]="","",INDEX([2]!NOTA[NAMA BARANG],ATALI[[#This Row],[//]]-2))</f>
        <v/>
      </c>
      <c r="V518" s="4" t="str">
        <f ca="1">LOWER(SUBSTITUTE(SUBSTITUTE(SUBSTITUTE(SUBSTITUTE(SUBSTITUTE(SUBSTITUTE(SUBSTITUTE(ATALI[[#This Row],[N.B.nota]]," ",""),"-",""),"(",""),")",""),".",""),",",""),"/",""))</f>
        <v/>
      </c>
      <c r="W518" s="4" t="str">
        <f ca="1">IF(ATALI[[#This Row],[concat]]="","",MATCH(ATALI[[#This Row],[concat]],[4]!db[NB NOTA_C],0)+1)</f>
        <v/>
      </c>
      <c r="X518" s="4" t="str">
        <f ca="1">IF(ATALI[[#This Row],[N.B.nota]]="","",ADDRESS(ROW(ATALI[QB]),COLUMN(ATALI[QB]))&amp;":"&amp;ADDRESS(ROW(),COLUMN(ATALI[QB])))</f>
        <v/>
      </c>
      <c r="Y518" s="13" t="str">
        <f ca="1">IF(ATALI[[#This Row],[//]]="","",HYPERLINK("[../DB.xlsx]DB!e"&amp;MATCH(ATALI[[#This Row],[concat]],[4]!db[NB NOTA_C],0)+1,"&gt;"))</f>
        <v/>
      </c>
    </row>
    <row r="519" spans="1:25" x14ac:dyDescent="0.25">
      <c r="A519" s="4"/>
      <c r="B519" s="6" t="str">
        <f>IF(ATALI[[#This Row],[N_ID]]="","",INDEX(Table1[ID],MATCH(ATALI[[#This Row],[N_ID]],Table1[N_ID],0)))</f>
        <v/>
      </c>
      <c r="C519" s="6" t="str">
        <f>IF(ATALI[[#This Row],[ID NOTA]]="","",HYPERLINK("[NOTA_.xlsx]NOTA!e"&amp;INDEX([2]!PAJAK[//],MATCH(ATALI[[#This Row],[ID NOTA]],[2]!PAJAK[ID],0)),"&gt;") )</f>
        <v/>
      </c>
      <c r="D519" s="6" t="str">
        <f>IF(ATALI[[#This Row],[ID NOTA]]="","",INDEX(Table1[QB],MATCH(ATALI[[#This Row],[ID NOTA]],Table1[ID],0)))</f>
        <v/>
      </c>
      <c r="E5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9" s="6"/>
      <c r="G519" s="3" t="str">
        <f>IF(ATALI[[#This Row],[ID NOTA]]="","",INDEX([2]!NOTA[TGL_H],MATCH(ATALI[[#This Row],[ID NOTA]],[2]!NOTA[ID],0)))</f>
        <v/>
      </c>
      <c r="H519" s="3" t="str">
        <f>IF(ATALI[[#This Row],[ID NOTA]]="","",INDEX([2]!NOTA[TGL.NOTA],MATCH(ATALI[[#This Row],[ID NOTA]],[2]!NOTA[ID],0)))</f>
        <v/>
      </c>
      <c r="I519" s="4" t="str">
        <f>IF(ATALI[[#This Row],[ID NOTA]]="","",INDEX([2]!NOTA[NO.NOTA],MATCH(ATALI[[#This Row],[ID NOTA]],[2]!NOTA[ID],0)))</f>
        <v/>
      </c>
      <c r="J519" s="4" t="str">
        <f ca="1">IF(ATALI[[#This Row],[//]]="","",INDEX([4]!db[NB PAJAK],ATALI[[#This Row],[stt]]-1))</f>
        <v/>
      </c>
      <c r="K519" s="6" t="str">
        <f ca="1">IF(ATALI[[#This Row],[//]]="","",IF(INDEX([2]!NOTA[C],ATALI[[#This Row],[//]]-2)="","",INDEX([2]!NOTA[C],ATALI[[#This Row],[//]]-2)))</f>
        <v/>
      </c>
      <c r="L519" s="6" t="str">
        <f ca="1">IF(ATALI[[#This Row],[//]]="","",INDEX([2]!NOTA[QTY],ATALI[[#This Row],[//]]-2))</f>
        <v/>
      </c>
      <c r="M519" s="6" t="str">
        <f ca="1">IF(ATALI[[#This Row],[//]]="","",INDEX([2]!NOTA[STN],ATALI[[#This Row],[//]]-2))</f>
        <v/>
      </c>
      <c r="N519" s="5" t="str">
        <f ca="1">IF(ATALI[[#This Row],[//]]="","",INDEX([2]!NOTA[HARGA SATUAN],ATALI[[#This Row],[//]]-2))</f>
        <v/>
      </c>
      <c r="O519" s="7" t="str">
        <f ca="1">IF(ATALI[[#This Row],[//]]="","",INDEX([2]!NOTA[DISC 1],ATALI[[#This Row],[//]]-2))</f>
        <v/>
      </c>
      <c r="P519" s="7" t="str">
        <f ca="1">IF(ATALI[[#This Row],[//]]="","",INDEX([2]!NOTA[DISC 2],ATALI[[#This Row],[//]]-2))</f>
        <v/>
      </c>
      <c r="Q519" s="5" t="str">
        <f ca="1">IF(ATALI[[#This Row],[//]]="","",INDEX([2]!NOTA[TOTAL],ATALI[[#This Row],[//]]-2))</f>
        <v/>
      </c>
      <c r="R5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9" s="4" t="str">
        <f ca="1">IF(ATALI[[#This Row],[//]]="","",INDEX([2]!NOTA[NAMA BARANG],ATALI[[#This Row],[//]]-2))</f>
        <v/>
      </c>
      <c r="V519" s="4" t="str">
        <f ca="1">LOWER(SUBSTITUTE(SUBSTITUTE(SUBSTITUTE(SUBSTITUTE(SUBSTITUTE(SUBSTITUTE(SUBSTITUTE(ATALI[[#This Row],[N.B.nota]]," ",""),"-",""),"(",""),")",""),".",""),",",""),"/",""))</f>
        <v/>
      </c>
      <c r="W519" s="4" t="str">
        <f ca="1">IF(ATALI[[#This Row],[concat]]="","",MATCH(ATALI[[#This Row],[concat]],[4]!db[NB NOTA_C],0)+1)</f>
        <v/>
      </c>
      <c r="X519" s="4" t="str">
        <f ca="1">IF(ATALI[[#This Row],[N.B.nota]]="","",ADDRESS(ROW(ATALI[QB]),COLUMN(ATALI[QB]))&amp;":"&amp;ADDRESS(ROW(),COLUMN(ATALI[QB])))</f>
        <v/>
      </c>
      <c r="Y519" s="13" t="str">
        <f ca="1">IF(ATALI[[#This Row],[//]]="","",HYPERLINK("[../DB.xlsx]DB!e"&amp;MATCH(ATALI[[#This Row],[concat]],[4]!db[NB NOTA_C],0)+1,"&gt;"))</f>
        <v/>
      </c>
    </row>
    <row r="520" spans="1:25" x14ac:dyDescent="0.25">
      <c r="A520" s="4"/>
      <c r="B520" s="6" t="str">
        <f>IF(ATALI[[#This Row],[N_ID]]="","",INDEX(Table1[ID],MATCH(ATALI[[#This Row],[N_ID]],Table1[N_ID],0)))</f>
        <v/>
      </c>
      <c r="C520" s="6" t="str">
        <f>IF(ATALI[[#This Row],[ID NOTA]]="","",HYPERLINK("[NOTA_.xlsx]NOTA!e"&amp;INDEX([2]!PAJAK[//],MATCH(ATALI[[#This Row],[ID NOTA]],[2]!PAJAK[ID],0)),"&gt;") )</f>
        <v/>
      </c>
      <c r="D520" s="6" t="str">
        <f>IF(ATALI[[#This Row],[ID NOTA]]="","",INDEX(Table1[QB],MATCH(ATALI[[#This Row],[ID NOTA]],Table1[ID],0)))</f>
        <v/>
      </c>
      <c r="E5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0" s="6"/>
      <c r="G520" s="3" t="str">
        <f>IF(ATALI[[#This Row],[ID NOTA]]="","",INDEX([2]!NOTA[TGL_H],MATCH(ATALI[[#This Row],[ID NOTA]],[2]!NOTA[ID],0)))</f>
        <v/>
      </c>
      <c r="H520" s="3" t="str">
        <f>IF(ATALI[[#This Row],[ID NOTA]]="","",INDEX([2]!NOTA[TGL.NOTA],MATCH(ATALI[[#This Row],[ID NOTA]],[2]!NOTA[ID],0)))</f>
        <v/>
      </c>
      <c r="I520" s="4" t="str">
        <f>IF(ATALI[[#This Row],[ID NOTA]]="","",INDEX([2]!NOTA[NO.NOTA],MATCH(ATALI[[#This Row],[ID NOTA]],[2]!NOTA[ID],0)))</f>
        <v/>
      </c>
      <c r="J520" s="4" t="str">
        <f ca="1">IF(ATALI[[#This Row],[//]]="","",INDEX([4]!db[NB PAJAK],ATALI[[#This Row],[stt]]-1))</f>
        <v/>
      </c>
      <c r="K520" s="6" t="str">
        <f ca="1">IF(ATALI[[#This Row],[//]]="","",IF(INDEX([2]!NOTA[C],ATALI[[#This Row],[//]]-2)="","",INDEX([2]!NOTA[C],ATALI[[#This Row],[//]]-2)))</f>
        <v/>
      </c>
      <c r="L520" s="6" t="str">
        <f ca="1">IF(ATALI[[#This Row],[//]]="","",INDEX([2]!NOTA[QTY],ATALI[[#This Row],[//]]-2))</f>
        <v/>
      </c>
      <c r="M520" s="6" t="str">
        <f ca="1">IF(ATALI[[#This Row],[//]]="","",INDEX([2]!NOTA[STN],ATALI[[#This Row],[//]]-2))</f>
        <v/>
      </c>
      <c r="N520" s="5" t="str">
        <f ca="1">IF(ATALI[[#This Row],[//]]="","",INDEX([2]!NOTA[HARGA SATUAN],ATALI[[#This Row],[//]]-2))</f>
        <v/>
      </c>
      <c r="O520" s="7" t="str">
        <f ca="1">IF(ATALI[[#This Row],[//]]="","",INDEX([2]!NOTA[DISC 1],ATALI[[#This Row],[//]]-2))</f>
        <v/>
      </c>
      <c r="P520" s="7" t="str">
        <f ca="1">IF(ATALI[[#This Row],[//]]="","",INDEX([2]!NOTA[DISC 2],ATALI[[#This Row],[//]]-2))</f>
        <v/>
      </c>
      <c r="Q520" s="5" t="str">
        <f ca="1">IF(ATALI[[#This Row],[//]]="","",INDEX([2]!NOTA[TOTAL],ATALI[[#This Row],[//]]-2))</f>
        <v/>
      </c>
      <c r="R5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0" s="4" t="str">
        <f ca="1">IF(ATALI[[#This Row],[//]]="","",INDEX([2]!NOTA[NAMA BARANG],ATALI[[#This Row],[//]]-2))</f>
        <v/>
      </c>
      <c r="V520" s="4" t="str">
        <f ca="1">LOWER(SUBSTITUTE(SUBSTITUTE(SUBSTITUTE(SUBSTITUTE(SUBSTITUTE(SUBSTITUTE(SUBSTITUTE(ATALI[[#This Row],[N.B.nota]]," ",""),"-",""),"(",""),")",""),".",""),",",""),"/",""))</f>
        <v/>
      </c>
      <c r="W520" s="4" t="str">
        <f ca="1">IF(ATALI[[#This Row],[concat]]="","",MATCH(ATALI[[#This Row],[concat]],[4]!db[NB NOTA_C],0)+1)</f>
        <v/>
      </c>
      <c r="X520" s="4" t="str">
        <f ca="1">IF(ATALI[[#This Row],[N.B.nota]]="","",ADDRESS(ROW(ATALI[QB]),COLUMN(ATALI[QB]))&amp;":"&amp;ADDRESS(ROW(),COLUMN(ATALI[QB])))</f>
        <v/>
      </c>
      <c r="Y520" s="13" t="str">
        <f ca="1">IF(ATALI[[#This Row],[//]]="","",HYPERLINK("[../DB.xlsx]DB!e"&amp;MATCH(ATALI[[#This Row],[concat]],[4]!db[NB NOTA_C],0)+1,"&gt;"))</f>
        <v/>
      </c>
    </row>
    <row r="521" spans="1:25" x14ac:dyDescent="0.25">
      <c r="A521" s="4"/>
      <c r="B521" s="6" t="str">
        <f>IF(ATALI[[#This Row],[N_ID]]="","",INDEX(Table1[ID],MATCH(ATALI[[#This Row],[N_ID]],Table1[N_ID],0)))</f>
        <v/>
      </c>
      <c r="C521" s="6" t="str">
        <f>IF(ATALI[[#This Row],[ID NOTA]]="","",HYPERLINK("[NOTA_.xlsx]NOTA!e"&amp;INDEX([2]!PAJAK[//],MATCH(ATALI[[#This Row],[ID NOTA]],[2]!PAJAK[ID],0)),"&gt;") )</f>
        <v/>
      </c>
      <c r="D521" s="6" t="str">
        <f>IF(ATALI[[#This Row],[ID NOTA]]="","",INDEX(Table1[QB],MATCH(ATALI[[#This Row],[ID NOTA]],Table1[ID],0)))</f>
        <v/>
      </c>
      <c r="E5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1" s="6"/>
      <c r="G521" s="3" t="str">
        <f>IF(ATALI[[#This Row],[ID NOTA]]="","",INDEX([2]!NOTA[TGL_H],MATCH(ATALI[[#This Row],[ID NOTA]],[2]!NOTA[ID],0)))</f>
        <v/>
      </c>
      <c r="H521" s="3" t="str">
        <f>IF(ATALI[[#This Row],[ID NOTA]]="","",INDEX([2]!NOTA[TGL.NOTA],MATCH(ATALI[[#This Row],[ID NOTA]],[2]!NOTA[ID],0)))</f>
        <v/>
      </c>
      <c r="I521" s="4" t="str">
        <f>IF(ATALI[[#This Row],[ID NOTA]]="","",INDEX([2]!NOTA[NO.NOTA],MATCH(ATALI[[#This Row],[ID NOTA]],[2]!NOTA[ID],0)))</f>
        <v/>
      </c>
      <c r="J521" s="4" t="str">
        <f ca="1">IF(ATALI[[#This Row],[//]]="","",INDEX([4]!db[NB PAJAK],ATALI[[#This Row],[stt]]-1))</f>
        <v/>
      </c>
      <c r="K521" s="6" t="str">
        <f ca="1">IF(ATALI[[#This Row],[//]]="","",IF(INDEX([2]!NOTA[C],ATALI[[#This Row],[//]]-2)="","",INDEX([2]!NOTA[C],ATALI[[#This Row],[//]]-2)))</f>
        <v/>
      </c>
      <c r="L521" s="6" t="str">
        <f ca="1">IF(ATALI[[#This Row],[//]]="","",INDEX([2]!NOTA[QTY],ATALI[[#This Row],[//]]-2))</f>
        <v/>
      </c>
      <c r="M521" s="6" t="str">
        <f ca="1">IF(ATALI[[#This Row],[//]]="","",INDEX([2]!NOTA[STN],ATALI[[#This Row],[//]]-2))</f>
        <v/>
      </c>
      <c r="N521" s="5" t="str">
        <f ca="1">IF(ATALI[[#This Row],[//]]="","",INDEX([2]!NOTA[HARGA SATUAN],ATALI[[#This Row],[//]]-2))</f>
        <v/>
      </c>
      <c r="O521" s="7" t="str">
        <f ca="1">IF(ATALI[[#This Row],[//]]="","",INDEX([2]!NOTA[DISC 1],ATALI[[#This Row],[//]]-2))</f>
        <v/>
      </c>
      <c r="P521" s="7" t="str">
        <f ca="1">IF(ATALI[[#This Row],[//]]="","",INDEX([2]!NOTA[DISC 2],ATALI[[#This Row],[//]]-2))</f>
        <v/>
      </c>
      <c r="Q521" s="5" t="str">
        <f ca="1">IF(ATALI[[#This Row],[//]]="","",INDEX([2]!NOTA[TOTAL],ATALI[[#This Row],[//]]-2))</f>
        <v/>
      </c>
      <c r="R5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1" s="4" t="str">
        <f ca="1">IF(ATALI[[#This Row],[//]]="","",INDEX([2]!NOTA[NAMA BARANG],ATALI[[#This Row],[//]]-2))</f>
        <v/>
      </c>
      <c r="V521" s="4" t="str">
        <f ca="1">LOWER(SUBSTITUTE(SUBSTITUTE(SUBSTITUTE(SUBSTITUTE(SUBSTITUTE(SUBSTITUTE(SUBSTITUTE(ATALI[[#This Row],[N.B.nota]]," ",""),"-",""),"(",""),")",""),".",""),",",""),"/",""))</f>
        <v/>
      </c>
      <c r="W521" s="4" t="str">
        <f ca="1">IF(ATALI[[#This Row],[concat]]="","",MATCH(ATALI[[#This Row],[concat]],[4]!db[NB NOTA_C],0)+1)</f>
        <v/>
      </c>
      <c r="X521" s="4" t="str">
        <f ca="1">IF(ATALI[[#This Row],[N.B.nota]]="","",ADDRESS(ROW(ATALI[QB]),COLUMN(ATALI[QB]))&amp;":"&amp;ADDRESS(ROW(),COLUMN(ATALI[QB])))</f>
        <v/>
      </c>
      <c r="Y521" s="13" t="str">
        <f ca="1">IF(ATALI[[#This Row],[//]]="","",HYPERLINK("[../DB.xlsx]DB!e"&amp;MATCH(ATALI[[#This Row],[concat]],[4]!db[NB NOTA_C],0)+1,"&gt;"))</f>
        <v/>
      </c>
    </row>
    <row r="522" spans="1:25" x14ac:dyDescent="0.25">
      <c r="A522" s="4"/>
      <c r="B522" s="6" t="str">
        <f>IF(ATALI[[#This Row],[N_ID]]="","",INDEX(Table1[ID],MATCH(ATALI[[#This Row],[N_ID]],Table1[N_ID],0)))</f>
        <v/>
      </c>
      <c r="C522" s="6" t="str">
        <f>IF(ATALI[[#This Row],[ID NOTA]]="","",HYPERLINK("[NOTA_.xlsx]NOTA!e"&amp;INDEX([2]!PAJAK[//],MATCH(ATALI[[#This Row],[ID NOTA]],[2]!PAJAK[ID],0)),"&gt;") )</f>
        <v/>
      </c>
      <c r="D522" s="6" t="str">
        <f>IF(ATALI[[#This Row],[ID NOTA]]="","",INDEX(Table1[QB],MATCH(ATALI[[#This Row],[ID NOTA]],Table1[ID],0)))</f>
        <v/>
      </c>
      <c r="E5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2" s="6"/>
      <c r="G522" s="3" t="str">
        <f>IF(ATALI[[#This Row],[ID NOTA]]="","",INDEX([2]!NOTA[TGL_H],MATCH(ATALI[[#This Row],[ID NOTA]],[2]!NOTA[ID],0)))</f>
        <v/>
      </c>
      <c r="H522" s="3" t="str">
        <f>IF(ATALI[[#This Row],[ID NOTA]]="","",INDEX([2]!NOTA[TGL.NOTA],MATCH(ATALI[[#This Row],[ID NOTA]],[2]!NOTA[ID],0)))</f>
        <v/>
      </c>
      <c r="I522" s="4" t="str">
        <f>IF(ATALI[[#This Row],[ID NOTA]]="","",INDEX([2]!NOTA[NO.NOTA],MATCH(ATALI[[#This Row],[ID NOTA]],[2]!NOTA[ID],0)))</f>
        <v/>
      </c>
      <c r="J522" s="4" t="str">
        <f ca="1">IF(ATALI[[#This Row],[//]]="","",INDEX([4]!db[NB PAJAK],ATALI[[#This Row],[stt]]-1))</f>
        <v/>
      </c>
      <c r="K522" s="6" t="str">
        <f ca="1">IF(ATALI[[#This Row],[//]]="","",IF(INDEX([2]!NOTA[C],ATALI[[#This Row],[//]]-2)="","",INDEX([2]!NOTA[C],ATALI[[#This Row],[//]]-2)))</f>
        <v/>
      </c>
      <c r="L522" s="6" t="str">
        <f ca="1">IF(ATALI[[#This Row],[//]]="","",INDEX([2]!NOTA[QTY],ATALI[[#This Row],[//]]-2))</f>
        <v/>
      </c>
      <c r="M522" s="6" t="str">
        <f ca="1">IF(ATALI[[#This Row],[//]]="","",INDEX([2]!NOTA[STN],ATALI[[#This Row],[//]]-2))</f>
        <v/>
      </c>
      <c r="N522" s="5" t="str">
        <f ca="1">IF(ATALI[[#This Row],[//]]="","",INDEX([2]!NOTA[HARGA SATUAN],ATALI[[#This Row],[//]]-2))</f>
        <v/>
      </c>
      <c r="O522" s="7" t="str">
        <f ca="1">IF(ATALI[[#This Row],[//]]="","",INDEX([2]!NOTA[DISC 1],ATALI[[#This Row],[//]]-2))</f>
        <v/>
      </c>
      <c r="P522" s="7" t="str">
        <f ca="1">IF(ATALI[[#This Row],[//]]="","",INDEX([2]!NOTA[DISC 2],ATALI[[#This Row],[//]]-2))</f>
        <v/>
      </c>
      <c r="Q522" s="5" t="str">
        <f ca="1">IF(ATALI[[#This Row],[//]]="","",INDEX([2]!NOTA[TOTAL],ATALI[[#This Row],[//]]-2))</f>
        <v/>
      </c>
      <c r="R5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2" s="4" t="str">
        <f ca="1">IF(ATALI[[#This Row],[//]]="","",INDEX([2]!NOTA[NAMA BARANG],ATALI[[#This Row],[//]]-2))</f>
        <v/>
      </c>
      <c r="V522" s="4" t="str">
        <f ca="1">LOWER(SUBSTITUTE(SUBSTITUTE(SUBSTITUTE(SUBSTITUTE(SUBSTITUTE(SUBSTITUTE(SUBSTITUTE(ATALI[[#This Row],[N.B.nota]]," ",""),"-",""),"(",""),")",""),".",""),",",""),"/",""))</f>
        <v/>
      </c>
      <c r="W522" s="4" t="str">
        <f ca="1">IF(ATALI[[#This Row],[concat]]="","",MATCH(ATALI[[#This Row],[concat]],[4]!db[NB NOTA_C],0)+1)</f>
        <v/>
      </c>
      <c r="X522" s="4" t="str">
        <f ca="1">IF(ATALI[[#This Row],[N.B.nota]]="","",ADDRESS(ROW(ATALI[QB]),COLUMN(ATALI[QB]))&amp;":"&amp;ADDRESS(ROW(),COLUMN(ATALI[QB])))</f>
        <v/>
      </c>
      <c r="Y522" s="13" t="str">
        <f ca="1">IF(ATALI[[#This Row],[//]]="","",HYPERLINK("[../DB.xlsx]DB!e"&amp;MATCH(ATALI[[#This Row],[concat]],[4]!db[NB NOTA_C],0)+1,"&gt;"))</f>
        <v/>
      </c>
    </row>
    <row r="523" spans="1:25" x14ac:dyDescent="0.25">
      <c r="A523" s="4"/>
      <c r="B523" s="6" t="str">
        <f>IF(ATALI[[#This Row],[N_ID]]="","",INDEX(Table1[ID],MATCH(ATALI[[#This Row],[N_ID]],Table1[N_ID],0)))</f>
        <v/>
      </c>
      <c r="C523" s="6" t="str">
        <f>IF(ATALI[[#This Row],[ID NOTA]]="","",HYPERLINK("[NOTA_.xlsx]NOTA!e"&amp;INDEX([2]!PAJAK[//],MATCH(ATALI[[#This Row],[ID NOTA]],[2]!PAJAK[ID],0)),"&gt;") )</f>
        <v/>
      </c>
      <c r="D523" s="6" t="str">
        <f>IF(ATALI[[#This Row],[ID NOTA]]="","",INDEX(Table1[QB],MATCH(ATALI[[#This Row],[ID NOTA]],Table1[ID],0)))</f>
        <v/>
      </c>
      <c r="E5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3" s="6"/>
      <c r="G523" s="3" t="str">
        <f>IF(ATALI[[#This Row],[ID NOTA]]="","",INDEX([2]!NOTA[TGL_H],MATCH(ATALI[[#This Row],[ID NOTA]],[2]!NOTA[ID],0)))</f>
        <v/>
      </c>
      <c r="H523" s="3" t="str">
        <f>IF(ATALI[[#This Row],[ID NOTA]]="","",INDEX([2]!NOTA[TGL.NOTA],MATCH(ATALI[[#This Row],[ID NOTA]],[2]!NOTA[ID],0)))</f>
        <v/>
      </c>
      <c r="I523" s="4" t="str">
        <f>IF(ATALI[[#This Row],[ID NOTA]]="","",INDEX([2]!NOTA[NO.NOTA],MATCH(ATALI[[#This Row],[ID NOTA]],[2]!NOTA[ID],0)))</f>
        <v/>
      </c>
      <c r="J523" s="4" t="str">
        <f ca="1">IF(ATALI[[#This Row],[//]]="","",INDEX([4]!db[NB PAJAK],ATALI[[#This Row],[stt]]-1))</f>
        <v/>
      </c>
      <c r="K523" s="6" t="str">
        <f ca="1">IF(ATALI[[#This Row],[//]]="","",IF(INDEX([2]!NOTA[C],ATALI[[#This Row],[//]]-2)="","",INDEX([2]!NOTA[C],ATALI[[#This Row],[//]]-2)))</f>
        <v/>
      </c>
      <c r="L523" s="6" t="str">
        <f ca="1">IF(ATALI[[#This Row],[//]]="","",INDEX([2]!NOTA[QTY],ATALI[[#This Row],[//]]-2))</f>
        <v/>
      </c>
      <c r="M523" s="6" t="str">
        <f ca="1">IF(ATALI[[#This Row],[//]]="","",INDEX([2]!NOTA[STN],ATALI[[#This Row],[//]]-2))</f>
        <v/>
      </c>
      <c r="N523" s="5" t="str">
        <f ca="1">IF(ATALI[[#This Row],[//]]="","",INDEX([2]!NOTA[HARGA SATUAN],ATALI[[#This Row],[//]]-2))</f>
        <v/>
      </c>
      <c r="O523" s="7" t="str">
        <f ca="1">IF(ATALI[[#This Row],[//]]="","",INDEX([2]!NOTA[DISC 1],ATALI[[#This Row],[//]]-2))</f>
        <v/>
      </c>
      <c r="P523" s="7" t="str">
        <f ca="1">IF(ATALI[[#This Row],[//]]="","",INDEX([2]!NOTA[DISC 2],ATALI[[#This Row],[//]]-2))</f>
        <v/>
      </c>
      <c r="Q523" s="5" t="str">
        <f ca="1">IF(ATALI[[#This Row],[//]]="","",INDEX([2]!NOTA[TOTAL],ATALI[[#This Row],[//]]-2))</f>
        <v/>
      </c>
      <c r="R5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3" s="4" t="str">
        <f ca="1">IF(ATALI[[#This Row],[//]]="","",INDEX([2]!NOTA[NAMA BARANG],ATALI[[#This Row],[//]]-2))</f>
        <v/>
      </c>
      <c r="V523" s="4" t="str">
        <f ca="1">LOWER(SUBSTITUTE(SUBSTITUTE(SUBSTITUTE(SUBSTITUTE(SUBSTITUTE(SUBSTITUTE(SUBSTITUTE(ATALI[[#This Row],[N.B.nota]]," ",""),"-",""),"(",""),")",""),".",""),",",""),"/",""))</f>
        <v/>
      </c>
      <c r="W523" s="4" t="str">
        <f ca="1">IF(ATALI[[#This Row],[concat]]="","",MATCH(ATALI[[#This Row],[concat]],[4]!db[NB NOTA_C],0)+1)</f>
        <v/>
      </c>
      <c r="X523" s="4" t="str">
        <f ca="1">IF(ATALI[[#This Row],[N.B.nota]]="","",ADDRESS(ROW(ATALI[QB]),COLUMN(ATALI[QB]))&amp;":"&amp;ADDRESS(ROW(),COLUMN(ATALI[QB])))</f>
        <v/>
      </c>
      <c r="Y523" s="13" t="str">
        <f ca="1">IF(ATALI[[#This Row],[//]]="","",HYPERLINK("[../DB.xlsx]DB!e"&amp;MATCH(ATALI[[#This Row],[concat]],[4]!db[NB NOTA_C],0)+1,"&gt;"))</f>
        <v/>
      </c>
    </row>
    <row r="524" spans="1:25" x14ac:dyDescent="0.25">
      <c r="A524" s="4"/>
      <c r="B524" s="6" t="str">
        <f>IF(ATALI[[#This Row],[N_ID]]="","",INDEX(Table1[ID],MATCH(ATALI[[#This Row],[N_ID]],Table1[N_ID],0)))</f>
        <v/>
      </c>
      <c r="C524" s="6" t="str">
        <f>IF(ATALI[[#This Row],[ID NOTA]]="","",HYPERLINK("[NOTA_.xlsx]NOTA!e"&amp;INDEX([2]!PAJAK[//],MATCH(ATALI[[#This Row],[ID NOTA]],[2]!PAJAK[ID],0)),"&gt;") )</f>
        <v/>
      </c>
      <c r="D524" s="6" t="str">
        <f>IF(ATALI[[#This Row],[ID NOTA]]="","",INDEX(Table1[QB],MATCH(ATALI[[#This Row],[ID NOTA]],Table1[ID],0)))</f>
        <v/>
      </c>
      <c r="E5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4" s="6"/>
      <c r="G524" s="3" t="str">
        <f>IF(ATALI[[#This Row],[ID NOTA]]="","",INDEX([2]!NOTA[TGL_H],MATCH(ATALI[[#This Row],[ID NOTA]],[2]!NOTA[ID],0)))</f>
        <v/>
      </c>
      <c r="H524" s="3" t="str">
        <f>IF(ATALI[[#This Row],[ID NOTA]]="","",INDEX([2]!NOTA[TGL.NOTA],MATCH(ATALI[[#This Row],[ID NOTA]],[2]!NOTA[ID],0)))</f>
        <v/>
      </c>
      <c r="I524" s="4" t="str">
        <f>IF(ATALI[[#This Row],[ID NOTA]]="","",INDEX([2]!NOTA[NO.NOTA],MATCH(ATALI[[#This Row],[ID NOTA]],[2]!NOTA[ID],0)))</f>
        <v/>
      </c>
      <c r="J524" s="4" t="str">
        <f ca="1">IF(ATALI[[#This Row],[//]]="","",INDEX([4]!db[NB PAJAK],ATALI[[#This Row],[stt]]-1))</f>
        <v/>
      </c>
      <c r="K524" s="6" t="str">
        <f ca="1">IF(ATALI[[#This Row],[//]]="","",IF(INDEX([2]!NOTA[C],ATALI[[#This Row],[//]]-2)="","",INDEX([2]!NOTA[C],ATALI[[#This Row],[//]]-2)))</f>
        <v/>
      </c>
      <c r="L524" s="6" t="str">
        <f ca="1">IF(ATALI[[#This Row],[//]]="","",INDEX([2]!NOTA[QTY],ATALI[[#This Row],[//]]-2))</f>
        <v/>
      </c>
      <c r="M524" s="6" t="str">
        <f ca="1">IF(ATALI[[#This Row],[//]]="","",INDEX([2]!NOTA[STN],ATALI[[#This Row],[//]]-2))</f>
        <v/>
      </c>
      <c r="N524" s="5" t="str">
        <f ca="1">IF(ATALI[[#This Row],[//]]="","",INDEX([2]!NOTA[HARGA SATUAN],ATALI[[#This Row],[//]]-2))</f>
        <v/>
      </c>
      <c r="O524" s="7" t="str">
        <f ca="1">IF(ATALI[[#This Row],[//]]="","",INDEX([2]!NOTA[DISC 1],ATALI[[#This Row],[//]]-2))</f>
        <v/>
      </c>
      <c r="P524" s="7" t="str">
        <f ca="1">IF(ATALI[[#This Row],[//]]="","",INDEX([2]!NOTA[DISC 2],ATALI[[#This Row],[//]]-2))</f>
        <v/>
      </c>
      <c r="Q524" s="5" t="str">
        <f ca="1">IF(ATALI[[#This Row],[//]]="","",INDEX([2]!NOTA[TOTAL],ATALI[[#This Row],[//]]-2))</f>
        <v/>
      </c>
      <c r="R5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4" s="4" t="str">
        <f ca="1">IF(ATALI[[#This Row],[//]]="","",INDEX([2]!NOTA[NAMA BARANG],ATALI[[#This Row],[//]]-2))</f>
        <v/>
      </c>
      <c r="V524" s="4" t="str">
        <f ca="1">LOWER(SUBSTITUTE(SUBSTITUTE(SUBSTITUTE(SUBSTITUTE(SUBSTITUTE(SUBSTITUTE(SUBSTITUTE(ATALI[[#This Row],[N.B.nota]]," ",""),"-",""),"(",""),")",""),".",""),",",""),"/",""))</f>
        <v/>
      </c>
      <c r="W524" s="4" t="str">
        <f ca="1">IF(ATALI[[#This Row],[concat]]="","",MATCH(ATALI[[#This Row],[concat]],[4]!db[NB NOTA_C],0)+1)</f>
        <v/>
      </c>
      <c r="X524" s="4" t="str">
        <f ca="1">IF(ATALI[[#This Row],[N.B.nota]]="","",ADDRESS(ROW(ATALI[QB]),COLUMN(ATALI[QB]))&amp;":"&amp;ADDRESS(ROW(),COLUMN(ATALI[QB])))</f>
        <v/>
      </c>
      <c r="Y524" s="13" t="str">
        <f ca="1">IF(ATALI[[#This Row],[//]]="","",HYPERLINK("[../DB.xlsx]DB!e"&amp;MATCH(ATALI[[#This Row],[concat]],[4]!db[NB NOTA_C],0)+1,"&gt;"))</f>
        <v/>
      </c>
    </row>
    <row r="525" spans="1:25" x14ac:dyDescent="0.25">
      <c r="A525" s="4"/>
      <c r="B525" s="6" t="str">
        <f>IF(ATALI[[#This Row],[N_ID]]="","",INDEX(Table1[ID],MATCH(ATALI[[#This Row],[N_ID]],Table1[N_ID],0)))</f>
        <v/>
      </c>
      <c r="C525" s="6" t="str">
        <f>IF(ATALI[[#This Row],[ID NOTA]]="","",HYPERLINK("[NOTA_.xlsx]NOTA!e"&amp;INDEX([2]!PAJAK[//],MATCH(ATALI[[#This Row],[ID NOTA]],[2]!PAJAK[ID],0)),"&gt;") )</f>
        <v/>
      </c>
      <c r="D525" s="6" t="str">
        <f>IF(ATALI[[#This Row],[ID NOTA]]="","",INDEX(Table1[QB],MATCH(ATALI[[#This Row],[ID NOTA]],Table1[ID],0)))</f>
        <v/>
      </c>
      <c r="E5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5" s="6"/>
      <c r="G525" s="3" t="str">
        <f>IF(ATALI[[#This Row],[ID NOTA]]="","",INDEX([2]!NOTA[TGL_H],MATCH(ATALI[[#This Row],[ID NOTA]],[2]!NOTA[ID],0)))</f>
        <v/>
      </c>
      <c r="H525" s="3" t="str">
        <f>IF(ATALI[[#This Row],[ID NOTA]]="","",INDEX([2]!NOTA[TGL.NOTA],MATCH(ATALI[[#This Row],[ID NOTA]],[2]!NOTA[ID],0)))</f>
        <v/>
      </c>
      <c r="I525" s="4" t="str">
        <f>IF(ATALI[[#This Row],[ID NOTA]]="","",INDEX([2]!NOTA[NO.NOTA],MATCH(ATALI[[#This Row],[ID NOTA]],[2]!NOTA[ID],0)))</f>
        <v/>
      </c>
      <c r="J525" s="4" t="str">
        <f ca="1">IF(ATALI[[#This Row],[//]]="","",INDEX([4]!db[NB PAJAK],ATALI[[#This Row],[stt]]-1))</f>
        <v/>
      </c>
      <c r="K525" s="6" t="str">
        <f ca="1">IF(ATALI[[#This Row],[//]]="","",IF(INDEX([2]!NOTA[C],ATALI[[#This Row],[//]]-2)="","",INDEX([2]!NOTA[C],ATALI[[#This Row],[//]]-2)))</f>
        <v/>
      </c>
      <c r="L525" s="6" t="str">
        <f ca="1">IF(ATALI[[#This Row],[//]]="","",INDEX([2]!NOTA[QTY],ATALI[[#This Row],[//]]-2))</f>
        <v/>
      </c>
      <c r="M525" s="6" t="str">
        <f ca="1">IF(ATALI[[#This Row],[//]]="","",INDEX([2]!NOTA[STN],ATALI[[#This Row],[//]]-2))</f>
        <v/>
      </c>
      <c r="N525" s="5" t="str">
        <f ca="1">IF(ATALI[[#This Row],[//]]="","",INDEX([2]!NOTA[HARGA SATUAN],ATALI[[#This Row],[//]]-2))</f>
        <v/>
      </c>
      <c r="O525" s="7" t="str">
        <f ca="1">IF(ATALI[[#This Row],[//]]="","",INDEX([2]!NOTA[DISC 1],ATALI[[#This Row],[//]]-2))</f>
        <v/>
      </c>
      <c r="P525" s="7" t="str">
        <f ca="1">IF(ATALI[[#This Row],[//]]="","",INDEX([2]!NOTA[DISC 2],ATALI[[#This Row],[//]]-2))</f>
        <v/>
      </c>
      <c r="Q525" s="5" t="str">
        <f ca="1">IF(ATALI[[#This Row],[//]]="","",INDEX([2]!NOTA[TOTAL],ATALI[[#This Row],[//]]-2))</f>
        <v/>
      </c>
      <c r="R5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5" s="4" t="str">
        <f ca="1">IF(ATALI[[#This Row],[//]]="","",INDEX([2]!NOTA[NAMA BARANG],ATALI[[#This Row],[//]]-2))</f>
        <v/>
      </c>
      <c r="V525" s="4" t="str">
        <f ca="1">LOWER(SUBSTITUTE(SUBSTITUTE(SUBSTITUTE(SUBSTITUTE(SUBSTITUTE(SUBSTITUTE(SUBSTITUTE(ATALI[[#This Row],[N.B.nota]]," ",""),"-",""),"(",""),")",""),".",""),",",""),"/",""))</f>
        <v/>
      </c>
      <c r="W525" s="4" t="str">
        <f ca="1">IF(ATALI[[#This Row],[concat]]="","",MATCH(ATALI[[#This Row],[concat]],[4]!db[NB NOTA_C],0)+1)</f>
        <v/>
      </c>
      <c r="X525" s="4" t="str">
        <f ca="1">IF(ATALI[[#This Row],[N.B.nota]]="","",ADDRESS(ROW(ATALI[QB]),COLUMN(ATALI[QB]))&amp;":"&amp;ADDRESS(ROW(),COLUMN(ATALI[QB])))</f>
        <v/>
      </c>
      <c r="Y525" s="13" t="str">
        <f ca="1">IF(ATALI[[#This Row],[//]]="","",HYPERLINK("[../DB.xlsx]DB!e"&amp;MATCH(ATALI[[#This Row],[concat]],[4]!db[NB NOTA_C],0)+1,"&gt;"))</f>
        <v/>
      </c>
    </row>
    <row r="526" spans="1:25" x14ac:dyDescent="0.25">
      <c r="A526" s="4"/>
      <c r="B526" s="6" t="str">
        <f>IF(ATALI[[#This Row],[N_ID]]="","",INDEX(Table1[ID],MATCH(ATALI[[#This Row],[N_ID]],Table1[N_ID],0)))</f>
        <v/>
      </c>
      <c r="C526" s="6" t="str">
        <f>IF(ATALI[[#This Row],[ID NOTA]]="","",HYPERLINK("[NOTA_.xlsx]NOTA!e"&amp;INDEX([2]!PAJAK[//],MATCH(ATALI[[#This Row],[ID NOTA]],[2]!PAJAK[ID],0)),"&gt;") )</f>
        <v/>
      </c>
      <c r="D526" s="6" t="str">
        <f>IF(ATALI[[#This Row],[ID NOTA]]="","",INDEX(Table1[QB],MATCH(ATALI[[#This Row],[ID NOTA]],Table1[ID],0)))</f>
        <v/>
      </c>
      <c r="E5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6" s="6"/>
      <c r="G526" s="3" t="str">
        <f>IF(ATALI[[#This Row],[ID NOTA]]="","",INDEX([2]!NOTA[TGL_H],MATCH(ATALI[[#This Row],[ID NOTA]],[2]!NOTA[ID],0)))</f>
        <v/>
      </c>
      <c r="H526" s="3" t="str">
        <f>IF(ATALI[[#This Row],[ID NOTA]]="","",INDEX([2]!NOTA[TGL.NOTA],MATCH(ATALI[[#This Row],[ID NOTA]],[2]!NOTA[ID],0)))</f>
        <v/>
      </c>
      <c r="I526" s="4" t="str">
        <f>IF(ATALI[[#This Row],[ID NOTA]]="","",INDEX([2]!NOTA[NO.NOTA],MATCH(ATALI[[#This Row],[ID NOTA]],[2]!NOTA[ID],0)))</f>
        <v/>
      </c>
      <c r="J526" s="4" t="str">
        <f ca="1">IF(ATALI[[#This Row],[//]]="","",INDEX([4]!db[NB PAJAK],ATALI[[#This Row],[stt]]-1))</f>
        <v/>
      </c>
      <c r="K526" s="6" t="str">
        <f ca="1">IF(ATALI[[#This Row],[//]]="","",IF(INDEX([2]!NOTA[C],ATALI[[#This Row],[//]]-2)="","",INDEX([2]!NOTA[C],ATALI[[#This Row],[//]]-2)))</f>
        <v/>
      </c>
      <c r="L526" s="6" t="str">
        <f ca="1">IF(ATALI[[#This Row],[//]]="","",INDEX([2]!NOTA[QTY],ATALI[[#This Row],[//]]-2))</f>
        <v/>
      </c>
      <c r="M526" s="6" t="str">
        <f ca="1">IF(ATALI[[#This Row],[//]]="","",INDEX([2]!NOTA[STN],ATALI[[#This Row],[//]]-2))</f>
        <v/>
      </c>
      <c r="N526" s="5" t="str">
        <f ca="1">IF(ATALI[[#This Row],[//]]="","",INDEX([2]!NOTA[HARGA SATUAN],ATALI[[#This Row],[//]]-2))</f>
        <v/>
      </c>
      <c r="O526" s="7" t="str">
        <f ca="1">IF(ATALI[[#This Row],[//]]="","",INDEX([2]!NOTA[DISC 1],ATALI[[#This Row],[//]]-2))</f>
        <v/>
      </c>
      <c r="P526" s="7" t="str">
        <f ca="1">IF(ATALI[[#This Row],[//]]="","",INDEX([2]!NOTA[DISC 2],ATALI[[#This Row],[//]]-2))</f>
        <v/>
      </c>
      <c r="Q526" s="5" t="str">
        <f ca="1">IF(ATALI[[#This Row],[//]]="","",INDEX([2]!NOTA[TOTAL],ATALI[[#This Row],[//]]-2))</f>
        <v/>
      </c>
      <c r="R5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6" s="4" t="str">
        <f ca="1">IF(ATALI[[#This Row],[//]]="","",INDEX([2]!NOTA[NAMA BARANG],ATALI[[#This Row],[//]]-2))</f>
        <v/>
      </c>
      <c r="V526" s="4" t="str">
        <f ca="1">LOWER(SUBSTITUTE(SUBSTITUTE(SUBSTITUTE(SUBSTITUTE(SUBSTITUTE(SUBSTITUTE(SUBSTITUTE(ATALI[[#This Row],[N.B.nota]]," ",""),"-",""),"(",""),")",""),".",""),",",""),"/",""))</f>
        <v/>
      </c>
      <c r="W526" s="4" t="str">
        <f ca="1">IF(ATALI[[#This Row],[concat]]="","",MATCH(ATALI[[#This Row],[concat]],[4]!db[NB NOTA_C],0)+1)</f>
        <v/>
      </c>
      <c r="X526" s="4" t="str">
        <f ca="1">IF(ATALI[[#This Row],[N.B.nota]]="","",ADDRESS(ROW(ATALI[QB]),COLUMN(ATALI[QB]))&amp;":"&amp;ADDRESS(ROW(),COLUMN(ATALI[QB])))</f>
        <v/>
      </c>
      <c r="Y526" s="13" t="str">
        <f ca="1">IF(ATALI[[#This Row],[//]]="","",HYPERLINK("[../DB.xlsx]DB!e"&amp;MATCH(ATALI[[#This Row],[concat]],[4]!db[NB NOTA_C],0)+1,"&gt;"))</f>
        <v/>
      </c>
    </row>
    <row r="527" spans="1:25" x14ac:dyDescent="0.25">
      <c r="A527" s="4"/>
      <c r="B527" s="6" t="str">
        <f>IF(ATALI[[#This Row],[N_ID]]="","",INDEX(Table1[ID],MATCH(ATALI[[#This Row],[N_ID]],Table1[N_ID],0)))</f>
        <v/>
      </c>
      <c r="C527" s="6" t="str">
        <f>IF(ATALI[[#This Row],[ID NOTA]]="","",HYPERLINK("[NOTA_.xlsx]NOTA!e"&amp;INDEX([2]!PAJAK[//],MATCH(ATALI[[#This Row],[ID NOTA]],[2]!PAJAK[ID],0)),"&gt;") )</f>
        <v/>
      </c>
      <c r="D527" s="6" t="str">
        <f>IF(ATALI[[#This Row],[ID NOTA]]="","",INDEX(Table1[QB],MATCH(ATALI[[#This Row],[ID NOTA]],Table1[ID],0)))</f>
        <v/>
      </c>
      <c r="E5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7" s="6"/>
      <c r="G527" s="3" t="str">
        <f>IF(ATALI[[#This Row],[ID NOTA]]="","",INDEX([2]!NOTA[TGL_H],MATCH(ATALI[[#This Row],[ID NOTA]],[2]!NOTA[ID],0)))</f>
        <v/>
      </c>
      <c r="H527" s="3" t="str">
        <f>IF(ATALI[[#This Row],[ID NOTA]]="","",INDEX([2]!NOTA[TGL.NOTA],MATCH(ATALI[[#This Row],[ID NOTA]],[2]!NOTA[ID],0)))</f>
        <v/>
      </c>
      <c r="I527" s="4" t="str">
        <f>IF(ATALI[[#This Row],[ID NOTA]]="","",INDEX([2]!NOTA[NO.NOTA],MATCH(ATALI[[#This Row],[ID NOTA]],[2]!NOTA[ID],0)))</f>
        <v/>
      </c>
      <c r="J527" s="4" t="str">
        <f ca="1">IF(ATALI[[#This Row],[//]]="","",INDEX([4]!db[NB PAJAK],ATALI[[#This Row],[stt]]-1))</f>
        <v/>
      </c>
      <c r="K527" s="6" t="str">
        <f ca="1">IF(ATALI[[#This Row],[//]]="","",IF(INDEX([2]!NOTA[C],ATALI[[#This Row],[//]]-2)="","",INDEX([2]!NOTA[C],ATALI[[#This Row],[//]]-2)))</f>
        <v/>
      </c>
      <c r="L527" s="6" t="str">
        <f ca="1">IF(ATALI[[#This Row],[//]]="","",INDEX([2]!NOTA[QTY],ATALI[[#This Row],[//]]-2))</f>
        <v/>
      </c>
      <c r="M527" s="6" t="str">
        <f ca="1">IF(ATALI[[#This Row],[//]]="","",INDEX([2]!NOTA[STN],ATALI[[#This Row],[//]]-2))</f>
        <v/>
      </c>
      <c r="N527" s="5" t="str">
        <f ca="1">IF(ATALI[[#This Row],[//]]="","",INDEX([2]!NOTA[HARGA SATUAN],ATALI[[#This Row],[//]]-2))</f>
        <v/>
      </c>
      <c r="O527" s="7" t="str">
        <f ca="1">IF(ATALI[[#This Row],[//]]="","",INDEX([2]!NOTA[DISC 1],ATALI[[#This Row],[//]]-2))</f>
        <v/>
      </c>
      <c r="P527" s="7" t="str">
        <f ca="1">IF(ATALI[[#This Row],[//]]="","",INDEX([2]!NOTA[DISC 2],ATALI[[#This Row],[//]]-2))</f>
        <v/>
      </c>
      <c r="Q527" s="5" t="str">
        <f ca="1">IF(ATALI[[#This Row],[//]]="","",INDEX([2]!NOTA[TOTAL],ATALI[[#This Row],[//]]-2))</f>
        <v/>
      </c>
      <c r="R5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7" s="4" t="str">
        <f ca="1">IF(ATALI[[#This Row],[//]]="","",INDEX([2]!NOTA[NAMA BARANG],ATALI[[#This Row],[//]]-2))</f>
        <v/>
      </c>
      <c r="V527" s="4" t="str">
        <f ca="1">LOWER(SUBSTITUTE(SUBSTITUTE(SUBSTITUTE(SUBSTITUTE(SUBSTITUTE(SUBSTITUTE(SUBSTITUTE(ATALI[[#This Row],[N.B.nota]]," ",""),"-",""),"(",""),")",""),".",""),",",""),"/",""))</f>
        <v/>
      </c>
      <c r="W527" s="4" t="str">
        <f ca="1">IF(ATALI[[#This Row],[concat]]="","",MATCH(ATALI[[#This Row],[concat]],[4]!db[NB NOTA_C],0)+1)</f>
        <v/>
      </c>
      <c r="X527" s="4" t="str">
        <f ca="1">IF(ATALI[[#This Row],[N.B.nota]]="","",ADDRESS(ROW(ATALI[QB]),COLUMN(ATALI[QB]))&amp;":"&amp;ADDRESS(ROW(),COLUMN(ATALI[QB])))</f>
        <v/>
      </c>
      <c r="Y527" s="13" t="str">
        <f ca="1">IF(ATALI[[#This Row],[//]]="","",HYPERLINK("[../DB.xlsx]DB!e"&amp;MATCH(ATALI[[#This Row],[concat]],[4]!db[NB NOTA_C],0)+1,"&gt;"))</f>
        <v/>
      </c>
    </row>
    <row r="528" spans="1:25" x14ac:dyDescent="0.25">
      <c r="A528" s="4"/>
      <c r="B528" s="6" t="str">
        <f>IF(ATALI[[#This Row],[N_ID]]="","",INDEX(Table1[ID],MATCH(ATALI[[#This Row],[N_ID]],Table1[N_ID],0)))</f>
        <v/>
      </c>
      <c r="C528" s="6" t="str">
        <f>IF(ATALI[[#This Row],[ID NOTA]]="","",HYPERLINK("[NOTA_.xlsx]NOTA!e"&amp;INDEX([2]!PAJAK[//],MATCH(ATALI[[#This Row],[ID NOTA]],[2]!PAJAK[ID],0)),"&gt;") )</f>
        <v/>
      </c>
      <c r="D528" s="6" t="str">
        <f>IF(ATALI[[#This Row],[ID NOTA]]="","",INDEX(Table1[QB],MATCH(ATALI[[#This Row],[ID NOTA]],Table1[ID],0)))</f>
        <v/>
      </c>
      <c r="E5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8" s="6"/>
      <c r="G528" s="3" t="str">
        <f>IF(ATALI[[#This Row],[ID NOTA]]="","",INDEX([2]!NOTA[TGL_H],MATCH(ATALI[[#This Row],[ID NOTA]],[2]!NOTA[ID],0)))</f>
        <v/>
      </c>
      <c r="H528" s="3" t="str">
        <f>IF(ATALI[[#This Row],[ID NOTA]]="","",INDEX([2]!NOTA[TGL.NOTA],MATCH(ATALI[[#This Row],[ID NOTA]],[2]!NOTA[ID],0)))</f>
        <v/>
      </c>
      <c r="I528" s="4" t="str">
        <f>IF(ATALI[[#This Row],[ID NOTA]]="","",INDEX([2]!NOTA[NO.NOTA],MATCH(ATALI[[#This Row],[ID NOTA]],[2]!NOTA[ID],0)))</f>
        <v/>
      </c>
      <c r="J528" s="4" t="str">
        <f ca="1">IF(ATALI[[#This Row],[//]]="","",INDEX([4]!db[NB PAJAK],ATALI[[#This Row],[stt]]-1))</f>
        <v/>
      </c>
      <c r="K528" s="6" t="str">
        <f ca="1">IF(ATALI[[#This Row],[//]]="","",IF(INDEX([2]!NOTA[C],ATALI[[#This Row],[//]]-2)="","",INDEX([2]!NOTA[C],ATALI[[#This Row],[//]]-2)))</f>
        <v/>
      </c>
      <c r="L528" s="6" t="str">
        <f ca="1">IF(ATALI[[#This Row],[//]]="","",INDEX([2]!NOTA[QTY],ATALI[[#This Row],[//]]-2))</f>
        <v/>
      </c>
      <c r="M528" s="6" t="str">
        <f ca="1">IF(ATALI[[#This Row],[//]]="","",INDEX([2]!NOTA[STN],ATALI[[#This Row],[//]]-2))</f>
        <v/>
      </c>
      <c r="N528" s="5" t="str">
        <f ca="1">IF(ATALI[[#This Row],[//]]="","",INDEX([2]!NOTA[HARGA SATUAN],ATALI[[#This Row],[//]]-2))</f>
        <v/>
      </c>
      <c r="O528" s="7" t="str">
        <f ca="1">IF(ATALI[[#This Row],[//]]="","",INDEX([2]!NOTA[DISC 1],ATALI[[#This Row],[//]]-2))</f>
        <v/>
      </c>
      <c r="P528" s="7" t="str">
        <f ca="1">IF(ATALI[[#This Row],[//]]="","",INDEX([2]!NOTA[DISC 2],ATALI[[#This Row],[//]]-2))</f>
        <v/>
      </c>
      <c r="Q528" s="5" t="str">
        <f ca="1">IF(ATALI[[#This Row],[//]]="","",INDEX([2]!NOTA[TOTAL],ATALI[[#This Row],[//]]-2))</f>
        <v/>
      </c>
      <c r="R5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8" s="4" t="str">
        <f ca="1">IF(ATALI[[#This Row],[//]]="","",INDEX([2]!NOTA[NAMA BARANG],ATALI[[#This Row],[//]]-2))</f>
        <v/>
      </c>
      <c r="V528" s="4" t="str">
        <f ca="1">LOWER(SUBSTITUTE(SUBSTITUTE(SUBSTITUTE(SUBSTITUTE(SUBSTITUTE(SUBSTITUTE(SUBSTITUTE(ATALI[[#This Row],[N.B.nota]]," ",""),"-",""),"(",""),")",""),".",""),",",""),"/",""))</f>
        <v/>
      </c>
      <c r="W528" s="4" t="str">
        <f ca="1">IF(ATALI[[#This Row],[concat]]="","",MATCH(ATALI[[#This Row],[concat]],[4]!db[NB NOTA_C],0)+1)</f>
        <v/>
      </c>
      <c r="X528" s="4" t="str">
        <f ca="1">IF(ATALI[[#This Row],[N.B.nota]]="","",ADDRESS(ROW(ATALI[QB]),COLUMN(ATALI[QB]))&amp;":"&amp;ADDRESS(ROW(),COLUMN(ATALI[QB])))</f>
        <v/>
      </c>
      <c r="Y528" s="13" t="str">
        <f ca="1">IF(ATALI[[#This Row],[//]]="","",HYPERLINK("[../DB.xlsx]DB!e"&amp;MATCH(ATALI[[#This Row],[concat]],[4]!db[NB NOTA_C],0)+1,"&gt;"))</f>
        <v/>
      </c>
    </row>
    <row r="529" spans="1:25" x14ac:dyDescent="0.25">
      <c r="A529" s="4"/>
      <c r="B529" s="6" t="str">
        <f>IF(ATALI[[#This Row],[N_ID]]="","",INDEX(Table1[ID],MATCH(ATALI[[#This Row],[N_ID]],Table1[N_ID],0)))</f>
        <v/>
      </c>
      <c r="C529" s="6" t="str">
        <f>IF(ATALI[[#This Row],[ID NOTA]]="","",HYPERLINK("[NOTA_.xlsx]NOTA!e"&amp;INDEX([2]!PAJAK[//],MATCH(ATALI[[#This Row],[ID NOTA]],[2]!PAJAK[ID],0)),"&gt;") )</f>
        <v/>
      </c>
      <c r="D529" s="6" t="str">
        <f>IF(ATALI[[#This Row],[ID NOTA]]="","",INDEX(Table1[QB],MATCH(ATALI[[#This Row],[ID NOTA]],Table1[ID],0)))</f>
        <v/>
      </c>
      <c r="E5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9" s="6"/>
      <c r="G529" s="3" t="str">
        <f>IF(ATALI[[#This Row],[ID NOTA]]="","",INDEX([2]!NOTA[TGL_H],MATCH(ATALI[[#This Row],[ID NOTA]],[2]!NOTA[ID],0)))</f>
        <v/>
      </c>
      <c r="H529" s="3" t="str">
        <f>IF(ATALI[[#This Row],[ID NOTA]]="","",INDEX([2]!NOTA[TGL.NOTA],MATCH(ATALI[[#This Row],[ID NOTA]],[2]!NOTA[ID],0)))</f>
        <v/>
      </c>
      <c r="I529" s="4" t="str">
        <f>IF(ATALI[[#This Row],[ID NOTA]]="","",INDEX([2]!NOTA[NO.NOTA],MATCH(ATALI[[#This Row],[ID NOTA]],[2]!NOTA[ID],0)))</f>
        <v/>
      </c>
      <c r="J529" s="4" t="str">
        <f ca="1">IF(ATALI[[#This Row],[//]]="","",INDEX([4]!db[NB PAJAK],ATALI[[#This Row],[stt]]-1))</f>
        <v/>
      </c>
      <c r="K529" s="6" t="str">
        <f ca="1">IF(ATALI[[#This Row],[//]]="","",IF(INDEX([2]!NOTA[C],ATALI[[#This Row],[//]]-2)="","",INDEX([2]!NOTA[C],ATALI[[#This Row],[//]]-2)))</f>
        <v/>
      </c>
      <c r="L529" s="6" t="str">
        <f ca="1">IF(ATALI[[#This Row],[//]]="","",INDEX([2]!NOTA[QTY],ATALI[[#This Row],[//]]-2))</f>
        <v/>
      </c>
      <c r="M529" s="6" t="str">
        <f ca="1">IF(ATALI[[#This Row],[//]]="","",INDEX([2]!NOTA[STN],ATALI[[#This Row],[//]]-2))</f>
        <v/>
      </c>
      <c r="N529" s="5" t="str">
        <f ca="1">IF(ATALI[[#This Row],[//]]="","",INDEX([2]!NOTA[HARGA SATUAN],ATALI[[#This Row],[//]]-2))</f>
        <v/>
      </c>
      <c r="O529" s="7" t="str">
        <f ca="1">IF(ATALI[[#This Row],[//]]="","",INDEX([2]!NOTA[DISC 1],ATALI[[#This Row],[//]]-2))</f>
        <v/>
      </c>
      <c r="P529" s="7" t="str">
        <f ca="1">IF(ATALI[[#This Row],[//]]="","",INDEX([2]!NOTA[DISC 2],ATALI[[#This Row],[//]]-2))</f>
        <v/>
      </c>
      <c r="Q529" s="5" t="str">
        <f ca="1">IF(ATALI[[#This Row],[//]]="","",INDEX([2]!NOTA[TOTAL],ATALI[[#This Row],[//]]-2))</f>
        <v/>
      </c>
      <c r="R5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9" s="4" t="str">
        <f ca="1">IF(ATALI[[#This Row],[//]]="","",INDEX([2]!NOTA[NAMA BARANG],ATALI[[#This Row],[//]]-2))</f>
        <v/>
      </c>
      <c r="V529" s="4" t="str">
        <f ca="1">LOWER(SUBSTITUTE(SUBSTITUTE(SUBSTITUTE(SUBSTITUTE(SUBSTITUTE(SUBSTITUTE(SUBSTITUTE(ATALI[[#This Row],[N.B.nota]]," ",""),"-",""),"(",""),")",""),".",""),",",""),"/",""))</f>
        <v/>
      </c>
      <c r="W529" s="4" t="str">
        <f ca="1">IF(ATALI[[#This Row],[concat]]="","",MATCH(ATALI[[#This Row],[concat]],[4]!db[NB NOTA_C],0)+1)</f>
        <v/>
      </c>
      <c r="X529" s="4" t="str">
        <f ca="1">IF(ATALI[[#This Row],[N.B.nota]]="","",ADDRESS(ROW(ATALI[QB]),COLUMN(ATALI[QB]))&amp;":"&amp;ADDRESS(ROW(),COLUMN(ATALI[QB])))</f>
        <v/>
      </c>
      <c r="Y529" s="13" t="str">
        <f ca="1">IF(ATALI[[#This Row],[//]]="","",HYPERLINK("[../DB.xlsx]DB!e"&amp;MATCH(ATALI[[#This Row],[concat]],[4]!db[NB NOTA_C],0)+1,"&gt;"))</f>
        <v/>
      </c>
    </row>
    <row r="530" spans="1:25" x14ac:dyDescent="0.25">
      <c r="A530" s="4"/>
      <c r="B530" s="6" t="str">
        <f>IF(ATALI[[#This Row],[N_ID]]="","",INDEX(Table1[ID],MATCH(ATALI[[#This Row],[N_ID]],Table1[N_ID],0)))</f>
        <v/>
      </c>
      <c r="C530" s="6" t="str">
        <f>IF(ATALI[[#This Row],[ID NOTA]]="","",HYPERLINK("[NOTA_.xlsx]NOTA!e"&amp;INDEX([2]!PAJAK[//],MATCH(ATALI[[#This Row],[ID NOTA]],[2]!PAJAK[ID],0)),"&gt;") )</f>
        <v/>
      </c>
      <c r="D530" s="6" t="str">
        <f>IF(ATALI[[#This Row],[ID NOTA]]="","",INDEX(Table1[QB],MATCH(ATALI[[#This Row],[ID NOTA]],Table1[ID],0)))</f>
        <v/>
      </c>
      <c r="E5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0" s="6"/>
      <c r="G530" s="3" t="str">
        <f>IF(ATALI[[#This Row],[ID NOTA]]="","",INDEX([2]!NOTA[TGL_H],MATCH(ATALI[[#This Row],[ID NOTA]],[2]!NOTA[ID],0)))</f>
        <v/>
      </c>
      <c r="H530" s="3" t="str">
        <f>IF(ATALI[[#This Row],[ID NOTA]]="","",INDEX([2]!NOTA[TGL.NOTA],MATCH(ATALI[[#This Row],[ID NOTA]],[2]!NOTA[ID],0)))</f>
        <v/>
      </c>
      <c r="I530" s="4" t="str">
        <f>IF(ATALI[[#This Row],[ID NOTA]]="","",INDEX([2]!NOTA[NO.NOTA],MATCH(ATALI[[#This Row],[ID NOTA]],[2]!NOTA[ID],0)))</f>
        <v/>
      </c>
      <c r="J530" s="4" t="str">
        <f ca="1">IF(ATALI[[#This Row],[//]]="","",INDEX([4]!db[NB PAJAK],ATALI[[#This Row],[stt]]-1))</f>
        <v/>
      </c>
      <c r="K530" s="6" t="str">
        <f ca="1">IF(ATALI[[#This Row],[//]]="","",IF(INDEX([2]!NOTA[C],ATALI[[#This Row],[//]]-2)="","",INDEX([2]!NOTA[C],ATALI[[#This Row],[//]]-2)))</f>
        <v/>
      </c>
      <c r="L530" s="6" t="str">
        <f ca="1">IF(ATALI[[#This Row],[//]]="","",INDEX([2]!NOTA[QTY],ATALI[[#This Row],[//]]-2))</f>
        <v/>
      </c>
      <c r="M530" s="6" t="str">
        <f ca="1">IF(ATALI[[#This Row],[//]]="","",INDEX([2]!NOTA[STN],ATALI[[#This Row],[//]]-2))</f>
        <v/>
      </c>
      <c r="N530" s="5" t="str">
        <f ca="1">IF(ATALI[[#This Row],[//]]="","",INDEX([2]!NOTA[HARGA SATUAN],ATALI[[#This Row],[//]]-2))</f>
        <v/>
      </c>
      <c r="O530" s="7" t="str">
        <f ca="1">IF(ATALI[[#This Row],[//]]="","",INDEX([2]!NOTA[DISC 1],ATALI[[#This Row],[//]]-2))</f>
        <v/>
      </c>
      <c r="P530" s="7" t="str">
        <f ca="1">IF(ATALI[[#This Row],[//]]="","",INDEX([2]!NOTA[DISC 2],ATALI[[#This Row],[//]]-2))</f>
        <v/>
      </c>
      <c r="Q530" s="5" t="str">
        <f ca="1">IF(ATALI[[#This Row],[//]]="","",INDEX([2]!NOTA[TOTAL],ATALI[[#This Row],[//]]-2))</f>
        <v/>
      </c>
      <c r="R5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0" s="4" t="str">
        <f ca="1">IF(ATALI[[#This Row],[//]]="","",INDEX([2]!NOTA[NAMA BARANG],ATALI[[#This Row],[//]]-2))</f>
        <v/>
      </c>
      <c r="V530" s="4" t="str">
        <f ca="1">LOWER(SUBSTITUTE(SUBSTITUTE(SUBSTITUTE(SUBSTITUTE(SUBSTITUTE(SUBSTITUTE(SUBSTITUTE(ATALI[[#This Row],[N.B.nota]]," ",""),"-",""),"(",""),")",""),".",""),",",""),"/",""))</f>
        <v/>
      </c>
      <c r="W530" s="4" t="str">
        <f ca="1">IF(ATALI[[#This Row],[concat]]="","",MATCH(ATALI[[#This Row],[concat]],[4]!db[NB NOTA_C],0)+1)</f>
        <v/>
      </c>
      <c r="X530" s="4" t="str">
        <f ca="1">IF(ATALI[[#This Row],[N.B.nota]]="","",ADDRESS(ROW(ATALI[QB]),COLUMN(ATALI[QB]))&amp;":"&amp;ADDRESS(ROW(),COLUMN(ATALI[QB])))</f>
        <v/>
      </c>
      <c r="Y530" s="13" t="str">
        <f ca="1">IF(ATALI[[#This Row],[//]]="","",HYPERLINK("[../DB.xlsx]DB!e"&amp;MATCH(ATALI[[#This Row],[concat]],[4]!db[NB NOTA_C],0)+1,"&gt;"))</f>
        <v/>
      </c>
    </row>
    <row r="531" spans="1:25" x14ac:dyDescent="0.25">
      <c r="A531" s="4"/>
      <c r="B531" s="6" t="str">
        <f>IF(ATALI[[#This Row],[N_ID]]="","",INDEX(Table1[ID],MATCH(ATALI[[#This Row],[N_ID]],Table1[N_ID],0)))</f>
        <v/>
      </c>
      <c r="C531" s="6" t="str">
        <f>IF(ATALI[[#This Row],[ID NOTA]]="","",HYPERLINK("[NOTA_.xlsx]NOTA!e"&amp;INDEX([2]!PAJAK[//],MATCH(ATALI[[#This Row],[ID NOTA]],[2]!PAJAK[ID],0)),"&gt;") )</f>
        <v/>
      </c>
      <c r="D531" s="6" t="str">
        <f>IF(ATALI[[#This Row],[ID NOTA]]="","",INDEX(Table1[QB],MATCH(ATALI[[#This Row],[ID NOTA]],Table1[ID],0)))</f>
        <v/>
      </c>
      <c r="E5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1" s="6"/>
      <c r="G531" s="3" t="str">
        <f>IF(ATALI[[#This Row],[ID NOTA]]="","",INDEX([2]!NOTA[TGL_H],MATCH(ATALI[[#This Row],[ID NOTA]],[2]!NOTA[ID],0)))</f>
        <v/>
      </c>
      <c r="H531" s="3" t="str">
        <f>IF(ATALI[[#This Row],[ID NOTA]]="","",INDEX([2]!NOTA[TGL.NOTA],MATCH(ATALI[[#This Row],[ID NOTA]],[2]!NOTA[ID],0)))</f>
        <v/>
      </c>
      <c r="I531" s="4" t="str">
        <f>IF(ATALI[[#This Row],[ID NOTA]]="","",INDEX([2]!NOTA[NO.NOTA],MATCH(ATALI[[#This Row],[ID NOTA]],[2]!NOTA[ID],0)))</f>
        <v/>
      </c>
      <c r="J531" s="4" t="str">
        <f ca="1">IF(ATALI[[#This Row],[//]]="","",INDEX([4]!db[NB PAJAK],ATALI[[#This Row],[stt]]-1))</f>
        <v/>
      </c>
      <c r="K531" s="6" t="str">
        <f ca="1">IF(ATALI[[#This Row],[//]]="","",IF(INDEX([2]!NOTA[C],ATALI[[#This Row],[//]]-2)="","",INDEX([2]!NOTA[C],ATALI[[#This Row],[//]]-2)))</f>
        <v/>
      </c>
      <c r="L531" s="6" t="str">
        <f ca="1">IF(ATALI[[#This Row],[//]]="","",INDEX([2]!NOTA[QTY],ATALI[[#This Row],[//]]-2))</f>
        <v/>
      </c>
      <c r="M531" s="6" t="str">
        <f ca="1">IF(ATALI[[#This Row],[//]]="","",INDEX([2]!NOTA[STN],ATALI[[#This Row],[//]]-2))</f>
        <v/>
      </c>
      <c r="N531" s="5" t="str">
        <f ca="1">IF(ATALI[[#This Row],[//]]="","",INDEX([2]!NOTA[HARGA SATUAN],ATALI[[#This Row],[//]]-2))</f>
        <v/>
      </c>
      <c r="O531" s="7" t="str">
        <f ca="1">IF(ATALI[[#This Row],[//]]="","",INDEX([2]!NOTA[DISC 1],ATALI[[#This Row],[//]]-2))</f>
        <v/>
      </c>
      <c r="P531" s="7" t="str">
        <f ca="1">IF(ATALI[[#This Row],[//]]="","",INDEX([2]!NOTA[DISC 2],ATALI[[#This Row],[//]]-2))</f>
        <v/>
      </c>
      <c r="Q531" s="5" t="str">
        <f ca="1">IF(ATALI[[#This Row],[//]]="","",INDEX([2]!NOTA[TOTAL],ATALI[[#This Row],[//]]-2))</f>
        <v/>
      </c>
      <c r="R5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1" s="4" t="str">
        <f ca="1">IF(ATALI[[#This Row],[//]]="","",INDEX([2]!NOTA[NAMA BARANG],ATALI[[#This Row],[//]]-2))</f>
        <v/>
      </c>
      <c r="V531" s="4" t="str">
        <f ca="1">LOWER(SUBSTITUTE(SUBSTITUTE(SUBSTITUTE(SUBSTITUTE(SUBSTITUTE(SUBSTITUTE(SUBSTITUTE(ATALI[[#This Row],[N.B.nota]]," ",""),"-",""),"(",""),")",""),".",""),",",""),"/",""))</f>
        <v/>
      </c>
      <c r="W531" s="4" t="str">
        <f ca="1">IF(ATALI[[#This Row],[concat]]="","",MATCH(ATALI[[#This Row],[concat]],[4]!db[NB NOTA_C],0)+1)</f>
        <v/>
      </c>
      <c r="X531" s="4" t="str">
        <f ca="1">IF(ATALI[[#This Row],[N.B.nota]]="","",ADDRESS(ROW(ATALI[QB]),COLUMN(ATALI[QB]))&amp;":"&amp;ADDRESS(ROW(),COLUMN(ATALI[QB])))</f>
        <v/>
      </c>
      <c r="Y531" s="13" t="str">
        <f ca="1">IF(ATALI[[#This Row],[//]]="","",HYPERLINK("[../DB.xlsx]DB!e"&amp;MATCH(ATALI[[#This Row],[concat]],[4]!db[NB NOTA_C],0)+1,"&gt;"))</f>
        <v/>
      </c>
    </row>
    <row r="532" spans="1:25" x14ac:dyDescent="0.25">
      <c r="A532" s="4"/>
      <c r="B532" s="6" t="str">
        <f>IF(ATALI[[#This Row],[N_ID]]="","",INDEX(Table1[ID],MATCH(ATALI[[#This Row],[N_ID]],Table1[N_ID],0)))</f>
        <v/>
      </c>
      <c r="C532" s="6" t="str">
        <f>IF(ATALI[[#This Row],[ID NOTA]]="","",HYPERLINK("[NOTA_.xlsx]NOTA!e"&amp;INDEX([2]!PAJAK[//],MATCH(ATALI[[#This Row],[ID NOTA]],[2]!PAJAK[ID],0)),"&gt;") )</f>
        <v/>
      </c>
      <c r="D532" s="6" t="str">
        <f>IF(ATALI[[#This Row],[ID NOTA]]="","",INDEX(Table1[QB],MATCH(ATALI[[#This Row],[ID NOTA]],Table1[ID],0)))</f>
        <v/>
      </c>
      <c r="E5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2" s="6"/>
      <c r="G532" s="3" t="str">
        <f>IF(ATALI[[#This Row],[ID NOTA]]="","",INDEX([2]!NOTA[TGL_H],MATCH(ATALI[[#This Row],[ID NOTA]],[2]!NOTA[ID],0)))</f>
        <v/>
      </c>
      <c r="H532" s="3" t="str">
        <f>IF(ATALI[[#This Row],[ID NOTA]]="","",INDEX([2]!NOTA[TGL.NOTA],MATCH(ATALI[[#This Row],[ID NOTA]],[2]!NOTA[ID],0)))</f>
        <v/>
      </c>
      <c r="I532" s="4" t="str">
        <f>IF(ATALI[[#This Row],[ID NOTA]]="","",INDEX([2]!NOTA[NO.NOTA],MATCH(ATALI[[#This Row],[ID NOTA]],[2]!NOTA[ID],0)))</f>
        <v/>
      </c>
      <c r="J532" s="4" t="str">
        <f ca="1">IF(ATALI[[#This Row],[//]]="","",INDEX([4]!db[NB PAJAK],ATALI[[#This Row],[stt]]-1))</f>
        <v/>
      </c>
      <c r="K532" s="6" t="str">
        <f ca="1">IF(ATALI[[#This Row],[//]]="","",IF(INDEX([2]!NOTA[C],ATALI[[#This Row],[//]]-2)="","",INDEX([2]!NOTA[C],ATALI[[#This Row],[//]]-2)))</f>
        <v/>
      </c>
      <c r="L532" s="6" t="str">
        <f ca="1">IF(ATALI[[#This Row],[//]]="","",INDEX([2]!NOTA[QTY],ATALI[[#This Row],[//]]-2))</f>
        <v/>
      </c>
      <c r="M532" s="6" t="str">
        <f ca="1">IF(ATALI[[#This Row],[//]]="","",INDEX([2]!NOTA[STN],ATALI[[#This Row],[//]]-2))</f>
        <v/>
      </c>
      <c r="N532" s="5" t="str">
        <f ca="1">IF(ATALI[[#This Row],[//]]="","",INDEX([2]!NOTA[HARGA SATUAN],ATALI[[#This Row],[//]]-2))</f>
        <v/>
      </c>
      <c r="O532" s="7" t="str">
        <f ca="1">IF(ATALI[[#This Row],[//]]="","",INDEX([2]!NOTA[DISC 1],ATALI[[#This Row],[//]]-2))</f>
        <v/>
      </c>
      <c r="P532" s="7" t="str">
        <f ca="1">IF(ATALI[[#This Row],[//]]="","",INDEX([2]!NOTA[DISC 2],ATALI[[#This Row],[//]]-2))</f>
        <v/>
      </c>
      <c r="Q532" s="5" t="str">
        <f ca="1">IF(ATALI[[#This Row],[//]]="","",INDEX([2]!NOTA[TOTAL],ATALI[[#This Row],[//]]-2))</f>
        <v/>
      </c>
      <c r="R5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2" s="4" t="str">
        <f ca="1">IF(ATALI[[#This Row],[//]]="","",INDEX([2]!NOTA[NAMA BARANG],ATALI[[#This Row],[//]]-2))</f>
        <v/>
      </c>
      <c r="V532" s="4" t="str">
        <f ca="1">LOWER(SUBSTITUTE(SUBSTITUTE(SUBSTITUTE(SUBSTITUTE(SUBSTITUTE(SUBSTITUTE(SUBSTITUTE(ATALI[[#This Row],[N.B.nota]]," ",""),"-",""),"(",""),")",""),".",""),",",""),"/",""))</f>
        <v/>
      </c>
      <c r="W532" s="4" t="str">
        <f ca="1">IF(ATALI[[#This Row],[concat]]="","",MATCH(ATALI[[#This Row],[concat]],[4]!db[NB NOTA_C],0)+1)</f>
        <v/>
      </c>
      <c r="X532" s="4" t="str">
        <f ca="1">IF(ATALI[[#This Row],[N.B.nota]]="","",ADDRESS(ROW(ATALI[QB]),COLUMN(ATALI[QB]))&amp;":"&amp;ADDRESS(ROW(),COLUMN(ATALI[QB])))</f>
        <v/>
      </c>
      <c r="Y532" s="13" t="str">
        <f ca="1">IF(ATALI[[#This Row],[//]]="","",HYPERLINK("[../DB.xlsx]DB!e"&amp;MATCH(ATALI[[#This Row],[concat]],[4]!db[NB NOTA_C],0)+1,"&gt;"))</f>
        <v/>
      </c>
    </row>
    <row r="533" spans="1:25" x14ac:dyDescent="0.25">
      <c r="A533" s="4"/>
      <c r="B533" s="6" t="str">
        <f>IF(ATALI[[#This Row],[N_ID]]="","",INDEX(Table1[ID],MATCH(ATALI[[#This Row],[N_ID]],Table1[N_ID],0)))</f>
        <v/>
      </c>
      <c r="C533" s="6" t="str">
        <f>IF(ATALI[[#This Row],[ID NOTA]]="","",HYPERLINK("[NOTA_.xlsx]NOTA!e"&amp;INDEX([2]!PAJAK[//],MATCH(ATALI[[#This Row],[ID NOTA]],[2]!PAJAK[ID],0)),"&gt;") )</f>
        <v/>
      </c>
      <c r="D533" s="6" t="str">
        <f>IF(ATALI[[#This Row],[ID NOTA]]="","",INDEX(Table1[QB],MATCH(ATALI[[#This Row],[ID NOTA]],Table1[ID],0)))</f>
        <v/>
      </c>
      <c r="E5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3" s="6"/>
      <c r="G533" s="3" t="str">
        <f>IF(ATALI[[#This Row],[ID NOTA]]="","",INDEX([2]!NOTA[TGL_H],MATCH(ATALI[[#This Row],[ID NOTA]],[2]!NOTA[ID],0)))</f>
        <v/>
      </c>
      <c r="H533" s="3" t="str">
        <f>IF(ATALI[[#This Row],[ID NOTA]]="","",INDEX([2]!NOTA[TGL.NOTA],MATCH(ATALI[[#This Row],[ID NOTA]],[2]!NOTA[ID],0)))</f>
        <v/>
      </c>
      <c r="I533" s="4" t="str">
        <f>IF(ATALI[[#This Row],[ID NOTA]]="","",INDEX([2]!NOTA[NO.NOTA],MATCH(ATALI[[#This Row],[ID NOTA]],[2]!NOTA[ID],0)))</f>
        <v/>
      </c>
      <c r="J533" s="4" t="str">
        <f ca="1">IF(ATALI[[#This Row],[//]]="","",INDEX([4]!db[NB PAJAK],ATALI[[#This Row],[stt]]-1))</f>
        <v/>
      </c>
      <c r="K533" s="6" t="str">
        <f ca="1">IF(ATALI[[#This Row],[//]]="","",IF(INDEX([2]!NOTA[C],ATALI[[#This Row],[//]]-2)="","",INDEX([2]!NOTA[C],ATALI[[#This Row],[//]]-2)))</f>
        <v/>
      </c>
      <c r="L533" s="6" t="str">
        <f ca="1">IF(ATALI[[#This Row],[//]]="","",INDEX([2]!NOTA[QTY],ATALI[[#This Row],[//]]-2))</f>
        <v/>
      </c>
      <c r="M533" s="6" t="str">
        <f ca="1">IF(ATALI[[#This Row],[//]]="","",INDEX([2]!NOTA[STN],ATALI[[#This Row],[//]]-2))</f>
        <v/>
      </c>
      <c r="N533" s="5" t="str">
        <f ca="1">IF(ATALI[[#This Row],[//]]="","",INDEX([2]!NOTA[HARGA SATUAN],ATALI[[#This Row],[//]]-2))</f>
        <v/>
      </c>
      <c r="O533" s="7" t="str">
        <f ca="1">IF(ATALI[[#This Row],[//]]="","",INDEX([2]!NOTA[DISC 1],ATALI[[#This Row],[//]]-2))</f>
        <v/>
      </c>
      <c r="P533" s="7" t="str">
        <f ca="1">IF(ATALI[[#This Row],[//]]="","",INDEX([2]!NOTA[DISC 2],ATALI[[#This Row],[//]]-2))</f>
        <v/>
      </c>
      <c r="Q533" s="5" t="str">
        <f ca="1">IF(ATALI[[#This Row],[//]]="","",INDEX([2]!NOTA[TOTAL],ATALI[[#This Row],[//]]-2))</f>
        <v/>
      </c>
      <c r="R5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3" s="4" t="str">
        <f ca="1">IF(ATALI[[#This Row],[//]]="","",INDEX([2]!NOTA[NAMA BARANG],ATALI[[#This Row],[//]]-2))</f>
        <v/>
      </c>
      <c r="V533" s="4" t="str">
        <f ca="1">LOWER(SUBSTITUTE(SUBSTITUTE(SUBSTITUTE(SUBSTITUTE(SUBSTITUTE(SUBSTITUTE(SUBSTITUTE(ATALI[[#This Row],[N.B.nota]]," ",""),"-",""),"(",""),")",""),".",""),",",""),"/",""))</f>
        <v/>
      </c>
      <c r="W533" s="4" t="str">
        <f ca="1">IF(ATALI[[#This Row],[concat]]="","",MATCH(ATALI[[#This Row],[concat]],[4]!db[NB NOTA_C],0)+1)</f>
        <v/>
      </c>
      <c r="X533" s="4" t="str">
        <f ca="1">IF(ATALI[[#This Row],[N.B.nota]]="","",ADDRESS(ROW(ATALI[QB]),COLUMN(ATALI[QB]))&amp;":"&amp;ADDRESS(ROW(),COLUMN(ATALI[QB])))</f>
        <v/>
      </c>
      <c r="Y533" s="13" t="str">
        <f ca="1">IF(ATALI[[#This Row],[//]]="","",HYPERLINK("[../DB.xlsx]DB!e"&amp;MATCH(ATALI[[#This Row],[concat]],[4]!db[NB NOTA_C],0)+1,"&gt;"))</f>
        <v/>
      </c>
    </row>
    <row r="534" spans="1:25" x14ac:dyDescent="0.25">
      <c r="A534" s="4"/>
      <c r="B534" s="6" t="str">
        <f>IF(ATALI[[#This Row],[N_ID]]="","",INDEX(Table1[ID],MATCH(ATALI[[#This Row],[N_ID]],Table1[N_ID],0)))</f>
        <v/>
      </c>
      <c r="C534" s="6" t="str">
        <f>IF(ATALI[[#This Row],[ID NOTA]]="","",HYPERLINK("[NOTA_.xlsx]NOTA!e"&amp;INDEX([2]!PAJAK[//],MATCH(ATALI[[#This Row],[ID NOTA]],[2]!PAJAK[ID],0)),"&gt;") )</f>
        <v/>
      </c>
      <c r="D534" s="6" t="str">
        <f>IF(ATALI[[#This Row],[ID NOTA]]="","",INDEX(Table1[QB],MATCH(ATALI[[#This Row],[ID NOTA]],Table1[ID],0)))</f>
        <v/>
      </c>
      <c r="E5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4" s="6"/>
      <c r="G534" s="3" t="str">
        <f>IF(ATALI[[#This Row],[ID NOTA]]="","",INDEX([2]!NOTA[TGL_H],MATCH(ATALI[[#This Row],[ID NOTA]],[2]!NOTA[ID],0)))</f>
        <v/>
      </c>
      <c r="H534" s="3" t="str">
        <f>IF(ATALI[[#This Row],[ID NOTA]]="","",INDEX([2]!NOTA[TGL.NOTA],MATCH(ATALI[[#This Row],[ID NOTA]],[2]!NOTA[ID],0)))</f>
        <v/>
      </c>
      <c r="I534" s="4" t="str">
        <f>IF(ATALI[[#This Row],[ID NOTA]]="","",INDEX([2]!NOTA[NO.NOTA],MATCH(ATALI[[#This Row],[ID NOTA]],[2]!NOTA[ID],0)))</f>
        <v/>
      </c>
      <c r="J534" s="4" t="str">
        <f ca="1">IF(ATALI[[#This Row],[//]]="","",INDEX([4]!db[NB PAJAK],ATALI[[#This Row],[stt]]-1))</f>
        <v/>
      </c>
      <c r="K534" s="6" t="str">
        <f ca="1">IF(ATALI[[#This Row],[//]]="","",IF(INDEX([2]!NOTA[C],ATALI[[#This Row],[//]]-2)="","",INDEX([2]!NOTA[C],ATALI[[#This Row],[//]]-2)))</f>
        <v/>
      </c>
      <c r="L534" s="6" t="str">
        <f ca="1">IF(ATALI[[#This Row],[//]]="","",INDEX([2]!NOTA[QTY],ATALI[[#This Row],[//]]-2))</f>
        <v/>
      </c>
      <c r="M534" s="6" t="str">
        <f ca="1">IF(ATALI[[#This Row],[//]]="","",INDEX([2]!NOTA[STN],ATALI[[#This Row],[//]]-2))</f>
        <v/>
      </c>
      <c r="N534" s="5" t="str">
        <f ca="1">IF(ATALI[[#This Row],[//]]="","",INDEX([2]!NOTA[HARGA SATUAN],ATALI[[#This Row],[//]]-2))</f>
        <v/>
      </c>
      <c r="O534" s="7" t="str">
        <f ca="1">IF(ATALI[[#This Row],[//]]="","",INDEX([2]!NOTA[DISC 1],ATALI[[#This Row],[//]]-2))</f>
        <v/>
      </c>
      <c r="P534" s="7" t="str">
        <f ca="1">IF(ATALI[[#This Row],[//]]="","",INDEX([2]!NOTA[DISC 2],ATALI[[#This Row],[//]]-2))</f>
        <v/>
      </c>
      <c r="Q534" s="5" t="str">
        <f ca="1">IF(ATALI[[#This Row],[//]]="","",INDEX([2]!NOTA[TOTAL],ATALI[[#This Row],[//]]-2))</f>
        <v/>
      </c>
      <c r="R5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4" s="4" t="str">
        <f ca="1">IF(ATALI[[#This Row],[//]]="","",INDEX([2]!NOTA[NAMA BARANG],ATALI[[#This Row],[//]]-2))</f>
        <v/>
      </c>
      <c r="V534" s="4" t="str">
        <f ca="1">LOWER(SUBSTITUTE(SUBSTITUTE(SUBSTITUTE(SUBSTITUTE(SUBSTITUTE(SUBSTITUTE(SUBSTITUTE(ATALI[[#This Row],[N.B.nota]]," ",""),"-",""),"(",""),")",""),".",""),",",""),"/",""))</f>
        <v/>
      </c>
      <c r="W534" s="4" t="str">
        <f ca="1">IF(ATALI[[#This Row],[concat]]="","",MATCH(ATALI[[#This Row],[concat]],[4]!db[NB NOTA_C],0)+1)</f>
        <v/>
      </c>
      <c r="X534" s="4" t="str">
        <f ca="1">IF(ATALI[[#This Row],[N.B.nota]]="","",ADDRESS(ROW(ATALI[QB]),COLUMN(ATALI[QB]))&amp;":"&amp;ADDRESS(ROW(),COLUMN(ATALI[QB])))</f>
        <v/>
      </c>
      <c r="Y534" s="13" t="str">
        <f ca="1">IF(ATALI[[#This Row],[//]]="","",HYPERLINK("[../DB.xlsx]DB!e"&amp;MATCH(ATALI[[#This Row],[concat]],[4]!db[NB NOTA_C],0)+1,"&gt;"))</f>
        <v/>
      </c>
    </row>
    <row r="535" spans="1:25" x14ac:dyDescent="0.25">
      <c r="A535" s="4"/>
      <c r="B535" s="6" t="str">
        <f>IF(ATALI[[#This Row],[N_ID]]="","",INDEX(Table1[ID],MATCH(ATALI[[#This Row],[N_ID]],Table1[N_ID],0)))</f>
        <v/>
      </c>
      <c r="C535" s="6" t="str">
        <f>IF(ATALI[[#This Row],[ID NOTA]]="","",HYPERLINK("[NOTA_.xlsx]NOTA!e"&amp;INDEX([2]!PAJAK[//],MATCH(ATALI[[#This Row],[ID NOTA]],[2]!PAJAK[ID],0)),"&gt;") )</f>
        <v/>
      </c>
      <c r="D535" s="6" t="str">
        <f>IF(ATALI[[#This Row],[ID NOTA]]="","",INDEX(Table1[QB],MATCH(ATALI[[#This Row],[ID NOTA]],Table1[ID],0)))</f>
        <v/>
      </c>
      <c r="E5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5" s="6"/>
      <c r="G535" s="3" t="str">
        <f>IF(ATALI[[#This Row],[ID NOTA]]="","",INDEX([2]!NOTA[TGL_H],MATCH(ATALI[[#This Row],[ID NOTA]],[2]!NOTA[ID],0)))</f>
        <v/>
      </c>
      <c r="H535" s="3" t="str">
        <f>IF(ATALI[[#This Row],[ID NOTA]]="","",INDEX([2]!NOTA[TGL.NOTA],MATCH(ATALI[[#This Row],[ID NOTA]],[2]!NOTA[ID],0)))</f>
        <v/>
      </c>
      <c r="I535" s="4" t="str">
        <f>IF(ATALI[[#This Row],[ID NOTA]]="","",INDEX([2]!NOTA[NO.NOTA],MATCH(ATALI[[#This Row],[ID NOTA]],[2]!NOTA[ID],0)))</f>
        <v/>
      </c>
      <c r="J535" s="4" t="str">
        <f ca="1">IF(ATALI[[#This Row],[//]]="","",INDEX([4]!db[NB PAJAK],ATALI[[#This Row],[stt]]-1))</f>
        <v/>
      </c>
      <c r="K535" s="6" t="str">
        <f ca="1">IF(ATALI[[#This Row],[//]]="","",IF(INDEX([2]!NOTA[C],ATALI[[#This Row],[//]]-2)="","",INDEX([2]!NOTA[C],ATALI[[#This Row],[//]]-2)))</f>
        <v/>
      </c>
      <c r="L535" s="6" t="str">
        <f ca="1">IF(ATALI[[#This Row],[//]]="","",INDEX([2]!NOTA[QTY],ATALI[[#This Row],[//]]-2))</f>
        <v/>
      </c>
      <c r="M535" s="6" t="str">
        <f ca="1">IF(ATALI[[#This Row],[//]]="","",INDEX([2]!NOTA[STN],ATALI[[#This Row],[//]]-2))</f>
        <v/>
      </c>
      <c r="N535" s="5" t="str">
        <f ca="1">IF(ATALI[[#This Row],[//]]="","",INDEX([2]!NOTA[HARGA SATUAN],ATALI[[#This Row],[//]]-2))</f>
        <v/>
      </c>
      <c r="O535" s="7" t="str">
        <f ca="1">IF(ATALI[[#This Row],[//]]="","",INDEX([2]!NOTA[DISC 1],ATALI[[#This Row],[//]]-2))</f>
        <v/>
      </c>
      <c r="P535" s="7" t="str">
        <f ca="1">IF(ATALI[[#This Row],[//]]="","",INDEX([2]!NOTA[DISC 2],ATALI[[#This Row],[//]]-2))</f>
        <v/>
      </c>
      <c r="Q535" s="5" t="str">
        <f ca="1">IF(ATALI[[#This Row],[//]]="","",INDEX([2]!NOTA[TOTAL],ATALI[[#This Row],[//]]-2))</f>
        <v/>
      </c>
      <c r="R5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5" s="4" t="str">
        <f ca="1">IF(ATALI[[#This Row],[//]]="","",INDEX([2]!NOTA[NAMA BARANG],ATALI[[#This Row],[//]]-2))</f>
        <v/>
      </c>
      <c r="V535" s="4" t="str">
        <f ca="1">LOWER(SUBSTITUTE(SUBSTITUTE(SUBSTITUTE(SUBSTITUTE(SUBSTITUTE(SUBSTITUTE(SUBSTITUTE(ATALI[[#This Row],[N.B.nota]]," ",""),"-",""),"(",""),")",""),".",""),",",""),"/",""))</f>
        <v/>
      </c>
      <c r="W535" s="4" t="str">
        <f ca="1">IF(ATALI[[#This Row],[concat]]="","",MATCH(ATALI[[#This Row],[concat]],[4]!db[NB NOTA_C],0)+1)</f>
        <v/>
      </c>
      <c r="X535" s="4" t="str">
        <f ca="1">IF(ATALI[[#This Row],[N.B.nota]]="","",ADDRESS(ROW(ATALI[QB]),COLUMN(ATALI[QB]))&amp;":"&amp;ADDRESS(ROW(),COLUMN(ATALI[QB])))</f>
        <v/>
      </c>
      <c r="Y535" s="13" t="str">
        <f ca="1">IF(ATALI[[#This Row],[//]]="","",HYPERLINK("[../DB.xlsx]DB!e"&amp;MATCH(ATALI[[#This Row],[concat]],[4]!db[NB NOTA_C],0)+1,"&gt;"))</f>
        <v/>
      </c>
    </row>
    <row r="536" spans="1:25" x14ac:dyDescent="0.25">
      <c r="A536" s="4"/>
      <c r="B536" s="6" t="str">
        <f>IF(ATALI[[#This Row],[N_ID]]="","",INDEX(Table1[ID],MATCH(ATALI[[#This Row],[N_ID]],Table1[N_ID],0)))</f>
        <v/>
      </c>
      <c r="C536" s="6" t="str">
        <f>IF(ATALI[[#This Row],[ID NOTA]]="","",HYPERLINK("[NOTA_.xlsx]NOTA!e"&amp;INDEX([2]!PAJAK[//],MATCH(ATALI[[#This Row],[ID NOTA]],[2]!PAJAK[ID],0)),"&gt;") )</f>
        <v/>
      </c>
      <c r="D536" s="6" t="str">
        <f>IF(ATALI[[#This Row],[ID NOTA]]="","",INDEX(Table1[QB],MATCH(ATALI[[#This Row],[ID NOTA]],Table1[ID],0)))</f>
        <v/>
      </c>
      <c r="E5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6" s="6"/>
      <c r="G536" s="3" t="str">
        <f>IF(ATALI[[#This Row],[ID NOTA]]="","",INDEX([2]!NOTA[TGL_H],MATCH(ATALI[[#This Row],[ID NOTA]],[2]!NOTA[ID],0)))</f>
        <v/>
      </c>
      <c r="H536" s="3" t="str">
        <f>IF(ATALI[[#This Row],[ID NOTA]]="","",INDEX([2]!NOTA[TGL.NOTA],MATCH(ATALI[[#This Row],[ID NOTA]],[2]!NOTA[ID],0)))</f>
        <v/>
      </c>
      <c r="I536" s="4" t="str">
        <f>IF(ATALI[[#This Row],[ID NOTA]]="","",INDEX([2]!NOTA[NO.NOTA],MATCH(ATALI[[#This Row],[ID NOTA]],[2]!NOTA[ID],0)))</f>
        <v/>
      </c>
      <c r="J536" s="4" t="str">
        <f ca="1">IF(ATALI[[#This Row],[//]]="","",INDEX([4]!db[NB PAJAK],ATALI[[#This Row],[stt]]-1))</f>
        <v/>
      </c>
      <c r="K536" s="6" t="str">
        <f ca="1">IF(ATALI[[#This Row],[//]]="","",IF(INDEX([2]!NOTA[C],ATALI[[#This Row],[//]]-2)="","",INDEX([2]!NOTA[C],ATALI[[#This Row],[//]]-2)))</f>
        <v/>
      </c>
      <c r="L536" s="6" t="str">
        <f ca="1">IF(ATALI[[#This Row],[//]]="","",INDEX([2]!NOTA[QTY],ATALI[[#This Row],[//]]-2))</f>
        <v/>
      </c>
      <c r="M536" s="6" t="str">
        <f ca="1">IF(ATALI[[#This Row],[//]]="","",INDEX([2]!NOTA[STN],ATALI[[#This Row],[//]]-2))</f>
        <v/>
      </c>
      <c r="N536" s="5" t="str">
        <f ca="1">IF(ATALI[[#This Row],[//]]="","",INDEX([2]!NOTA[HARGA SATUAN],ATALI[[#This Row],[//]]-2))</f>
        <v/>
      </c>
      <c r="O536" s="7" t="str">
        <f ca="1">IF(ATALI[[#This Row],[//]]="","",INDEX([2]!NOTA[DISC 1],ATALI[[#This Row],[//]]-2))</f>
        <v/>
      </c>
      <c r="P536" s="7" t="str">
        <f ca="1">IF(ATALI[[#This Row],[//]]="","",INDEX([2]!NOTA[DISC 2],ATALI[[#This Row],[//]]-2))</f>
        <v/>
      </c>
      <c r="Q536" s="5" t="str">
        <f ca="1">IF(ATALI[[#This Row],[//]]="","",INDEX([2]!NOTA[TOTAL],ATALI[[#This Row],[//]]-2))</f>
        <v/>
      </c>
      <c r="R5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6" s="4" t="str">
        <f ca="1">IF(ATALI[[#This Row],[//]]="","",INDEX([2]!NOTA[NAMA BARANG],ATALI[[#This Row],[//]]-2))</f>
        <v/>
      </c>
      <c r="V536" s="4" t="str">
        <f ca="1">LOWER(SUBSTITUTE(SUBSTITUTE(SUBSTITUTE(SUBSTITUTE(SUBSTITUTE(SUBSTITUTE(SUBSTITUTE(ATALI[[#This Row],[N.B.nota]]," ",""),"-",""),"(",""),")",""),".",""),",",""),"/",""))</f>
        <v/>
      </c>
      <c r="W536" s="4" t="str">
        <f ca="1">IF(ATALI[[#This Row],[concat]]="","",MATCH(ATALI[[#This Row],[concat]],[4]!db[NB NOTA_C],0)+1)</f>
        <v/>
      </c>
      <c r="X536" s="4" t="str">
        <f ca="1">IF(ATALI[[#This Row],[N.B.nota]]="","",ADDRESS(ROW(ATALI[QB]),COLUMN(ATALI[QB]))&amp;":"&amp;ADDRESS(ROW(),COLUMN(ATALI[QB])))</f>
        <v/>
      </c>
      <c r="Y536" s="13" t="str">
        <f ca="1">IF(ATALI[[#This Row],[//]]="","",HYPERLINK("[../DB.xlsx]DB!e"&amp;MATCH(ATALI[[#This Row],[concat]],[4]!db[NB NOTA_C],0)+1,"&gt;"))</f>
        <v/>
      </c>
    </row>
    <row r="537" spans="1:25" x14ac:dyDescent="0.25">
      <c r="A537" s="4"/>
      <c r="B537" s="6" t="str">
        <f>IF(ATALI[[#This Row],[N_ID]]="","",INDEX(Table1[ID],MATCH(ATALI[[#This Row],[N_ID]],Table1[N_ID],0)))</f>
        <v/>
      </c>
      <c r="C537" s="6" t="str">
        <f>IF(ATALI[[#This Row],[ID NOTA]]="","",HYPERLINK("[NOTA_.xlsx]NOTA!e"&amp;INDEX([2]!PAJAK[//],MATCH(ATALI[[#This Row],[ID NOTA]],[2]!PAJAK[ID],0)),"&gt;") )</f>
        <v/>
      </c>
      <c r="D537" s="6" t="str">
        <f>IF(ATALI[[#This Row],[ID NOTA]]="","",INDEX(Table1[QB],MATCH(ATALI[[#This Row],[ID NOTA]],Table1[ID],0)))</f>
        <v/>
      </c>
      <c r="E5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7" s="6"/>
      <c r="G537" s="3" t="str">
        <f>IF(ATALI[[#This Row],[ID NOTA]]="","",INDEX([2]!NOTA[TGL_H],MATCH(ATALI[[#This Row],[ID NOTA]],[2]!NOTA[ID],0)))</f>
        <v/>
      </c>
      <c r="H537" s="3" t="str">
        <f>IF(ATALI[[#This Row],[ID NOTA]]="","",INDEX([2]!NOTA[TGL.NOTA],MATCH(ATALI[[#This Row],[ID NOTA]],[2]!NOTA[ID],0)))</f>
        <v/>
      </c>
      <c r="I537" s="4" t="str">
        <f>IF(ATALI[[#This Row],[ID NOTA]]="","",INDEX([2]!NOTA[NO.NOTA],MATCH(ATALI[[#This Row],[ID NOTA]],[2]!NOTA[ID],0)))</f>
        <v/>
      </c>
      <c r="J537" s="4" t="str">
        <f ca="1">IF(ATALI[[#This Row],[//]]="","",INDEX([4]!db[NB PAJAK],ATALI[[#This Row],[stt]]-1))</f>
        <v/>
      </c>
      <c r="K537" s="6" t="str">
        <f ca="1">IF(ATALI[[#This Row],[//]]="","",IF(INDEX([2]!NOTA[C],ATALI[[#This Row],[//]]-2)="","",INDEX([2]!NOTA[C],ATALI[[#This Row],[//]]-2)))</f>
        <v/>
      </c>
      <c r="L537" s="6" t="str">
        <f ca="1">IF(ATALI[[#This Row],[//]]="","",INDEX([2]!NOTA[QTY],ATALI[[#This Row],[//]]-2))</f>
        <v/>
      </c>
      <c r="M537" s="6" t="str">
        <f ca="1">IF(ATALI[[#This Row],[//]]="","",INDEX([2]!NOTA[STN],ATALI[[#This Row],[//]]-2))</f>
        <v/>
      </c>
      <c r="N537" s="5" t="str">
        <f ca="1">IF(ATALI[[#This Row],[//]]="","",INDEX([2]!NOTA[HARGA SATUAN],ATALI[[#This Row],[//]]-2))</f>
        <v/>
      </c>
      <c r="O537" s="7" t="str">
        <f ca="1">IF(ATALI[[#This Row],[//]]="","",INDEX([2]!NOTA[DISC 1],ATALI[[#This Row],[//]]-2))</f>
        <v/>
      </c>
      <c r="P537" s="7" t="str">
        <f ca="1">IF(ATALI[[#This Row],[//]]="","",INDEX([2]!NOTA[DISC 2],ATALI[[#This Row],[//]]-2))</f>
        <v/>
      </c>
      <c r="Q537" s="5" t="str">
        <f ca="1">IF(ATALI[[#This Row],[//]]="","",INDEX([2]!NOTA[TOTAL],ATALI[[#This Row],[//]]-2))</f>
        <v/>
      </c>
      <c r="R5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7" s="4" t="str">
        <f ca="1">IF(ATALI[[#This Row],[//]]="","",INDEX([2]!NOTA[NAMA BARANG],ATALI[[#This Row],[//]]-2))</f>
        <v/>
      </c>
      <c r="V537" s="4" t="str">
        <f ca="1">LOWER(SUBSTITUTE(SUBSTITUTE(SUBSTITUTE(SUBSTITUTE(SUBSTITUTE(SUBSTITUTE(SUBSTITUTE(ATALI[[#This Row],[N.B.nota]]," ",""),"-",""),"(",""),")",""),".",""),",",""),"/",""))</f>
        <v/>
      </c>
      <c r="W537" s="4" t="str">
        <f ca="1">IF(ATALI[[#This Row],[concat]]="","",MATCH(ATALI[[#This Row],[concat]],[4]!db[NB NOTA_C],0)+1)</f>
        <v/>
      </c>
      <c r="X537" s="4" t="str">
        <f ca="1">IF(ATALI[[#This Row],[N.B.nota]]="","",ADDRESS(ROW(ATALI[QB]),COLUMN(ATALI[QB]))&amp;":"&amp;ADDRESS(ROW(),COLUMN(ATALI[QB])))</f>
        <v/>
      </c>
      <c r="Y537" s="13" t="str">
        <f ca="1">IF(ATALI[[#This Row],[//]]="","",HYPERLINK("[../DB.xlsx]DB!e"&amp;MATCH(ATALI[[#This Row],[concat]],[4]!db[NB NOTA_C],0)+1,"&gt;"))</f>
        <v/>
      </c>
    </row>
    <row r="538" spans="1:25" x14ac:dyDescent="0.25">
      <c r="A538" s="4"/>
      <c r="B538" s="6" t="str">
        <f>IF(ATALI[[#This Row],[N_ID]]="","",INDEX(Table1[ID],MATCH(ATALI[[#This Row],[N_ID]],Table1[N_ID],0)))</f>
        <v/>
      </c>
      <c r="C538" s="6" t="str">
        <f>IF(ATALI[[#This Row],[ID NOTA]]="","",HYPERLINK("[NOTA_.xlsx]NOTA!e"&amp;INDEX([2]!PAJAK[//],MATCH(ATALI[[#This Row],[ID NOTA]],[2]!PAJAK[ID],0)),"&gt;") )</f>
        <v/>
      </c>
      <c r="D538" s="6" t="str">
        <f>IF(ATALI[[#This Row],[ID NOTA]]="","",INDEX(Table1[QB],MATCH(ATALI[[#This Row],[ID NOTA]],Table1[ID],0)))</f>
        <v/>
      </c>
      <c r="E5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8" s="6"/>
      <c r="G538" s="3" t="str">
        <f>IF(ATALI[[#This Row],[ID NOTA]]="","",INDEX([2]!NOTA[TGL_H],MATCH(ATALI[[#This Row],[ID NOTA]],[2]!NOTA[ID],0)))</f>
        <v/>
      </c>
      <c r="H538" s="3" t="str">
        <f>IF(ATALI[[#This Row],[ID NOTA]]="","",INDEX([2]!NOTA[TGL.NOTA],MATCH(ATALI[[#This Row],[ID NOTA]],[2]!NOTA[ID],0)))</f>
        <v/>
      </c>
      <c r="I538" s="4" t="str">
        <f>IF(ATALI[[#This Row],[ID NOTA]]="","",INDEX([2]!NOTA[NO.NOTA],MATCH(ATALI[[#This Row],[ID NOTA]],[2]!NOTA[ID],0)))</f>
        <v/>
      </c>
      <c r="J538" s="4" t="str">
        <f ca="1">IF(ATALI[[#This Row],[//]]="","",INDEX([4]!db[NB PAJAK],ATALI[[#This Row],[stt]]-1))</f>
        <v/>
      </c>
      <c r="K538" s="6" t="str">
        <f ca="1">IF(ATALI[[#This Row],[//]]="","",IF(INDEX([2]!NOTA[C],ATALI[[#This Row],[//]]-2)="","",INDEX([2]!NOTA[C],ATALI[[#This Row],[//]]-2)))</f>
        <v/>
      </c>
      <c r="L538" s="6" t="str">
        <f ca="1">IF(ATALI[[#This Row],[//]]="","",INDEX([2]!NOTA[QTY],ATALI[[#This Row],[//]]-2))</f>
        <v/>
      </c>
      <c r="M538" s="6" t="str">
        <f ca="1">IF(ATALI[[#This Row],[//]]="","",INDEX([2]!NOTA[STN],ATALI[[#This Row],[//]]-2))</f>
        <v/>
      </c>
      <c r="N538" s="5" t="str">
        <f ca="1">IF(ATALI[[#This Row],[//]]="","",INDEX([2]!NOTA[HARGA SATUAN],ATALI[[#This Row],[//]]-2))</f>
        <v/>
      </c>
      <c r="O538" s="7" t="str">
        <f ca="1">IF(ATALI[[#This Row],[//]]="","",INDEX([2]!NOTA[DISC 1],ATALI[[#This Row],[//]]-2))</f>
        <v/>
      </c>
      <c r="P538" s="7" t="str">
        <f ca="1">IF(ATALI[[#This Row],[//]]="","",INDEX([2]!NOTA[DISC 2],ATALI[[#This Row],[//]]-2))</f>
        <v/>
      </c>
      <c r="Q538" s="5" t="str">
        <f ca="1">IF(ATALI[[#This Row],[//]]="","",INDEX([2]!NOTA[TOTAL],ATALI[[#This Row],[//]]-2))</f>
        <v/>
      </c>
      <c r="R5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8" s="4" t="str">
        <f ca="1">IF(ATALI[[#This Row],[//]]="","",INDEX([2]!NOTA[NAMA BARANG],ATALI[[#This Row],[//]]-2))</f>
        <v/>
      </c>
      <c r="V538" s="4" t="str">
        <f ca="1">LOWER(SUBSTITUTE(SUBSTITUTE(SUBSTITUTE(SUBSTITUTE(SUBSTITUTE(SUBSTITUTE(SUBSTITUTE(ATALI[[#This Row],[N.B.nota]]," ",""),"-",""),"(",""),")",""),".",""),",",""),"/",""))</f>
        <v/>
      </c>
      <c r="W538" s="4" t="str">
        <f ca="1">IF(ATALI[[#This Row],[concat]]="","",MATCH(ATALI[[#This Row],[concat]],[4]!db[NB NOTA_C],0)+1)</f>
        <v/>
      </c>
      <c r="X538" s="4" t="str">
        <f ca="1">IF(ATALI[[#This Row],[N.B.nota]]="","",ADDRESS(ROW(ATALI[QB]),COLUMN(ATALI[QB]))&amp;":"&amp;ADDRESS(ROW(),COLUMN(ATALI[QB])))</f>
        <v/>
      </c>
      <c r="Y538" s="13" t="str">
        <f ca="1">IF(ATALI[[#This Row],[//]]="","",HYPERLINK("[../DB.xlsx]DB!e"&amp;MATCH(ATALI[[#This Row],[concat]],[4]!db[NB NOTA_C],0)+1,"&gt;"))</f>
        <v/>
      </c>
    </row>
    <row r="539" spans="1:25" x14ac:dyDescent="0.25">
      <c r="A539" s="4"/>
      <c r="B539" s="6" t="str">
        <f>IF(ATALI[[#This Row],[N_ID]]="","",INDEX(Table1[ID],MATCH(ATALI[[#This Row],[N_ID]],Table1[N_ID],0)))</f>
        <v/>
      </c>
      <c r="C539" s="6" t="str">
        <f>IF(ATALI[[#This Row],[ID NOTA]]="","",HYPERLINK("[NOTA_.xlsx]NOTA!e"&amp;INDEX([2]!PAJAK[//],MATCH(ATALI[[#This Row],[ID NOTA]],[2]!PAJAK[ID],0)),"&gt;") )</f>
        <v/>
      </c>
      <c r="D539" s="6" t="str">
        <f>IF(ATALI[[#This Row],[ID NOTA]]="","",INDEX(Table1[QB],MATCH(ATALI[[#This Row],[ID NOTA]],Table1[ID],0)))</f>
        <v/>
      </c>
      <c r="E5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9" s="6"/>
      <c r="G539" s="3" t="str">
        <f>IF(ATALI[[#This Row],[ID NOTA]]="","",INDEX([2]!NOTA[TGL_H],MATCH(ATALI[[#This Row],[ID NOTA]],[2]!NOTA[ID],0)))</f>
        <v/>
      </c>
      <c r="H539" s="3" t="str">
        <f>IF(ATALI[[#This Row],[ID NOTA]]="","",INDEX([2]!NOTA[TGL.NOTA],MATCH(ATALI[[#This Row],[ID NOTA]],[2]!NOTA[ID],0)))</f>
        <v/>
      </c>
      <c r="I539" s="4" t="str">
        <f>IF(ATALI[[#This Row],[ID NOTA]]="","",INDEX([2]!NOTA[NO.NOTA],MATCH(ATALI[[#This Row],[ID NOTA]],[2]!NOTA[ID],0)))</f>
        <v/>
      </c>
      <c r="J539" s="4" t="str">
        <f ca="1">IF(ATALI[[#This Row],[//]]="","",INDEX([4]!db[NB PAJAK],ATALI[[#This Row],[stt]]-1))</f>
        <v/>
      </c>
      <c r="K539" s="6" t="str">
        <f ca="1">IF(ATALI[[#This Row],[//]]="","",IF(INDEX([2]!NOTA[C],ATALI[[#This Row],[//]]-2)="","",INDEX([2]!NOTA[C],ATALI[[#This Row],[//]]-2)))</f>
        <v/>
      </c>
      <c r="L539" s="6" t="str">
        <f ca="1">IF(ATALI[[#This Row],[//]]="","",INDEX([2]!NOTA[QTY],ATALI[[#This Row],[//]]-2))</f>
        <v/>
      </c>
      <c r="M539" s="6" t="str">
        <f ca="1">IF(ATALI[[#This Row],[//]]="","",INDEX([2]!NOTA[STN],ATALI[[#This Row],[//]]-2))</f>
        <v/>
      </c>
      <c r="N539" s="5" t="str">
        <f ca="1">IF(ATALI[[#This Row],[//]]="","",INDEX([2]!NOTA[HARGA SATUAN],ATALI[[#This Row],[//]]-2))</f>
        <v/>
      </c>
      <c r="O539" s="7" t="str">
        <f ca="1">IF(ATALI[[#This Row],[//]]="","",INDEX([2]!NOTA[DISC 1],ATALI[[#This Row],[//]]-2))</f>
        <v/>
      </c>
      <c r="P539" s="7" t="str">
        <f ca="1">IF(ATALI[[#This Row],[//]]="","",INDEX([2]!NOTA[DISC 2],ATALI[[#This Row],[//]]-2))</f>
        <v/>
      </c>
      <c r="Q539" s="5" t="str">
        <f ca="1">IF(ATALI[[#This Row],[//]]="","",INDEX([2]!NOTA[TOTAL],ATALI[[#This Row],[//]]-2))</f>
        <v/>
      </c>
      <c r="R5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9" s="4" t="str">
        <f ca="1">IF(ATALI[[#This Row],[//]]="","",INDEX([2]!NOTA[NAMA BARANG],ATALI[[#This Row],[//]]-2))</f>
        <v/>
      </c>
      <c r="V539" s="4" t="str">
        <f ca="1">LOWER(SUBSTITUTE(SUBSTITUTE(SUBSTITUTE(SUBSTITUTE(SUBSTITUTE(SUBSTITUTE(SUBSTITUTE(ATALI[[#This Row],[N.B.nota]]," ",""),"-",""),"(",""),")",""),".",""),",",""),"/",""))</f>
        <v/>
      </c>
      <c r="W539" s="4" t="str">
        <f ca="1">IF(ATALI[[#This Row],[concat]]="","",MATCH(ATALI[[#This Row],[concat]],[4]!db[NB NOTA_C],0)+1)</f>
        <v/>
      </c>
      <c r="X539" s="4" t="str">
        <f ca="1">IF(ATALI[[#This Row],[N.B.nota]]="","",ADDRESS(ROW(ATALI[QB]),COLUMN(ATALI[QB]))&amp;":"&amp;ADDRESS(ROW(),COLUMN(ATALI[QB])))</f>
        <v/>
      </c>
      <c r="Y539" s="13" t="str">
        <f ca="1">IF(ATALI[[#This Row],[//]]="","",HYPERLINK("[../DB.xlsx]DB!e"&amp;MATCH(ATALI[[#This Row],[concat]],[4]!db[NB NOTA_C],0)+1,"&gt;"))</f>
        <v/>
      </c>
    </row>
    <row r="540" spans="1:25" x14ac:dyDescent="0.25">
      <c r="A540" s="4"/>
      <c r="B540" s="6" t="str">
        <f>IF(ATALI[[#This Row],[N_ID]]="","",INDEX(Table1[ID],MATCH(ATALI[[#This Row],[N_ID]],Table1[N_ID],0)))</f>
        <v/>
      </c>
      <c r="C540" s="6" t="str">
        <f>IF(ATALI[[#This Row],[ID NOTA]]="","",HYPERLINK("[NOTA_.xlsx]NOTA!e"&amp;INDEX([2]!PAJAK[//],MATCH(ATALI[[#This Row],[ID NOTA]],[2]!PAJAK[ID],0)),"&gt;") )</f>
        <v/>
      </c>
      <c r="D540" s="6" t="str">
        <f>IF(ATALI[[#This Row],[ID NOTA]]="","",INDEX(Table1[QB],MATCH(ATALI[[#This Row],[ID NOTA]],Table1[ID],0)))</f>
        <v/>
      </c>
      <c r="E5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0" s="6"/>
      <c r="G540" s="3" t="str">
        <f>IF(ATALI[[#This Row],[ID NOTA]]="","",INDEX([2]!NOTA[TGL_H],MATCH(ATALI[[#This Row],[ID NOTA]],[2]!NOTA[ID],0)))</f>
        <v/>
      </c>
      <c r="H540" s="3" t="str">
        <f>IF(ATALI[[#This Row],[ID NOTA]]="","",INDEX([2]!NOTA[TGL.NOTA],MATCH(ATALI[[#This Row],[ID NOTA]],[2]!NOTA[ID],0)))</f>
        <v/>
      </c>
      <c r="I540" s="4" t="str">
        <f>IF(ATALI[[#This Row],[ID NOTA]]="","",INDEX([2]!NOTA[NO.NOTA],MATCH(ATALI[[#This Row],[ID NOTA]],[2]!NOTA[ID],0)))</f>
        <v/>
      </c>
      <c r="J540" s="4" t="str">
        <f ca="1">IF(ATALI[[#This Row],[//]]="","",INDEX([4]!db[NB PAJAK],ATALI[[#This Row],[stt]]-1))</f>
        <v/>
      </c>
      <c r="K540" s="6" t="str">
        <f ca="1">IF(ATALI[[#This Row],[//]]="","",IF(INDEX([2]!NOTA[C],ATALI[[#This Row],[//]]-2)="","",INDEX([2]!NOTA[C],ATALI[[#This Row],[//]]-2)))</f>
        <v/>
      </c>
      <c r="L540" s="6" t="str">
        <f ca="1">IF(ATALI[[#This Row],[//]]="","",INDEX([2]!NOTA[QTY],ATALI[[#This Row],[//]]-2))</f>
        <v/>
      </c>
      <c r="M540" s="6" t="str">
        <f ca="1">IF(ATALI[[#This Row],[//]]="","",INDEX([2]!NOTA[STN],ATALI[[#This Row],[//]]-2))</f>
        <v/>
      </c>
      <c r="N540" s="5" t="str">
        <f ca="1">IF(ATALI[[#This Row],[//]]="","",INDEX([2]!NOTA[HARGA SATUAN],ATALI[[#This Row],[//]]-2))</f>
        <v/>
      </c>
      <c r="O540" s="7" t="str">
        <f ca="1">IF(ATALI[[#This Row],[//]]="","",INDEX([2]!NOTA[DISC 1],ATALI[[#This Row],[//]]-2))</f>
        <v/>
      </c>
      <c r="P540" s="7" t="str">
        <f ca="1">IF(ATALI[[#This Row],[//]]="","",INDEX([2]!NOTA[DISC 2],ATALI[[#This Row],[//]]-2))</f>
        <v/>
      </c>
      <c r="Q540" s="5" t="str">
        <f ca="1">IF(ATALI[[#This Row],[//]]="","",INDEX([2]!NOTA[TOTAL],ATALI[[#This Row],[//]]-2))</f>
        <v/>
      </c>
      <c r="R5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0" s="4" t="str">
        <f ca="1">IF(ATALI[[#This Row],[//]]="","",INDEX([2]!NOTA[NAMA BARANG],ATALI[[#This Row],[//]]-2))</f>
        <v/>
      </c>
      <c r="V540" s="4" t="str">
        <f ca="1">LOWER(SUBSTITUTE(SUBSTITUTE(SUBSTITUTE(SUBSTITUTE(SUBSTITUTE(SUBSTITUTE(SUBSTITUTE(ATALI[[#This Row],[N.B.nota]]," ",""),"-",""),"(",""),")",""),".",""),",",""),"/",""))</f>
        <v/>
      </c>
      <c r="W540" s="4" t="str">
        <f ca="1">IF(ATALI[[#This Row],[concat]]="","",MATCH(ATALI[[#This Row],[concat]],[4]!db[NB NOTA_C],0)+1)</f>
        <v/>
      </c>
      <c r="X540" s="4" t="str">
        <f ca="1">IF(ATALI[[#This Row],[N.B.nota]]="","",ADDRESS(ROW(ATALI[QB]),COLUMN(ATALI[QB]))&amp;":"&amp;ADDRESS(ROW(),COLUMN(ATALI[QB])))</f>
        <v/>
      </c>
      <c r="Y540" s="13" t="str">
        <f ca="1">IF(ATALI[[#This Row],[//]]="","",HYPERLINK("[../DB.xlsx]DB!e"&amp;MATCH(ATALI[[#This Row],[concat]],[4]!db[NB NOTA_C],0)+1,"&gt;"))</f>
        <v/>
      </c>
    </row>
    <row r="541" spans="1:25" x14ac:dyDescent="0.25">
      <c r="A541" s="4"/>
      <c r="B541" s="6" t="str">
        <f>IF(ATALI[[#This Row],[N_ID]]="","",INDEX(Table1[ID],MATCH(ATALI[[#This Row],[N_ID]],Table1[N_ID],0)))</f>
        <v/>
      </c>
      <c r="C541" s="6" t="str">
        <f>IF(ATALI[[#This Row],[ID NOTA]]="","",HYPERLINK("[NOTA_.xlsx]NOTA!e"&amp;INDEX([2]!PAJAK[//],MATCH(ATALI[[#This Row],[ID NOTA]],[2]!PAJAK[ID],0)),"&gt;") )</f>
        <v/>
      </c>
      <c r="D541" s="6" t="str">
        <f>IF(ATALI[[#This Row],[ID NOTA]]="","",INDEX(Table1[QB],MATCH(ATALI[[#This Row],[ID NOTA]],Table1[ID],0)))</f>
        <v/>
      </c>
      <c r="E5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1" s="6"/>
      <c r="G541" s="3" t="str">
        <f>IF(ATALI[[#This Row],[ID NOTA]]="","",INDEX([2]!NOTA[TGL_H],MATCH(ATALI[[#This Row],[ID NOTA]],[2]!NOTA[ID],0)))</f>
        <v/>
      </c>
      <c r="H541" s="3" t="str">
        <f>IF(ATALI[[#This Row],[ID NOTA]]="","",INDEX([2]!NOTA[TGL.NOTA],MATCH(ATALI[[#This Row],[ID NOTA]],[2]!NOTA[ID],0)))</f>
        <v/>
      </c>
      <c r="I541" s="4" t="str">
        <f>IF(ATALI[[#This Row],[ID NOTA]]="","",INDEX([2]!NOTA[NO.NOTA],MATCH(ATALI[[#This Row],[ID NOTA]],[2]!NOTA[ID],0)))</f>
        <v/>
      </c>
      <c r="J541" s="4" t="str">
        <f ca="1">IF(ATALI[[#This Row],[//]]="","",INDEX([4]!db[NB PAJAK],ATALI[[#This Row],[stt]]-1))</f>
        <v/>
      </c>
      <c r="K541" s="6" t="str">
        <f ca="1">IF(ATALI[[#This Row],[//]]="","",IF(INDEX([2]!NOTA[C],ATALI[[#This Row],[//]]-2)="","",INDEX([2]!NOTA[C],ATALI[[#This Row],[//]]-2)))</f>
        <v/>
      </c>
      <c r="L541" s="6" t="str">
        <f ca="1">IF(ATALI[[#This Row],[//]]="","",INDEX([2]!NOTA[QTY],ATALI[[#This Row],[//]]-2))</f>
        <v/>
      </c>
      <c r="M541" s="6" t="str">
        <f ca="1">IF(ATALI[[#This Row],[//]]="","",INDEX([2]!NOTA[STN],ATALI[[#This Row],[//]]-2))</f>
        <v/>
      </c>
      <c r="N541" s="5" t="str">
        <f ca="1">IF(ATALI[[#This Row],[//]]="","",INDEX([2]!NOTA[HARGA SATUAN],ATALI[[#This Row],[//]]-2))</f>
        <v/>
      </c>
      <c r="O541" s="7" t="str">
        <f ca="1">IF(ATALI[[#This Row],[//]]="","",INDEX([2]!NOTA[DISC 1],ATALI[[#This Row],[//]]-2))</f>
        <v/>
      </c>
      <c r="P541" s="7" t="str">
        <f ca="1">IF(ATALI[[#This Row],[//]]="","",INDEX([2]!NOTA[DISC 2],ATALI[[#This Row],[//]]-2))</f>
        <v/>
      </c>
      <c r="Q541" s="5" t="str">
        <f ca="1">IF(ATALI[[#This Row],[//]]="","",INDEX([2]!NOTA[TOTAL],ATALI[[#This Row],[//]]-2))</f>
        <v/>
      </c>
      <c r="R5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1" s="4" t="str">
        <f ca="1">IF(ATALI[[#This Row],[//]]="","",INDEX([2]!NOTA[NAMA BARANG],ATALI[[#This Row],[//]]-2))</f>
        <v/>
      </c>
      <c r="V541" s="4" t="str">
        <f ca="1">LOWER(SUBSTITUTE(SUBSTITUTE(SUBSTITUTE(SUBSTITUTE(SUBSTITUTE(SUBSTITUTE(SUBSTITUTE(ATALI[[#This Row],[N.B.nota]]," ",""),"-",""),"(",""),")",""),".",""),",",""),"/",""))</f>
        <v/>
      </c>
      <c r="W541" s="4" t="str">
        <f ca="1">IF(ATALI[[#This Row],[concat]]="","",MATCH(ATALI[[#This Row],[concat]],[4]!db[NB NOTA_C],0)+1)</f>
        <v/>
      </c>
      <c r="X541" s="4" t="str">
        <f ca="1">IF(ATALI[[#This Row],[N.B.nota]]="","",ADDRESS(ROW(ATALI[QB]),COLUMN(ATALI[QB]))&amp;":"&amp;ADDRESS(ROW(),COLUMN(ATALI[QB])))</f>
        <v/>
      </c>
      <c r="Y541" s="13" t="str">
        <f ca="1">IF(ATALI[[#This Row],[//]]="","",HYPERLINK("[../DB.xlsx]DB!e"&amp;MATCH(ATALI[[#This Row],[concat]],[4]!db[NB NOTA_C],0)+1,"&gt;"))</f>
        <v/>
      </c>
    </row>
    <row r="542" spans="1:25" x14ac:dyDescent="0.25">
      <c r="A542" s="4"/>
      <c r="B542" s="6" t="str">
        <f>IF(ATALI[[#This Row],[N_ID]]="","",INDEX(Table1[ID],MATCH(ATALI[[#This Row],[N_ID]],Table1[N_ID],0)))</f>
        <v/>
      </c>
      <c r="C542" s="6" t="str">
        <f>IF(ATALI[[#This Row],[ID NOTA]]="","",HYPERLINK("[NOTA_.xlsx]NOTA!e"&amp;INDEX([2]!PAJAK[//],MATCH(ATALI[[#This Row],[ID NOTA]],[2]!PAJAK[ID],0)),"&gt;") )</f>
        <v/>
      </c>
      <c r="D542" s="6" t="str">
        <f>IF(ATALI[[#This Row],[ID NOTA]]="","",INDEX(Table1[QB],MATCH(ATALI[[#This Row],[ID NOTA]],Table1[ID],0)))</f>
        <v/>
      </c>
      <c r="E5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2" s="6"/>
      <c r="G542" s="3" t="str">
        <f>IF(ATALI[[#This Row],[ID NOTA]]="","",INDEX([2]!NOTA[TGL_H],MATCH(ATALI[[#This Row],[ID NOTA]],[2]!NOTA[ID],0)))</f>
        <v/>
      </c>
      <c r="H542" s="3" t="str">
        <f>IF(ATALI[[#This Row],[ID NOTA]]="","",INDEX([2]!NOTA[TGL.NOTA],MATCH(ATALI[[#This Row],[ID NOTA]],[2]!NOTA[ID],0)))</f>
        <v/>
      </c>
      <c r="I542" s="4" t="str">
        <f>IF(ATALI[[#This Row],[ID NOTA]]="","",INDEX([2]!NOTA[NO.NOTA],MATCH(ATALI[[#This Row],[ID NOTA]],[2]!NOTA[ID],0)))</f>
        <v/>
      </c>
      <c r="J542" s="4" t="str">
        <f ca="1">IF(ATALI[[#This Row],[//]]="","",INDEX([4]!db[NB PAJAK],ATALI[[#This Row],[stt]]-1))</f>
        <v/>
      </c>
      <c r="K542" s="6" t="str">
        <f ca="1">IF(ATALI[[#This Row],[//]]="","",IF(INDEX([2]!NOTA[C],ATALI[[#This Row],[//]]-2)="","",INDEX([2]!NOTA[C],ATALI[[#This Row],[//]]-2)))</f>
        <v/>
      </c>
      <c r="L542" s="6" t="str">
        <f ca="1">IF(ATALI[[#This Row],[//]]="","",INDEX([2]!NOTA[QTY],ATALI[[#This Row],[//]]-2))</f>
        <v/>
      </c>
      <c r="M542" s="6" t="str">
        <f ca="1">IF(ATALI[[#This Row],[//]]="","",INDEX([2]!NOTA[STN],ATALI[[#This Row],[//]]-2))</f>
        <v/>
      </c>
      <c r="N542" s="5" t="str">
        <f ca="1">IF(ATALI[[#This Row],[//]]="","",INDEX([2]!NOTA[HARGA SATUAN],ATALI[[#This Row],[//]]-2))</f>
        <v/>
      </c>
      <c r="O542" s="7" t="str">
        <f ca="1">IF(ATALI[[#This Row],[//]]="","",INDEX([2]!NOTA[DISC 1],ATALI[[#This Row],[//]]-2))</f>
        <v/>
      </c>
      <c r="P542" s="7" t="str">
        <f ca="1">IF(ATALI[[#This Row],[//]]="","",INDEX([2]!NOTA[DISC 2],ATALI[[#This Row],[//]]-2))</f>
        <v/>
      </c>
      <c r="Q542" s="5" t="str">
        <f ca="1">IF(ATALI[[#This Row],[//]]="","",INDEX([2]!NOTA[TOTAL],ATALI[[#This Row],[//]]-2))</f>
        <v/>
      </c>
      <c r="R5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2" s="4" t="str">
        <f ca="1">IF(ATALI[[#This Row],[//]]="","",INDEX([2]!NOTA[NAMA BARANG],ATALI[[#This Row],[//]]-2))</f>
        <v/>
      </c>
      <c r="V542" s="4" t="str">
        <f ca="1">LOWER(SUBSTITUTE(SUBSTITUTE(SUBSTITUTE(SUBSTITUTE(SUBSTITUTE(SUBSTITUTE(SUBSTITUTE(ATALI[[#This Row],[N.B.nota]]," ",""),"-",""),"(",""),")",""),".",""),",",""),"/",""))</f>
        <v/>
      </c>
      <c r="W542" s="4" t="str">
        <f ca="1">IF(ATALI[[#This Row],[concat]]="","",MATCH(ATALI[[#This Row],[concat]],[4]!db[NB NOTA_C],0)+1)</f>
        <v/>
      </c>
      <c r="X542" s="4" t="str">
        <f ca="1">IF(ATALI[[#This Row],[N.B.nota]]="","",ADDRESS(ROW(ATALI[QB]),COLUMN(ATALI[QB]))&amp;":"&amp;ADDRESS(ROW(),COLUMN(ATALI[QB])))</f>
        <v/>
      </c>
      <c r="Y542" s="13" t="str">
        <f ca="1">IF(ATALI[[#This Row],[//]]="","",HYPERLINK("[../DB.xlsx]DB!e"&amp;MATCH(ATALI[[#This Row],[concat]],[4]!db[NB NOTA_C],0)+1,"&gt;"))</f>
        <v/>
      </c>
    </row>
    <row r="543" spans="1:25" x14ac:dyDescent="0.25">
      <c r="A543" s="4"/>
      <c r="B543" s="6" t="str">
        <f>IF(ATALI[[#This Row],[N_ID]]="","",INDEX(Table1[ID],MATCH(ATALI[[#This Row],[N_ID]],Table1[N_ID],0)))</f>
        <v/>
      </c>
      <c r="C543" s="6" t="str">
        <f>IF(ATALI[[#This Row],[ID NOTA]]="","",HYPERLINK("[NOTA_.xlsx]NOTA!e"&amp;INDEX([2]!PAJAK[//],MATCH(ATALI[[#This Row],[ID NOTA]],[2]!PAJAK[ID],0)),"&gt;") )</f>
        <v/>
      </c>
      <c r="D543" s="6" t="str">
        <f>IF(ATALI[[#This Row],[ID NOTA]]="","",INDEX(Table1[QB],MATCH(ATALI[[#This Row],[ID NOTA]],Table1[ID],0)))</f>
        <v/>
      </c>
      <c r="E5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3" s="6"/>
      <c r="G543" s="3" t="str">
        <f>IF(ATALI[[#This Row],[ID NOTA]]="","",INDEX([2]!NOTA[TGL_H],MATCH(ATALI[[#This Row],[ID NOTA]],[2]!NOTA[ID],0)))</f>
        <v/>
      </c>
      <c r="H543" s="3" t="str">
        <f>IF(ATALI[[#This Row],[ID NOTA]]="","",INDEX([2]!NOTA[TGL.NOTA],MATCH(ATALI[[#This Row],[ID NOTA]],[2]!NOTA[ID],0)))</f>
        <v/>
      </c>
      <c r="I543" s="4" t="str">
        <f>IF(ATALI[[#This Row],[ID NOTA]]="","",INDEX([2]!NOTA[NO.NOTA],MATCH(ATALI[[#This Row],[ID NOTA]],[2]!NOTA[ID],0)))</f>
        <v/>
      </c>
      <c r="J543" s="4" t="str">
        <f ca="1">IF(ATALI[[#This Row],[//]]="","",INDEX([4]!db[NB PAJAK],ATALI[[#This Row],[stt]]-1))</f>
        <v/>
      </c>
      <c r="K543" s="6" t="str">
        <f ca="1">IF(ATALI[[#This Row],[//]]="","",IF(INDEX([2]!NOTA[C],ATALI[[#This Row],[//]]-2)="","",INDEX([2]!NOTA[C],ATALI[[#This Row],[//]]-2)))</f>
        <v/>
      </c>
      <c r="L543" s="6" t="str">
        <f ca="1">IF(ATALI[[#This Row],[//]]="","",INDEX([2]!NOTA[QTY],ATALI[[#This Row],[//]]-2))</f>
        <v/>
      </c>
      <c r="M543" s="6" t="str">
        <f ca="1">IF(ATALI[[#This Row],[//]]="","",INDEX([2]!NOTA[STN],ATALI[[#This Row],[//]]-2))</f>
        <v/>
      </c>
      <c r="N543" s="5" t="str">
        <f ca="1">IF(ATALI[[#This Row],[//]]="","",INDEX([2]!NOTA[HARGA SATUAN],ATALI[[#This Row],[//]]-2))</f>
        <v/>
      </c>
      <c r="O543" s="7" t="str">
        <f ca="1">IF(ATALI[[#This Row],[//]]="","",INDEX([2]!NOTA[DISC 1],ATALI[[#This Row],[//]]-2))</f>
        <v/>
      </c>
      <c r="P543" s="7" t="str">
        <f ca="1">IF(ATALI[[#This Row],[//]]="","",INDEX([2]!NOTA[DISC 2],ATALI[[#This Row],[//]]-2))</f>
        <v/>
      </c>
      <c r="Q543" s="5" t="str">
        <f ca="1">IF(ATALI[[#This Row],[//]]="","",INDEX([2]!NOTA[TOTAL],ATALI[[#This Row],[//]]-2))</f>
        <v/>
      </c>
      <c r="R5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3" s="4" t="str">
        <f ca="1">IF(ATALI[[#This Row],[//]]="","",INDEX([2]!NOTA[NAMA BARANG],ATALI[[#This Row],[//]]-2))</f>
        <v/>
      </c>
      <c r="V543" s="4" t="str">
        <f ca="1">LOWER(SUBSTITUTE(SUBSTITUTE(SUBSTITUTE(SUBSTITUTE(SUBSTITUTE(SUBSTITUTE(SUBSTITUTE(ATALI[[#This Row],[N.B.nota]]," ",""),"-",""),"(",""),")",""),".",""),",",""),"/",""))</f>
        <v/>
      </c>
      <c r="W543" s="4" t="str">
        <f ca="1">IF(ATALI[[#This Row],[concat]]="","",MATCH(ATALI[[#This Row],[concat]],[4]!db[NB NOTA_C],0)+1)</f>
        <v/>
      </c>
      <c r="X543" s="4" t="str">
        <f ca="1">IF(ATALI[[#This Row],[N.B.nota]]="","",ADDRESS(ROW(ATALI[QB]),COLUMN(ATALI[QB]))&amp;":"&amp;ADDRESS(ROW(),COLUMN(ATALI[QB])))</f>
        <v/>
      </c>
      <c r="Y543" s="13" t="str">
        <f ca="1">IF(ATALI[[#This Row],[//]]="","",HYPERLINK("[../DB.xlsx]DB!e"&amp;MATCH(ATALI[[#This Row],[concat]],[4]!db[NB NOTA_C],0)+1,"&gt;"))</f>
        <v/>
      </c>
    </row>
    <row r="544" spans="1:25" x14ac:dyDescent="0.25">
      <c r="A544" s="4"/>
      <c r="B544" s="6" t="str">
        <f>IF(ATALI[[#This Row],[N_ID]]="","",INDEX(Table1[ID],MATCH(ATALI[[#This Row],[N_ID]],Table1[N_ID],0)))</f>
        <v/>
      </c>
      <c r="C544" s="6" t="str">
        <f>IF(ATALI[[#This Row],[ID NOTA]]="","",HYPERLINK("[NOTA_.xlsx]NOTA!e"&amp;INDEX([2]!PAJAK[//],MATCH(ATALI[[#This Row],[ID NOTA]],[2]!PAJAK[ID],0)),"&gt;") )</f>
        <v/>
      </c>
      <c r="D544" s="6" t="str">
        <f>IF(ATALI[[#This Row],[ID NOTA]]="","",INDEX(Table1[QB],MATCH(ATALI[[#This Row],[ID NOTA]],Table1[ID],0)))</f>
        <v/>
      </c>
      <c r="E5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4" s="6"/>
      <c r="G544" s="3" t="str">
        <f>IF(ATALI[[#This Row],[ID NOTA]]="","",INDEX([2]!NOTA[TGL_H],MATCH(ATALI[[#This Row],[ID NOTA]],[2]!NOTA[ID],0)))</f>
        <v/>
      </c>
      <c r="H544" s="3" t="str">
        <f>IF(ATALI[[#This Row],[ID NOTA]]="","",INDEX([2]!NOTA[TGL.NOTA],MATCH(ATALI[[#This Row],[ID NOTA]],[2]!NOTA[ID],0)))</f>
        <v/>
      </c>
      <c r="I544" s="4" t="str">
        <f>IF(ATALI[[#This Row],[ID NOTA]]="","",INDEX([2]!NOTA[NO.NOTA],MATCH(ATALI[[#This Row],[ID NOTA]],[2]!NOTA[ID],0)))</f>
        <v/>
      </c>
      <c r="J544" s="4" t="str">
        <f ca="1">IF(ATALI[[#This Row],[//]]="","",INDEX([4]!db[NB PAJAK],ATALI[[#This Row],[stt]]-1))</f>
        <v/>
      </c>
      <c r="K544" s="6" t="str">
        <f ca="1">IF(ATALI[[#This Row],[//]]="","",IF(INDEX([2]!NOTA[C],ATALI[[#This Row],[//]]-2)="","",INDEX([2]!NOTA[C],ATALI[[#This Row],[//]]-2)))</f>
        <v/>
      </c>
      <c r="L544" s="6" t="str">
        <f ca="1">IF(ATALI[[#This Row],[//]]="","",INDEX([2]!NOTA[QTY],ATALI[[#This Row],[//]]-2))</f>
        <v/>
      </c>
      <c r="M544" s="6" t="str">
        <f ca="1">IF(ATALI[[#This Row],[//]]="","",INDEX([2]!NOTA[STN],ATALI[[#This Row],[//]]-2))</f>
        <v/>
      </c>
      <c r="N544" s="5" t="str">
        <f ca="1">IF(ATALI[[#This Row],[//]]="","",INDEX([2]!NOTA[HARGA SATUAN],ATALI[[#This Row],[//]]-2))</f>
        <v/>
      </c>
      <c r="O544" s="7" t="str">
        <f ca="1">IF(ATALI[[#This Row],[//]]="","",INDEX([2]!NOTA[DISC 1],ATALI[[#This Row],[//]]-2))</f>
        <v/>
      </c>
      <c r="P544" s="7" t="str">
        <f ca="1">IF(ATALI[[#This Row],[//]]="","",INDEX([2]!NOTA[DISC 2],ATALI[[#This Row],[//]]-2))</f>
        <v/>
      </c>
      <c r="Q544" s="5" t="str">
        <f ca="1">IF(ATALI[[#This Row],[//]]="","",INDEX([2]!NOTA[TOTAL],ATALI[[#This Row],[//]]-2))</f>
        <v/>
      </c>
      <c r="R5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4" s="4" t="str">
        <f ca="1">IF(ATALI[[#This Row],[//]]="","",INDEX([2]!NOTA[NAMA BARANG],ATALI[[#This Row],[//]]-2))</f>
        <v/>
      </c>
      <c r="V544" s="4" t="str">
        <f ca="1">LOWER(SUBSTITUTE(SUBSTITUTE(SUBSTITUTE(SUBSTITUTE(SUBSTITUTE(SUBSTITUTE(SUBSTITUTE(ATALI[[#This Row],[N.B.nota]]," ",""),"-",""),"(",""),")",""),".",""),",",""),"/",""))</f>
        <v/>
      </c>
      <c r="W544" s="4" t="str">
        <f ca="1">IF(ATALI[[#This Row],[concat]]="","",MATCH(ATALI[[#This Row],[concat]],[4]!db[NB NOTA_C],0)+1)</f>
        <v/>
      </c>
      <c r="X544" s="4" t="str">
        <f ca="1">IF(ATALI[[#This Row],[N.B.nota]]="","",ADDRESS(ROW(ATALI[QB]),COLUMN(ATALI[QB]))&amp;":"&amp;ADDRESS(ROW(),COLUMN(ATALI[QB])))</f>
        <v/>
      </c>
      <c r="Y544" s="13" t="str">
        <f ca="1">IF(ATALI[[#This Row],[//]]="","",HYPERLINK("[../DB.xlsx]DB!e"&amp;MATCH(ATALI[[#This Row],[concat]],[4]!db[NB NOTA_C],0)+1,"&gt;"))</f>
        <v/>
      </c>
    </row>
    <row r="545" spans="1:25" x14ac:dyDescent="0.25">
      <c r="A545" s="4"/>
      <c r="B545" s="6" t="str">
        <f>IF(ATALI[[#This Row],[N_ID]]="","",INDEX(Table1[ID],MATCH(ATALI[[#This Row],[N_ID]],Table1[N_ID],0)))</f>
        <v/>
      </c>
      <c r="C545" s="6" t="str">
        <f>IF(ATALI[[#This Row],[ID NOTA]]="","",HYPERLINK("[NOTA_.xlsx]NOTA!e"&amp;INDEX([2]!PAJAK[//],MATCH(ATALI[[#This Row],[ID NOTA]],[2]!PAJAK[ID],0)),"&gt;") )</f>
        <v/>
      </c>
      <c r="D545" s="6" t="str">
        <f>IF(ATALI[[#This Row],[ID NOTA]]="","",INDEX(Table1[QB],MATCH(ATALI[[#This Row],[ID NOTA]],Table1[ID],0)))</f>
        <v/>
      </c>
      <c r="E5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5" s="6"/>
      <c r="G545" s="3" t="str">
        <f>IF(ATALI[[#This Row],[ID NOTA]]="","",INDEX([2]!NOTA[TGL_H],MATCH(ATALI[[#This Row],[ID NOTA]],[2]!NOTA[ID],0)))</f>
        <v/>
      </c>
      <c r="H545" s="3" t="str">
        <f>IF(ATALI[[#This Row],[ID NOTA]]="","",INDEX([2]!NOTA[TGL.NOTA],MATCH(ATALI[[#This Row],[ID NOTA]],[2]!NOTA[ID],0)))</f>
        <v/>
      </c>
      <c r="I545" s="4" t="str">
        <f>IF(ATALI[[#This Row],[ID NOTA]]="","",INDEX([2]!NOTA[NO.NOTA],MATCH(ATALI[[#This Row],[ID NOTA]],[2]!NOTA[ID],0)))</f>
        <v/>
      </c>
      <c r="J545" s="4" t="str">
        <f ca="1">IF(ATALI[[#This Row],[//]]="","",INDEX([4]!db[NB PAJAK],ATALI[[#This Row],[stt]]-1))</f>
        <v/>
      </c>
      <c r="K545" s="6" t="str">
        <f ca="1">IF(ATALI[[#This Row],[//]]="","",IF(INDEX([2]!NOTA[C],ATALI[[#This Row],[//]]-2)="","",INDEX([2]!NOTA[C],ATALI[[#This Row],[//]]-2)))</f>
        <v/>
      </c>
      <c r="L545" s="6" t="str">
        <f ca="1">IF(ATALI[[#This Row],[//]]="","",INDEX([2]!NOTA[QTY],ATALI[[#This Row],[//]]-2))</f>
        <v/>
      </c>
      <c r="M545" s="6" t="str">
        <f ca="1">IF(ATALI[[#This Row],[//]]="","",INDEX([2]!NOTA[STN],ATALI[[#This Row],[//]]-2))</f>
        <v/>
      </c>
      <c r="N545" s="5" t="str">
        <f ca="1">IF(ATALI[[#This Row],[//]]="","",INDEX([2]!NOTA[HARGA SATUAN],ATALI[[#This Row],[//]]-2))</f>
        <v/>
      </c>
      <c r="O545" s="7" t="str">
        <f ca="1">IF(ATALI[[#This Row],[//]]="","",INDEX([2]!NOTA[DISC 1],ATALI[[#This Row],[//]]-2))</f>
        <v/>
      </c>
      <c r="P545" s="7" t="str">
        <f ca="1">IF(ATALI[[#This Row],[//]]="","",INDEX([2]!NOTA[DISC 2],ATALI[[#This Row],[//]]-2))</f>
        <v/>
      </c>
      <c r="Q545" s="5" t="str">
        <f ca="1">IF(ATALI[[#This Row],[//]]="","",INDEX([2]!NOTA[TOTAL],ATALI[[#This Row],[//]]-2))</f>
        <v/>
      </c>
      <c r="R5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5" s="4" t="str">
        <f ca="1">IF(ATALI[[#This Row],[//]]="","",INDEX([2]!NOTA[NAMA BARANG],ATALI[[#This Row],[//]]-2))</f>
        <v/>
      </c>
      <c r="V545" s="4" t="str">
        <f ca="1">LOWER(SUBSTITUTE(SUBSTITUTE(SUBSTITUTE(SUBSTITUTE(SUBSTITUTE(SUBSTITUTE(SUBSTITUTE(ATALI[[#This Row],[N.B.nota]]," ",""),"-",""),"(",""),")",""),".",""),",",""),"/",""))</f>
        <v/>
      </c>
      <c r="W545" s="4" t="str">
        <f ca="1">IF(ATALI[[#This Row],[concat]]="","",MATCH(ATALI[[#This Row],[concat]],[4]!db[NB NOTA_C],0)+1)</f>
        <v/>
      </c>
      <c r="X545" s="4" t="str">
        <f ca="1">IF(ATALI[[#This Row],[N.B.nota]]="","",ADDRESS(ROW(ATALI[QB]),COLUMN(ATALI[QB]))&amp;":"&amp;ADDRESS(ROW(),COLUMN(ATALI[QB])))</f>
        <v/>
      </c>
      <c r="Y545" s="13" t="str">
        <f ca="1">IF(ATALI[[#This Row],[//]]="","",HYPERLINK("[../DB.xlsx]DB!e"&amp;MATCH(ATALI[[#This Row],[concat]],[4]!db[NB NOTA_C],0)+1,"&gt;"))</f>
        <v/>
      </c>
    </row>
    <row r="546" spans="1:25" x14ac:dyDescent="0.25">
      <c r="A546" s="4"/>
      <c r="B546" s="6" t="str">
        <f>IF(ATALI[[#This Row],[N_ID]]="","",INDEX(Table1[ID],MATCH(ATALI[[#This Row],[N_ID]],Table1[N_ID],0)))</f>
        <v/>
      </c>
      <c r="C546" s="6" t="str">
        <f>IF(ATALI[[#This Row],[ID NOTA]]="","",HYPERLINK("[NOTA_.xlsx]NOTA!e"&amp;INDEX([2]!PAJAK[//],MATCH(ATALI[[#This Row],[ID NOTA]],[2]!PAJAK[ID],0)),"&gt;") )</f>
        <v/>
      </c>
      <c r="D546" s="6" t="str">
        <f>IF(ATALI[[#This Row],[ID NOTA]]="","",INDEX(Table1[QB],MATCH(ATALI[[#This Row],[ID NOTA]],Table1[ID],0)))</f>
        <v/>
      </c>
      <c r="E5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6" s="6"/>
      <c r="G546" s="3" t="str">
        <f>IF(ATALI[[#This Row],[ID NOTA]]="","",INDEX([2]!NOTA[TGL_H],MATCH(ATALI[[#This Row],[ID NOTA]],[2]!NOTA[ID],0)))</f>
        <v/>
      </c>
      <c r="H546" s="3" t="str">
        <f>IF(ATALI[[#This Row],[ID NOTA]]="","",INDEX([2]!NOTA[TGL.NOTA],MATCH(ATALI[[#This Row],[ID NOTA]],[2]!NOTA[ID],0)))</f>
        <v/>
      </c>
      <c r="I546" s="4" t="str">
        <f>IF(ATALI[[#This Row],[ID NOTA]]="","",INDEX([2]!NOTA[NO.NOTA],MATCH(ATALI[[#This Row],[ID NOTA]],[2]!NOTA[ID],0)))</f>
        <v/>
      </c>
      <c r="J546" s="4" t="str">
        <f ca="1">IF(ATALI[[#This Row],[//]]="","",INDEX([4]!db[NB PAJAK],ATALI[[#This Row],[stt]]-1))</f>
        <v/>
      </c>
      <c r="K546" s="6" t="str">
        <f ca="1">IF(ATALI[[#This Row],[//]]="","",IF(INDEX([2]!NOTA[C],ATALI[[#This Row],[//]]-2)="","",INDEX([2]!NOTA[C],ATALI[[#This Row],[//]]-2)))</f>
        <v/>
      </c>
      <c r="L546" s="6" t="str">
        <f ca="1">IF(ATALI[[#This Row],[//]]="","",INDEX([2]!NOTA[QTY],ATALI[[#This Row],[//]]-2))</f>
        <v/>
      </c>
      <c r="M546" s="6" t="str">
        <f ca="1">IF(ATALI[[#This Row],[//]]="","",INDEX([2]!NOTA[STN],ATALI[[#This Row],[//]]-2))</f>
        <v/>
      </c>
      <c r="N546" s="5" t="str">
        <f ca="1">IF(ATALI[[#This Row],[//]]="","",INDEX([2]!NOTA[HARGA SATUAN],ATALI[[#This Row],[//]]-2))</f>
        <v/>
      </c>
      <c r="O546" s="7" t="str">
        <f ca="1">IF(ATALI[[#This Row],[//]]="","",INDEX([2]!NOTA[DISC 1],ATALI[[#This Row],[//]]-2))</f>
        <v/>
      </c>
      <c r="P546" s="7" t="str">
        <f ca="1">IF(ATALI[[#This Row],[//]]="","",INDEX([2]!NOTA[DISC 2],ATALI[[#This Row],[//]]-2))</f>
        <v/>
      </c>
      <c r="Q546" s="5" t="str">
        <f ca="1">IF(ATALI[[#This Row],[//]]="","",INDEX([2]!NOTA[TOTAL],ATALI[[#This Row],[//]]-2))</f>
        <v/>
      </c>
      <c r="R5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6" s="4" t="str">
        <f ca="1">IF(ATALI[[#This Row],[//]]="","",INDEX([2]!NOTA[NAMA BARANG],ATALI[[#This Row],[//]]-2))</f>
        <v/>
      </c>
      <c r="V546" s="4" t="str">
        <f ca="1">LOWER(SUBSTITUTE(SUBSTITUTE(SUBSTITUTE(SUBSTITUTE(SUBSTITUTE(SUBSTITUTE(SUBSTITUTE(ATALI[[#This Row],[N.B.nota]]," ",""),"-",""),"(",""),")",""),".",""),",",""),"/",""))</f>
        <v/>
      </c>
      <c r="W546" s="4" t="str">
        <f ca="1">IF(ATALI[[#This Row],[concat]]="","",MATCH(ATALI[[#This Row],[concat]],[4]!db[NB NOTA_C],0)+1)</f>
        <v/>
      </c>
      <c r="X546" s="4" t="str">
        <f ca="1">IF(ATALI[[#This Row],[N.B.nota]]="","",ADDRESS(ROW(ATALI[QB]),COLUMN(ATALI[QB]))&amp;":"&amp;ADDRESS(ROW(),COLUMN(ATALI[QB])))</f>
        <v/>
      </c>
      <c r="Y546" s="13" t="str">
        <f ca="1">IF(ATALI[[#This Row],[//]]="","",HYPERLINK("[../DB.xlsx]DB!e"&amp;MATCH(ATALI[[#This Row],[concat]],[4]!db[NB NOTA_C],0)+1,"&gt;"))</f>
        <v/>
      </c>
    </row>
    <row r="547" spans="1:25" x14ac:dyDescent="0.25">
      <c r="A547" s="4"/>
      <c r="B547" s="6" t="str">
        <f>IF(ATALI[[#This Row],[N_ID]]="","",INDEX(Table1[ID],MATCH(ATALI[[#This Row],[N_ID]],Table1[N_ID],0)))</f>
        <v/>
      </c>
      <c r="C547" s="6" t="str">
        <f>IF(ATALI[[#This Row],[ID NOTA]]="","",HYPERLINK("[NOTA_.xlsx]NOTA!e"&amp;INDEX([2]!PAJAK[//],MATCH(ATALI[[#This Row],[ID NOTA]],[2]!PAJAK[ID],0)),"&gt;") )</f>
        <v/>
      </c>
      <c r="D547" s="6" t="str">
        <f>IF(ATALI[[#This Row],[ID NOTA]]="","",INDEX(Table1[QB],MATCH(ATALI[[#This Row],[ID NOTA]],Table1[ID],0)))</f>
        <v/>
      </c>
      <c r="E5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7" s="6"/>
      <c r="G547" s="3" t="str">
        <f>IF(ATALI[[#This Row],[ID NOTA]]="","",INDEX([2]!NOTA[TGL_H],MATCH(ATALI[[#This Row],[ID NOTA]],[2]!NOTA[ID],0)))</f>
        <v/>
      </c>
      <c r="H547" s="3" t="str">
        <f>IF(ATALI[[#This Row],[ID NOTA]]="","",INDEX([2]!NOTA[TGL.NOTA],MATCH(ATALI[[#This Row],[ID NOTA]],[2]!NOTA[ID],0)))</f>
        <v/>
      </c>
      <c r="I547" s="4" t="str">
        <f>IF(ATALI[[#This Row],[ID NOTA]]="","",INDEX([2]!NOTA[NO.NOTA],MATCH(ATALI[[#This Row],[ID NOTA]],[2]!NOTA[ID],0)))</f>
        <v/>
      </c>
      <c r="J547" s="4" t="str">
        <f ca="1">IF(ATALI[[#This Row],[//]]="","",INDEX([4]!db[NB PAJAK],ATALI[[#This Row],[stt]]-1))</f>
        <v/>
      </c>
      <c r="K547" s="6" t="str">
        <f ca="1">IF(ATALI[[#This Row],[//]]="","",IF(INDEX([2]!NOTA[C],ATALI[[#This Row],[//]]-2)="","",INDEX([2]!NOTA[C],ATALI[[#This Row],[//]]-2)))</f>
        <v/>
      </c>
      <c r="L547" s="6" t="str">
        <f ca="1">IF(ATALI[[#This Row],[//]]="","",INDEX([2]!NOTA[QTY],ATALI[[#This Row],[//]]-2))</f>
        <v/>
      </c>
      <c r="M547" s="6" t="str">
        <f ca="1">IF(ATALI[[#This Row],[//]]="","",INDEX([2]!NOTA[STN],ATALI[[#This Row],[//]]-2))</f>
        <v/>
      </c>
      <c r="N547" s="5" t="str">
        <f ca="1">IF(ATALI[[#This Row],[//]]="","",INDEX([2]!NOTA[HARGA SATUAN],ATALI[[#This Row],[//]]-2))</f>
        <v/>
      </c>
      <c r="O547" s="7" t="str">
        <f ca="1">IF(ATALI[[#This Row],[//]]="","",INDEX([2]!NOTA[DISC 1],ATALI[[#This Row],[//]]-2))</f>
        <v/>
      </c>
      <c r="P547" s="7" t="str">
        <f ca="1">IF(ATALI[[#This Row],[//]]="","",INDEX([2]!NOTA[DISC 2],ATALI[[#This Row],[//]]-2))</f>
        <v/>
      </c>
      <c r="Q547" s="5" t="str">
        <f ca="1">IF(ATALI[[#This Row],[//]]="","",INDEX([2]!NOTA[TOTAL],ATALI[[#This Row],[//]]-2))</f>
        <v/>
      </c>
      <c r="R5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7" s="4" t="str">
        <f ca="1">IF(ATALI[[#This Row],[//]]="","",INDEX([2]!NOTA[NAMA BARANG],ATALI[[#This Row],[//]]-2))</f>
        <v/>
      </c>
      <c r="V547" s="4" t="str">
        <f ca="1">LOWER(SUBSTITUTE(SUBSTITUTE(SUBSTITUTE(SUBSTITUTE(SUBSTITUTE(SUBSTITUTE(SUBSTITUTE(ATALI[[#This Row],[N.B.nota]]," ",""),"-",""),"(",""),")",""),".",""),",",""),"/",""))</f>
        <v/>
      </c>
      <c r="W547" s="4" t="str">
        <f ca="1">IF(ATALI[[#This Row],[concat]]="","",MATCH(ATALI[[#This Row],[concat]],[4]!db[NB NOTA_C],0)+1)</f>
        <v/>
      </c>
      <c r="X547" s="4" t="str">
        <f ca="1">IF(ATALI[[#This Row],[N.B.nota]]="","",ADDRESS(ROW(ATALI[QB]),COLUMN(ATALI[QB]))&amp;":"&amp;ADDRESS(ROW(),COLUMN(ATALI[QB])))</f>
        <v/>
      </c>
      <c r="Y547" s="13" t="str">
        <f ca="1">IF(ATALI[[#This Row],[//]]="","",HYPERLINK("[../DB.xlsx]DB!e"&amp;MATCH(ATALI[[#This Row],[concat]],[4]!db[NB NOTA_C],0)+1,"&gt;"))</f>
        <v/>
      </c>
    </row>
    <row r="548" spans="1:25" x14ac:dyDescent="0.25">
      <c r="A548" s="4"/>
      <c r="B548" s="6" t="str">
        <f>IF(ATALI[[#This Row],[N_ID]]="","",INDEX(Table1[ID],MATCH(ATALI[[#This Row],[N_ID]],Table1[N_ID],0)))</f>
        <v/>
      </c>
      <c r="C548" s="6" t="str">
        <f>IF(ATALI[[#This Row],[ID NOTA]]="","",HYPERLINK("[NOTA_.xlsx]NOTA!e"&amp;INDEX([2]!PAJAK[//],MATCH(ATALI[[#This Row],[ID NOTA]],[2]!PAJAK[ID],0)),"&gt;") )</f>
        <v/>
      </c>
      <c r="D548" s="6" t="str">
        <f>IF(ATALI[[#This Row],[ID NOTA]]="","",INDEX(Table1[QB],MATCH(ATALI[[#This Row],[ID NOTA]],Table1[ID],0)))</f>
        <v/>
      </c>
      <c r="E5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8" s="6"/>
      <c r="G548" s="3" t="str">
        <f>IF(ATALI[[#This Row],[ID NOTA]]="","",INDEX([2]!NOTA[TGL_H],MATCH(ATALI[[#This Row],[ID NOTA]],[2]!NOTA[ID],0)))</f>
        <v/>
      </c>
      <c r="H548" s="3" t="str">
        <f>IF(ATALI[[#This Row],[ID NOTA]]="","",INDEX([2]!NOTA[TGL.NOTA],MATCH(ATALI[[#This Row],[ID NOTA]],[2]!NOTA[ID],0)))</f>
        <v/>
      </c>
      <c r="I548" s="4" t="str">
        <f>IF(ATALI[[#This Row],[ID NOTA]]="","",INDEX([2]!NOTA[NO.NOTA],MATCH(ATALI[[#This Row],[ID NOTA]],[2]!NOTA[ID],0)))</f>
        <v/>
      </c>
      <c r="J548" s="4" t="str">
        <f ca="1">IF(ATALI[[#This Row],[//]]="","",INDEX([4]!db[NB PAJAK],ATALI[[#This Row],[stt]]-1))</f>
        <v/>
      </c>
      <c r="K548" s="6" t="str">
        <f ca="1">IF(ATALI[[#This Row],[//]]="","",IF(INDEX([2]!NOTA[C],ATALI[[#This Row],[//]]-2)="","",INDEX([2]!NOTA[C],ATALI[[#This Row],[//]]-2)))</f>
        <v/>
      </c>
      <c r="L548" s="6" t="str">
        <f ca="1">IF(ATALI[[#This Row],[//]]="","",INDEX([2]!NOTA[QTY],ATALI[[#This Row],[//]]-2))</f>
        <v/>
      </c>
      <c r="M548" s="6" t="str">
        <f ca="1">IF(ATALI[[#This Row],[//]]="","",INDEX([2]!NOTA[STN],ATALI[[#This Row],[//]]-2))</f>
        <v/>
      </c>
      <c r="N548" s="5" t="str">
        <f ca="1">IF(ATALI[[#This Row],[//]]="","",INDEX([2]!NOTA[HARGA SATUAN],ATALI[[#This Row],[//]]-2))</f>
        <v/>
      </c>
      <c r="O548" s="7" t="str">
        <f ca="1">IF(ATALI[[#This Row],[//]]="","",INDEX([2]!NOTA[DISC 1],ATALI[[#This Row],[//]]-2))</f>
        <v/>
      </c>
      <c r="P548" s="7" t="str">
        <f ca="1">IF(ATALI[[#This Row],[//]]="","",INDEX([2]!NOTA[DISC 2],ATALI[[#This Row],[//]]-2))</f>
        <v/>
      </c>
      <c r="Q548" s="5" t="str">
        <f ca="1">IF(ATALI[[#This Row],[//]]="","",INDEX([2]!NOTA[TOTAL],ATALI[[#This Row],[//]]-2))</f>
        <v/>
      </c>
      <c r="R5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8" s="4" t="str">
        <f ca="1">IF(ATALI[[#This Row],[//]]="","",INDEX([2]!NOTA[NAMA BARANG],ATALI[[#This Row],[//]]-2))</f>
        <v/>
      </c>
      <c r="V548" s="4" t="str">
        <f ca="1">LOWER(SUBSTITUTE(SUBSTITUTE(SUBSTITUTE(SUBSTITUTE(SUBSTITUTE(SUBSTITUTE(SUBSTITUTE(ATALI[[#This Row],[N.B.nota]]," ",""),"-",""),"(",""),")",""),".",""),",",""),"/",""))</f>
        <v/>
      </c>
      <c r="W548" s="4" t="str">
        <f ca="1">IF(ATALI[[#This Row],[concat]]="","",MATCH(ATALI[[#This Row],[concat]],[4]!db[NB NOTA_C],0)+1)</f>
        <v/>
      </c>
      <c r="X548" s="4" t="str">
        <f ca="1">IF(ATALI[[#This Row],[N.B.nota]]="","",ADDRESS(ROW(ATALI[QB]),COLUMN(ATALI[QB]))&amp;":"&amp;ADDRESS(ROW(),COLUMN(ATALI[QB])))</f>
        <v/>
      </c>
      <c r="Y548" s="13" t="str">
        <f ca="1">IF(ATALI[[#This Row],[//]]="","",HYPERLINK("[../DB.xlsx]DB!e"&amp;MATCH(ATALI[[#This Row],[concat]],[4]!db[NB NOTA_C],0)+1,"&gt;"))</f>
        <v/>
      </c>
    </row>
    <row r="549" spans="1:25" x14ac:dyDescent="0.25">
      <c r="A549" s="4"/>
      <c r="B549" s="6" t="str">
        <f>IF(ATALI[[#This Row],[N_ID]]="","",INDEX(Table1[ID],MATCH(ATALI[[#This Row],[N_ID]],Table1[N_ID],0)))</f>
        <v/>
      </c>
      <c r="C549" s="6" t="str">
        <f>IF(ATALI[[#This Row],[ID NOTA]]="","",HYPERLINK("[NOTA_.xlsx]NOTA!e"&amp;INDEX([2]!PAJAK[//],MATCH(ATALI[[#This Row],[ID NOTA]],[2]!PAJAK[ID],0)),"&gt;") )</f>
        <v/>
      </c>
      <c r="D549" s="6" t="str">
        <f>IF(ATALI[[#This Row],[ID NOTA]]="","",INDEX(Table1[QB],MATCH(ATALI[[#This Row],[ID NOTA]],Table1[ID],0)))</f>
        <v/>
      </c>
      <c r="E5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9" s="6"/>
      <c r="G549" s="3" t="str">
        <f>IF(ATALI[[#This Row],[ID NOTA]]="","",INDEX([2]!NOTA[TGL_H],MATCH(ATALI[[#This Row],[ID NOTA]],[2]!NOTA[ID],0)))</f>
        <v/>
      </c>
      <c r="H549" s="3" t="str">
        <f>IF(ATALI[[#This Row],[ID NOTA]]="","",INDEX([2]!NOTA[TGL.NOTA],MATCH(ATALI[[#This Row],[ID NOTA]],[2]!NOTA[ID],0)))</f>
        <v/>
      </c>
      <c r="I549" s="4" t="str">
        <f>IF(ATALI[[#This Row],[ID NOTA]]="","",INDEX([2]!NOTA[NO.NOTA],MATCH(ATALI[[#This Row],[ID NOTA]],[2]!NOTA[ID],0)))</f>
        <v/>
      </c>
      <c r="J549" s="4" t="str">
        <f ca="1">IF(ATALI[[#This Row],[//]]="","",INDEX([4]!db[NB PAJAK],ATALI[[#This Row],[stt]]-1))</f>
        <v/>
      </c>
      <c r="K549" s="6" t="str">
        <f ca="1">IF(ATALI[[#This Row],[//]]="","",IF(INDEX([2]!NOTA[C],ATALI[[#This Row],[//]]-2)="","",INDEX([2]!NOTA[C],ATALI[[#This Row],[//]]-2)))</f>
        <v/>
      </c>
      <c r="L549" s="6" t="str">
        <f ca="1">IF(ATALI[[#This Row],[//]]="","",INDEX([2]!NOTA[QTY],ATALI[[#This Row],[//]]-2))</f>
        <v/>
      </c>
      <c r="M549" s="6" t="str">
        <f ca="1">IF(ATALI[[#This Row],[//]]="","",INDEX([2]!NOTA[STN],ATALI[[#This Row],[//]]-2))</f>
        <v/>
      </c>
      <c r="N549" s="5" t="str">
        <f ca="1">IF(ATALI[[#This Row],[//]]="","",INDEX([2]!NOTA[HARGA SATUAN],ATALI[[#This Row],[//]]-2))</f>
        <v/>
      </c>
      <c r="O549" s="7" t="str">
        <f ca="1">IF(ATALI[[#This Row],[//]]="","",INDEX([2]!NOTA[DISC 1],ATALI[[#This Row],[//]]-2))</f>
        <v/>
      </c>
      <c r="P549" s="7" t="str">
        <f ca="1">IF(ATALI[[#This Row],[//]]="","",INDEX([2]!NOTA[DISC 2],ATALI[[#This Row],[//]]-2))</f>
        <v/>
      </c>
      <c r="Q549" s="5" t="str">
        <f ca="1">IF(ATALI[[#This Row],[//]]="","",INDEX([2]!NOTA[TOTAL],ATALI[[#This Row],[//]]-2))</f>
        <v/>
      </c>
      <c r="R5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9" s="4" t="str">
        <f ca="1">IF(ATALI[[#This Row],[//]]="","",INDEX([2]!NOTA[NAMA BARANG],ATALI[[#This Row],[//]]-2))</f>
        <v/>
      </c>
      <c r="V549" s="4" t="str">
        <f ca="1">LOWER(SUBSTITUTE(SUBSTITUTE(SUBSTITUTE(SUBSTITUTE(SUBSTITUTE(SUBSTITUTE(SUBSTITUTE(ATALI[[#This Row],[N.B.nota]]," ",""),"-",""),"(",""),")",""),".",""),",",""),"/",""))</f>
        <v/>
      </c>
      <c r="W549" s="4" t="str">
        <f ca="1">IF(ATALI[[#This Row],[concat]]="","",MATCH(ATALI[[#This Row],[concat]],[4]!db[NB NOTA_C],0)+1)</f>
        <v/>
      </c>
      <c r="X549" s="4" t="str">
        <f ca="1">IF(ATALI[[#This Row],[N.B.nota]]="","",ADDRESS(ROW(ATALI[QB]),COLUMN(ATALI[QB]))&amp;":"&amp;ADDRESS(ROW(),COLUMN(ATALI[QB])))</f>
        <v/>
      </c>
      <c r="Y549" s="13" t="str">
        <f ca="1">IF(ATALI[[#This Row],[//]]="","",HYPERLINK("[../DB.xlsx]DB!e"&amp;MATCH(ATALI[[#This Row],[concat]],[4]!db[NB NOTA_C],0)+1,"&gt;"))</f>
        <v/>
      </c>
    </row>
    <row r="550" spans="1:25" x14ac:dyDescent="0.25">
      <c r="A550" s="4"/>
      <c r="B550" s="6" t="str">
        <f>IF(ATALI[[#This Row],[N_ID]]="","",INDEX(Table1[ID],MATCH(ATALI[[#This Row],[N_ID]],Table1[N_ID],0)))</f>
        <v/>
      </c>
      <c r="C550" s="6" t="str">
        <f>IF(ATALI[[#This Row],[ID NOTA]]="","",HYPERLINK("[NOTA_.xlsx]NOTA!e"&amp;INDEX([2]!PAJAK[//],MATCH(ATALI[[#This Row],[ID NOTA]],[2]!PAJAK[ID],0)),"&gt;") )</f>
        <v/>
      </c>
      <c r="D550" s="6" t="str">
        <f>IF(ATALI[[#This Row],[ID NOTA]]="","",INDEX(Table1[QB],MATCH(ATALI[[#This Row],[ID NOTA]],Table1[ID],0)))</f>
        <v/>
      </c>
      <c r="E5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0" s="6"/>
      <c r="G550" s="3" t="str">
        <f>IF(ATALI[[#This Row],[ID NOTA]]="","",INDEX([2]!NOTA[TGL_H],MATCH(ATALI[[#This Row],[ID NOTA]],[2]!NOTA[ID],0)))</f>
        <v/>
      </c>
      <c r="H550" s="3" t="str">
        <f>IF(ATALI[[#This Row],[ID NOTA]]="","",INDEX([2]!NOTA[TGL.NOTA],MATCH(ATALI[[#This Row],[ID NOTA]],[2]!NOTA[ID],0)))</f>
        <v/>
      </c>
      <c r="I550" s="4" t="str">
        <f>IF(ATALI[[#This Row],[ID NOTA]]="","",INDEX([2]!NOTA[NO.NOTA],MATCH(ATALI[[#This Row],[ID NOTA]],[2]!NOTA[ID],0)))</f>
        <v/>
      </c>
      <c r="J550" s="4" t="str">
        <f ca="1">IF(ATALI[[#This Row],[//]]="","",INDEX([4]!db[NB PAJAK],ATALI[[#This Row],[stt]]-1))</f>
        <v/>
      </c>
      <c r="K550" s="6" t="str">
        <f ca="1">IF(ATALI[[#This Row],[//]]="","",IF(INDEX([2]!NOTA[C],ATALI[[#This Row],[//]]-2)="","",INDEX([2]!NOTA[C],ATALI[[#This Row],[//]]-2)))</f>
        <v/>
      </c>
      <c r="L550" s="6" t="str">
        <f ca="1">IF(ATALI[[#This Row],[//]]="","",INDEX([2]!NOTA[QTY],ATALI[[#This Row],[//]]-2))</f>
        <v/>
      </c>
      <c r="M550" s="6" t="str">
        <f ca="1">IF(ATALI[[#This Row],[//]]="","",INDEX([2]!NOTA[STN],ATALI[[#This Row],[//]]-2))</f>
        <v/>
      </c>
      <c r="N550" s="5" t="str">
        <f ca="1">IF(ATALI[[#This Row],[//]]="","",INDEX([2]!NOTA[HARGA SATUAN],ATALI[[#This Row],[//]]-2))</f>
        <v/>
      </c>
      <c r="O550" s="7" t="str">
        <f ca="1">IF(ATALI[[#This Row],[//]]="","",INDEX([2]!NOTA[DISC 1],ATALI[[#This Row],[//]]-2))</f>
        <v/>
      </c>
      <c r="P550" s="7" t="str">
        <f ca="1">IF(ATALI[[#This Row],[//]]="","",INDEX([2]!NOTA[DISC 2],ATALI[[#This Row],[//]]-2))</f>
        <v/>
      </c>
      <c r="Q550" s="5" t="str">
        <f ca="1">IF(ATALI[[#This Row],[//]]="","",INDEX([2]!NOTA[TOTAL],ATALI[[#This Row],[//]]-2))</f>
        <v/>
      </c>
      <c r="R5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0" s="4" t="str">
        <f ca="1">IF(ATALI[[#This Row],[//]]="","",INDEX([2]!NOTA[NAMA BARANG],ATALI[[#This Row],[//]]-2))</f>
        <v/>
      </c>
      <c r="V550" s="4" t="str">
        <f ca="1">LOWER(SUBSTITUTE(SUBSTITUTE(SUBSTITUTE(SUBSTITUTE(SUBSTITUTE(SUBSTITUTE(SUBSTITUTE(ATALI[[#This Row],[N.B.nota]]," ",""),"-",""),"(",""),")",""),".",""),",",""),"/",""))</f>
        <v/>
      </c>
      <c r="W550" s="4" t="str">
        <f ca="1">IF(ATALI[[#This Row],[concat]]="","",MATCH(ATALI[[#This Row],[concat]],[4]!db[NB NOTA_C],0)+1)</f>
        <v/>
      </c>
      <c r="X550" s="4" t="str">
        <f ca="1">IF(ATALI[[#This Row],[N.B.nota]]="","",ADDRESS(ROW(ATALI[QB]),COLUMN(ATALI[QB]))&amp;":"&amp;ADDRESS(ROW(),COLUMN(ATALI[QB])))</f>
        <v/>
      </c>
      <c r="Y550" s="13" t="str">
        <f ca="1">IF(ATALI[[#This Row],[//]]="","",HYPERLINK("[../DB.xlsx]DB!e"&amp;MATCH(ATALI[[#This Row],[concat]],[4]!db[NB NOTA_C],0)+1,"&gt;"))</f>
        <v/>
      </c>
    </row>
    <row r="551" spans="1:25" x14ac:dyDescent="0.25">
      <c r="A551" s="4"/>
      <c r="B551" s="6" t="str">
        <f>IF(ATALI[[#This Row],[N_ID]]="","",INDEX(Table1[ID],MATCH(ATALI[[#This Row],[N_ID]],Table1[N_ID],0)))</f>
        <v/>
      </c>
      <c r="C551" s="6" t="str">
        <f>IF(ATALI[[#This Row],[ID NOTA]]="","",HYPERLINK("[NOTA_.xlsx]NOTA!e"&amp;INDEX([2]!PAJAK[//],MATCH(ATALI[[#This Row],[ID NOTA]],[2]!PAJAK[ID],0)),"&gt;") )</f>
        <v/>
      </c>
      <c r="D551" s="6" t="str">
        <f>IF(ATALI[[#This Row],[ID NOTA]]="","",INDEX(Table1[QB],MATCH(ATALI[[#This Row],[ID NOTA]],Table1[ID],0)))</f>
        <v/>
      </c>
      <c r="E5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1" s="6"/>
      <c r="G551" s="3" t="str">
        <f>IF(ATALI[[#This Row],[ID NOTA]]="","",INDEX([2]!NOTA[TGL_H],MATCH(ATALI[[#This Row],[ID NOTA]],[2]!NOTA[ID],0)))</f>
        <v/>
      </c>
      <c r="H551" s="3" t="str">
        <f>IF(ATALI[[#This Row],[ID NOTA]]="","",INDEX([2]!NOTA[TGL.NOTA],MATCH(ATALI[[#This Row],[ID NOTA]],[2]!NOTA[ID],0)))</f>
        <v/>
      </c>
      <c r="I551" s="4" t="str">
        <f>IF(ATALI[[#This Row],[ID NOTA]]="","",INDEX([2]!NOTA[NO.NOTA],MATCH(ATALI[[#This Row],[ID NOTA]],[2]!NOTA[ID],0)))</f>
        <v/>
      </c>
      <c r="J551" s="4" t="str">
        <f ca="1">IF(ATALI[[#This Row],[//]]="","",INDEX([4]!db[NB PAJAK],ATALI[[#This Row],[stt]]-1))</f>
        <v/>
      </c>
      <c r="K551" s="6" t="str">
        <f ca="1">IF(ATALI[[#This Row],[//]]="","",IF(INDEX([2]!NOTA[C],ATALI[[#This Row],[//]]-2)="","",INDEX([2]!NOTA[C],ATALI[[#This Row],[//]]-2)))</f>
        <v/>
      </c>
      <c r="L551" s="6" t="str">
        <f ca="1">IF(ATALI[[#This Row],[//]]="","",INDEX([2]!NOTA[QTY],ATALI[[#This Row],[//]]-2))</f>
        <v/>
      </c>
      <c r="M551" s="6" t="str">
        <f ca="1">IF(ATALI[[#This Row],[//]]="","",INDEX([2]!NOTA[STN],ATALI[[#This Row],[//]]-2))</f>
        <v/>
      </c>
      <c r="N551" s="5" t="str">
        <f ca="1">IF(ATALI[[#This Row],[//]]="","",INDEX([2]!NOTA[HARGA SATUAN],ATALI[[#This Row],[//]]-2))</f>
        <v/>
      </c>
      <c r="O551" s="7" t="str">
        <f ca="1">IF(ATALI[[#This Row],[//]]="","",INDEX([2]!NOTA[DISC 1],ATALI[[#This Row],[//]]-2))</f>
        <v/>
      </c>
      <c r="P551" s="7" t="str">
        <f ca="1">IF(ATALI[[#This Row],[//]]="","",INDEX([2]!NOTA[DISC 2],ATALI[[#This Row],[//]]-2))</f>
        <v/>
      </c>
      <c r="Q551" s="5" t="str">
        <f ca="1">IF(ATALI[[#This Row],[//]]="","",INDEX([2]!NOTA[TOTAL],ATALI[[#This Row],[//]]-2))</f>
        <v/>
      </c>
      <c r="R5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1" s="4" t="str">
        <f ca="1">IF(ATALI[[#This Row],[//]]="","",INDEX([2]!NOTA[NAMA BARANG],ATALI[[#This Row],[//]]-2))</f>
        <v/>
      </c>
      <c r="V551" s="4" t="str">
        <f ca="1">LOWER(SUBSTITUTE(SUBSTITUTE(SUBSTITUTE(SUBSTITUTE(SUBSTITUTE(SUBSTITUTE(SUBSTITUTE(ATALI[[#This Row],[N.B.nota]]," ",""),"-",""),"(",""),")",""),".",""),",",""),"/",""))</f>
        <v/>
      </c>
      <c r="W551" s="4" t="str">
        <f ca="1">IF(ATALI[[#This Row],[concat]]="","",MATCH(ATALI[[#This Row],[concat]],[4]!db[NB NOTA_C],0)+1)</f>
        <v/>
      </c>
      <c r="X551" s="4" t="str">
        <f ca="1">IF(ATALI[[#This Row],[N.B.nota]]="","",ADDRESS(ROW(ATALI[QB]),COLUMN(ATALI[QB]))&amp;":"&amp;ADDRESS(ROW(),COLUMN(ATALI[QB])))</f>
        <v/>
      </c>
      <c r="Y551" s="13" t="str">
        <f ca="1">IF(ATALI[[#This Row],[//]]="","",HYPERLINK("[../DB.xlsx]DB!e"&amp;MATCH(ATALI[[#This Row],[concat]],[4]!db[NB NOTA_C],0)+1,"&gt;"))</f>
        <v/>
      </c>
    </row>
    <row r="552" spans="1:25" x14ac:dyDescent="0.25">
      <c r="A552" s="4"/>
      <c r="B552" s="6" t="str">
        <f>IF(ATALI[[#This Row],[N_ID]]="","",INDEX(Table1[ID],MATCH(ATALI[[#This Row],[N_ID]],Table1[N_ID],0)))</f>
        <v/>
      </c>
      <c r="C552" s="6" t="str">
        <f>IF(ATALI[[#This Row],[ID NOTA]]="","",HYPERLINK("[NOTA_.xlsx]NOTA!e"&amp;INDEX([2]!PAJAK[//],MATCH(ATALI[[#This Row],[ID NOTA]],[2]!PAJAK[ID],0)),"&gt;") )</f>
        <v/>
      </c>
      <c r="D552" s="6" t="str">
        <f>IF(ATALI[[#This Row],[ID NOTA]]="","",INDEX(Table1[QB],MATCH(ATALI[[#This Row],[ID NOTA]],Table1[ID],0)))</f>
        <v/>
      </c>
      <c r="E5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2" s="6"/>
      <c r="G552" s="3" t="str">
        <f>IF(ATALI[[#This Row],[ID NOTA]]="","",INDEX([2]!NOTA[TGL_H],MATCH(ATALI[[#This Row],[ID NOTA]],[2]!NOTA[ID],0)))</f>
        <v/>
      </c>
      <c r="H552" s="3" t="str">
        <f>IF(ATALI[[#This Row],[ID NOTA]]="","",INDEX([2]!NOTA[TGL.NOTA],MATCH(ATALI[[#This Row],[ID NOTA]],[2]!NOTA[ID],0)))</f>
        <v/>
      </c>
      <c r="I552" s="4" t="str">
        <f>IF(ATALI[[#This Row],[ID NOTA]]="","",INDEX([2]!NOTA[NO.NOTA],MATCH(ATALI[[#This Row],[ID NOTA]],[2]!NOTA[ID],0)))</f>
        <v/>
      </c>
      <c r="J552" s="4" t="str">
        <f ca="1">IF(ATALI[[#This Row],[//]]="","",INDEX([4]!db[NB PAJAK],ATALI[[#This Row],[stt]]-1))</f>
        <v/>
      </c>
      <c r="K552" s="6" t="str">
        <f ca="1">IF(ATALI[[#This Row],[//]]="","",IF(INDEX([2]!NOTA[C],ATALI[[#This Row],[//]]-2)="","",INDEX([2]!NOTA[C],ATALI[[#This Row],[//]]-2)))</f>
        <v/>
      </c>
      <c r="L552" s="6" t="str">
        <f ca="1">IF(ATALI[[#This Row],[//]]="","",INDEX([2]!NOTA[QTY],ATALI[[#This Row],[//]]-2))</f>
        <v/>
      </c>
      <c r="M552" s="6" t="str">
        <f ca="1">IF(ATALI[[#This Row],[//]]="","",INDEX([2]!NOTA[STN],ATALI[[#This Row],[//]]-2))</f>
        <v/>
      </c>
      <c r="N552" s="5" t="str">
        <f ca="1">IF(ATALI[[#This Row],[//]]="","",INDEX([2]!NOTA[HARGA SATUAN],ATALI[[#This Row],[//]]-2))</f>
        <v/>
      </c>
      <c r="O552" s="7" t="str">
        <f ca="1">IF(ATALI[[#This Row],[//]]="","",INDEX([2]!NOTA[DISC 1],ATALI[[#This Row],[//]]-2))</f>
        <v/>
      </c>
      <c r="P552" s="7" t="str">
        <f ca="1">IF(ATALI[[#This Row],[//]]="","",INDEX([2]!NOTA[DISC 2],ATALI[[#This Row],[//]]-2))</f>
        <v/>
      </c>
      <c r="Q552" s="5" t="str">
        <f ca="1">IF(ATALI[[#This Row],[//]]="","",INDEX([2]!NOTA[TOTAL],ATALI[[#This Row],[//]]-2))</f>
        <v/>
      </c>
      <c r="R5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2" s="4" t="str">
        <f ca="1">IF(ATALI[[#This Row],[//]]="","",INDEX([2]!NOTA[NAMA BARANG],ATALI[[#This Row],[//]]-2))</f>
        <v/>
      </c>
      <c r="V552" s="4" t="str">
        <f ca="1">LOWER(SUBSTITUTE(SUBSTITUTE(SUBSTITUTE(SUBSTITUTE(SUBSTITUTE(SUBSTITUTE(SUBSTITUTE(ATALI[[#This Row],[N.B.nota]]," ",""),"-",""),"(",""),")",""),".",""),",",""),"/",""))</f>
        <v/>
      </c>
      <c r="W552" s="4" t="str">
        <f ca="1">IF(ATALI[[#This Row],[concat]]="","",MATCH(ATALI[[#This Row],[concat]],[4]!db[NB NOTA_C],0)+1)</f>
        <v/>
      </c>
      <c r="X552" s="4" t="str">
        <f ca="1">IF(ATALI[[#This Row],[N.B.nota]]="","",ADDRESS(ROW(ATALI[QB]),COLUMN(ATALI[QB]))&amp;":"&amp;ADDRESS(ROW(),COLUMN(ATALI[QB])))</f>
        <v/>
      </c>
      <c r="Y552" s="13" t="str">
        <f ca="1">IF(ATALI[[#This Row],[//]]="","",HYPERLINK("[../DB.xlsx]DB!e"&amp;MATCH(ATALI[[#This Row],[concat]],[4]!db[NB NOTA_C],0)+1,"&gt;"))</f>
        <v/>
      </c>
    </row>
    <row r="553" spans="1:25" x14ac:dyDescent="0.25">
      <c r="A553" s="4"/>
      <c r="B553" s="6" t="str">
        <f>IF(ATALI[[#This Row],[N_ID]]="","",INDEX(Table1[ID],MATCH(ATALI[[#This Row],[N_ID]],Table1[N_ID],0)))</f>
        <v/>
      </c>
      <c r="C553" s="6" t="str">
        <f>IF(ATALI[[#This Row],[ID NOTA]]="","",HYPERLINK("[NOTA_.xlsx]NOTA!e"&amp;INDEX([2]!PAJAK[//],MATCH(ATALI[[#This Row],[ID NOTA]],[2]!PAJAK[ID],0)),"&gt;") )</f>
        <v/>
      </c>
      <c r="D553" s="6" t="str">
        <f>IF(ATALI[[#This Row],[ID NOTA]]="","",INDEX(Table1[QB],MATCH(ATALI[[#This Row],[ID NOTA]],Table1[ID],0)))</f>
        <v/>
      </c>
      <c r="E5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3" s="6"/>
      <c r="G553" s="3" t="str">
        <f>IF(ATALI[[#This Row],[ID NOTA]]="","",INDEX([2]!NOTA[TGL_H],MATCH(ATALI[[#This Row],[ID NOTA]],[2]!NOTA[ID],0)))</f>
        <v/>
      </c>
      <c r="H553" s="3" t="str">
        <f>IF(ATALI[[#This Row],[ID NOTA]]="","",INDEX([2]!NOTA[TGL.NOTA],MATCH(ATALI[[#This Row],[ID NOTA]],[2]!NOTA[ID],0)))</f>
        <v/>
      </c>
      <c r="I553" s="4" t="str">
        <f>IF(ATALI[[#This Row],[ID NOTA]]="","",INDEX([2]!NOTA[NO.NOTA],MATCH(ATALI[[#This Row],[ID NOTA]],[2]!NOTA[ID],0)))</f>
        <v/>
      </c>
      <c r="J553" s="4" t="str">
        <f ca="1">IF(ATALI[[#This Row],[//]]="","",INDEX([4]!db[NB PAJAK],ATALI[[#This Row],[stt]]-1))</f>
        <v/>
      </c>
      <c r="K553" s="6" t="str">
        <f ca="1">IF(ATALI[[#This Row],[//]]="","",IF(INDEX([2]!NOTA[C],ATALI[[#This Row],[//]]-2)="","",INDEX([2]!NOTA[C],ATALI[[#This Row],[//]]-2)))</f>
        <v/>
      </c>
      <c r="L553" s="6" t="str">
        <f ca="1">IF(ATALI[[#This Row],[//]]="","",INDEX([2]!NOTA[QTY],ATALI[[#This Row],[//]]-2))</f>
        <v/>
      </c>
      <c r="M553" s="6" t="str">
        <f ca="1">IF(ATALI[[#This Row],[//]]="","",INDEX([2]!NOTA[STN],ATALI[[#This Row],[//]]-2))</f>
        <v/>
      </c>
      <c r="N553" s="5" t="str">
        <f ca="1">IF(ATALI[[#This Row],[//]]="","",INDEX([2]!NOTA[HARGA SATUAN],ATALI[[#This Row],[//]]-2))</f>
        <v/>
      </c>
      <c r="O553" s="7" t="str">
        <f ca="1">IF(ATALI[[#This Row],[//]]="","",INDEX([2]!NOTA[DISC 1],ATALI[[#This Row],[//]]-2))</f>
        <v/>
      </c>
      <c r="P553" s="7" t="str">
        <f ca="1">IF(ATALI[[#This Row],[//]]="","",INDEX([2]!NOTA[DISC 2],ATALI[[#This Row],[//]]-2))</f>
        <v/>
      </c>
      <c r="Q553" s="5" t="str">
        <f ca="1">IF(ATALI[[#This Row],[//]]="","",INDEX([2]!NOTA[TOTAL],ATALI[[#This Row],[//]]-2))</f>
        <v/>
      </c>
      <c r="R5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3" s="4" t="str">
        <f ca="1">IF(ATALI[[#This Row],[//]]="","",INDEX([2]!NOTA[NAMA BARANG],ATALI[[#This Row],[//]]-2))</f>
        <v/>
      </c>
      <c r="V553" s="4" t="str">
        <f ca="1">LOWER(SUBSTITUTE(SUBSTITUTE(SUBSTITUTE(SUBSTITUTE(SUBSTITUTE(SUBSTITUTE(SUBSTITUTE(ATALI[[#This Row],[N.B.nota]]," ",""),"-",""),"(",""),")",""),".",""),",",""),"/",""))</f>
        <v/>
      </c>
      <c r="W553" s="4" t="str">
        <f ca="1">IF(ATALI[[#This Row],[concat]]="","",MATCH(ATALI[[#This Row],[concat]],[4]!db[NB NOTA_C],0)+1)</f>
        <v/>
      </c>
      <c r="X553" s="4" t="str">
        <f ca="1">IF(ATALI[[#This Row],[N.B.nota]]="","",ADDRESS(ROW(ATALI[QB]),COLUMN(ATALI[QB]))&amp;":"&amp;ADDRESS(ROW(),COLUMN(ATALI[QB])))</f>
        <v/>
      </c>
      <c r="Y553" s="13" t="str">
        <f ca="1">IF(ATALI[[#This Row],[//]]="","",HYPERLINK("[../DB.xlsx]DB!e"&amp;MATCH(ATALI[[#This Row],[concat]],[4]!db[NB NOTA_C],0)+1,"&gt;"))</f>
        <v/>
      </c>
    </row>
    <row r="554" spans="1:25" x14ac:dyDescent="0.25">
      <c r="A554" s="4"/>
      <c r="B554" s="6" t="str">
        <f>IF(ATALI[[#This Row],[N_ID]]="","",INDEX(Table1[ID],MATCH(ATALI[[#This Row],[N_ID]],Table1[N_ID],0)))</f>
        <v/>
      </c>
      <c r="C554" s="6" t="str">
        <f>IF(ATALI[[#This Row],[ID NOTA]]="","",HYPERLINK("[NOTA_.xlsx]NOTA!e"&amp;INDEX([2]!PAJAK[//],MATCH(ATALI[[#This Row],[ID NOTA]],[2]!PAJAK[ID],0)),"&gt;") )</f>
        <v/>
      </c>
      <c r="D554" s="6" t="str">
        <f>IF(ATALI[[#This Row],[ID NOTA]]="","",INDEX(Table1[QB],MATCH(ATALI[[#This Row],[ID NOTA]],Table1[ID],0)))</f>
        <v/>
      </c>
      <c r="E5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4" s="6"/>
      <c r="G554" s="3" t="str">
        <f>IF(ATALI[[#This Row],[ID NOTA]]="","",INDEX([2]!NOTA[TGL_H],MATCH(ATALI[[#This Row],[ID NOTA]],[2]!NOTA[ID],0)))</f>
        <v/>
      </c>
      <c r="H554" s="3" t="str">
        <f>IF(ATALI[[#This Row],[ID NOTA]]="","",INDEX([2]!NOTA[TGL.NOTA],MATCH(ATALI[[#This Row],[ID NOTA]],[2]!NOTA[ID],0)))</f>
        <v/>
      </c>
      <c r="I554" s="4" t="str">
        <f>IF(ATALI[[#This Row],[ID NOTA]]="","",INDEX([2]!NOTA[NO.NOTA],MATCH(ATALI[[#This Row],[ID NOTA]],[2]!NOTA[ID],0)))</f>
        <v/>
      </c>
      <c r="J554" s="4" t="str">
        <f ca="1">IF(ATALI[[#This Row],[//]]="","",INDEX([4]!db[NB PAJAK],ATALI[[#This Row],[stt]]-1))</f>
        <v/>
      </c>
      <c r="K554" s="6" t="str">
        <f ca="1">IF(ATALI[[#This Row],[//]]="","",IF(INDEX([2]!NOTA[C],ATALI[[#This Row],[//]]-2)="","",INDEX([2]!NOTA[C],ATALI[[#This Row],[//]]-2)))</f>
        <v/>
      </c>
      <c r="L554" s="6" t="str">
        <f ca="1">IF(ATALI[[#This Row],[//]]="","",INDEX([2]!NOTA[QTY],ATALI[[#This Row],[//]]-2))</f>
        <v/>
      </c>
      <c r="M554" s="6" t="str">
        <f ca="1">IF(ATALI[[#This Row],[//]]="","",INDEX([2]!NOTA[STN],ATALI[[#This Row],[//]]-2))</f>
        <v/>
      </c>
      <c r="N554" s="5" t="str">
        <f ca="1">IF(ATALI[[#This Row],[//]]="","",INDEX([2]!NOTA[HARGA SATUAN],ATALI[[#This Row],[//]]-2))</f>
        <v/>
      </c>
      <c r="O554" s="7" t="str">
        <f ca="1">IF(ATALI[[#This Row],[//]]="","",INDEX([2]!NOTA[DISC 1],ATALI[[#This Row],[//]]-2))</f>
        <v/>
      </c>
      <c r="P554" s="7" t="str">
        <f ca="1">IF(ATALI[[#This Row],[//]]="","",INDEX([2]!NOTA[DISC 2],ATALI[[#This Row],[//]]-2))</f>
        <v/>
      </c>
      <c r="Q554" s="5" t="str">
        <f ca="1">IF(ATALI[[#This Row],[//]]="","",INDEX([2]!NOTA[TOTAL],ATALI[[#This Row],[//]]-2))</f>
        <v/>
      </c>
      <c r="R5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4" s="4" t="str">
        <f ca="1">IF(ATALI[[#This Row],[//]]="","",INDEX([2]!NOTA[NAMA BARANG],ATALI[[#This Row],[//]]-2))</f>
        <v/>
      </c>
      <c r="V554" s="4" t="str">
        <f ca="1">LOWER(SUBSTITUTE(SUBSTITUTE(SUBSTITUTE(SUBSTITUTE(SUBSTITUTE(SUBSTITUTE(SUBSTITUTE(ATALI[[#This Row],[N.B.nota]]," ",""),"-",""),"(",""),")",""),".",""),",",""),"/",""))</f>
        <v/>
      </c>
      <c r="W554" s="4" t="str">
        <f ca="1">IF(ATALI[[#This Row],[concat]]="","",MATCH(ATALI[[#This Row],[concat]],[4]!db[NB NOTA_C],0)+1)</f>
        <v/>
      </c>
      <c r="X554" s="4" t="str">
        <f ca="1">IF(ATALI[[#This Row],[N.B.nota]]="","",ADDRESS(ROW(ATALI[QB]),COLUMN(ATALI[QB]))&amp;":"&amp;ADDRESS(ROW(),COLUMN(ATALI[QB])))</f>
        <v/>
      </c>
      <c r="Y554" s="13" t="str">
        <f ca="1">IF(ATALI[[#This Row],[//]]="","",HYPERLINK("[../DB.xlsx]DB!e"&amp;MATCH(ATALI[[#This Row],[concat]],[4]!db[NB NOTA_C],0)+1,"&gt;"))</f>
        <v/>
      </c>
    </row>
    <row r="555" spans="1:25" x14ac:dyDescent="0.25">
      <c r="A555" s="4"/>
      <c r="B555" s="6" t="str">
        <f>IF(ATALI[[#This Row],[N_ID]]="","",INDEX(Table1[ID],MATCH(ATALI[[#This Row],[N_ID]],Table1[N_ID],0)))</f>
        <v/>
      </c>
      <c r="C555" s="6" t="str">
        <f>IF(ATALI[[#This Row],[ID NOTA]]="","",HYPERLINK("[NOTA_.xlsx]NOTA!e"&amp;INDEX([2]!PAJAK[//],MATCH(ATALI[[#This Row],[ID NOTA]],[2]!PAJAK[ID],0)),"&gt;") )</f>
        <v/>
      </c>
      <c r="D555" s="6" t="str">
        <f>IF(ATALI[[#This Row],[ID NOTA]]="","",INDEX(Table1[QB],MATCH(ATALI[[#This Row],[ID NOTA]],Table1[ID],0)))</f>
        <v/>
      </c>
      <c r="E5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5" s="6"/>
      <c r="G555" s="3" t="str">
        <f>IF(ATALI[[#This Row],[ID NOTA]]="","",INDEX([2]!NOTA[TGL_H],MATCH(ATALI[[#This Row],[ID NOTA]],[2]!NOTA[ID],0)))</f>
        <v/>
      </c>
      <c r="H555" s="3" t="str">
        <f>IF(ATALI[[#This Row],[ID NOTA]]="","",INDEX([2]!NOTA[TGL.NOTA],MATCH(ATALI[[#This Row],[ID NOTA]],[2]!NOTA[ID],0)))</f>
        <v/>
      </c>
      <c r="I555" s="4" t="str">
        <f>IF(ATALI[[#This Row],[ID NOTA]]="","",INDEX([2]!NOTA[NO.NOTA],MATCH(ATALI[[#This Row],[ID NOTA]],[2]!NOTA[ID],0)))</f>
        <v/>
      </c>
      <c r="J555" s="4" t="str">
        <f ca="1">IF(ATALI[[#This Row],[//]]="","",INDEX([4]!db[NB PAJAK],ATALI[[#This Row],[stt]]-1))</f>
        <v/>
      </c>
      <c r="K555" s="6" t="str">
        <f ca="1">IF(ATALI[[#This Row],[//]]="","",IF(INDEX([2]!NOTA[C],ATALI[[#This Row],[//]]-2)="","",INDEX([2]!NOTA[C],ATALI[[#This Row],[//]]-2)))</f>
        <v/>
      </c>
      <c r="L555" s="6" t="str">
        <f ca="1">IF(ATALI[[#This Row],[//]]="","",INDEX([2]!NOTA[QTY],ATALI[[#This Row],[//]]-2))</f>
        <v/>
      </c>
      <c r="M555" s="6" t="str">
        <f ca="1">IF(ATALI[[#This Row],[//]]="","",INDEX([2]!NOTA[STN],ATALI[[#This Row],[//]]-2))</f>
        <v/>
      </c>
      <c r="N555" s="5" t="str">
        <f ca="1">IF(ATALI[[#This Row],[//]]="","",INDEX([2]!NOTA[HARGA SATUAN],ATALI[[#This Row],[//]]-2))</f>
        <v/>
      </c>
      <c r="O555" s="7" t="str">
        <f ca="1">IF(ATALI[[#This Row],[//]]="","",INDEX([2]!NOTA[DISC 1],ATALI[[#This Row],[//]]-2))</f>
        <v/>
      </c>
      <c r="P555" s="7" t="str">
        <f ca="1">IF(ATALI[[#This Row],[//]]="","",INDEX([2]!NOTA[DISC 2],ATALI[[#This Row],[//]]-2))</f>
        <v/>
      </c>
      <c r="Q555" s="5" t="str">
        <f ca="1">IF(ATALI[[#This Row],[//]]="","",INDEX([2]!NOTA[TOTAL],ATALI[[#This Row],[//]]-2))</f>
        <v/>
      </c>
      <c r="R5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5" s="4" t="str">
        <f ca="1">IF(ATALI[[#This Row],[//]]="","",INDEX([2]!NOTA[NAMA BARANG],ATALI[[#This Row],[//]]-2))</f>
        <v/>
      </c>
      <c r="V555" s="4" t="str">
        <f ca="1">LOWER(SUBSTITUTE(SUBSTITUTE(SUBSTITUTE(SUBSTITUTE(SUBSTITUTE(SUBSTITUTE(SUBSTITUTE(ATALI[[#This Row],[N.B.nota]]," ",""),"-",""),"(",""),")",""),".",""),",",""),"/",""))</f>
        <v/>
      </c>
      <c r="W555" s="4" t="str">
        <f ca="1">IF(ATALI[[#This Row],[concat]]="","",MATCH(ATALI[[#This Row],[concat]],[4]!db[NB NOTA_C],0)+1)</f>
        <v/>
      </c>
      <c r="X555" s="4" t="str">
        <f ca="1">IF(ATALI[[#This Row],[N.B.nota]]="","",ADDRESS(ROW(ATALI[QB]),COLUMN(ATALI[QB]))&amp;":"&amp;ADDRESS(ROW(),COLUMN(ATALI[QB])))</f>
        <v/>
      </c>
      <c r="Y555" s="13" t="str">
        <f ca="1">IF(ATALI[[#This Row],[//]]="","",HYPERLINK("[../DB.xlsx]DB!e"&amp;MATCH(ATALI[[#This Row],[concat]],[4]!db[NB NOTA_C],0)+1,"&gt;"))</f>
        <v/>
      </c>
    </row>
    <row r="556" spans="1:25" x14ac:dyDescent="0.25">
      <c r="A556" s="4"/>
      <c r="B556" s="6" t="str">
        <f>IF(ATALI[[#This Row],[N_ID]]="","",INDEX(Table1[ID],MATCH(ATALI[[#This Row],[N_ID]],Table1[N_ID],0)))</f>
        <v/>
      </c>
      <c r="C556" s="6" t="str">
        <f>IF(ATALI[[#This Row],[ID NOTA]]="","",HYPERLINK("[NOTA_.xlsx]NOTA!e"&amp;INDEX([2]!PAJAK[//],MATCH(ATALI[[#This Row],[ID NOTA]],[2]!PAJAK[ID],0)),"&gt;") )</f>
        <v/>
      </c>
      <c r="D556" s="6" t="str">
        <f>IF(ATALI[[#This Row],[ID NOTA]]="","",INDEX(Table1[QB],MATCH(ATALI[[#This Row],[ID NOTA]],Table1[ID],0)))</f>
        <v/>
      </c>
      <c r="E5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6" s="6"/>
      <c r="G556" s="3" t="str">
        <f>IF(ATALI[[#This Row],[ID NOTA]]="","",INDEX([2]!NOTA[TGL_H],MATCH(ATALI[[#This Row],[ID NOTA]],[2]!NOTA[ID],0)))</f>
        <v/>
      </c>
      <c r="H556" s="3" t="str">
        <f>IF(ATALI[[#This Row],[ID NOTA]]="","",INDEX([2]!NOTA[TGL.NOTA],MATCH(ATALI[[#This Row],[ID NOTA]],[2]!NOTA[ID],0)))</f>
        <v/>
      </c>
      <c r="I556" s="4" t="str">
        <f>IF(ATALI[[#This Row],[ID NOTA]]="","",INDEX([2]!NOTA[NO.NOTA],MATCH(ATALI[[#This Row],[ID NOTA]],[2]!NOTA[ID],0)))</f>
        <v/>
      </c>
      <c r="J556" s="4" t="str">
        <f ca="1">IF(ATALI[[#This Row],[//]]="","",INDEX([4]!db[NB PAJAK],ATALI[[#This Row],[stt]]-1))</f>
        <v/>
      </c>
      <c r="K556" s="6" t="str">
        <f ca="1">IF(ATALI[[#This Row],[//]]="","",IF(INDEX([2]!NOTA[C],ATALI[[#This Row],[//]]-2)="","",INDEX([2]!NOTA[C],ATALI[[#This Row],[//]]-2)))</f>
        <v/>
      </c>
      <c r="L556" s="6" t="str">
        <f ca="1">IF(ATALI[[#This Row],[//]]="","",INDEX([2]!NOTA[QTY],ATALI[[#This Row],[//]]-2))</f>
        <v/>
      </c>
      <c r="M556" s="6" t="str">
        <f ca="1">IF(ATALI[[#This Row],[//]]="","",INDEX([2]!NOTA[STN],ATALI[[#This Row],[//]]-2))</f>
        <v/>
      </c>
      <c r="N556" s="5" t="str">
        <f ca="1">IF(ATALI[[#This Row],[//]]="","",INDEX([2]!NOTA[HARGA SATUAN],ATALI[[#This Row],[//]]-2))</f>
        <v/>
      </c>
      <c r="O556" s="7" t="str">
        <f ca="1">IF(ATALI[[#This Row],[//]]="","",INDEX([2]!NOTA[DISC 1],ATALI[[#This Row],[//]]-2))</f>
        <v/>
      </c>
      <c r="P556" s="7" t="str">
        <f ca="1">IF(ATALI[[#This Row],[//]]="","",INDEX([2]!NOTA[DISC 2],ATALI[[#This Row],[//]]-2))</f>
        <v/>
      </c>
      <c r="Q556" s="5" t="str">
        <f ca="1">IF(ATALI[[#This Row],[//]]="","",INDEX([2]!NOTA[TOTAL],ATALI[[#This Row],[//]]-2))</f>
        <v/>
      </c>
      <c r="R5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6" s="4" t="str">
        <f ca="1">IF(ATALI[[#This Row],[//]]="","",INDEX([2]!NOTA[NAMA BARANG],ATALI[[#This Row],[//]]-2))</f>
        <v/>
      </c>
      <c r="V556" s="4" t="str">
        <f ca="1">LOWER(SUBSTITUTE(SUBSTITUTE(SUBSTITUTE(SUBSTITUTE(SUBSTITUTE(SUBSTITUTE(SUBSTITUTE(ATALI[[#This Row],[N.B.nota]]," ",""),"-",""),"(",""),")",""),".",""),",",""),"/",""))</f>
        <v/>
      </c>
      <c r="W556" s="4" t="str">
        <f ca="1">IF(ATALI[[#This Row],[concat]]="","",MATCH(ATALI[[#This Row],[concat]],[4]!db[NB NOTA_C],0)+1)</f>
        <v/>
      </c>
      <c r="X556" s="4" t="str">
        <f ca="1">IF(ATALI[[#This Row],[N.B.nota]]="","",ADDRESS(ROW(ATALI[QB]),COLUMN(ATALI[QB]))&amp;":"&amp;ADDRESS(ROW(),COLUMN(ATALI[QB])))</f>
        <v/>
      </c>
      <c r="Y556" s="53"/>
    </row>
    <row r="557" spans="1:25" x14ac:dyDescent="0.25">
      <c r="A557" s="4"/>
      <c r="B557" s="6" t="str">
        <f>IF(ATALI[[#This Row],[N_ID]]="","",INDEX(Table1[ID],MATCH(ATALI[[#This Row],[N_ID]],Table1[N_ID],0)))</f>
        <v/>
      </c>
      <c r="C557" s="6" t="str">
        <f>IF(ATALI[[#This Row],[ID NOTA]]="","",HYPERLINK("[NOTA_.xlsx]NOTA!e"&amp;INDEX([2]!PAJAK[//],MATCH(ATALI[[#This Row],[ID NOTA]],[2]!PAJAK[ID],0)),"&gt;") )</f>
        <v/>
      </c>
      <c r="D557" s="6" t="str">
        <f>IF(ATALI[[#This Row],[ID NOTA]]="","",INDEX(Table1[QB],MATCH(ATALI[[#This Row],[ID NOTA]],Table1[ID],0)))</f>
        <v/>
      </c>
      <c r="E5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7" s="6"/>
      <c r="G557" s="3" t="str">
        <f>IF(ATALI[[#This Row],[ID NOTA]]="","",INDEX([2]!NOTA[TGL_H],MATCH(ATALI[[#This Row],[ID NOTA]],[2]!NOTA[ID],0)))</f>
        <v/>
      </c>
      <c r="H557" s="3" t="str">
        <f>IF(ATALI[[#This Row],[ID NOTA]]="","",INDEX([2]!NOTA[TGL.NOTA],MATCH(ATALI[[#This Row],[ID NOTA]],[2]!NOTA[ID],0)))</f>
        <v/>
      </c>
      <c r="I557" s="4" t="str">
        <f>IF(ATALI[[#This Row],[ID NOTA]]="","",INDEX([2]!NOTA[NO.NOTA],MATCH(ATALI[[#This Row],[ID NOTA]],[2]!NOTA[ID],0)))</f>
        <v/>
      </c>
      <c r="J557" s="4" t="str">
        <f ca="1">IF(ATALI[[#This Row],[//]]="","",INDEX([4]!db[NB PAJAK],ATALI[[#This Row],[stt]]-1))</f>
        <v/>
      </c>
      <c r="K557" s="6" t="str">
        <f ca="1">IF(ATALI[[#This Row],[//]]="","",IF(INDEX([2]!NOTA[C],ATALI[[#This Row],[//]]-2)="","",INDEX([2]!NOTA[C],ATALI[[#This Row],[//]]-2)))</f>
        <v/>
      </c>
      <c r="L557" s="6" t="str">
        <f ca="1">IF(ATALI[[#This Row],[//]]="","",INDEX([2]!NOTA[QTY],ATALI[[#This Row],[//]]-2))</f>
        <v/>
      </c>
      <c r="M557" s="6" t="str">
        <f ca="1">IF(ATALI[[#This Row],[//]]="","",INDEX([2]!NOTA[STN],ATALI[[#This Row],[//]]-2))</f>
        <v/>
      </c>
      <c r="N557" s="5" t="str">
        <f ca="1">IF(ATALI[[#This Row],[//]]="","",INDEX([2]!NOTA[HARGA SATUAN],ATALI[[#This Row],[//]]-2))</f>
        <v/>
      </c>
      <c r="O557" s="7" t="str">
        <f ca="1">IF(ATALI[[#This Row],[//]]="","",INDEX([2]!NOTA[DISC 1],ATALI[[#This Row],[//]]-2))</f>
        <v/>
      </c>
      <c r="P557" s="7" t="str">
        <f ca="1">IF(ATALI[[#This Row],[//]]="","",INDEX([2]!NOTA[DISC 2],ATALI[[#This Row],[//]]-2))</f>
        <v/>
      </c>
      <c r="Q557" s="5" t="str">
        <f ca="1">IF(ATALI[[#This Row],[//]]="","",INDEX([2]!NOTA[TOTAL],ATALI[[#This Row],[//]]-2))</f>
        <v/>
      </c>
      <c r="R5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7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7" s="4" t="str">
        <f ca="1">IF(ATALI[[#This Row],[//]]="","",INDEX([2]!NOTA[NAMA BARANG],ATALI[[#This Row],[//]]-2))</f>
        <v/>
      </c>
      <c r="V557" s="4" t="str">
        <f ca="1">LOWER(SUBSTITUTE(SUBSTITUTE(SUBSTITUTE(SUBSTITUTE(SUBSTITUTE(SUBSTITUTE(SUBSTITUTE(ATALI[[#This Row],[N.B.nota]]," ",""),"-",""),"(",""),")",""),".",""),",",""),"/",""))</f>
        <v/>
      </c>
      <c r="W557" s="4" t="str">
        <f ca="1">IF(ATALI[[#This Row],[concat]]="","",MATCH(ATALI[[#This Row],[concat]],[4]!db[NB NOTA_C],0)+1)</f>
        <v/>
      </c>
      <c r="X557" s="4" t="str">
        <f ca="1">IF(ATALI[[#This Row],[N.B.nota]]="","",ADDRESS(ROW(ATALI[QB]),COLUMN(ATALI[QB]))&amp;":"&amp;ADDRESS(ROW(),COLUMN(ATALI[QB])))</f>
        <v/>
      </c>
      <c r="Y557" s="53" t="str">
        <f ca="1">IF(ATALI[[#This Row],[//]]="","",HYPERLINK("[../DB.xlsx]DB!e"&amp;MATCH(ATALI[[#This Row],[concat]],[4]!db[NB NOTA_C],0)+1,"&gt;"))</f>
        <v/>
      </c>
    </row>
    <row r="558" spans="1:25" x14ac:dyDescent="0.25">
      <c r="A558" s="4"/>
      <c r="B558" s="6" t="str">
        <f>IF(ATALI[[#This Row],[N_ID]]="","",INDEX(Table1[ID],MATCH(ATALI[[#This Row],[N_ID]],Table1[N_ID],0)))</f>
        <v/>
      </c>
      <c r="C558" s="6" t="str">
        <f>IF(ATALI[[#This Row],[ID NOTA]]="","",HYPERLINK("[NOTA_.xlsx]NOTA!e"&amp;INDEX([2]!PAJAK[//],MATCH(ATALI[[#This Row],[ID NOTA]],[2]!PAJAK[ID],0)),"&gt;") )</f>
        <v/>
      </c>
      <c r="D558" s="6" t="str">
        <f>IF(ATALI[[#This Row],[ID NOTA]]="","",INDEX(Table1[QB],MATCH(ATALI[[#This Row],[ID NOTA]],Table1[ID],0)))</f>
        <v/>
      </c>
      <c r="E5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8" s="6"/>
      <c r="G558" s="3" t="str">
        <f>IF(ATALI[[#This Row],[ID NOTA]]="","",INDEX([2]!NOTA[TGL_H],MATCH(ATALI[[#This Row],[ID NOTA]],[2]!NOTA[ID],0)))</f>
        <v/>
      </c>
      <c r="H558" s="3" t="str">
        <f>IF(ATALI[[#This Row],[ID NOTA]]="","",INDEX([2]!NOTA[TGL.NOTA],MATCH(ATALI[[#This Row],[ID NOTA]],[2]!NOTA[ID],0)))</f>
        <v/>
      </c>
      <c r="I558" s="4" t="str">
        <f>IF(ATALI[[#This Row],[ID NOTA]]="","",INDEX([2]!NOTA[NO.NOTA],MATCH(ATALI[[#This Row],[ID NOTA]],[2]!NOTA[ID],0)))</f>
        <v/>
      </c>
      <c r="J558" s="4" t="str">
        <f ca="1">IF(ATALI[[#This Row],[//]]="","",INDEX([4]!db[NB PAJAK],ATALI[[#This Row],[stt]]-1))</f>
        <v/>
      </c>
      <c r="K558" s="6" t="str">
        <f ca="1">IF(ATALI[[#This Row],[//]]="","",IF(INDEX([2]!NOTA[C],ATALI[[#This Row],[//]]-2)="","",INDEX([2]!NOTA[C],ATALI[[#This Row],[//]]-2)))</f>
        <v/>
      </c>
      <c r="L558" s="6" t="str">
        <f ca="1">IF(ATALI[[#This Row],[//]]="","",INDEX([2]!NOTA[QTY],ATALI[[#This Row],[//]]-2))</f>
        <v/>
      </c>
      <c r="M558" s="6" t="str">
        <f ca="1">IF(ATALI[[#This Row],[//]]="","",INDEX([2]!NOTA[STN],ATALI[[#This Row],[//]]-2))</f>
        <v/>
      </c>
      <c r="N558" s="5" t="str">
        <f ca="1">IF(ATALI[[#This Row],[//]]="","",INDEX([2]!NOTA[HARGA SATUAN],ATALI[[#This Row],[//]]-2))</f>
        <v/>
      </c>
      <c r="O558" s="7" t="str">
        <f ca="1">IF(ATALI[[#This Row],[//]]="","",INDEX([2]!NOTA[DISC 1],ATALI[[#This Row],[//]]-2))</f>
        <v/>
      </c>
      <c r="P558" s="7" t="str">
        <f ca="1">IF(ATALI[[#This Row],[//]]="","",INDEX([2]!NOTA[DISC 2],ATALI[[#This Row],[//]]-2))</f>
        <v/>
      </c>
      <c r="Q558" s="5" t="str">
        <f ca="1">IF(ATALI[[#This Row],[//]]="","",INDEX([2]!NOTA[TOTAL],ATALI[[#This Row],[//]]-2))</f>
        <v/>
      </c>
      <c r="R5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8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8" s="4" t="str">
        <f ca="1">IF(ATALI[[#This Row],[//]]="","",INDEX([2]!NOTA[NAMA BARANG],ATALI[[#This Row],[//]]-2))</f>
        <v/>
      </c>
      <c r="V558" s="4" t="str">
        <f ca="1">LOWER(SUBSTITUTE(SUBSTITUTE(SUBSTITUTE(SUBSTITUTE(SUBSTITUTE(SUBSTITUTE(SUBSTITUTE(ATALI[[#This Row],[N.B.nota]]," ",""),"-",""),"(",""),")",""),".",""),",",""),"/",""))</f>
        <v/>
      </c>
      <c r="W558" s="4" t="str">
        <f ca="1">IF(ATALI[[#This Row],[concat]]="","",MATCH(ATALI[[#This Row],[concat]],[4]!db[NB NOTA_C],0)+1)</f>
        <v/>
      </c>
      <c r="X558" s="4" t="str">
        <f ca="1">IF(ATALI[[#This Row],[N.B.nota]]="","",ADDRESS(ROW(ATALI[QB]),COLUMN(ATALI[QB]))&amp;":"&amp;ADDRESS(ROW(),COLUMN(ATALI[QB])))</f>
        <v/>
      </c>
      <c r="Y558" s="53" t="str">
        <f ca="1">IF(ATALI[[#This Row],[//]]="","",HYPERLINK("[../DB.xlsx]DB!e"&amp;MATCH(ATALI[[#This Row],[concat]],[4]!db[NB NOTA_C],0)+1,"&gt;"))</f>
        <v/>
      </c>
    </row>
    <row r="559" spans="1:25" x14ac:dyDescent="0.25">
      <c r="A559" s="4"/>
      <c r="B559" s="6" t="str">
        <f>IF(ATALI[[#This Row],[N_ID]]="","",INDEX(Table1[ID],MATCH(ATALI[[#This Row],[N_ID]],Table1[N_ID],0)))</f>
        <v/>
      </c>
      <c r="C559" s="6" t="str">
        <f>IF(ATALI[[#This Row],[ID NOTA]]="","",HYPERLINK("[NOTA_.xlsx]NOTA!e"&amp;INDEX([2]!PAJAK[//],MATCH(ATALI[[#This Row],[ID NOTA]],[2]!PAJAK[ID],0)),"&gt;") )</f>
        <v/>
      </c>
      <c r="D559" s="6" t="str">
        <f>IF(ATALI[[#This Row],[ID NOTA]]="","",INDEX(Table1[QB],MATCH(ATALI[[#This Row],[ID NOTA]],Table1[ID],0)))</f>
        <v/>
      </c>
      <c r="E5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9" s="6"/>
      <c r="G559" s="3" t="str">
        <f>IF(ATALI[[#This Row],[ID NOTA]]="","",INDEX([2]!NOTA[TGL_H],MATCH(ATALI[[#This Row],[ID NOTA]],[2]!NOTA[ID],0)))</f>
        <v/>
      </c>
      <c r="H559" s="3" t="str">
        <f>IF(ATALI[[#This Row],[ID NOTA]]="","",INDEX([2]!NOTA[TGL.NOTA],MATCH(ATALI[[#This Row],[ID NOTA]],[2]!NOTA[ID],0)))</f>
        <v/>
      </c>
      <c r="I559" s="4" t="str">
        <f>IF(ATALI[[#This Row],[ID NOTA]]="","",INDEX([2]!NOTA[NO.NOTA],MATCH(ATALI[[#This Row],[ID NOTA]],[2]!NOTA[ID],0)))</f>
        <v/>
      </c>
      <c r="J559" s="4" t="str">
        <f ca="1">IF(ATALI[[#This Row],[//]]="","",INDEX([4]!db[NB PAJAK],ATALI[[#This Row],[stt]]-1))</f>
        <v/>
      </c>
      <c r="K559" s="6" t="str">
        <f ca="1">IF(ATALI[[#This Row],[//]]="","",IF(INDEX([2]!NOTA[C],ATALI[[#This Row],[//]]-2)="","",INDEX([2]!NOTA[C],ATALI[[#This Row],[//]]-2)))</f>
        <v/>
      </c>
      <c r="L559" s="6" t="str">
        <f ca="1">IF(ATALI[[#This Row],[//]]="","",INDEX([2]!NOTA[QTY],ATALI[[#This Row],[//]]-2))</f>
        <v/>
      </c>
      <c r="M559" s="6" t="str">
        <f ca="1">IF(ATALI[[#This Row],[//]]="","",INDEX([2]!NOTA[STN],ATALI[[#This Row],[//]]-2))</f>
        <v/>
      </c>
      <c r="N559" s="5" t="str">
        <f ca="1">IF(ATALI[[#This Row],[//]]="","",INDEX([2]!NOTA[HARGA SATUAN],ATALI[[#This Row],[//]]-2))</f>
        <v/>
      </c>
      <c r="O559" s="7" t="str">
        <f ca="1">IF(ATALI[[#This Row],[//]]="","",INDEX([2]!NOTA[DISC 1],ATALI[[#This Row],[//]]-2))</f>
        <v/>
      </c>
      <c r="P559" s="7" t="str">
        <f ca="1">IF(ATALI[[#This Row],[//]]="","",INDEX([2]!NOTA[DISC 2],ATALI[[#This Row],[//]]-2))</f>
        <v/>
      </c>
      <c r="Q559" s="5" t="str">
        <f ca="1">IF(ATALI[[#This Row],[//]]="","",INDEX([2]!NOTA[TOTAL],ATALI[[#This Row],[//]]-2))</f>
        <v/>
      </c>
      <c r="R5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9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9" s="4" t="str">
        <f ca="1">IF(ATALI[[#This Row],[//]]="","",INDEX([2]!NOTA[NAMA BARANG],ATALI[[#This Row],[//]]-2))</f>
        <v/>
      </c>
      <c r="V559" s="4" t="str">
        <f ca="1">LOWER(SUBSTITUTE(SUBSTITUTE(SUBSTITUTE(SUBSTITUTE(SUBSTITUTE(SUBSTITUTE(SUBSTITUTE(ATALI[[#This Row],[N.B.nota]]," ",""),"-",""),"(",""),")",""),".",""),",",""),"/",""))</f>
        <v/>
      </c>
      <c r="W559" s="4" t="str">
        <f ca="1">IF(ATALI[[#This Row],[concat]]="","",MATCH(ATALI[[#This Row],[concat]],[4]!db[NB NOTA_C],0)+1)</f>
        <v/>
      </c>
      <c r="X559" s="4" t="str">
        <f ca="1">IF(ATALI[[#This Row],[N.B.nota]]="","",ADDRESS(ROW(ATALI[QB]),COLUMN(ATALI[QB]))&amp;":"&amp;ADDRESS(ROW(),COLUMN(ATALI[QB])))</f>
        <v/>
      </c>
      <c r="Y559" s="53" t="str">
        <f ca="1">IF(ATALI[[#This Row],[//]]="","",HYPERLINK("[../DB.xlsx]DB!e"&amp;MATCH(ATALI[[#This Row],[concat]],[4]!db[NB NOTA_C],0)+1,"&gt;"))</f>
        <v/>
      </c>
    </row>
    <row r="560" spans="1:25" x14ac:dyDescent="0.25">
      <c r="A560" s="4"/>
      <c r="B560" s="6" t="str">
        <f>IF(ATALI[[#This Row],[N_ID]]="","",INDEX(Table1[ID],MATCH(ATALI[[#This Row],[N_ID]],Table1[N_ID],0)))</f>
        <v/>
      </c>
      <c r="C560" s="6" t="str">
        <f>IF(ATALI[[#This Row],[ID NOTA]]="","",HYPERLINK("[NOTA_.xlsx]NOTA!e"&amp;INDEX([2]!PAJAK[//],MATCH(ATALI[[#This Row],[ID NOTA]],[2]!PAJAK[ID],0)),"&gt;") )</f>
        <v/>
      </c>
      <c r="D560" s="6" t="str">
        <f>IF(ATALI[[#This Row],[ID NOTA]]="","",INDEX(Table1[QB],MATCH(ATALI[[#This Row],[ID NOTA]],Table1[ID],0)))</f>
        <v/>
      </c>
      <c r="E5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0" s="6"/>
      <c r="G560" s="3" t="str">
        <f>IF(ATALI[[#This Row],[ID NOTA]]="","",INDEX([2]!NOTA[TGL_H],MATCH(ATALI[[#This Row],[ID NOTA]],[2]!NOTA[ID],0)))</f>
        <v/>
      </c>
      <c r="H560" s="3" t="str">
        <f>IF(ATALI[[#This Row],[ID NOTA]]="","",INDEX([2]!NOTA[TGL.NOTA],MATCH(ATALI[[#This Row],[ID NOTA]],[2]!NOTA[ID],0)))</f>
        <v/>
      </c>
      <c r="I560" s="4" t="str">
        <f>IF(ATALI[[#This Row],[ID NOTA]]="","",INDEX([2]!NOTA[NO.NOTA],MATCH(ATALI[[#This Row],[ID NOTA]],[2]!NOTA[ID],0)))</f>
        <v/>
      </c>
      <c r="J560" s="4" t="str">
        <f ca="1">IF(ATALI[[#This Row],[//]]="","",INDEX([4]!db[NB PAJAK],ATALI[[#This Row],[stt]]-1))</f>
        <v/>
      </c>
      <c r="K560" s="6" t="str">
        <f ca="1">IF(ATALI[[#This Row],[//]]="","",IF(INDEX([2]!NOTA[C],ATALI[[#This Row],[//]]-2)="","",INDEX([2]!NOTA[C],ATALI[[#This Row],[//]]-2)))</f>
        <v/>
      </c>
      <c r="L560" s="6" t="str">
        <f ca="1">IF(ATALI[[#This Row],[//]]="","",INDEX([2]!NOTA[QTY],ATALI[[#This Row],[//]]-2))</f>
        <v/>
      </c>
      <c r="M560" s="6" t="str">
        <f ca="1">IF(ATALI[[#This Row],[//]]="","",INDEX([2]!NOTA[STN],ATALI[[#This Row],[//]]-2))</f>
        <v/>
      </c>
      <c r="N560" s="5" t="str">
        <f ca="1">IF(ATALI[[#This Row],[//]]="","",INDEX([2]!NOTA[HARGA SATUAN],ATALI[[#This Row],[//]]-2))</f>
        <v/>
      </c>
      <c r="O560" s="7" t="str">
        <f ca="1">IF(ATALI[[#This Row],[//]]="","",INDEX([2]!NOTA[DISC 1],ATALI[[#This Row],[//]]-2))</f>
        <v/>
      </c>
      <c r="P560" s="7" t="str">
        <f ca="1">IF(ATALI[[#This Row],[//]]="","",INDEX([2]!NOTA[DISC 2],ATALI[[#This Row],[//]]-2))</f>
        <v/>
      </c>
      <c r="Q560" s="5" t="str">
        <f ca="1">IF(ATALI[[#This Row],[//]]="","",INDEX([2]!NOTA[TOTAL],ATALI[[#This Row],[//]]-2))</f>
        <v/>
      </c>
      <c r="R5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0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0" s="4" t="str">
        <f ca="1">IF(ATALI[[#This Row],[//]]="","",INDEX([2]!NOTA[NAMA BARANG],ATALI[[#This Row],[//]]-2))</f>
        <v/>
      </c>
      <c r="V560" s="4" t="str">
        <f ca="1">LOWER(SUBSTITUTE(SUBSTITUTE(SUBSTITUTE(SUBSTITUTE(SUBSTITUTE(SUBSTITUTE(SUBSTITUTE(ATALI[[#This Row],[N.B.nota]]," ",""),"-",""),"(",""),")",""),".",""),",",""),"/",""))</f>
        <v/>
      </c>
      <c r="W560" s="4" t="str">
        <f ca="1">IF(ATALI[[#This Row],[concat]]="","",MATCH(ATALI[[#This Row],[concat]],[4]!db[NB NOTA_C],0)+1)</f>
        <v/>
      </c>
      <c r="X560" s="4" t="str">
        <f ca="1">IF(ATALI[[#This Row],[N.B.nota]]="","",ADDRESS(ROW(ATALI[QB]),COLUMN(ATALI[QB]))&amp;":"&amp;ADDRESS(ROW(),COLUMN(ATALI[QB])))</f>
        <v/>
      </c>
      <c r="Y560" s="53" t="str">
        <f ca="1">IF(ATALI[[#This Row],[//]]="","",HYPERLINK("[../DB.xlsx]DB!e"&amp;MATCH(ATALI[[#This Row],[concat]],[4]!db[NB NOTA_C],0)+1,"&gt;"))</f>
        <v/>
      </c>
    </row>
    <row r="561" spans="1:25" x14ac:dyDescent="0.25">
      <c r="A561" s="4"/>
      <c r="B561" s="6" t="str">
        <f>IF(ATALI[[#This Row],[N_ID]]="","",INDEX(Table1[ID],MATCH(ATALI[[#This Row],[N_ID]],Table1[N_ID],0)))</f>
        <v/>
      </c>
      <c r="C561" s="6" t="str">
        <f>IF(ATALI[[#This Row],[ID NOTA]]="","",HYPERLINK("[NOTA_.xlsx]NOTA!e"&amp;INDEX([2]!PAJAK[//],MATCH(ATALI[[#This Row],[ID NOTA]],[2]!PAJAK[ID],0)),"&gt;") )</f>
        <v/>
      </c>
      <c r="D561" s="6" t="str">
        <f>IF(ATALI[[#This Row],[ID NOTA]]="","",INDEX(Table1[QB],MATCH(ATALI[[#This Row],[ID NOTA]],Table1[ID],0)))</f>
        <v/>
      </c>
      <c r="E5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1" s="6"/>
      <c r="G561" s="3" t="str">
        <f>IF(ATALI[[#This Row],[ID NOTA]]="","",INDEX([2]!NOTA[TGL_H],MATCH(ATALI[[#This Row],[ID NOTA]],[2]!NOTA[ID],0)))</f>
        <v/>
      </c>
      <c r="H561" s="3" t="str">
        <f>IF(ATALI[[#This Row],[ID NOTA]]="","",INDEX([2]!NOTA[TGL.NOTA],MATCH(ATALI[[#This Row],[ID NOTA]],[2]!NOTA[ID],0)))</f>
        <v/>
      </c>
      <c r="I561" s="4" t="str">
        <f>IF(ATALI[[#This Row],[ID NOTA]]="","",INDEX([2]!NOTA[NO.NOTA],MATCH(ATALI[[#This Row],[ID NOTA]],[2]!NOTA[ID],0)))</f>
        <v/>
      </c>
      <c r="J561" s="4" t="str">
        <f ca="1">IF(ATALI[[#This Row],[//]]="","",INDEX([4]!db[NB PAJAK],ATALI[[#This Row],[stt]]-1))</f>
        <v/>
      </c>
      <c r="K561" s="6" t="str">
        <f ca="1">IF(ATALI[[#This Row],[//]]="","",IF(INDEX([2]!NOTA[C],ATALI[[#This Row],[//]]-2)="","",INDEX([2]!NOTA[C],ATALI[[#This Row],[//]]-2)))</f>
        <v/>
      </c>
      <c r="L561" s="6" t="str">
        <f ca="1">IF(ATALI[[#This Row],[//]]="","",INDEX([2]!NOTA[QTY],ATALI[[#This Row],[//]]-2))</f>
        <v/>
      </c>
      <c r="M561" s="6" t="str">
        <f ca="1">IF(ATALI[[#This Row],[//]]="","",INDEX([2]!NOTA[STN],ATALI[[#This Row],[//]]-2))</f>
        <v/>
      </c>
      <c r="N561" s="5" t="str">
        <f ca="1">IF(ATALI[[#This Row],[//]]="","",INDEX([2]!NOTA[HARGA SATUAN],ATALI[[#This Row],[//]]-2))</f>
        <v/>
      </c>
      <c r="O561" s="7" t="str">
        <f ca="1">IF(ATALI[[#This Row],[//]]="","",INDEX([2]!NOTA[DISC 1],ATALI[[#This Row],[//]]-2))</f>
        <v/>
      </c>
      <c r="P561" s="7" t="str">
        <f ca="1">IF(ATALI[[#This Row],[//]]="","",INDEX([2]!NOTA[DISC 2],ATALI[[#This Row],[//]]-2))</f>
        <v/>
      </c>
      <c r="Q561" s="5" t="str">
        <f ca="1">IF(ATALI[[#This Row],[//]]="","",INDEX([2]!NOTA[TOTAL],ATALI[[#This Row],[//]]-2))</f>
        <v/>
      </c>
      <c r="R5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1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1" s="4" t="str">
        <f ca="1">IF(ATALI[[#This Row],[//]]="","",INDEX([2]!NOTA[NAMA BARANG],ATALI[[#This Row],[//]]-2))</f>
        <v/>
      </c>
      <c r="V561" s="4" t="str">
        <f ca="1">LOWER(SUBSTITUTE(SUBSTITUTE(SUBSTITUTE(SUBSTITUTE(SUBSTITUTE(SUBSTITUTE(SUBSTITUTE(ATALI[[#This Row],[N.B.nota]]," ",""),"-",""),"(",""),")",""),".",""),",",""),"/",""))</f>
        <v/>
      </c>
      <c r="W561" s="4" t="str">
        <f ca="1">IF(ATALI[[#This Row],[concat]]="","",MATCH(ATALI[[#This Row],[concat]],[4]!db[NB NOTA_C],0)+1)</f>
        <v/>
      </c>
      <c r="X561" s="4" t="str">
        <f ca="1">IF(ATALI[[#This Row],[N.B.nota]]="","",ADDRESS(ROW(ATALI[QB]),COLUMN(ATALI[QB]))&amp;":"&amp;ADDRESS(ROW(),COLUMN(ATALI[QB])))</f>
        <v/>
      </c>
      <c r="Y561" s="53" t="str">
        <f ca="1">IF(ATALI[[#This Row],[//]]="","",HYPERLINK("[../DB.xlsx]DB!e"&amp;MATCH(ATALI[[#This Row],[concat]],[4]!db[NB NOTA_C],0)+1,"&gt;"))</f>
        <v/>
      </c>
    </row>
    <row r="562" spans="1:25" x14ac:dyDescent="0.25">
      <c r="A562" s="4"/>
      <c r="B562" s="6" t="str">
        <f>IF(ATALI[[#This Row],[N_ID]]="","",INDEX(Table1[ID],MATCH(ATALI[[#This Row],[N_ID]],Table1[N_ID],0)))</f>
        <v/>
      </c>
      <c r="C562" s="6" t="str">
        <f>IF(ATALI[[#This Row],[ID NOTA]]="","",HYPERLINK("[NOTA_.xlsx]NOTA!e"&amp;INDEX([2]!PAJAK[//],MATCH(ATALI[[#This Row],[ID NOTA]],[2]!PAJAK[ID],0)),"&gt;") )</f>
        <v/>
      </c>
      <c r="D562" s="6" t="str">
        <f>IF(ATALI[[#This Row],[ID NOTA]]="","",INDEX(Table1[QB],MATCH(ATALI[[#This Row],[ID NOTA]],Table1[ID],0)))</f>
        <v/>
      </c>
      <c r="E5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2" s="6"/>
      <c r="G562" s="3" t="str">
        <f>IF(ATALI[[#This Row],[ID NOTA]]="","",INDEX([2]!NOTA[TGL_H],MATCH(ATALI[[#This Row],[ID NOTA]],[2]!NOTA[ID],0)))</f>
        <v/>
      </c>
      <c r="H562" s="3" t="str">
        <f>IF(ATALI[[#This Row],[ID NOTA]]="","",INDEX([2]!NOTA[TGL.NOTA],MATCH(ATALI[[#This Row],[ID NOTA]],[2]!NOTA[ID],0)))</f>
        <v/>
      </c>
      <c r="I562" s="4" t="str">
        <f>IF(ATALI[[#This Row],[ID NOTA]]="","",INDEX([2]!NOTA[NO.NOTA],MATCH(ATALI[[#This Row],[ID NOTA]],[2]!NOTA[ID],0)))</f>
        <v/>
      </c>
      <c r="J562" s="4" t="str">
        <f ca="1">IF(ATALI[[#This Row],[//]]="","",INDEX([4]!db[NB PAJAK],ATALI[[#This Row],[stt]]-1))</f>
        <v/>
      </c>
      <c r="K562" s="6" t="str">
        <f ca="1">IF(ATALI[[#This Row],[//]]="","",IF(INDEX([2]!NOTA[C],ATALI[[#This Row],[//]]-2)="","",INDEX([2]!NOTA[C],ATALI[[#This Row],[//]]-2)))</f>
        <v/>
      </c>
      <c r="L562" s="6" t="str">
        <f ca="1">IF(ATALI[[#This Row],[//]]="","",INDEX([2]!NOTA[QTY],ATALI[[#This Row],[//]]-2))</f>
        <v/>
      </c>
      <c r="M562" s="6" t="str">
        <f ca="1">IF(ATALI[[#This Row],[//]]="","",INDEX([2]!NOTA[STN],ATALI[[#This Row],[//]]-2))</f>
        <v/>
      </c>
      <c r="N562" s="5" t="str">
        <f ca="1">IF(ATALI[[#This Row],[//]]="","",INDEX([2]!NOTA[HARGA SATUAN],ATALI[[#This Row],[//]]-2))</f>
        <v/>
      </c>
      <c r="O562" s="7" t="str">
        <f ca="1">IF(ATALI[[#This Row],[//]]="","",INDEX([2]!NOTA[DISC 1],ATALI[[#This Row],[//]]-2))</f>
        <v/>
      </c>
      <c r="P562" s="7" t="str">
        <f ca="1">IF(ATALI[[#This Row],[//]]="","",INDEX([2]!NOTA[DISC 2],ATALI[[#This Row],[//]]-2))</f>
        <v/>
      </c>
      <c r="Q562" s="5" t="str">
        <f ca="1">IF(ATALI[[#This Row],[//]]="","",INDEX([2]!NOTA[TOTAL],ATALI[[#This Row],[//]]-2))</f>
        <v/>
      </c>
      <c r="R5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2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2" s="4" t="str">
        <f ca="1">IF(ATALI[[#This Row],[//]]="","",INDEX([2]!NOTA[NAMA BARANG],ATALI[[#This Row],[//]]-2))</f>
        <v/>
      </c>
      <c r="V562" s="4" t="str">
        <f ca="1">LOWER(SUBSTITUTE(SUBSTITUTE(SUBSTITUTE(SUBSTITUTE(SUBSTITUTE(SUBSTITUTE(SUBSTITUTE(ATALI[[#This Row],[N.B.nota]]," ",""),"-",""),"(",""),")",""),".",""),",",""),"/",""))</f>
        <v/>
      </c>
      <c r="W562" s="4" t="str">
        <f ca="1">IF(ATALI[[#This Row],[concat]]="","",MATCH(ATALI[[#This Row],[concat]],[4]!db[NB NOTA_C],0)+1)</f>
        <v/>
      </c>
      <c r="X562" s="4" t="str">
        <f ca="1">IF(ATALI[[#This Row],[N.B.nota]]="","",ADDRESS(ROW(ATALI[QB]),COLUMN(ATALI[QB]))&amp;":"&amp;ADDRESS(ROW(),COLUMN(ATALI[QB])))</f>
        <v/>
      </c>
      <c r="Y562" s="53" t="str">
        <f ca="1">IF(ATALI[[#This Row],[//]]="","",HYPERLINK("[../DB.xlsx]DB!e"&amp;MATCH(ATALI[[#This Row],[concat]],[4]!db[NB NOTA_C],0)+1,"&gt;"))</f>
        <v/>
      </c>
    </row>
    <row r="563" spans="1:25" x14ac:dyDescent="0.25">
      <c r="A563" s="4"/>
      <c r="B563" s="6" t="str">
        <f>IF(ATALI[[#This Row],[N_ID]]="","",INDEX(Table1[ID],MATCH(ATALI[[#This Row],[N_ID]],Table1[N_ID],0)))</f>
        <v/>
      </c>
      <c r="C563" s="6" t="str">
        <f>IF(ATALI[[#This Row],[ID NOTA]]="","",HYPERLINK("[NOTA_.xlsx]NOTA!e"&amp;INDEX([2]!PAJAK[//],MATCH(ATALI[[#This Row],[ID NOTA]],[2]!PAJAK[ID],0)),"&gt;") )</f>
        <v/>
      </c>
      <c r="D563" s="6" t="str">
        <f>IF(ATALI[[#This Row],[ID NOTA]]="","",INDEX(Table1[QB],MATCH(ATALI[[#This Row],[ID NOTA]],Table1[ID],0)))</f>
        <v/>
      </c>
      <c r="E5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3" s="6"/>
      <c r="G563" s="3" t="str">
        <f>IF(ATALI[[#This Row],[ID NOTA]]="","",INDEX([2]!NOTA[TGL_H],MATCH(ATALI[[#This Row],[ID NOTA]],[2]!NOTA[ID],0)))</f>
        <v/>
      </c>
      <c r="H563" s="3" t="str">
        <f>IF(ATALI[[#This Row],[ID NOTA]]="","",INDEX([2]!NOTA[TGL.NOTA],MATCH(ATALI[[#This Row],[ID NOTA]],[2]!NOTA[ID],0)))</f>
        <v/>
      </c>
      <c r="I563" s="4" t="str">
        <f>IF(ATALI[[#This Row],[ID NOTA]]="","",INDEX([2]!NOTA[NO.NOTA],MATCH(ATALI[[#This Row],[ID NOTA]],[2]!NOTA[ID],0)))</f>
        <v/>
      </c>
      <c r="J563" s="4" t="str">
        <f ca="1">IF(ATALI[[#This Row],[//]]="","",INDEX([4]!db[NB PAJAK],ATALI[[#This Row],[stt]]-1))</f>
        <v/>
      </c>
      <c r="K563" s="6" t="str">
        <f ca="1">IF(ATALI[[#This Row],[//]]="","",IF(INDEX([2]!NOTA[C],ATALI[[#This Row],[//]]-2)="","",INDEX([2]!NOTA[C],ATALI[[#This Row],[//]]-2)))</f>
        <v/>
      </c>
      <c r="L563" s="6" t="str">
        <f ca="1">IF(ATALI[[#This Row],[//]]="","",INDEX([2]!NOTA[QTY],ATALI[[#This Row],[//]]-2))</f>
        <v/>
      </c>
      <c r="M563" s="6" t="str">
        <f ca="1">IF(ATALI[[#This Row],[//]]="","",INDEX([2]!NOTA[STN],ATALI[[#This Row],[//]]-2))</f>
        <v/>
      </c>
      <c r="N563" s="5" t="str">
        <f ca="1">IF(ATALI[[#This Row],[//]]="","",INDEX([2]!NOTA[HARGA SATUAN],ATALI[[#This Row],[//]]-2))</f>
        <v/>
      </c>
      <c r="O563" s="7" t="str">
        <f ca="1">IF(ATALI[[#This Row],[//]]="","",INDEX([2]!NOTA[DISC 1],ATALI[[#This Row],[//]]-2))</f>
        <v/>
      </c>
      <c r="P563" s="7" t="str">
        <f ca="1">IF(ATALI[[#This Row],[//]]="","",INDEX([2]!NOTA[DISC 2],ATALI[[#This Row],[//]]-2))</f>
        <v/>
      </c>
      <c r="Q563" s="5" t="str">
        <f ca="1">IF(ATALI[[#This Row],[//]]="","",INDEX([2]!NOTA[TOTAL],ATALI[[#This Row],[//]]-2))</f>
        <v/>
      </c>
      <c r="R5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3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3" s="4" t="str">
        <f ca="1">IF(ATALI[[#This Row],[//]]="","",INDEX([2]!NOTA[NAMA BARANG],ATALI[[#This Row],[//]]-2))</f>
        <v/>
      </c>
      <c r="V563" s="4" t="str">
        <f ca="1">LOWER(SUBSTITUTE(SUBSTITUTE(SUBSTITUTE(SUBSTITUTE(SUBSTITUTE(SUBSTITUTE(SUBSTITUTE(ATALI[[#This Row],[N.B.nota]]," ",""),"-",""),"(",""),")",""),".",""),",",""),"/",""))</f>
        <v/>
      </c>
      <c r="W563" s="4" t="str">
        <f ca="1">IF(ATALI[[#This Row],[concat]]="","",MATCH(ATALI[[#This Row],[concat]],[4]!db[NB NOTA_C],0)+1)</f>
        <v/>
      </c>
      <c r="X563" s="4" t="str">
        <f ca="1">IF(ATALI[[#This Row],[N.B.nota]]="","",ADDRESS(ROW(ATALI[QB]),COLUMN(ATALI[QB]))&amp;":"&amp;ADDRESS(ROW(),COLUMN(ATALI[QB])))</f>
        <v/>
      </c>
      <c r="Y563" s="53" t="str">
        <f ca="1">IF(ATALI[[#This Row],[//]]="","",HYPERLINK("[../DB.xlsx]DB!e"&amp;MATCH(ATALI[[#This Row],[concat]],[4]!db[NB NOTA_C],0)+1,"&gt;"))</f>
        <v/>
      </c>
    </row>
    <row r="564" spans="1:25" x14ac:dyDescent="0.25">
      <c r="A564" s="4"/>
      <c r="B564" s="6" t="str">
        <f>IF(ATALI[[#This Row],[N_ID]]="","",INDEX(Table1[ID],MATCH(ATALI[[#This Row],[N_ID]],Table1[N_ID],0)))</f>
        <v/>
      </c>
      <c r="C564" s="6" t="str">
        <f>IF(ATALI[[#This Row],[ID NOTA]]="","",HYPERLINK("[NOTA_.xlsx]NOTA!e"&amp;INDEX([2]!PAJAK[//],MATCH(ATALI[[#This Row],[ID NOTA]],[2]!PAJAK[ID],0)),"&gt;") )</f>
        <v/>
      </c>
      <c r="D564" s="6" t="str">
        <f>IF(ATALI[[#This Row],[ID NOTA]]="","",INDEX(Table1[QB],MATCH(ATALI[[#This Row],[ID NOTA]],Table1[ID],0)))</f>
        <v/>
      </c>
      <c r="E5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4" s="6"/>
      <c r="G564" s="3" t="str">
        <f>IF(ATALI[[#This Row],[ID NOTA]]="","",INDEX([2]!NOTA[TGL_H],MATCH(ATALI[[#This Row],[ID NOTA]],[2]!NOTA[ID],0)))</f>
        <v/>
      </c>
      <c r="H564" s="3" t="str">
        <f>IF(ATALI[[#This Row],[ID NOTA]]="","",INDEX([2]!NOTA[TGL.NOTA],MATCH(ATALI[[#This Row],[ID NOTA]],[2]!NOTA[ID],0)))</f>
        <v/>
      </c>
      <c r="I564" s="4" t="str">
        <f>IF(ATALI[[#This Row],[ID NOTA]]="","",INDEX([2]!NOTA[NO.NOTA],MATCH(ATALI[[#This Row],[ID NOTA]],[2]!NOTA[ID],0)))</f>
        <v/>
      </c>
      <c r="J564" s="4" t="str">
        <f ca="1">IF(ATALI[[#This Row],[//]]="","",INDEX([4]!db[NB PAJAK],ATALI[[#This Row],[stt]]-1))</f>
        <v/>
      </c>
      <c r="K564" s="6" t="str">
        <f ca="1">IF(ATALI[[#This Row],[//]]="","",IF(INDEX([2]!NOTA[C],ATALI[[#This Row],[//]]-2)="","",INDEX([2]!NOTA[C],ATALI[[#This Row],[//]]-2)))</f>
        <v/>
      </c>
      <c r="L564" s="6" t="str">
        <f ca="1">IF(ATALI[[#This Row],[//]]="","",INDEX([2]!NOTA[QTY],ATALI[[#This Row],[//]]-2))</f>
        <v/>
      </c>
      <c r="M564" s="6" t="str">
        <f ca="1">IF(ATALI[[#This Row],[//]]="","",INDEX([2]!NOTA[STN],ATALI[[#This Row],[//]]-2))</f>
        <v/>
      </c>
      <c r="N564" s="5" t="str">
        <f ca="1">IF(ATALI[[#This Row],[//]]="","",INDEX([2]!NOTA[HARGA SATUAN],ATALI[[#This Row],[//]]-2))</f>
        <v/>
      </c>
      <c r="O564" s="7" t="str">
        <f ca="1">IF(ATALI[[#This Row],[//]]="","",INDEX([2]!NOTA[DISC 1],ATALI[[#This Row],[//]]-2))</f>
        <v/>
      </c>
      <c r="P564" s="7" t="str">
        <f ca="1">IF(ATALI[[#This Row],[//]]="","",INDEX([2]!NOTA[DISC 2],ATALI[[#This Row],[//]]-2))</f>
        <v/>
      </c>
      <c r="Q564" s="5" t="str">
        <f ca="1">IF(ATALI[[#This Row],[//]]="","",INDEX([2]!NOTA[TOTAL],ATALI[[#This Row],[//]]-2))</f>
        <v/>
      </c>
      <c r="R5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4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4" s="4" t="str">
        <f ca="1">IF(ATALI[[#This Row],[//]]="","",INDEX([2]!NOTA[NAMA BARANG],ATALI[[#This Row],[//]]-2))</f>
        <v/>
      </c>
      <c r="V564" s="4" t="str">
        <f ca="1">LOWER(SUBSTITUTE(SUBSTITUTE(SUBSTITUTE(SUBSTITUTE(SUBSTITUTE(SUBSTITUTE(SUBSTITUTE(ATALI[[#This Row],[N.B.nota]]," ",""),"-",""),"(",""),")",""),".",""),",",""),"/",""))</f>
        <v/>
      </c>
      <c r="W564" s="4" t="str">
        <f ca="1">IF(ATALI[[#This Row],[concat]]="","",MATCH(ATALI[[#This Row],[concat]],[4]!db[NB NOTA_C],0)+1)</f>
        <v/>
      </c>
      <c r="X564" s="4" t="str">
        <f ca="1">IF(ATALI[[#This Row],[N.B.nota]]="","",ADDRESS(ROW(ATALI[QB]),COLUMN(ATALI[QB]))&amp;":"&amp;ADDRESS(ROW(),COLUMN(ATALI[QB])))</f>
        <v/>
      </c>
      <c r="Y564" s="53" t="str">
        <f ca="1">IF(ATALI[[#This Row],[//]]="","",HYPERLINK("[../DB.xlsx]DB!e"&amp;MATCH(ATALI[[#This Row],[concat]],[4]!db[NB NOTA_C],0)+1,"&gt;"))</f>
        <v/>
      </c>
    </row>
    <row r="565" spans="1:25" x14ac:dyDescent="0.25">
      <c r="A565" s="4"/>
      <c r="B565" s="6" t="str">
        <f>IF(ATALI[[#This Row],[N_ID]]="","",INDEX(Table1[ID],MATCH(ATALI[[#This Row],[N_ID]],Table1[N_ID],0)))</f>
        <v/>
      </c>
      <c r="C565" s="6" t="str">
        <f>IF(ATALI[[#This Row],[ID NOTA]]="","",HYPERLINK("[NOTA_.xlsx]NOTA!e"&amp;INDEX([2]!PAJAK[//],MATCH(ATALI[[#This Row],[ID NOTA]],[2]!PAJAK[ID],0)),"&gt;") )</f>
        <v/>
      </c>
      <c r="D565" s="6" t="str">
        <f>IF(ATALI[[#This Row],[ID NOTA]]="","",INDEX(Table1[QB],MATCH(ATALI[[#This Row],[ID NOTA]],Table1[ID],0)))</f>
        <v/>
      </c>
      <c r="E5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5" s="6"/>
      <c r="G565" s="3" t="str">
        <f>IF(ATALI[[#This Row],[ID NOTA]]="","",INDEX([2]!NOTA[TGL_H],MATCH(ATALI[[#This Row],[ID NOTA]],[2]!NOTA[ID],0)))</f>
        <v/>
      </c>
      <c r="H565" s="3" t="str">
        <f>IF(ATALI[[#This Row],[ID NOTA]]="","",INDEX([2]!NOTA[TGL.NOTA],MATCH(ATALI[[#This Row],[ID NOTA]],[2]!NOTA[ID],0)))</f>
        <v/>
      </c>
      <c r="I565" s="4" t="str">
        <f>IF(ATALI[[#This Row],[ID NOTA]]="","",INDEX([2]!NOTA[NO.NOTA],MATCH(ATALI[[#This Row],[ID NOTA]],[2]!NOTA[ID],0)))</f>
        <v/>
      </c>
      <c r="J565" s="4" t="str">
        <f ca="1">IF(ATALI[[#This Row],[//]]="","",INDEX([4]!db[NB PAJAK],ATALI[[#This Row],[stt]]-1))</f>
        <v/>
      </c>
      <c r="K565" s="6" t="str">
        <f ca="1">IF(ATALI[[#This Row],[//]]="","",IF(INDEX([2]!NOTA[C],ATALI[[#This Row],[//]]-2)="","",INDEX([2]!NOTA[C],ATALI[[#This Row],[//]]-2)))</f>
        <v/>
      </c>
      <c r="L565" s="6" t="str">
        <f ca="1">IF(ATALI[[#This Row],[//]]="","",INDEX([2]!NOTA[QTY],ATALI[[#This Row],[//]]-2))</f>
        <v/>
      </c>
      <c r="M565" s="6" t="str">
        <f ca="1">IF(ATALI[[#This Row],[//]]="","",INDEX([2]!NOTA[STN],ATALI[[#This Row],[//]]-2))</f>
        <v/>
      </c>
      <c r="N565" s="5" t="str">
        <f ca="1">IF(ATALI[[#This Row],[//]]="","",INDEX([2]!NOTA[HARGA SATUAN],ATALI[[#This Row],[//]]-2))</f>
        <v/>
      </c>
      <c r="O565" s="7" t="str">
        <f ca="1">IF(ATALI[[#This Row],[//]]="","",INDEX([2]!NOTA[DISC 1],ATALI[[#This Row],[//]]-2))</f>
        <v/>
      </c>
      <c r="P565" s="7" t="str">
        <f ca="1">IF(ATALI[[#This Row],[//]]="","",INDEX([2]!NOTA[DISC 2],ATALI[[#This Row],[//]]-2))</f>
        <v/>
      </c>
      <c r="Q565" s="5" t="str">
        <f ca="1">IF(ATALI[[#This Row],[//]]="","",INDEX([2]!NOTA[TOTAL],ATALI[[#This Row],[//]]-2))</f>
        <v/>
      </c>
      <c r="R5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5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5" s="4" t="str">
        <f ca="1">IF(ATALI[[#This Row],[//]]="","",INDEX([2]!NOTA[NAMA BARANG],ATALI[[#This Row],[//]]-2))</f>
        <v/>
      </c>
      <c r="V565" s="4" t="str">
        <f ca="1">LOWER(SUBSTITUTE(SUBSTITUTE(SUBSTITUTE(SUBSTITUTE(SUBSTITUTE(SUBSTITUTE(SUBSTITUTE(ATALI[[#This Row],[N.B.nota]]," ",""),"-",""),"(",""),")",""),".",""),",",""),"/",""))</f>
        <v/>
      </c>
      <c r="W565" s="4" t="str">
        <f ca="1">IF(ATALI[[#This Row],[concat]]="","",MATCH(ATALI[[#This Row],[concat]],[4]!db[NB NOTA_C],0)+1)</f>
        <v/>
      </c>
      <c r="X565" s="4" t="str">
        <f ca="1">IF(ATALI[[#This Row],[N.B.nota]]="","",ADDRESS(ROW(ATALI[QB]),COLUMN(ATALI[QB]))&amp;":"&amp;ADDRESS(ROW(),COLUMN(ATALI[QB])))</f>
        <v/>
      </c>
      <c r="Y565" s="53" t="str">
        <f ca="1">IF(ATALI[[#This Row],[//]]="","",HYPERLINK("[../DB.xlsx]DB!e"&amp;MATCH(ATALI[[#This Row],[concat]],[4]!db[NB NOTA_C],0)+1,"&gt;"))</f>
        <v/>
      </c>
    </row>
    <row r="566" spans="1:25" x14ac:dyDescent="0.25">
      <c r="A566" s="4"/>
      <c r="B566" s="6" t="str">
        <f>IF(ATALI[[#This Row],[N_ID]]="","",INDEX(Table1[ID],MATCH(ATALI[[#This Row],[N_ID]],Table1[N_ID],0)))</f>
        <v/>
      </c>
      <c r="C566" s="6" t="str">
        <f>IF(ATALI[[#This Row],[ID NOTA]]="","",HYPERLINK("[NOTA_.xlsx]NOTA!e"&amp;INDEX([2]!PAJAK[//],MATCH(ATALI[[#This Row],[ID NOTA]],[2]!PAJAK[ID],0)),"&gt;") )</f>
        <v/>
      </c>
      <c r="D566" s="6" t="str">
        <f>IF(ATALI[[#This Row],[ID NOTA]]="","",INDEX(Table1[QB],MATCH(ATALI[[#This Row],[ID NOTA]],Table1[ID],0)))</f>
        <v/>
      </c>
      <c r="E5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6" s="6"/>
      <c r="G566" s="3" t="str">
        <f>IF(ATALI[[#This Row],[ID NOTA]]="","",INDEX([2]!NOTA[TGL_H],MATCH(ATALI[[#This Row],[ID NOTA]],[2]!NOTA[ID],0)))</f>
        <v/>
      </c>
      <c r="H566" s="3" t="str">
        <f>IF(ATALI[[#This Row],[ID NOTA]]="","",INDEX([2]!NOTA[TGL.NOTA],MATCH(ATALI[[#This Row],[ID NOTA]],[2]!NOTA[ID],0)))</f>
        <v/>
      </c>
      <c r="I566" s="4" t="str">
        <f>IF(ATALI[[#This Row],[ID NOTA]]="","",INDEX([2]!NOTA[NO.NOTA],MATCH(ATALI[[#This Row],[ID NOTA]],[2]!NOTA[ID],0)))</f>
        <v/>
      </c>
      <c r="J566" s="4" t="str">
        <f ca="1">IF(ATALI[[#This Row],[//]]="","",INDEX([4]!db[NB PAJAK],ATALI[[#This Row],[stt]]-1))</f>
        <v/>
      </c>
      <c r="K566" s="6" t="str">
        <f ca="1">IF(ATALI[[#This Row],[//]]="","",IF(INDEX([2]!NOTA[C],ATALI[[#This Row],[//]]-2)="","",INDEX([2]!NOTA[C],ATALI[[#This Row],[//]]-2)))</f>
        <v/>
      </c>
      <c r="L566" s="6" t="str">
        <f ca="1">IF(ATALI[[#This Row],[//]]="","",INDEX([2]!NOTA[QTY],ATALI[[#This Row],[//]]-2))</f>
        <v/>
      </c>
      <c r="M566" s="6" t="str">
        <f ca="1">IF(ATALI[[#This Row],[//]]="","",INDEX([2]!NOTA[STN],ATALI[[#This Row],[//]]-2))</f>
        <v/>
      </c>
      <c r="N566" s="5" t="str">
        <f ca="1">IF(ATALI[[#This Row],[//]]="","",INDEX([2]!NOTA[HARGA SATUAN],ATALI[[#This Row],[//]]-2))</f>
        <v/>
      </c>
      <c r="O566" s="7" t="str">
        <f ca="1">IF(ATALI[[#This Row],[//]]="","",INDEX([2]!NOTA[DISC 1],ATALI[[#This Row],[//]]-2))</f>
        <v/>
      </c>
      <c r="P566" s="7" t="str">
        <f ca="1">IF(ATALI[[#This Row],[//]]="","",INDEX([2]!NOTA[DISC 2],ATALI[[#This Row],[//]]-2))</f>
        <v/>
      </c>
      <c r="Q566" s="5" t="str">
        <f ca="1">IF(ATALI[[#This Row],[//]]="","",INDEX([2]!NOTA[TOTAL],ATALI[[#This Row],[//]]-2))</f>
        <v/>
      </c>
      <c r="R5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6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6" s="4" t="str">
        <f ca="1">IF(ATALI[[#This Row],[//]]="","",INDEX([2]!NOTA[NAMA BARANG],ATALI[[#This Row],[//]]-2))</f>
        <v/>
      </c>
      <c r="V566" s="4" t="str">
        <f ca="1">LOWER(SUBSTITUTE(SUBSTITUTE(SUBSTITUTE(SUBSTITUTE(SUBSTITUTE(SUBSTITUTE(SUBSTITUTE(ATALI[[#This Row],[N.B.nota]]," ",""),"-",""),"(",""),")",""),".",""),",",""),"/",""))</f>
        <v/>
      </c>
      <c r="W566" s="4" t="str">
        <f ca="1">IF(ATALI[[#This Row],[concat]]="","",MATCH(ATALI[[#This Row],[concat]],[4]!db[NB NOTA_C],0)+1)</f>
        <v/>
      </c>
      <c r="X566" s="4" t="str">
        <f ca="1">IF(ATALI[[#This Row],[N.B.nota]]="","",ADDRESS(ROW(ATALI[QB]),COLUMN(ATALI[QB]))&amp;":"&amp;ADDRESS(ROW(),COLUMN(ATALI[QB])))</f>
        <v/>
      </c>
      <c r="Y566" s="53" t="str">
        <f ca="1">IF(ATALI[[#This Row],[//]]="","",HYPERLINK("[../DB.xlsx]DB!e"&amp;MATCH(ATALI[[#This Row],[concat]],[4]!db[NB NOTA_C],0)+1,"&gt;"))</f>
        <v/>
      </c>
    </row>
    <row r="567" spans="1:25" x14ac:dyDescent="0.25">
      <c r="A567" s="4"/>
      <c r="B567" s="6" t="str">
        <f>IF(ATALI[[#This Row],[N_ID]]="","",INDEX(Table1[ID],MATCH(ATALI[[#This Row],[N_ID]],Table1[N_ID],0)))</f>
        <v/>
      </c>
      <c r="C567" s="6" t="str">
        <f>IF(ATALI[[#This Row],[ID NOTA]]="","",HYPERLINK("[NOTA_.xlsx]NOTA!e"&amp;INDEX([2]!PAJAK[//],MATCH(ATALI[[#This Row],[ID NOTA]],[2]!PAJAK[ID],0)),"&gt;") )</f>
        <v/>
      </c>
      <c r="D567" s="6" t="str">
        <f>IF(ATALI[[#This Row],[ID NOTA]]="","",INDEX(Table1[QB],MATCH(ATALI[[#This Row],[ID NOTA]],Table1[ID],0)))</f>
        <v/>
      </c>
      <c r="E5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7" s="6"/>
      <c r="G567" s="3" t="str">
        <f>IF(ATALI[[#This Row],[ID NOTA]]="","",INDEX([2]!NOTA[TGL_H],MATCH(ATALI[[#This Row],[ID NOTA]],[2]!NOTA[ID],0)))</f>
        <v/>
      </c>
      <c r="H567" s="3" t="str">
        <f>IF(ATALI[[#This Row],[ID NOTA]]="","",INDEX([2]!NOTA[TGL.NOTA],MATCH(ATALI[[#This Row],[ID NOTA]],[2]!NOTA[ID],0)))</f>
        <v/>
      </c>
      <c r="I567" s="4" t="str">
        <f>IF(ATALI[[#This Row],[ID NOTA]]="","",INDEX([2]!NOTA[NO.NOTA],MATCH(ATALI[[#This Row],[ID NOTA]],[2]!NOTA[ID],0)))</f>
        <v/>
      </c>
      <c r="J567" s="4" t="str">
        <f ca="1">IF(ATALI[[#This Row],[//]]="","",INDEX([4]!db[NB PAJAK],ATALI[[#This Row],[stt]]-1))</f>
        <v/>
      </c>
      <c r="K567" s="6" t="str">
        <f ca="1">IF(ATALI[[#This Row],[//]]="","",IF(INDEX([2]!NOTA[C],ATALI[[#This Row],[//]]-2)="","",INDEX([2]!NOTA[C],ATALI[[#This Row],[//]]-2)))</f>
        <v/>
      </c>
      <c r="L567" s="6" t="str">
        <f ca="1">IF(ATALI[[#This Row],[//]]="","",INDEX([2]!NOTA[QTY],ATALI[[#This Row],[//]]-2))</f>
        <v/>
      </c>
      <c r="M567" s="6" t="str">
        <f ca="1">IF(ATALI[[#This Row],[//]]="","",INDEX([2]!NOTA[STN],ATALI[[#This Row],[//]]-2))</f>
        <v/>
      </c>
      <c r="N567" s="5" t="str">
        <f ca="1">IF(ATALI[[#This Row],[//]]="","",INDEX([2]!NOTA[HARGA SATUAN],ATALI[[#This Row],[//]]-2))</f>
        <v/>
      </c>
      <c r="O567" s="7" t="str">
        <f ca="1">IF(ATALI[[#This Row],[//]]="","",INDEX([2]!NOTA[DISC 1],ATALI[[#This Row],[//]]-2))</f>
        <v/>
      </c>
      <c r="P567" s="7" t="str">
        <f ca="1">IF(ATALI[[#This Row],[//]]="","",INDEX([2]!NOTA[DISC 2],ATALI[[#This Row],[//]]-2))</f>
        <v/>
      </c>
      <c r="Q567" s="5" t="str">
        <f ca="1">IF(ATALI[[#This Row],[//]]="","",INDEX([2]!NOTA[TOTAL],ATALI[[#This Row],[//]]-2))</f>
        <v/>
      </c>
      <c r="R5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7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7" s="4" t="str">
        <f ca="1">IF(ATALI[[#This Row],[//]]="","",INDEX([2]!NOTA[NAMA BARANG],ATALI[[#This Row],[//]]-2))</f>
        <v/>
      </c>
      <c r="V567" s="4" t="str">
        <f ca="1">LOWER(SUBSTITUTE(SUBSTITUTE(SUBSTITUTE(SUBSTITUTE(SUBSTITUTE(SUBSTITUTE(SUBSTITUTE(ATALI[[#This Row],[N.B.nota]]," ",""),"-",""),"(",""),")",""),".",""),",",""),"/",""))</f>
        <v/>
      </c>
      <c r="W567" s="4" t="str">
        <f ca="1">IF(ATALI[[#This Row],[concat]]="","",MATCH(ATALI[[#This Row],[concat]],[4]!db[NB NOTA_C],0)+1)</f>
        <v/>
      </c>
      <c r="X567" s="4" t="str">
        <f ca="1">IF(ATALI[[#This Row],[N.B.nota]]="","",ADDRESS(ROW(ATALI[QB]),COLUMN(ATALI[QB]))&amp;":"&amp;ADDRESS(ROW(),COLUMN(ATALI[QB])))</f>
        <v/>
      </c>
      <c r="Y567" s="53" t="str">
        <f ca="1">IF(ATALI[[#This Row],[//]]="","",HYPERLINK("[../DB.xlsx]DB!e"&amp;MATCH(ATALI[[#This Row],[concat]],[4]!db[NB NOTA_C],0)+1,"&gt;"))</f>
        <v/>
      </c>
    </row>
    <row r="568" spans="1:25" x14ac:dyDescent="0.25">
      <c r="A568" s="4"/>
      <c r="B568" s="6" t="str">
        <f>IF(ATALI[[#This Row],[N_ID]]="","",INDEX(Table1[ID],MATCH(ATALI[[#This Row],[N_ID]],Table1[N_ID],0)))</f>
        <v/>
      </c>
      <c r="C568" s="6" t="str">
        <f>IF(ATALI[[#This Row],[ID NOTA]]="","",HYPERLINK("[NOTA_.xlsx]NOTA!e"&amp;INDEX([2]!PAJAK[//],MATCH(ATALI[[#This Row],[ID NOTA]],[2]!PAJAK[ID],0)),"&gt;") )</f>
        <v/>
      </c>
      <c r="D568" s="6" t="str">
        <f>IF(ATALI[[#This Row],[ID NOTA]]="","",INDEX(Table1[QB],MATCH(ATALI[[#This Row],[ID NOTA]],Table1[ID],0)))</f>
        <v/>
      </c>
      <c r="E5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8" s="6"/>
      <c r="G568" s="3" t="str">
        <f>IF(ATALI[[#This Row],[ID NOTA]]="","",INDEX([2]!NOTA[TGL_H],MATCH(ATALI[[#This Row],[ID NOTA]],[2]!NOTA[ID],0)))</f>
        <v/>
      </c>
      <c r="H568" s="3" t="str">
        <f>IF(ATALI[[#This Row],[ID NOTA]]="","",INDEX([2]!NOTA[TGL.NOTA],MATCH(ATALI[[#This Row],[ID NOTA]],[2]!NOTA[ID],0)))</f>
        <v/>
      </c>
      <c r="I568" s="4" t="str">
        <f>IF(ATALI[[#This Row],[ID NOTA]]="","",INDEX([2]!NOTA[NO.NOTA],MATCH(ATALI[[#This Row],[ID NOTA]],[2]!NOTA[ID],0)))</f>
        <v/>
      </c>
      <c r="J568" s="4" t="str">
        <f ca="1">IF(ATALI[[#This Row],[//]]="","",INDEX([4]!db[NB PAJAK],ATALI[[#This Row],[stt]]-1))</f>
        <v/>
      </c>
      <c r="K568" s="6" t="str">
        <f ca="1">IF(ATALI[[#This Row],[//]]="","",IF(INDEX([2]!NOTA[C],ATALI[[#This Row],[//]]-2)="","",INDEX([2]!NOTA[C],ATALI[[#This Row],[//]]-2)))</f>
        <v/>
      </c>
      <c r="L568" s="6" t="str">
        <f ca="1">IF(ATALI[[#This Row],[//]]="","",INDEX([2]!NOTA[QTY],ATALI[[#This Row],[//]]-2))</f>
        <v/>
      </c>
      <c r="M568" s="6" t="str">
        <f ca="1">IF(ATALI[[#This Row],[//]]="","",INDEX([2]!NOTA[STN],ATALI[[#This Row],[//]]-2))</f>
        <v/>
      </c>
      <c r="N568" s="5" t="str">
        <f ca="1">IF(ATALI[[#This Row],[//]]="","",INDEX([2]!NOTA[HARGA SATUAN],ATALI[[#This Row],[//]]-2))</f>
        <v/>
      </c>
      <c r="O568" s="7" t="str">
        <f ca="1">IF(ATALI[[#This Row],[//]]="","",INDEX([2]!NOTA[DISC 1],ATALI[[#This Row],[//]]-2))</f>
        <v/>
      </c>
      <c r="P568" s="7" t="str">
        <f ca="1">IF(ATALI[[#This Row],[//]]="","",INDEX([2]!NOTA[DISC 2],ATALI[[#This Row],[//]]-2))</f>
        <v/>
      </c>
      <c r="Q568" s="5" t="str">
        <f ca="1">IF(ATALI[[#This Row],[//]]="","",INDEX([2]!NOTA[TOTAL],ATALI[[#This Row],[//]]-2))</f>
        <v/>
      </c>
      <c r="R5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8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8" s="4" t="str">
        <f ca="1">IF(ATALI[[#This Row],[//]]="","",INDEX([2]!NOTA[NAMA BARANG],ATALI[[#This Row],[//]]-2))</f>
        <v/>
      </c>
      <c r="V568" s="4" t="str">
        <f ca="1">LOWER(SUBSTITUTE(SUBSTITUTE(SUBSTITUTE(SUBSTITUTE(SUBSTITUTE(SUBSTITUTE(SUBSTITUTE(ATALI[[#This Row],[N.B.nota]]," ",""),"-",""),"(",""),")",""),".",""),",",""),"/",""))</f>
        <v/>
      </c>
      <c r="W568" s="4" t="str">
        <f ca="1">IF(ATALI[[#This Row],[concat]]="","",MATCH(ATALI[[#This Row],[concat]],[4]!db[NB NOTA_C],0)+1)</f>
        <v/>
      </c>
      <c r="X568" s="4" t="str">
        <f ca="1">IF(ATALI[[#This Row],[N.B.nota]]="","",ADDRESS(ROW(ATALI[QB]),COLUMN(ATALI[QB]))&amp;":"&amp;ADDRESS(ROW(),COLUMN(ATALI[QB])))</f>
        <v/>
      </c>
      <c r="Y568" s="53" t="str">
        <f ca="1">IF(ATALI[[#This Row],[//]]="","",HYPERLINK("[../DB.xlsx]DB!e"&amp;MATCH(ATALI[[#This Row],[concat]],[4]!db[NB NOTA_C],0)+1,"&gt;"))</f>
        <v/>
      </c>
    </row>
    <row r="569" spans="1:25" x14ac:dyDescent="0.25">
      <c r="A569" s="4"/>
      <c r="B569" s="6" t="str">
        <f>IF(ATALI[[#This Row],[N_ID]]="","",INDEX(Table1[ID],MATCH(ATALI[[#This Row],[N_ID]],Table1[N_ID],0)))</f>
        <v/>
      </c>
      <c r="C569" s="6" t="str">
        <f>IF(ATALI[[#This Row],[ID NOTA]]="","",HYPERLINK("[NOTA_.xlsx]NOTA!e"&amp;INDEX([2]!PAJAK[//],MATCH(ATALI[[#This Row],[ID NOTA]],[2]!PAJAK[ID],0)),"&gt;") )</f>
        <v/>
      </c>
      <c r="D569" s="6" t="str">
        <f>IF(ATALI[[#This Row],[ID NOTA]]="","",INDEX(Table1[QB],MATCH(ATALI[[#This Row],[ID NOTA]],Table1[ID],0)))</f>
        <v/>
      </c>
      <c r="E5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9" s="6"/>
      <c r="G569" s="3" t="str">
        <f>IF(ATALI[[#This Row],[ID NOTA]]="","",INDEX([2]!NOTA[TGL_H],MATCH(ATALI[[#This Row],[ID NOTA]],[2]!NOTA[ID],0)))</f>
        <v/>
      </c>
      <c r="H569" s="3" t="str">
        <f>IF(ATALI[[#This Row],[ID NOTA]]="","",INDEX([2]!NOTA[TGL.NOTA],MATCH(ATALI[[#This Row],[ID NOTA]],[2]!NOTA[ID],0)))</f>
        <v/>
      </c>
      <c r="I569" s="4" t="str">
        <f>IF(ATALI[[#This Row],[ID NOTA]]="","",INDEX([2]!NOTA[NO.NOTA],MATCH(ATALI[[#This Row],[ID NOTA]],[2]!NOTA[ID],0)))</f>
        <v/>
      </c>
      <c r="J569" s="4" t="str">
        <f ca="1">IF(ATALI[[#This Row],[//]]="","",INDEX([4]!db[NB PAJAK],ATALI[[#This Row],[stt]]-1))</f>
        <v/>
      </c>
      <c r="K569" s="6" t="str">
        <f ca="1">IF(ATALI[[#This Row],[//]]="","",IF(INDEX([2]!NOTA[C],ATALI[[#This Row],[//]]-2)="","",INDEX([2]!NOTA[C],ATALI[[#This Row],[//]]-2)))</f>
        <v/>
      </c>
      <c r="L569" s="6" t="str">
        <f ca="1">IF(ATALI[[#This Row],[//]]="","",INDEX([2]!NOTA[QTY],ATALI[[#This Row],[//]]-2))</f>
        <v/>
      </c>
      <c r="M569" s="6" t="str">
        <f ca="1">IF(ATALI[[#This Row],[//]]="","",INDEX([2]!NOTA[STN],ATALI[[#This Row],[//]]-2))</f>
        <v/>
      </c>
      <c r="N569" s="5" t="str">
        <f ca="1">IF(ATALI[[#This Row],[//]]="","",INDEX([2]!NOTA[HARGA SATUAN],ATALI[[#This Row],[//]]-2))</f>
        <v/>
      </c>
      <c r="O569" s="7" t="str">
        <f ca="1">IF(ATALI[[#This Row],[//]]="","",INDEX([2]!NOTA[DISC 1],ATALI[[#This Row],[//]]-2))</f>
        <v/>
      </c>
      <c r="P569" s="7" t="str">
        <f ca="1">IF(ATALI[[#This Row],[//]]="","",INDEX([2]!NOTA[DISC 2],ATALI[[#This Row],[//]]-2))</f>
        <v/>
      </c>
      <c r="Q569" s="5" t="str">
        <f ca="1">IF(ATALI[[#This Row],[//]]="","",INDEX([2]!NOTA[TOTAL],ATALI[[#This Row],[//]]-2))</f>
        <v/>
      </c>
      <c r="R5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9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9" s="4" t="str">
        <f ca="1">IF(ATALI[[#This Row],[//]]="","",INDEX([2]!NOTA[NAMA BARANG],ATALI[[#This Row],[//]]-2))</f>
        <v/>
      </c>
      <c r="V569" s="4" t="str">
        <f ca="1">LOWER(SUBSTITUTE(SUBSTITUTE(SUBSTITUTE(SUBSTITUTE(SUBSTITUTE(SUBSTITUTE(SUBSTITUTE(ATALI[[#This Row],[N.B.nota]]," ",""),"-",""),"(",""),")",""),".",""),",",""),"/",""))</f>
        <v/>
      </c>
      <c r="W569" s="4" t="str">
        <f ca="1">IF(ATALI[[#This Row],[concat]]="","",MATCH(ATALI[[#This Row],[concat]],[4]!db[NB NOTA_C],0)+1)</f>
        <v/>
      </c>
      <c r="X569" s="4" t="str">
        <f ca="1">IF(ATALI[[#This Row],[N.B.nota]]="","",ADDRESS(ROW(ATALI[QB]),COLUMN(ATALI[QB]))&amp;":"&amp;ADDRESS(ROW(),COLUMN(ATALI[QB])))</f>
        <v/>
      </c>
      <c r="Y569" s="53" t="str">
        <f ca="1">IF(ATALI[[#This Row],[//]]="","",HYPERLINK("[../DB.xlsx]DB!e"&amp;MATCH(ATALI[[#This Row],[concat]],[4]!db[NB NOTA_C],0)+1,"&gt;"))</f>
        <v/>
      </c>
    </row>
    <row r="570" spans="1:25" x14ac:dyDescent="0.25">
      <c r="A570" s="4"/>
      <c r="B570" s="6" t="str">
        <f>IF(ATALI[[#This Row],[N_ID]]="","",INDEX(Table1[ID],MATCH(ATALI[[#This Row],[N_ID]],Table1[N_ID],0)))</f>
        <v/>
      </c>
      <c r="C570" s="6" t="str">
        <f>IF(ATALI[[#This Row],[ID NOTA]]="","",HYPERLINK("[NOTA_.xlsx]NOTA!e"&amp;INDEX([2]!PAJAK[//],MATCH(ATALI[[#This Row],[ID NOTA]],[2]!PAJAK[ID],0)),"&gt;") )</f>
        <v/>
      </c>
      <c r="D570" s="6" t="str">
        <f>IF(ATALI[[#This Row],[ID NOTA]]="","",INDEX(Table1[QB],MATCH(ATALI[[#This Row],[ID NOTA]],Table1[ID],0)))</f>
        <v/>
      </c>
      <c r="E5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0" s="6"/>
      <c r="G570" s="3" t="str">
        <f>IF(ATALI[[#This Row],[ID NOTA]]="","",INDEX([2]!NOTA[TGL_H],MATCH(ATALI[[#This Row],[ID NOTA]],[2]!NOTA[ID],0)))</f>
        <v/>
      </c>
      <c r="H570" s="3" t="str">
        <f>IF(ATALI[[#This Row],[ID NOTA]]="","",INDEX([2]!NOTA[TGL.NOTA],MATCH(ATALI[[#This Row],[ID NOTA]],[2]!NOTA[ID],0)))</f>
        <v/>
      </c>
      <c r="I570" s="4" t="str">
        <f>IF(ATALI[[#This Row],[ID NOTA]]="","",INDEX([2]!NOTA[NO.NOTA],MATCH(ATALI[[#This Row],[ID NOTA]],[2]!NOTA[ID],0)))</f>
        <v/>
      </c>
      <c r="J570" s="4" t="str">
        <f ca="1">IF(ATALI[[#This Row],[//]]="","",INDEX([4]!db[NB PAJAK],ATALI[[#This Row],[stt]]-1))</f>
        <v/>
      </c>
      <c r="K570" s="6" t="str">
        <f ca="1">IF(ATALI[[#This Row],[//]]="","",IF(INDEX([2]!NOTA[C],ATALI[[#This Row],[//]]-2)="","",INDEX([2]!NOTA[C],ATALI[[#This Row],[//]]-2)))</f>
        <v/>
      </c>
      <c r="L570" s="6" t="str">
        <f ca="1">IF(ATALI[[#This Row],[//]]="","",INDEX([2]!NOTA[QTY],ATALI[[#This Row],[//]]-2))</f>
        <v/>
      </c>
      <c r="M570" s="6" t="str">
        <f ca="1">IF(ATALI[[#This Row],[//]]="","",INDEX([2]!NOTA[STN],ATALI[[#This Row],[//]]-2))</f>
        <v/>
      </c>
      <c r="N570" s="5" t="str">
        <f ca="1">IF(ATALI[[#This Row],[//]]="","",INDEX([2]!NOTA[HARGA SATUAN],ATALI[[#This Row],[//]]-2))</f>
        <v/>
      </c>
      <c r="O570" s="7" t="str">
        <f ca="1">IF(ATALI[[#This Row],[//]]="","",INDEX([2]!NOTA[DISC 1],ATALI[[#This Row],[//]]-2))</f>
        <v/>
      </c>
      <c r="P570" s="7" t="str">
        <f ca="1">IF(ATALI[[#This Row],[//]]="","",INDEX([2]!NOTA[DISC 2],ATALI[[#This Row],[//]]-2))</f>
        <v/>
      </c>
      <c r="Q570" s="5" t="str">
        <f ca="1">IF(ATALI[[#This Row],[//]]="","",INDEX([2]!NOTA[TOTAL],ATALI[[#This Row],[//]]-2))</f>
        <v/>
      </c>
      <c r="R5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0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0" s="4" t="str">
        <f ca="1">IF(ATALI[[#This Row],[//]]="","",INDEX([2]!NOTA[NAMA BARANG],ATALI[[#This Row],[//]]-2))</f>
        <v/>
      </c>
      <c r="V570" s="4" t="str">
        <f ca="1">LOWER(SUBSTITUTE(SUBSTITUTE(SUBSTITUTE(SUBSTITUTE(SUBSTITUTE(SUBSTITUTE(SUBSTITUTE(ATALI[[#This Row],[N.B.nota]]," ",""),"-",""),"(",""),")",""),".",""),",",""),"/",""))</f>
        <v/>
      </c>
      <c r="W570" s="4" t="str">
        <f ca="1">IF(ATALI[[#This Row],[concat]]="","",MATCH(ATALI[[#This Row],[concat]],[4]!db[NB NOTA_C],0)+1)</f>
        <v/>
      </c>
      <c r="X570" s="4" t="str">
        <f ca="1">IF(ATALI[[#This Row],[N.B.nota]]="","",ADDRESS(ROW(ATALI[QB]),COLUMN(ATALI[QB]))&amp;":"&amp;ADDRESS(ROW(),COLUMN(ATALI[QB])))</f>
        <v/>
      </c>
      <c r="Y570" s="53" t="str">
        <f ca="1">IF(ATALI[[#This Row],[//]]="","",HYPERLINK("[../DB.xlsx]DB!e"&amp;MATCH(ATALI[[#This Row],[concat]],[4]!db[NB NOTA_C],0)+1,"&gt;"))</f>
        <v/>
      </c>
    </row>
    <row r="571" spans="1:25" x14ac:dyDescent="0.25">
      <c r="A571" s="4"/>
      <c r="B571" s="6" t="str">
        <f>IF(ATALI[[#This Row],[N_ID]]="","",INDEX(Table1[ID],MATCH(ATALI[[#This Row],[N_ID]],Table1[N_ID],0)))</f>
        <v/>
      </c>
      <c r="C571" s="6" t="str">
        <f>IF(ATALI[[#This Row],[ID NOTA]]="","",HYPERLINK("[NOTA_.xlsx]NOTA!e"&amp;INDEX([2]!PAJAK[//],MATCH(ATALI[[#This Row],[ID NOTA]],[2]!PAJAK[ID],0)),"&gt;") )</f>
        <v/>
      </c>
      <c r="D571" s="6" t="str">
        <f>IF(ATALI[[#This Row],[ID NOTA]]="","",INDEX(Table1[QB],MATCH(ATALI[[#This Row],[ID NOTA]],Table1[ID],0)))</f>
        <v/>
      </c>
      <c r="E5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1" s="6"/>
      <c r="G571" s="3" t="str">
        <f>IF(ATALI[[#This Row],[ID NOTA]]="","",INDEX([2]!NOTA[TGL_H],MATCH(ATALI[[#This Row],[ID NOTA]],[2]!NOTA[ID],0)))</f>
        <v/>
      </c>
      <c r="H571" s="3" t="str">
        <f>IF(ATALI[[#This Row],[ID NOTA]]="","",INDEX([2]!NOTA[TGL.NOTA],MATCH(ATALI[[#This Row],[ID NOTA]],[2]!NOTA[ID],0)))</f>
        <v/>
      </c>
      <c r="I571" s="4" t="str">
        <f>IF(ATALI[[#This Row],[ID NOTA]]="","",INDEX([2]!NOTA[NO.NOTA],MATCH(ATALI[[#This Row],[ID NOTA]],[2]!NOTA[ID],0)))</f>
        <v/>
      </c>
      <c r="J571" s="4" t="str">
        <f ca="1">IF(ATALI[[#This Row],[//]]="","",INDEX([4]!db[NB PAJAK],ATALI[[#This Row],[stt]]-1))</f>
        <v/>
      </c>
      <c r="K571" s="6" t="str">
        <f ca="1">IF(ATALI[[#This Row],[//]]="","",IF(INDEX([2]!NOTA[C],ATALI[[#This Row],[//]]-2)="","",INDEX([2]!NOTA[C],ATALI[[#This Row],[//]]-2)))</f>
        <v/>
      </c>
      <c r="L571" s="6" t="str">
        <f ca="1">IF(ATALI[[#This Row],[//]]="","",INDEX([2]!NOTA[QTY],ATALI[[#This Row],[//]]-2))</f>
        <v/>
      </c>
      <c r="M571" s="6" t="str">
        <f ca="1">IF(ATALI[[#This Row],[//]]="","",INDEX([2]!NOTA[STN],ATALI[[#This Row],[//]]-2))</f>
        <v/>
      </c>
      <c r="N571" s="5" t="str">
        <f ca="1">IF(ATALI[[#This Row],[//]]="","",INDEX([2]!NOTA[HARGA SATUAN],ATALI[[#This Row],[//]]-2))</f>
        <v/>
      </c>
      <c r="O571" s="7" t="str">
        <f ca="1">IF(ATALI[[#This Row],[//]]="","",INDEX([2]!NOTA[DISC 1],ATALI[[#This Row],[//]]-2))</f>
        <v/>
      </c>
      <c r="P571" s="7" t="str">
        <f ca="1">IF(ATALI[[#This Row],[//]]="","",INDEX([2]!NOTA[DISC 2],ATALI[[#This Row],[//]]-2))</f>
        <v/>
      </c>
      <c r="Q571" s="5" t="str">
        <f ca="1">IF(ATALI[[#This Row],[//]]="","",INDEX([2]!NOTA[TOTAL],ATALI[[#This Row],[//]]-2))</f>
        <v/>
      </c>
      <c r="R5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1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1" s="4" t="str">
        <f ca="1">IF(ATALI[[#This Row],[//]]="","",INDEX([2]!NOTA[NAMA BARANG],ATALI[[#This Row],[//]]-2))</f>
        <v/>
      </c>
      <c r="V571" s="4" t="str">
        <f ca="1">LOWER(SUBSTITUTE(SUBSTITUTE(SUBSTITUTE(SUBSTITUTE(SUBSTITUTE(SUBSTITUTE(SUBSTITUTE(ATALI[[#This Row],[N.B.nota]]," ",""),"-",""),"(",""),")",""),".",""),",",""),"/",""))</f>
        <v/>
      </c>
      <c r="W571" s="4" t="str">
        <f ca="1">IF(ATALI[[#This Row],[concat]]="","",MATCH(ATALI[[#This Row],[concat]],[4]!db[NB NOTA_C],0)+1)</f>
        <v/>
      </c>
      <c r="X571" s="4" t="str">
        <f ca="1">IF(ATALI[[#This Row],[N.B.nota]]="","",ADDRESS(ROW(ATALI[QB]),COLUMN(ATALI[QB]))&amp;":"&amp;ADDRESS(ROW(),COLUMN(ATALI[QB])))</f>
        <v/>
      </c>
      <c r="Y571" s="53" t="str">
        <f ca="1">IF(ATALI[[#This Row],[//]]="","",HYPERLINK("[../DB.xlsx]DB!e"&amp;MATCH(ATALI[[#This Row],[concat]],[4]!db[NB NOTA_C],0)+1,"&gt;"))</f>
        <v/>
      </c>
    </row>
    <row r="572" spans="1:25" x14ac:dyDescent="0.25">
      <c r="A572" s="4"/>
      <c r="B572" s="6" t="str">
        <f>IF(ATALI[[#This Row],[N_ID]]="","",INDEX(Table1[ID],MATCH(ATALI[[#This Row],[N_ID]],Table1[N_ID],0)))</f>
        <v/>
      </c>
      <c r="C572" s="6" t="str">
        <f>IF(ATALI[[#This Row],[ID NOTA]]="","",HYPERLINK("[NOTA_.xlsx]NOTA!e"&amp;INDEX([2]!PAJAK[//],MATCH(ATALI[[#This Row],[ID NOTA]],[2]!PAJAK[ID],0)),"&gt;") )</f>
        <v/>
      </c>
      <c r="D572" s="6" t="str">
        <f>IF(ATALI[[#This Row],[ID NOTA]]="","",INDEX(Table1[QB],MATCH(ATALI[[#This Row],[ID NOTA]],Table1[ID],0)))</f>
        <v/>
      </c>
      <c r="E5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2" s="6"/>
      <c r="G572" s="3" t="str">
        <f>IF(ATALI[[#This Row],[ID NOTA]]="","",INDEX([2]!NOTA[TGL_H],MATCH(ATALI[[#This Row],[ID NOTA]],[2]!NOTA[ID],0)))</f>
        <v/>
      </c>
      <c r="H572" s="3" t="str">
        <f>IF(ATALI[[#This Row],[ID NOTA]]="","",INDEX([2]!NOTA[TGL.NOTA],MATCH(ATALI[[#This Row],[ID NOTA]],[2]!NOTA[ID],0)))</f>
        <v/>
      </c>
      <c r="I572" s="4" t="str">
        <f>IF(ATALI[[#This Row],[ID NOTA]]="","",INDEX([2]!NOTA[NO.NOTA],MATCH(ATALI[[#This Row],[ID NOTA]],[2]!NOTA[ID],0)))</f>
        <v/>
      </c>
      <c r="J572" s="4" t="str">
        <f ca="1">IF(ATALI[[#This Row],[//]]="","",INDEX([4]!db[NB PAJAK],ATALI[[#This Row],[stt]]-1))</f>
        <v/>
      </c>
      <c r="K572" s="6" t="str">
        <f ca="1">IF(ATALI[[#This Row],[//]]="","",IF(INDEX([2]!NOTA[C],ATALI[[#This Row],[//]]-2)="","",INDEX([2]!NOTA[C],ATALI[[#This Row],[//]]-2)))</f>
        <v/>
      </c>
      <c r="L572" s="6" t="str">
        <f ca="1">IF(ATALI[[#This Row],[//]]="","",INDEX([2]!NOTA[QTY],ATALI[[#This Row],[//]]-2))</f>
        <v/>
      </c>
      <c r="M572" s="6" t="str">
        <f ca="1">IF(ATALI[[#This Row],[//]]="","",INDEX([2]!NOTA[STN],ATALI[[#This Row],[//]]-2))</f>
        <v/>
      </c>
      <c r="N572" s="5" t="str">
        <f ca="1">IF(ATALI[[#This Row],[//]]="","",INDEX([2]!NOTA[HARGA SATUAN],ATALI[[#This Row],[//]]-2))</f>
        <v/>
      </c>
      <c r="O572" s="7" t="str">
        <f ca="1">IF(ATALI[[#This Row],[//]]="","",INDEX([2]!NOTA[DISC 1],ATALI[[#This Row],[//]]-2))</f>
        <v/>
      </c>
      <c r="P572" s="7" t="str">
        <f ca="1">IF(ATALI[[#This Row],[//]]="","",INDEX([2]!NOTA[DISC 2],ATALI[[#This Row],[//]]-2))</f>
        <v/>
      </c>
      <c r="Q572" s="5" t="str">
        <f ca="1">IF(ATALI[[#This Row],[//]]="","",INDEX([2]!NOTA[TOTAL],ATALI[[#This Row],[//]]-2))</f>
        <v/>
      </c>
      <c r="R5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2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2" s="4" t="str">
        <f ca="1">IF(ATALI[[#This Row],[//]]="","",INDEX([2]!NOTA[NAMA BARANG],ATALI[[#This Row],[//]]-2))</f>
        <v/>
      </c>
      <c r="V572" s="4" t="str">
        <f ca="1">LOWER(SUBSTITUTE(SUBSTITUTE(SUBSTITUTE(SUBSTITUTE(SUBSTITUTE(SUBSTITUTE(SUBSTITUTE(ATALI[[#This Row],[N.B.nota]]," ",""),"-",""),"(",""),")",""),".",""),",",""),"/",""))</f>
        <v/>
      </c>
      <c r="W572" s="4" t="str">
        <f ca="1">IF(ATALI[[#This Row],[concat]]="","",MATCH(ATALI[[#This Row],[concat]],[4]!db[NB NOTA_C],0)+1)</f>
        <v/>
      </c>
      <c r="X572" s="4" t="str">
        <f ca="1">IF(ATALI[[#This Row],[N.B.nota]]="","",ADDRESS(ROW(ATALI[QB]),COLUMN(ATALI[QB]))&amp;":"&amp;ADDRESS(ROW(),COLUMN(ATALI[QB])))</f>
        <v/>
      </c>
      <c r="Y572" s="53" t="str">
        <f ca="1">IF(ATALI[[#This Row],[//]]="","",HYPERLINK("[../DB.xlsx]DB!e"&amp;MATCH(ATALI[[#This Row],[concat]],[4]!db[NB NOTA_C],0)+1,"&gt;"))</f>
        <v/>
      </c>
    </row>
    <row r="573" spans="1:25" x14ac:dyDescent="0.25">
      <c r="A573" s="4"/>
      <c r="B573" s="6" t="str">
        <f>IF(ATALI[[#This Row],[N_ID]]="","",INDEX(Table1[ID],MATCH(ATALI[[#This Row],[N_ID]],Table1[N_ID],0)))</f>
        <v/>
      </c>
      <c r="C573" s="6" t="str">
        <f>IF(ATALI[[#This Row],[ID NOTA]]="","",HYPERLINK("[NOTA_.xlsx]NOTA!e"&amp;INDEX([2]!PAJAK[//],MATCH(ATALI[[#This Row],[ID NOTA]],[2]!PAJAK[ID],0)),"&gt;") )</f>
        <v/>
      </c>
      <c r="D573" s="6" t="str">
        <f>IF(ATALI[[#This Row],[ID NOTA]]="","",INDEX(Table1[QB],MATCH(ATALI[[#This Row],[ID NOTA]],Table1[ID],0)))</f>
        <v/>
      </c>
      <c r="E5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3" s="6"/>
      <c r="G573" s="3" t="str">
        <f>IF(ATALI[[#This Row],[ID NOTA]]="","",INDEX([2]!NOTA[TGL_H],MATCH(ATALI[[#This Row],[ID NOTA]],[2]!NOTA[ID],0)))</f>
        <v/>
      </c>
      <c r="H573" s="3" t="str">
        <f>IF(ATALI[[#This Row],[ID NOTA]]="","",INDEX([2]!NOTA[TGL.NOTA],MATCH(ATALI[[#This Row],[ID NOTA]],[2]!NOTA[ID],0)))</f>
        <v/>
      </c>
      <c r="I573" s="4" t="str">
        <f>IF(ATALI[[#This Row],[ID NOTA]]="","",INDEX([2]!NOTA[NO.NOTA],MATCH(ATALI[[#This Row],[ID NOTA]],[2]!NOTA[ID],0)))</f>
        <v/>
      </c>
      <c r="J573" s="4" t="str">
        <f ca="1">IF(ATALI[[#This Row],[//]]="","",INDEX([4]!db[NB PAJAK],ATALI[[#This Row],[stt]]-1))</f>
        <v/>
      </c>
      <c r="K573" s="6" t="str">
        <f ca="1">IF(ATALI[[#This Row],[//]]="","",IF(INDEX([2]!NOTA[C],ATALI[[#This Row],[//]]-2)="","",INDEX([2]!NOTA[C],ATALI[[#This Row],[//]]-2)))</f>
        <v/>
      </c>
      <c r="L573" s="6" t="str">
        <f ca="1">IF(ATALI[[#This Row],[//]]="","",INDEX([2]!NOTA[QTY],ATALI[[#This Row],[//]]-2))</f>
        <v/>
      </c>
      <c r="M573" s="6" t="str">
        <f ca="1">IF(ATALI[[#This Row],[//]]="","",INDEX([2]!NOTA[STN],ATALI[[#This Row],[//]]-2))</f>
        <v/>
      </c>
      <c r="N573" s="5" t="str">
        <f ca="1">IF(ATALI[[#This Row],[//]]="","",INDEX([2]!NOTA[HARGA SATUAN],ATALI[[#This Row],[//]]-2))</f>
        <v/>
      </c>
      <c r="O573" s="7" t="str">
        <f ca="1">IF(ATALI[[#This Row],[//]]="","",INDEX([2]!NOTA[DISC 1],ATALI[[#This Row],[//]]-2))</f>
        <v/>
      </c>
      <c r="P573" s="7" t="str">
        <f ca="1">IF(ATALI[[#This Row],[//]]="","",INDEX([2]!NOTA[DISC 2],ATALI[[#This Row],[//]]-2))</f>
        <v/>
      </c>
      <c r="Q573" s="5" t="str">
        <f ca="1">IF(ATALI[[#This Row],[//]]="","",INDEX([2]!NOTA[TOTAL],ATALI[[#This Row],[//]]-2))</f>
        <v/>
      </c>
      <c r="R5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3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3" s="4" t="str">
        <f ca="1">IF(ATALI[[#This Row],[//]]="","",INDEX([2]!NOTA[NAMA BARANG],ATALI[[#This Row],[//]]-2))</f>
        <v/>
      </c>
      <c r="V573" s="4" t="str">
        <f ca="1">LOWER(SUBSTITUTE(SUBSTITUTE(SUBSTITUTE(SUBSTITUTE(SUBSTITUTE(SUBSTITUTE(SUBSTITUTE(ATALI[[#This Row],[N.B.nota]]," ",""),"-",""),"(",""),")",""),".",""),",",""),"/",""))</f>
        <v/>
      </c>
      <c r="W573" s="4" t="str">
        <f ca="1">IF(ATALI[[#This Row],[concat]]="","",MATCH(ATALI[[#This Row],[concat]],[4]!db[NB NOTA_C],0)+1)</f>
        <v/>
      </c>
      <c r="X573" s="4" t="str">
        <f ca="1">IF(ATALI[[#This Row],[N.B.nota]]="","",ADDRESS(ROW(ATALI[QB]),COLUMN(ATALI[QB]))&amp;":"&amp;ADDRESS(ROW(),COLUMN(ATALI[QB])))</f>
        <v/>
      </c>
      <c r="Y573" s="53" t="str">
        <f ca="1">IF(ATALI[[#This Row],[//]]="","",HYPERLINK("[../DB.xlsx]DB!e"&amp;MATCH(ATALI[[#This Row],[concat]],[4]!db[NB NOTA_C],0)+1,"&gt;"))</f>
        <v/>
      </c>
    </row>
    <row r="574" spans="1:25" x14ac:dyDescent="0.25">
      <c r="A574" s="4"/>
      <c r="B574" s="6" t="str">
        <f>IF(ATALI[[#This Row],[N_ID]]="","",INDEX(Table1[ID],MATCH(ATALI[[#This Row],[N_ID]],Table1[N_ID],0)))</f>
        <v/>
      </c>
      <c r="C574" s="6" t="str">
        <f>IF(ATALI[[#This Row],[ID NOTA]]="","",HYPERLINK("[NOTA_.xlsx]NOTA!e"&amp;INDEX([2]!PAJAK[//],MATCH(ATALI[[#This Row],[ID NOTA]],[2]!PAJAK[ID],0)),"&gt;") )</f>
        <v/>
      </c>
      <c r="D574" s="6" t="str">
        <f>IF(ATALI[[#This Row],[ID NOTA]]="","",INDEX(Table1[QB],MATCH(ATALI[[#This Row],[ID NOTA]],Table1[ID],0)))</f>
        <v/>
      </c>
      <c r="E5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4" s="6"/>
      <c r="G574" s="3" t="str">
        <f>IF(ATALI[[#This Row],[ID NOTA]]="","",INDEX([2]!NOTA[TGL_H],MATCH(ATALI[[#This Row],[ID NOTA]],[2]!NOTA[ID],0)))</f>
        <v/>
      </c>
      <c r="H574" s="3" t="str">
        <f>IF(ATALI[[#This Row],[ID NOTA]]="","",INDEX([2]!NOTA[TGL.NOTA],MATCH(ATALI[[#This Row],[ID NOTA]],[2]!NOTA[ID],0)))</f>
        <v/>
      </c>
      <c r="I574" s="4" t="str">
        <f>IF(ATALI[[#This Row],[ID NOTA]]="","",INDEX([2]!NOTA[NO.NOTA],MATCH(ATALI[[#This Row],[ID NOTA]],[2]!NOTA[ID],0)))</f>
        <v/>
      </c>
      <c r="J574" s="4" t="str">
        <f ca="1">IF(ATALI[[#This Row],[//]]="","",INDEX([4]!db[NB PAJAK],ATALI[[#This Row],[stt]]-1))</f>
        <v/>
      </c>
      <c r="K574" s="6" t="str">
        <f ca="1">IF(ATALI[[#This Row],[//]]="","",IF(INDEX([2]!NOTA[C],ATALI[[#This Row],[//]]-2)="","",INDEX([2]!NOTA[C],ATALI[[#This Row],[//]]-2)))</f>
        <v/>
      </c>
      <c r="L574" s="6" t="str">
        <f ca="1">IF(ATALI[[#This Row],[//]]="","",INDEX([2]!NOTA[QTY],ATALI[[#This Row],[//]]-2))</f>
        <v/>
      </c>
      <c r="M574" s="6" t="str">
        <f ca="1">IF(ATALI[[#This Row],[//]]="","",INDEX([2]!NOTA[STN],ATALI[[#This Row],[//]]-2))</f>
        <v/>
      </c>
      <c r="N574" s="5" t="str">
        <f ca="1">IF(ATALI[[#This Row],[//]]="","",INDEX([2]!NOTA[HARGA SATUAN],ATALI[[#This Row],[//]]-2))</f>
        <v/>
      </c>
      <c r="O574" s="7" t="str">
        <f ca="1">IF(ATALI[[#This Row],[//]]="","",INDEX([2]!NOTA[DISC 1],ATALI[[#This Row],[//]]-2))</f>
        <v/>
      </c>
      <c r="P574" s="7" t="str">
        <f ca="1">IF(ATALI[[#This Row],[//]]="","",INDEX([2]!NOTA[DISC 2],ATALI[[#This Row],[//]]-2))</f>
        <v/>
      </c>
      <c r="Q574" s="5" t="str">
        <f ca="1">IF(ATALI[[#This Row],[//]]="","",INDEX([2]!NOTA[TOTAL],ATALI[[#This Row],[//]]-2))</f>
        <v/>
      </c>
      <c r="R5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4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4" s="4" t="str">
        <f ca="1">IF(ATALI[[#This Row],[//]]="","",INDEX([2]!NOTA[NAMA BARANG],ATALI[[#This Row],[//]]-2))</f>
        <v/>
      </c>
      <c r="V574" s="4" t="str">
        <f ca="1">LOWER(SUBSTITUTE(SUBSTITUTE(SUBSTITUTE(SUBSTITUTE(SUBSTITUTE(SUBSTITUTE(SUBSTITUTE(ATALI[[#This Row],[N.B.nota]]," ",""),"-",""),"(",""),")",""),".",""),",",""),"/",""))</f>
        <v/>
      </c>
      <c r="W574" s="4" t="str">
        <f ca="1">IF(ATALI[[#This Row],[concat]]="","",MATCH(ATALI[[#This Row],[concat]],[4]!db[NB NOTA_C],0)+1)</f>
        <v/>
      </c>
      <c r="X574" s="4" t="str">
        <f ca="1">IF(ATALI[[#This Row],[N.B.nota]]="","",ADDRESS(ROW(ATALI[QB]),COLUMN(ATALI[QB]))&amp;":"&amp;ADDRESS(ROW(),COLUMN(ATALI[QB])))</f>
        <v/>
      </c>
      <c r="Y574" s="53" t="str">
        <f ca="1">IF(ATALI[[#This Row],[//]]="","",HYPERLINK("[../DB.xlsx]DB!e"&amp;MATCH(ATALI[[#This Row],[concat]],[4]!db[NB NOTA_C],0)+1,"&gt;"))</f>
        <v/>
      </c>
    </row>
    <row r="575" spans="1:25" x14ac:dyDescent="0.25">
      <c r="A575" s="4"/>
      <c r="B575" s="6" t="str">
        <f>IF(ATALI[[#This Row],[N_ID]]="","",INDEX(Table1[ID],MATCH(ATALI[[#This Row],[N_ID]],Table1[N_ID],0)))</f>
        <v/>
      </c>
      <c r="C575" s="6" t="str">
        <f>IF(ATALI[[#This Row],[ID NOTA]]="","",HYPERLINK("[NOTA_.xlsx]NOTA!e"&amp;INDEX([2]!PAJAK[//],MATCH(ATALI[[#This Row],[ID NOTA]],[2]!PAJAK[ID],0)),"&gt;") )</f>
        <v/>
      </c>
      <c r="D575" s="6" t="str">
        <f>IF(ATALI[[#This Row],[ID NOTA]]="","",INDEX(Table1[QB],MATCH(ATALI[[#This Row],[ID NOTA]],Table1[ID],0)))</f>
        <v/>
      </c>
      <c r="E5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5" s="6"/>
      <c r="G575" s="3" t="str">
        <f>IF(ATALI[[#This Row],[ID NOTA]]="","",INDEX([2]!NOTA[TGL_H],MATCH(ATALI[[#This Row],[ID NOTA]],[2]!NOTA[ID],0)))</f>
        <v/>
      </c>
      <c r="H575" s="3" t="str">
        <f>IF(ATALI[[#This Row],[ID NOTA]]="","",INDEX([2]!NOTA[TGL.NOTA],MATCH(ATALI[[#This Row],[ID NOTA]],[2]!NOTA[ID],0)))</f>
        <v/>
      </c>
      <c r="I575" s="4" t="str">
        <f>IF(ATALI[[#This Row],[ID NOTA]]="","",INDEX([2]!NOTA[NO.NOTA],MATCH(ATALI[[#This Row],[ID NOTA]],[2]!NOTA[ID],0)))</f>
        <v/>
      </c>
      <c r="J575" s="4" t="str">
        <f ca="1">IF(ATALI[[#This Row],[//]]="","",INDEX([4]!db[NB PAJAK],ATALI[[#This Row],[stt]]-1))</f>
        <v/>
      </c>
      <c r="K575" s="6" t="str">
        <f ca="1">IF(ATALI[[#This Row],[//]]="","",IF(INDEX([2]!NOTA[C],ATALI[[#This Row],[//]]-2)="","",INDEX([2]!NOTA[C],ATALI[[#This Row],[//]]-2)))</f>
        <v/>
      </c>
      <c r="L575" s="6" t="str">
        <f ca="1">IF(ATALI[[#This Row],[//]]="","",INDEX([2]!NOTA[QTY],ATALI[[#This Row],[//]]-2))</f>
        <v/>
      </c>
      <c r="M575" s="6" t="str">
        <f ca="1">IF(ATALI[[#This Row],[//]]="","",INDEX([2]!NOTA[STN],ATALI[[#This Row],[//]]-2))</f>
        <v/>
      </c>
      <c r="N575" s="5" t="str">
        <f ca="1">IF(ATALI[[#This Row],[//]]="","",INDEX([2]!NOTA[HARGA SATUAN],ATALI[[#This Row],[//]]-2))</f>
        <v/>
      </c>
      <c r="O575" s="7" t="str">
        <f ca="1">IF(ATALI[[#This Row],[//]]="","",INDEX([2]!NOTA[DISC 1],ATALI[[#This Row],[//]]-2))</f>
        <v/>
      </c>
      <c r="P575" s="7" t="str">
        <f ca="1">IF(ATALI[[#This Row],[//]]="","",INDEX([2]!NOTA[DISC 2],ATALI[[#This Row],[//]]-2))</f>
        <v/>
      </c>
      <c r="Q575" s="5" t="str">
        <f ca="1">IF(ATALI[[#This Row],[//]]="","",INDEX([2]!NOTA[TOTAL],ATALI[[#This Row],[//]]-2))</f>
        <v/>
      </c>
      <c r="R5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5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5" s="4" t="str">
        <f ca="1">IF(ATALI[[#This Row],[//]]="","",INDEX([2]!NOTA[NAMA BARANG],ATALI[[#This Row],[//]]-2))</f>
        <v/>
      </c>
      <c r="V575" s="4" t="str">
        <f ca="1">LOWER(SUBSTITUTE(SUBSTITUTE(SUBSTITUTE(SUBSTITUTE(SUBSTITUTE(SUBSTITUTE(SUBSTITUTE(ATALI[[#This Row],[N.B.nota]]," ",""),"-",""),"(",""),")",""),".",""),",",""),"/",""))</f>
        <v/>
      </c>
      <c r="W575" s="4" t="str">
        <f ca="1">IF(ATALI[[#This Row],[concat]]="","",MATCH(ATALI[[#This Row],[concat]],[4]!db[NB NOTA_C],0)+1)</f>
        <v/>
      </c>
      <c r="X575" s="4" t="str">
        <f ca="1">IF(ATALI[[#This Row],[N.B.nota]]="","",ADDRESS(ROW(ATALI[QB]),COLUMN(ATALI[QB]))&amp;":"&amp;ADDRESS(ROW(),COLUMN(ATALI[QB])))</f>
        <v/>
      </c>
      <c r="Y575" s="53" t="str">
        <f ca="1">IF(ATALI[[#This Row],[//]]="","",HYPERLINK("[../DB.xlsx]DB!e"&amp;MATCH(ATALI[[#This Row],[concat]],[4]!db[NB NOTA_C],0)+1,"&gt;"))</f>
        <v/>
      </c>
    </row>
    <row r="576" spans="1:25" x14ac:dyDescent="0.25">
      <c r="A576" s="4"/>
      <c r="B576" s="6" t="str">
        <f>IF(ATALI[[#This Row],[N_ID]]="","",INDEX(Table1[ID],MATCH(ATALI[[#This Row],[N_ID]],Table1[N_ID],0)))</f>
        <v/>
      </c>
      <c r="C576" s="6" t="str">
        <f>IF(ATALI[[#This Row],[ID NOTA]]="","",HYPERLINK("[NOTA_.xlsx]NOTA!e"&amp;INDEX([2]!PAJAK[//],MATCH(ATALI[[#This Row],[ID NOTA]],[2]!PAJAK[ID],0)),"&gt;") )</f>
        <v/>
      </c>
      <c r="D576" s="6" t="str">
        <f>IF(ATALI[[#This Row],[ID NOTA]]="","",INDEX(Table1[QB],MATCH(ATALI[[#This Row],[ID NOTA]],Table1[ID],0)))</f>
        <v/>
      </c>
      <c r="E5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6" s="6"/>
      <c r="G576" s="3" t="str">
        <f>IF(ATALI[[#This Row],[ID NOTA]]="","",INDEX([2]!NOTA[TGL_H],MATCH(ATALI[[#This Row],[ID NOTA]],[2]!NOTA[ID],0)))</f>
        <v/>
      </c>
      <c r="H576" s="3" t="str">
        <f>IF(ATALI[[#This Row],[ID NOTA]]="","",INDEX([2]!NOTA[TGL.NOTA],MATCH(ATALI[[#This Row],[ID NOTA]],[2]!NOTA[ID],0)))</f>
        <v/>
      </c>
      <c r="I576" s="4" t="str">
        <f>IF(ATALI[[#This Row],[ID NOTA]]="","",INDEX([2]!NOTA[NO.NOTA],MATCH(ATALI[[#This Row],[ID NOTA]],[2]!NOTA[ID],0)))</f>
        <v/>
      </c>
      <c r="J576" s="4" t="str">
        <f ca="1">IF(ATALI[[#This Row],[//]]="","",INDEX([4]!db[NB PAJAK],ATALI[[#This Row],[stt]]-1))</f>
        <v/>
      </c>
      <c r="K576" s="6" t="str">
        <f ca="1">IF(ATALI[[#This Row],[//]]="","",IF(INDEX([2]!NOTA[C],ATALI[[#This Row],[//]]-2)="","",INDEX([2]!NOTA[C],ATALI[[#This Row],[//]]-2)))</f>
        <v/>
      </c>
      <c r="L576" s="6" t="str">
        <f ca="1">IF(ATALI[[#This Row],[//]]="","",INDEX([2]!NOTA[QTY],ATALI[[#This Row],[//]]-2))</f>
        <v/>
      </c>
      <c r="M576" s="6" t="str">
        <f ca="1">IF(ATALI[[#This Row],[//]]="","",INDEX([2]!NOTA[STN],ATALI[[#This Row],[//]]-2))</f>
        <v/>
      </c>
      <c r="N576" s="5" t="str">
        <f ca="1">IF(ATALI[[#This Row],[//]]="","",INDEX([2]!NOTA[HARGA SATUAN],ATALI[[#This Row],[//]]-2))</f>
        <v/>
      </c>
      <c r="O576" s="7" t="str">
        <f ca="1">IF(ATALI[[#This Row],[//]]="","",INDEX([2]!NOTA[DISC 1],ATALI[[#This Row],[//]]-2))</f>
        <v/>
      </c>
      <c r="P576" s="7" t="str">
        <f ca="1">IF(ATALI[[#This Row],[//]]="","",INDEX([2]!NOTA[DISC 2],ATALI[[#This Row],[//]]-2))</f>
        <v/>
      </c>
      <c r="Q576" s="5" t="str">
        <f ca="1">IF(ATALI[[#This Row],[//]]="","",INDEX([2]!NOTA[TOTAL],ATALI[[#This Row],[//]]-2))</f>
        <v/>
      </c>
      <c r="R5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6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6" s="4" t="str">
        <f ca="1">IF(ATALI[[#This Row],[//]]="","",INDEX([2]!NOTA[NAMA BARANG],ATALI[[#This Row],[//]]-2))</f>
        <v/>
      </c>
      <c r="V576" s="4" t="str">
        <f ca="1">LOWER(SUBSTITUTE(SUBSTITUTE(SUBSTITUTE(SUBSTITUTE(SUBSTITUTE(SUBSTITUTE(SUBSTITUTE(ATALI[[#This Row],[N.B.nota]]," ",""),"-",""),"(",""),")",""),".",""),",",""),"/",""))</f>
        <v/>
      </c>
      <c r="W576" s="4" t="str">
        <f ca="1">IF(ATALI[[#This Row],[concat]]="","",MATCH(ATALI[[#This Row],[concat]],[4]!db[NB NOTA_C],0)+1)</f>
        <v/>
      </c>
      <c r="X576" s="4" t="str">
        <f ca="1">IF(ATALI[[#This Row],[N.B.nota]]="","",ADDRESS(ROW(ATALI[QB]),COLUMN(ATALI[QB]))&amp;":"&amp;ADDRESS(ROW(),COLUMN(ATALI[QB])))</f>
        <v/>
      </c>
      <c r="Y576" s="53" t="str">
        <f ca="1">IF(ATALI[[#This Row],[//]]="","",HYPERLINK("[../DB.xlsx]DB!e"&amp;MATCH(ATALI[[#This Row],[concat]],[4]!db[NB NOTA_C],0)+1,"&gt;"))</f>
        <v/>
      </c>
    </row>
    <row r="577" spans="1:25" x14ac:dyDescent="0.25">
      <c r="A577" s="4"/>
      <c r="B577" s="6" t="str">
        <f>IF(ATALI[[#This Row],[N_ID]]="","",INDEX(Table1[ID],MATCH(ATALI[[#This Row],[N_ID]],Table1[N_ID],0)))</f>
        <v/>
      </c>
      <c r="C577" s="6" t="str">
        <f>IF(ATALI[[#This Row],[ID NOTA]]="","",HYPERLINK("[NOTA_.xlsx]NOTA!e"&amp;INDEX([2]!PAJAK[//],MATCH(ATALI[[#This Row],[ID NOTA]],[2]!PAJAK[ID],0)),"&gt;") )</f>
        <v/>
      </c>
      <c r="D577" s="6" t="str">
        <f>IF(ATALI[[#This Row],[ID NOTA]]="","",INDEX(Table1[QB],MATCH(ATALI[[#This Row],[ID NOTA]],Table1[ID],0)))</f>
        <v/>
      </c>
      <c r="E5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7" s="6"/>
      <c r="G577" s="3" t="str">
        <f>IF(ATALI[[#This Row],[ID NOTA]]="","",INDEX([2]!NOTA[TGL_H],MATCH(ATALI[[#This Row],[ID NOTA]],[2]!NOTA[ID],0)))</f>
        <v/>
      </c>
      <c r="H577" s="3" t="str">
        <f>IF(ATALI[[#This Row],[ID NOTA]]="","",INDEX([2]!NOTA[TGL.NOTA],MATCH(ATALI[[#This Row],[ID NOTA]],[2]!NOTA[ID],0)))</f>
        <v/>
      </c>
      <c r="I577" s="4" t="str">
        <f>IF(ATALI[[#This Row],[ID NOTA]]="","",INDEX([2]!NOTA[NO.NOTA],MATCH(ATALI[[#This Row],[ID NOTA]],[2]!NOTA[ID],0)))</f>
        <v/>
      </c>
      <c r="J577" s="4" t="str">
        <f ca="1">IF(ATALI[[#This Row],[//]]="","",INDEX([4]!db[NB PAJAK],ATALI[[#This Row],[stt]]-1))</f>
        <v/>
      </c>
      <c r="K577" s="6" t="str">
        <f ca="1">IF(ATALI[[#This Row],[//]]="","",IF(INDEX([2]!NOTA[C],ATALI[[#This Row],[//]]-2)="","",INDEX([2]!NOTA[C],ATALI[[#This Row],[//]]-2)))</f>
        <v/>
      </c>
      <c r="L577" s="6" t="str">
        <f ca="1">IF(ATALI[[#This Row],[//]]="","",INDEX([2]!NOTA[QTY],ATALI[[#This Row],[//]]-2))</f>
        <v/>
      </c>
      <c r="M577" s="6" t="str">
        <f ca="1">IF(ATALI[[#This Row],[//]]="","",INDEX([2]!NOTA[STN],ATALI[[#This Row],[//]]-2))</f>
        <v/>
      </c>
      <c r="N577" s="5" t="str">
        <f ca="1">IF(ATALI[[#This Row],[//]]="","",INDEX([2]!NOTA[HARGA SATUAN],ATALI[[#This Row],[//]]-2))</f>
        <v/>
      </c>
      <c r="O577" s="7" t="str">
        <f ca="1">IF(ATALI[[#This Row],[//]]="","",INDEX([2]!NOTA[DISC 1],ATALI[[#This Row],[//]]-2))</f>
        <v/>
      </c>
      <c r="P577" s="7" t="str">
        <f ca="1">IF(ATALI[[#This Row],[//]]="","",INDEX([2]!NOTA[DISC 2],ATALI[[#This Row],[//]]-2))</f>
        <v/>
      </c>
      <c r="Q577" s="5" t="str">
        <f ca="1">IF(ATALI[[#This Row],[//]]="","",INDEX([2]!NOTA[TOTAL],ATALI[[#This Row],[//]]-2))</f>
        <v/>
      </c>
      <c r="R5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7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7" s="4" t="str">
        <f ca="1">IF(ATALI[[#This Row],[//]]="","",INDEX([2]!NOTA[NAMA BARANG],ATALI[[#This Row],[//]]-2))</f>
        <v/>
      </c>
      <c r="V577" s="4" t="str">
        <f ca="1">LOWER(SUBSTITUTE(SUBSTITUTE(SUBSTITUTE(SUBSTITUTE(SUBSTITUTE(SUBSTITUTE(SUBSTITUTE(ATALI[[#This Row],[N.B.nota]]," ",""),"-",""),"(",""),")",""),".",""),",",""),"/",""))</f>
        <v/>
      </c>
      <c r="W577" s="4" t="str">
        <f ca="1">IF(ATALI[[#This Row],[concat]]="","",MATCH(ATALI[[#This Row],[concat]],[4]!db[NB NOTA_C],0)+1)</f>
        <v/>
      </c>
      <c r="X577" s="4" t="str">
        <f ca="1">IF(ATALI[[#This Row],[N.B.nota]]="","",ADDRESS(ROW(ATALI[QB]),COLUMN(ATALI[QB]))&amp;":"&amp;ADDRESS(ROW(),COLUMN(ATALI[QB])))</f>
        <v/>
      </c>
      <c r="Y577" s="53" t="str">
        <f ca="1">IF(ATALI[[#This Row],[//]]="","",HYPERLINK("[../DB.xlsx]DB!e"&amp;MATCH(ATALI[[#This Row],[concat]],[4]!db[NB NOTA_C],0)+1,"&gt;"))</f>
        <v/>
      </c>
    </row>
    <row r="578" spans="1:25" x14ac:dyDescent="0.25">
      <c r="A578" s="4"/>
      <c r="B578" s="6" t="str">
        <f>IF(ATALI[[#This Row],[N_ID]]="","",INDEX(Table1[ID],MATCH(ATALI[[#This Row],[N_ID]],Table1[N_ID],0)))</f>
        <v/>
      </c>
      <c r="C578" s="6" t="str">
        <f>IF(ATALI[[#This Row],[ID NOTA]]="","",HYPERLINK("[NOTA_.xlsx]NOTA!e"&amp;INDEX([2]!PAJAK[//],MATCH(ATALI[[#This Row],[ID NOTA]],[2]!PAJAK[ID],0)),"&gt;") )</f>
        <v/>
      </c>
      <c r="D578" s="6" t="str">
        <f>IF(ATALI[[#This Row],[ID NOTA]]="","",INDEX(Table1[QB],MATCH(ATALI[[#This Row],[ID NOTA]],Table1[ID],0)))</f>
        <v/>
      </c>
      <c r="E5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8" s="6"/>
      <c r="G578" s="3" t="str">
        <f>IF(ATALI[[#This Row],[ID NOTA]]="","",INDEX([2]!NOTA[TGL_H],MATCH(ATALI[[#This Row],[ID NOTA]],[2]!NOTA[ID],0)))</f>
        <v/>
      </c>
      <c r="H578" s="3" t="str">
        <f>IF(ATALI[[#This Row],[ID NOTA]]="","",INDEX([2]!NOTA[TGL.NOTA],MATCH(ATALI[[#This Row],[ID NOTA]],[2]!NOTA[ID],0)))</f>
        <v/>
      </c>
      <c r="I578" s="4" t="str">
        <f>IF(ATALI[[#This Row],[ID NOTA]]="","",INDEX([2]!NOTA[NO.NOTA],MATCH(ATALI[[#This Row],[ID NOTA]],[2]!NOTA[ID],0)))</f>
        <v/>
      </c>
      <c r="J578" s="4" t="str">
        <f ca="1">IF(ATALI[[#This Row],[//]]="","",INDEX([4]!db[NB PAJAK],ATALI[[#This Row],[stt]]-1))</f>
        <v/>
      </c>
      <c r="K578" s="6" t="str">
        <f ca="1">IF(ATALI[[#This Row],[//]]="","",IF(INDEX([2]!NOTA[C],ATALI[[#This Row],[//]]-2)="","",INDEX([2]!NOTA[C],ATALI[[#This Row],[//]]-2)))</f>
        <v/>
      </c>
      <c r="L578" s="6" t="str">
        <f ca="1">IF(ATALI[[#This Row],[//]]="","",INDEX([2]!NOTA[QTY],ATALI[[#This Row],[//]]-2))</f>
        <v/>
      </c>
      <c r="M578" s="6" t="str">
        <f ca="1">IF(ATALI[[#This Row],[//]]="","",INDEX([2]!NOTA[STN],ATALI[[#This Row],[//]]-2))</f>
        <v/>
      </c>
      <c r="N578" s="5" t="str">
        <f ca="1">IF(ATALI[[#This Row],[//]]="","",INDEX([2]!NOTA[HARGA SATUAN],ATALI[[#This Row],[//]]-2))</f>
        <v/>
      </c>
      <c r="O578" s="7" t="str">
        <f ca="1">IF(ATALI[[#This Row],[//]]="","",INDEX([2]!NOTA[DISC 1],ATALI[[#This Row],[//]]-2))</f>
        <v/>
      </c>
      <c r="P578" s="7" t="str">
        <f ca="1">IF(ATALI[[#This Row],[//]]="","",INDEX([2]!NOTA[DISC 2],ATALI[[#This Row],[//]]-2))</f>
        <v/>
      </c>
      <c r="Q578" s="5" t="str">
        <f ca="1">IF(ATALI[[#This Row],[//]]="","",INDEX([2]!NOTA[TOTAL],ATALI[[#This Row],[//]]-2))</f>
        <v/>
      </c>
      <c r="R5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8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8" s="4" t="str">
        <f ca="1">IF(ATALI[[#This Row],[//]]="","",INDEX([2]!NOTA[NAMA BARANG],ATALI[[#This Row],[//]]-2))</f>
        <v/>
      </c>
      <c r="V578" s="4" t="str">
        <f ca="1">LOWER(SUBSTITUTE(SUBSTITUTE(SUBSTITUTE(SUBSTITUTE(SUBSTITUTE(SUBSTITUTE(SUBSTITUTE(ATALI[[#This Row],[N.B.nota]]," ",""),"-",""),"(",""),")",""),".",""),",",""),"/",""))</f>
        <v/>
      </c>
      <c r="W578" s="4" t="str">
        <f ca="1">IF(ATALI[[#This Row],[concat]]="","",MATCH(ATALI[[#This Row],[concat]],[4]!db[NB NOTA_C],0)+1)</f>
        <v/>
      </c>
      <c r="X578" s="4" t="str">
        <f ca="1">IF(ATALI[[#This Row],[N.B.nota]]="","",ADDRESS(ROW(ATALI[QB]),COLUMN(ATALI[QB]))&amp;":"&amp;ADDRESS(ROW(),COLUMN(ATALI[QB])))</f>
        <v/>
      </c>
      <c r="Y578" s="53" t="str">
        <f ca="1">IF(ATALI[[#This Row],[//]]="","",HYPERLINK("[../DB.xlsx]DB!e"&amp;MATCH(ATALI[[#This Row],[concat]],[4]!db[NB NOTA_C],0)+1,"&gt;"))</f>
        <v/>
      </c>
    </row>
    <row r="579" spans="1:25" x14ac:dyDescent="0.25">
      <c r="A579" s="4"/>
      <c r="B579" s="6" t="str">
        <f>IF(ATALI[[#This Row],[N_ID]]="","",INDEX(Table1[ID],MATCH(ATALI[[#This Row],[N_ID]],Table1[N_ID],0)))</f>
        <v/>
      </c>
      <c r="C579" s="6" t="str">
        <f>IF(ATALI[[#This Row],[ID NOTA]]="","",HYPERLINK("[NOTA_.xlsx]NOTA!e"&amp;INDEX([2]!PAJAK[//],MATCH(ATALI[[#This Row],[ID NOTA]],[2]!PAJAK[ID],0)),"&gt;") )</f>
        <v/>
      </c>
      <c r="D579" s="6" t="str">
        <f>IF(ATALI[[#This Row],[ID NOTA]]="","",INDEX(Table1[QB],MATCH(ATALI[[#This Row],[ID NOTA]],Table1[ID],0)))</f>
        <v/>
      </c>
      <c r="E5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9" s="6"/>
      <c r="G579" s="3" t="str">
        <f>IF(ATALI[[#This Row],[ID NOTA]]="","",INDEX([2]!NOTA[TGL_H],MATCH(ATALI[[#This Row],[ID NOTA]],[2]!NOTA[ID],0)))</f>
        <v/>
      </c>
      <c r="H579" s="3" t="str">
        <f>IF(ATALI[[#This Row],[ID NOTA]]="","",INDEX([2]!NOTA[TGL.NOTA],MATCH(ATALI[[#This Row],[ID NOTA]],[2]!NOTA[ID],0)))</f>
        <v/>
      </c>
      <c r="I579" s="4" t="str">
        <f>IF(ATALI[[#This Row],[ID NOTA]]="","",INDEX([2]!NOTA[NO.NOTA],MATCH(ATALI[[#This Row],[ID NOTA]],[2]!NOTA[ID],0)))</f>
        <v/>
      </c>
      <c r="J579" s="4" t="str">
        <f ca="1">IF(ATALI[[#This Row],[//]]="","",INDEX([4]!db[NB PAJAK],ATALI[[#This Row],[stt]]-1))</f>
        <v/>
      </c>
      <c r="K579" s="6" t="str">
        <f ca="1">IF(ATALI[[#This Row],[//]]="","",IF(INDEX([2]!NOTA[C],ATALI[[#This Row],[//]]-2)="","",INDEX([2]!NOTA[C],ATALI[[#This Row],[//]]-2)))</f>
        <v/>
      </c>
      <c r="L579" s="6" t="str">
        <f ca="1">IF(ATALI[[#This Row],[//]]="","",INDEX([2]!NOTA[QTY],ATALI[[#This Row],[//]]-2))</f>
        <v/>
      </c>
      <c r="M579" s="6" t="str">
        <f ca="1">IF(ATALI[[#This Row],[//]]="","",INDEX([2]!NOTA[STN],ATALI[[#This Row],[//]]-2))</f>
        <v/>
      </c>
      <c r="N579" s="5" t="str">
        <f ca="1">IF(ATALI[[#This Row],[//]]="","",INDEX([2]!NOTA[HARGA SATUAN],ATALI[[#This Row],[//]]-2))</f>
        <v/>
      </c>
      <c r="O579" s="7" t="str">
        <f ca="1">IF(ATALI[[#This Row],[//]]="","",INDEX([2]!NOTA[DISC 1],ATALI[[#This Row],[//]]-2))</f>
        <v/>
      </c>
      <c r="P579" s="7" t="str">
        <f ca="1">IF(ATALI[[#This Row],[//]]="","",INDEX([2]!NOTA[DISC 2],ATALI[[#This Row],[//]]-2))</f>
        <v/>
      </c>
      <c r="Q579" s="5" t="str">
        <f ca="1">IF(ATALI[[#This Row],[//]]="","",INDEX([2]!NOTA[TOTAL],ATALI[[#This Row],[//]]-2))</f>
        <v/>
      </c>
      <c r="R5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9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9" s="4" t="str">
        <f ca="1">IF(ATALI[[#This Row],[//]]="","",INDEX([2]!NOTA[NAMA BARANG],ATALI[[#This Row],[//]]-2))</f>
        <v/>
      </c>
      <c r="V579" s="4" t="str">
        <f ca="1">LOWER(SUBSTITUTE(SUBSTITUTE(SUBSTITUTE(SUBSTITUTE(SUBSTITUTE(SUBSTITUTE(SUBSTITUTE(ATALI[[#This Row],[N.B.nota]]," ",""),"-",""),"(",""),")",""),".",""),",",""),"/",""))</f>
        <v/>
      </c>
      <c r="W579" s="4" t="str">
        <f ca="1">IF(ATALI[[#This Row],[concat]]="","",MATCH(ATALI[[#This Row],[concat]],[4]!db[NB NOTA_C],0)+1)</f>
        <v/>
      </c>
      <c r="X579" s="4" t="str">
        <f ca="1">IF(ATALI[[#This Row],[N.B.nota]]="","",ADDRESS(ROW(ATALI[QB]),COLUMN(ATALI[QB]))&amp;":"&amp;ADDRESS(ROW(),COLUMN(ATALI[QB])))</f>
        <v/>
      </c>
      <c r="Y579" s="53" t="str">
        <f ca="1">IF(ATALI[[#This Row],[//]]="","",HYPERLINK("[../DB.xlsx]DB!e"&amp;MATCH(ATALI[[#This Row],[concat]],[4]!db[NB NOTA_C],0)+1,"&gt;"))</f>
        <v/>
      </c>
    </row>
    <row r="580" spans="1:25" x14ac:dyDescent="0.25">
      <c r="A580" s="4"/>
      <c r="B580" s="6" t="str">
        <f>IF(ATALI[[#This Row],[N_ID]]="","",INDEX(Table1[ID],MATCH(ATALI[[#This Row],[N_ID]],Table1[N_ID],0)))</f>
        <v/>
      </c>
      <c r="C580" s="6" t="str">
        <f>IF(ATALI[[#This Row],[ID NOTA]]="","",HYPERLINK("[NOTA_.xlsx]NOTA!e"&amp;INDEX([2]!PAJAK[//],MATCH(ATALI[[#This Row],[ID NOTA]],[2]!PAJAK[ID],0)),"&gt;") )</f>
        <v/>
      </c>
      <c r="D580" s="6" t="str">
        <f>IF(ATALI[[#This Row],[ID NOTA]]="","",INDEX(Table1[QB],MATCH(ATALI[[#This Row],[ID NOTA]],Table1[ID],0)))</f>
        <v/>
      </c>
      <c r="E5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0" s="6"/>
      <c r="G580" s="3" t="str">
        <f>IF(ATALI[[#This Row],[ID NOTA]]="","",INDEX([2]!NOTA[TGL_H],MATCH(ATALI[[#This Row],[ID NOTA]],[2]!NOTA[ID],0)))</f>
        <v/>
      </c>
      <c r="H580" s="3" t="str">
        <f>IF(ATALI[[#This Row],[ID NOTA]]="","",INDEX([2]!NOTA[TGL.NOTA],MATCH(ATALI[[#This Row],[ID NOTA]],[2]!NOTA[ID],0)))</f>
        <v/>
      </c>
      <c r="I580" s="4" t="str">
        <f>IF(ATALI[[#This Row],[ID NOTA]]="","",INDEX([2]!NOTA[NO.NOTA],MATCH(ATALI[[#This Row],[ID NOTA]],[2]!NOTA[ID],0)))</f>
        <v/>
      </c>
      <c r="J580" s="4" t="str">
        <f ca="1">IF(ATALI[[#This Row],[//]]="","",INDEX([4]!db[NB PAJAK],ATALI[[#This Row],[stt]]-1))</f>
        <v/>
      </c>
      <c r="K580" s="6" t="str">
        <f ca="1">IF(ATALI[[#This Row],[//]]="","",IF(INDEX([2]!NOTA[C],ATALI[[#This Row],[//]]-2)="","",INDEX([2]!NOTA[C],ATALI[[#This Row],[//]]-2)))</f>
        <v/>
      </c>
      <c r="L580" s="6" t="str">
        <f ca="1">IF(ATALI[[#This Row],[//]]="","",INDEX([2]!NOTA[QTY],ATALI[[#This Row],[//]]-2))</f>
        <v/>
      </c>
      <c r="M580" s="6" t="str">
        <f ca="1">IF(ATALI[[#This Row],[//]]="","",INDEX([2]!NOTA[STN],ATALI[[#This Row],[//]]-2))</f>
        <v/>
      </c>
      <c r="N580" s="5" t="str">
        <f ca="1">IF(ATALI[[#This Row],[//]]="","",INDEX([2]!NOTA[HARGA SATUAN],ATALI[[#This Row],[//]]-2))</f>
        <v/>
      </c>
      <c r="O580" s="7" t="str">
        <f ca="1">IF(ATALI[[#This Row],[//]]="","",INDEX([2]!NOTA[DISC 1],ATALI[[#This Row],[//]]-2))</f>
        <v/>
      </c>
      <c r="P580" s="7" t="str">
        <f ca="1">IF(ATALI[[#This Row],[//]]="","",INDEX([2]!NOTA[DISC 2],ATALI[[#This Row],[//]]-2))</f>
        <v/>
      </c>
      <c r="Q580" s="5" t="str">
        <f ca="1">IF(ATALI[[#This Row],[//]]="","",INDEX([2]!NOTA[TOTAL],ATALI[[#This Row],[//]]-2))</f>
        <v/>
      </c>
      <c r="R5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0" s="5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0" s="4" t="str">
        <f ca="1">IF(ATALI[[#This Row],[//]]="","",INDEX([2]!NOTA[NAMA BARANG],ATALI[[#This Row],[//]]-2))</f>
        <v/>
      </c>
      <c r="V580" s="4" t="str">
        <f ca="1">LOWER(SUBSTITUTE(SUBSTITUTE(SUBSTITUTE(SUBSTITUTE(SUBSTITUTE(SUBSTITUTE(SUBSTITUTE(ATALI[[#This Row],[N.B.nota]]," ",""),"-",""),"(",""),")",""),".",""),",",""),"/",""))</f>
        <v/>
      </c>
      <c r="W580" s="4" t="str">
        <f ca="1">IF(ATALI[[#This Row],[concat]]="","",MATCH(ATALI[[#This Row],[concat]],[4]!db[NB NOTA_C],0)+1)</f>
        <v/>
      </c>
      <c r="X580" s="4" t="str">
        <f ca="1">IF(ATALI[[#This Row],[N.B.nota]]="","",ADDRESS(ROW(ATALI[QB]),COLUMN(ATALI[QB]))&amp;":"&amp;ADDRESS(ROW(),COLUMN(ATALI[QB])))</f>
        <v/>
      </c>
      <c r="Y580" s="53" t="str">
        <f ca="1">IF(ATALI[[#This Row],[//]]="","",HYPERLINK("[../DB.xlsx]DB!e"&amp;MATCH(ATALI[[#This Row],[concat]],[4]!db[NB NOTA_C],0)+1,"&gt;"))</f>
        <v/>
      </c>
    </row>
  </sheetData>
  <conditionalFormatting sqref="A408:A412">
    <cfRule type="duplicateValues" dxfId="191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0"/>
  <sheetViews>
    <sheetView zoomScale="85" zoomScaleNormal="85" workbookViewId="0">
      <selection activeCell="J14" sqref="J14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5.570312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85</v>
      </c>
      <c r="B3" s="1">
        <f ca="1">IF(KALINDO[[#This Row],[N_ID]]="","",INDEX(Table1[ID],MATCH(KALINDO[[#This Row],[N_ID]],Table1[N_ID],0)))</f>
        <v>67</v>
      </c>
      <c r="C3" s="1" t="str">
        <f ca="1">IF(KALINDO[[#This Row],[ID NOTA]]="","",HYPERLINK("[NOTA_.xlsx]NOTA!e"&amp;INDEX([2]!PAJAK[//],MATCH(KALINDO[[#This Row],[ID NOTA]],[2]!PAJAK[ID],0)),"&gt;") )</f>
        <v>&gt;</v>
      </c>
      <c r="D3" s="1">
        <f ca="1">IF(KALINDO[[#This Row],[ID NOTA]]="","",INDEX(Table1[QB],MATCH(KALINDO[[#This Row],[ID NOTA]],Table1[ID],0)))</f>
        <v>8</v>
      </c>
      <c r="E3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357</v>
      </c>
      <c r="F3" s="1">
        <v>1</v>
      </c>
      <c r="G3" s="3">
        <f ca="1">IF(KALINDO[[#This Row],[ID NOTA]]="","",INDEX([2]!NOTA[TGL_H],MATCH(KALINDO[[#This Row],[ID NOTA]],[2]!NOTA[ID],0)))</f>
        <v>44820</v>
      </c>
      <c r="H3" s="3">
        <f ca="1">IF(KALINDO[[#This Row],[ID NOTA]]="","",INDEX([2]!NOTA[TGL.NOTA],MATCH(KALINDO[[#This Row],[ID NOTA]],[2]!NOTA[ID],0)))</f>
        <v>44816</v>
      </c>
      <c r="I3" t="str">
        <f ca="1">IF(KALINDO[[#This Row],[ID NOTA]]="","",INDEX([2]!NOTA[NO.NOTA],MATCH(KALINDO[[#This Row],[ID NOTA]],[2]!NOTA[ID],0)))</f>
        <v>SN22091783</v>
      </c>
      <c r="J3" t="str">
        <f ca="1">IF(KALINDO[[#This Row],[//]]="","",INDEX([4]!db[NB PAJAK],KALINDO[[#This Row],[stt]]-1))</f>
        <v>CALCULATOR JOYKO CC-36 WARNA BIRU</v>
      </c>
      <c r="K3" s="1" t="str">
        <f ca="1">IF(KALINDO[[#This Row],[//]]="","",IF(INDEX([2]!NOTA[C],KALINDO[[#This Row],[//]]-2)="","",INDEX([2]!NOTA[C],KALINDO[[#This Row],[//]]-2)))</f>
        <v/>
      </c>
      <c r="L3" s="1">
        <f ca="1">IF(KALINDO[[#This Row],[//]]="","",INDEX([2]!NOTA[QTY],KALINDO[[#This Row],[//]]-2))</f>
        <v>40</v>
      </c>
      <c r="M3" s="1" t="str">
        <f ca="1">IF(KALINDO[[#This Row],[//]]="","",INDEX([2]!NOTA[STN],KALINDO[[#This Row],[//]]-2))</f>
        <v>PCS</v>
      </c>
      <c r="N3" s="5">
        <f ca="1">IF(KALINDO[[#This Row],[//]]="","",INDEX([2]!NOTA[HARGA SATUAN],KALINDO[[#This Row],[//]]-2))</f>
        <v>47000</v>
      </c>
      <c r="O3" s="7">
        <f ca="1">IF(KALINDO[[#This Row],[//]]="","",INDEX([2]!NOTA[DISC 1],KALINDO[[#This Row],[//]]-2))</f>
        <v>0.125</v>
      </c>
      <c r="P3" s="7">
        <f ca="1">IF(KALINDO[[#This Row],[//]]="","",INDEX([2]!NOTA[DISC 2],KALINDO[[#This Row],[//]]-2))</f>
        <v>0.1</v>
      </c>
      <c r="Q3" s="5">
        <f ca="1">IF(KALINDO[[#This Row],[//]]="","",INDEX([2]!NOTA[TOTAL],KALINDO[[#This Row],[//]]-2))</f>
        <v>1480500</v>
      </c>
      <c r="R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" t="str">
        <f ca="1">IF(KALINDO[[#This Row],[//]]="","",INDEX([2]!NOTA[NAMA BARANG],KALINDO[[#This Row],[//]]-2))</f>
        <v>CALCULATOR JOYKO CC-36 BLUE</v>
      </c>
      <c r="V3" t="str">
        <f ca="1">LOWER(SUBSTITUTE(SUBSTITUTE(SUBSTITUTE(SUBSTITUTE(SUBSTITUTE(SUBSTITUTE(KALINDO[[#This Row],[N.B.nota]]," ",""),"-",""),"(",""),")",""),".",""),",",""))</f>
        <v>calculatorjoykocc36blue</v>
      </c>
      <c r="W3">
        <f ca="1">IF(KALINDO[[#This Row],[concat]]="","",MATCH(KALINDO[[#This Row],[concat]],[4]!db[NB NOTA_C],0)+1)</f>
        <v>397</v>
      </c>
      <c r="X3" t="str">
        <f ca="1">IF(KALINDO[[#This Row],[N.B.nota]]="","",ADDRESS(ROW(KALINDO[QB]),COLUMN(KALINDO[QB]))&amp;":"&amp;ADDRESS(ROW(),COLUMN(KALINDO[QB])))</f>
        <v>$D$3:$D$3</v>
      </c>
      <c r="Y3" s="13" t="str">
        <f ca="1">IF(KALINDO[[#This Row],[//]]="","",HYPERLINK("[../DB.xlsx]DB!e"&amp;MATCH(KALINDO[[#This Row],[concat]],[4]!db[NB NOTA_C],0)+1,"&gt;"))</f>
        <v>&gt;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358</v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t="str">
        <f ca="1">IF(KALINDO[[#This Row],[//]]="","",INDEX([4]!db[NB PAJAK],KALINDO[[#This Row],[stt]]-1))</f>
        <v>CALCULATOR JOYKO CC-36 WARNA HIJAU</v>
      </c>
      <c r="K4" s="1" t="str">
        <f ca="1">IF(KALINDO[[#This Row],[//]]="","",IF(INDEX([2]!NOTA[C],KALINDO[[#This Row],[//]]-2)="","",INDEX([2]!NOTA[C],KALINDO[[#This Row],[//]]-2)))</f>
        <v/>
      </c>
      <c r="L4" s="1">
        <f ca="1">IF(KALINDO[[#This Row],[//]]="","",INDEX([2]!NOTA[QTY],KALINDO[[#This Row],[//]]-2))</f>
        <v>40</v>
      </c>
      <c r="M4" s="1" t="str">
        <f ca="1">IF(KALINDO[[#This Row],[//]]="","",INDEX([2]!NOTA[STN],KALINDO[[#This Row],[//]]-2))</f>
        <v>PCS</v>
      </c>
      <c r="N4" s="5">
        <f ca="1">IF(KALINDO[[#This Row],[//]]="","",INDEX([2]!NOTA[HARGA SATUAN],KALINDO[[#This Row],[//]]-2))</f>
        <v>47000</v>
      </c>
      <c r="O4" s="7">
        <f ca="1">IF(KALINDO[[#This Row],[//]]="","",INDEX([2]!NOTA[DISC 1],KALINDO[[#This Row],[//]]-2))</f>
        <v>0.125</v>
      </c>
      <c r="P4" s="7">
        <f ca="1">IF(KALINDO[[#This Row],[//]]="","",INDEX([2]!NOTA[DISC 2],KALINDO[[#This Row],[//]]-2))</f>
        <v>0.1</v>
      </c>
      <c r="Q4" s="5">
        <f ca="1">IF(KALINDO[[#This Row],[//]]="","",INDEX([2]!NOTA[TOTAL],KALINDO[[#This Row],[//]]-2))</f>
        <v>1480500</v>
      </c>
      <c r="R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" t="str">
        <f ca="1">IF(KALINDO[[#This Row],[//]]="","",INDEX([2]!NOTA[NAMA BARANG],KALINDO[[#This Row],[//]]-2))</f>
        <v>CALCULATOR JOYKO CC-36 GREEN</v>
      </c>
      <c r="V4" t="str">
        <f ca="1">LOWER(SUBSTITUTE(SUBSTITUTE(SUBSTITUTE(SUBSTITUTE(SUBSTITUTE(SUBSTITUTE(KALINDO[[#This Row],[N.B.nota]]," ",""),"-",""),"(",""),")",""),".",""),",",""))</f>
        <v>calculatorjoykocc36green</v>
      </c>
      <c r="W4">
        <f ca="1">IF(KALINDO[[#This Row],[concat]]="","",MATCH(KALINDO[[#This Row],[concat]],[4]!db[NB NOTA_C],0)+1)</f>
        <v>398</v>
      </c>
      <c r="X4" t="str">
        <f ca="1">IF(KALINDO[[#This Row],[N.B.nota]]="","",ADDRESS(ROW(KALINDO[QB]),COLUMN(KALINDO[QB]))&amp;":"&amp;ADDRESS(ROW(),COLUMN(KALINDO[QB])))</f>
        <v>$D$3:$D$4</v>
      </c>
      <c r="Y4" s="13" t="str">
        <f ca="1">IF(KALINDO[[#This Row],[//]]="","",HYPERLINK("[../DB.xlsx]DB!e"&amp;MATCH(KALINDO[[#This Row],[concat]],[4]!db[NB NOTA_C],0)+1,"&gt;"))</f>
        <v>&gt;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359</v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t="str">
        <f ca="1">IF(KALINDO[[#This Row],[//]]="","",INDEX([4]!db[NB PAJAK],KALINDO[[#This Row],[stt]]-1))</f>
        <v>CALCULATOR JOYKO CC-36 WARNA KUNING</v>
      </c>
      <c r="K5" s="1" t="str">
        <f ca="1">IF(KALINDO[[#This Row],[//]]="","",IF(INDEX([2]!NOTA[C],KALINDO[[#This Row],[//]]-2)="","",INDEX([2]!NOTA[C],KALINDO[[#This Row],[//]]-2)))</f>
        <v/>
      </c>
      <c r="L5" s="1">
        <f ca="1">IF(KALINDO[[#This Row],[//]]="","",INDEX([2]!NOTA[QTY],KALINDO[[#This Row],[//]]-2))</f>
        <v>40</v>
      </c>
      <c r="M5" s="1" t="str">
        <f ca="1">IF(KALINDO[[#This Row],[//]]="","",INDEX([2]!NOTA[STN],KALINDO[[#This Row],[//]]-2))</f>
        <v>PCS</v>
      </c>
      <c r="N5" s="5">
        <f ca="1">IF(KALINDO[[#This Row],[//]]="","",INDEX([2]!NOTA[HARGA SATUAN],KALINDO[[#This Row],[//]]-2))</f>
        <v>47000</v>
      </c>
      <c r="O5" s="7">
        <f ca="1">IF(KALINDO[[#This Row],[//]]="","",INDEX([2]!NOTA[DISC 1],KALINDO[[#This Row],[//]]-2))</f>
        <v>0.125</v>
      </c>
      <c r="P5" s="7">
        <f ca="1">IF(KALINDO[[#This Row],[//]]="","",INDEX([2]!NOTA[DISC 2],KALINDO[[#This Row],[//]]-2))</f>
        <v>0.1</v>
      </c>
      <c r="Q5" s="5">
        <f ca="1">IF(KALINDO[[#This Row],[//]]="","",INDEX([2]!NOTA[TOTAL],KALINDO[[#This Row],[//]]-2))</f>
        <v>1480500</v>
      </c>
      <c r="R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5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5" t="str">
        <f ca="1">IF(KALINDO[[#This Row],[//]]="","",INDEX([2]!NOTA[NAMA BARANG],KALINDO[[#This Row],[//]]-2))</f>
        <v>CALCULATOR JOYKO CC-36 YELLOW</v>
      </c>
      <c r="V5" t="str">
        <f ca="1">LOWER(SUBSTITUTE(SUBSTITUTE(SUBSTITUTE(SUBSTITUTE(SUBSTITUTE(SUBSTITUTE(KALINDO[[#This Row],[N.B.nota]]," ",""),"-",""),"(",""),")",""),".",""),",",""))</f>
        <v>calculatorjoykocc36yellow</v>
      </c>
      <c r="W5">
        <f ca="1">IF(KALINDO[[#This Row],[concat]]="","",MATCH(KALINDO[[#This Row],[concat]],[4]!db[NB NOTA_C],0)+1)</f>
        <v>400</v>
      </c>
      <c r="X5" t="str">
        <f ca="1">IF(KALINDO[[#This Row],[N.B.nota]]="","",ADDRESS(ROW(KALINDO[QB]),COLUMN(KALINDO[QB]))&amp;":"&amp;ADDRESS(ROW(),COLUMN(KALINDO[QB])))</f>
        <v>$D$3:$D$5</v>
      </c>
      <c r="Y5" s="13" t="str">
        <f ca="1">IF(KALINDO[[#This Row],[//]]="","",HYPERLINK("[../DB.xlsx]DB!e"&amp;MATCH(KALINDO[[#This Row],[concat]],[4]!db[NB NOTA_C],0)+1,"&gt;"))</f>
        <v>&gt;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360</v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t="str">
        <f ca="1">IF(KALINDO[[#This Row],[//]]="","",INDEX([4]!db[NB PAJAK],KALINDO[[#This Row],[stt]]-1))</f>
        <v>CALCULATOR JOYKO CC-37</v>
      </c>
      <c r="K6" s="1">
        <f ca="1">IF(KALINDO[[#This Row],[//]]="","",IF(INDEX([2]!NOTA[C],KALINDO[[#This Row],[//]]-2)="","",INDEX([2]!NOTA[C],KALINDO[[#This Row],[//]]-2)))</f>
        <v>1</v>
      </c>
      <c r="L6" s="1">
        <f ca="1">IF(KALINDO[[#This Row],[//]]="","",INDEX([2]!NOTA[QTY],KALINDO[[#This Row],[//]]-2))</f>
        <v>160</v>
      </c>
      <c r="M6" s="1" t="str">
        <f ca="1">IF(KALINDO[[#This Row],[//]]="","",INDEX([2]!NOTA[STN],KALINDO[[#This Row],[//]]-2))</f>
        <v>PCS</v>
      </c>
      <c r="N6" s="5">
        <f ca="1">IF(KALINDO[[#This Row],[//]]="","",INDEX([2]!NOTA[HARGA SATUAN],KALINDO[[#This Row],[//]]-2))</f>
        <v>32000</v>
      </c>
      <c r="O6" s="7">
        <f ca="1">IF(KALINDO[[#This Row],[//]]="","",INDEX([2]!NOTA[DISC 1],KALINDO[[#This Row],[//]]-2))</f>
        <v>0.125</v>
      </c>
      <c r="P6" s="7">
        <f ca="1">IF(KALINDO[[#This Row],[//]]="","",INDEX([2]!NOTA[DISC 2],KALINDO[[#This Row],[//]]-2))</f>
        <v>0.1</v>
      </c>
      <c r="Q6" s="5">
        <f ca="1">IF(KALINDO[[#This Row],[//]]="","",INDEX([2]!NOTA[TOTAL],KALINDO[[#This Row],[//]]-2))</f>
        <v>4032000</v>
      </c>
      <c r="R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6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6" t="str">
        <f ca="1">IF(KALINDO[[#This Row],[//]]="","",INDEX([2]!NOTA[NAMA BARANG],KALINDO[[#This Row],[//]]-2))</f>
        <v>CALCULATOR JOYKO CC-37</v>
      </c>
      <c r="V6" t="str">
        <f ca="1">LOWER(SUBSTITUTE(SUBSTITUTE(SUBSTITUTE(SUBSTITUTE(SUBSTITUTE(SUBSTITUTE(KALINDO[[#This Row],[N.B.nota]]," ",""),"-",""),"(",""),")",""),".",""),",",""))</f>
        <v>calculatorjoykocc37</v>
      </c>
      <c r="W6">
        <f ca="1">IF(KALINDO[[#This Row],[concat]]="","",MATCH(KALINDO[[#This Row],[concat]],[4]!db[NB NOTA_C],0)+1)</f>
        <v>401</v>
      </c>
      <c r="X6" t="str">
        <f ca="1">IF(KALINDO[[#This Row],[N.B.nota]]="","",ADDRESS(ROW(KALINDO[QB]),COLUMN(KALINDO[QB]))&amp;":"&amp;ADDRESS(ROW(),COLUMN(KALINDO[QB])))</f>
        <v>$D$3:$D$6</v>
      </c>
      <c r="Y6" s="13" t="str">
        <f ca="1">IF(KALINDO[[#This Row],[//]]="","",HYPERLINK("[../DB.xlsx]DB!e"&amp;MATCH(KALINDO[[#This Row],[concat]],[4]!db[NB NOTA_C],0)+1,"&gt;"))</f>
        <v>&gt;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361</v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t="str">
        <f ca="1">IF(KALINDO[[#This Row],[//]]="","",INDEX([4]!db[NB PAJAK],KALINDO[[#This Row],[stt]]-1))</f>
        <v>CALCULATOR JOYKO CC-47CO BIRU</v>
      </c>
      <c r="K7" s="1" t="str">
        <f ca="1">IF(KALINDO[[#This Row],[//]]="","",IF(INDEX([2]!NOTA[C],KALINDO[[#This Row],[//]]-2)="","",INDEX([2]!NOTA[C],KALINDO[[#This Row],[//]]-2)))</f>
        <v/>
      </c>
      <c r="L7" s="1">
        <f ca="1">IF(KALINDO[[#This Row],[//]]="","",INDEX([2]!NOTA[QTY],KALINDO[[#This Row],[//]]-2))</f>
        <v>40</v>
      </c>
      <c r="M7" s="1" t="str">
        <f ca="1">IF(KALINDO[[#This Row],[//]]="","",INDEX([2]!NOTA[STN],KALINDO[[#This Row],[//]]-2))</f>
        <v>PCS</v>
      </c>
      <c r="N7" s="5">
        <f ca="1">IF(KALINDO[[#This Row],[//]]="","",INDEX([2]!NOTA[HARGA SATUAN],KALINDO[[#This Row],[//]]-2))</f>
        <v>32500</v>
      </c>
      <c r="O7" s="7">
        <f ca="1">IF(KALINDO[[#This Row],[//]]="","",INDEX([2]!NOTA[DISC 1],KALINDO[[#This Row],[//]]-2))</f>
        <v>0.125</v>
      </c>
      <c r="P7" s="7">
        <f ca="1">IF(KALINDO[[#This Row],[//]]="","",INDEX([2]!NOTA[DISC 2],KALINDO[[#This Row],[//]]-2))</f>
        <v>0.1</v>
      </c>
      <c r="Q7" s="5">
        <f ca="1">IF(KALINDO[[#This Row],[//]]="","",INDEX([2]!NOTA[TOTAL],KALINDO[[#This Row],[//]]-2))</f>
        <v>1023750</v>
      </c>
      <c r="R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7" t="str">
        <f ca="1">IF(KALINDO[[#This Row],[//]]="","",INDEX([2]!NOTA[NAMA BARANG],KALINDO[[#This Row],[//]]-2))</f>
        <v>CALCULATOR JOYKO CC-47CO BLUE</v>
      </c>
      <c r="V7" t="str">
        <f ca="1">LOWER(SUBSTITUTE(SUBSTITUTE(SUBSTITUTE(SUBSTITUTE(SUBSTITUTE(SUBSTITUTE(KALINDO[[#This Row],[N.B.nota]]," ",""),"-",""),"(",""),")",""),".",""),",",""))</f>
        <v>calculatorjoykocc47coblue</v>
      </c>
      <c r="W7">
        <f ca="1">IF(KALINDO[[#This Row],[concat]]="","",MATCH(KALINDO[[#This Row],[concat]],[4]!db[NB NOTA_C],0)+1)</f>
        <v>406</v>
      </c>
      <c r="X7" t="str">
        <f ca="1">IF(KALINDO[[#This Row],[N.B.nota]]="","",ADDRESS(ROW(KALINDO[QB]),COLUMN(KALINDO[QB]))&amp;":"&amp;ADDRESS(ROW(),COLUMN(KALINDO[QB])))</f>
        <v>$D$3:$D$7</v>
      </c>
      <c r="Y7" s="13" t="str">
        <f ca="1">IF(KALINDO[[#This Row],[//]]="","",HYPERLINK("[../DB.xlsx]DB!e"&amp;MATCH(KALINDO[[#This Row],[concat]],[4]!db[NB NOTA_C],0)+1,"&gt;"))</f>
        <v>&gt;</v>
      </c>
    </row>
    <row r="8" spans="1:25" x14ac:dyDescent="0.25">
      <c r="A8" s="4"/>
      <c r="B8" s="1" t="str">
        <f>IF(KALINDO[[#This Row],[N_ID]]="","",INDEX(Table1[ID],MATCH(KALINDO[[#This Row],[N_ID]],Table1[N_ID],0)))</f>
        <v/>
      </c>
      <c r="C8" s="1" t="str">
        <f>IF(KALINDO[[#This Row],[ID NOTA]]="","",HYPERLINK("[NOTA_.xlsx]NOTA!e"&amp;INDEX([2]!PAJAK[//],MATCH(KALINDO[[#This Row],[ID NOTA]],[2]!PAJAK[ID],0)),"&gt;") )</f>
        <v/>
      </c>
      <c r="D8" s="1" t="str">
        <f>IF(KALINDO[[#This Row],[ID NOTA]]="","",INDEX(Table1[QB],MATCH(KALINDO[[#This Row],[ID NOTA]],Table1[ID],0)))</f>
        <v/>
      </c>
      <c r="E8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362</v>
      </c>
      <c r="F8" s="1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t="str">
        <f>IF(KALINDO[[#This Row],[ID NOTA]]="","",INDEX([2]!NOTA[NO.NOTA],MATCH(KALINDO[[#This Row],[ID NOTA]],[2]!NOTA[ID],0)))</f>
        <v/>
      </c>
      <c r="J8" t="str">
        <f ca="1">IF(KALINDO[[#This Row],[//]]="","",INDEX([4]!db[NB PAJAK],KALINDO[[#This Row],[stt]]-1))</f>
        <v>CALCULATOR JOYKO CC-47CO HIJAU</v>
      </c>
      <c r="K8" s="1" t="str">
        <f ca="1">IF(KALINDO[[#This Row],[//]]="","",IF(INDEX([2]!NOTA[C],KALINDO[[#This Row],[//]]-2)="","",INDEX([2]!NOTA[C],KALINDO[[#This Row],[//]]-2)))</f>
        <v/>
      </c>
      <c r="L8" s="1">
        <f ca="1">IF(KALINDO[[#This Row],[//]]="","",INDEX([2]!NOTA[QTY],KALINDO[[#This Row],[//]]-2))</f>
        <v>40</v>
      </c>
      <c r="M8" s="1" t="str">
        <f ca="1">IF(KALINDO[[#This Row],[//]]="","",INDEX([2]!NOTA[STN],KALINDO[[#This Row],[//]]-2))</f>
        <v>PCS</v>
      </c>
      <c r="N8" s="5">
        <f ca="1">IF(KALINDO[[#This Row],[//]]="","",INDEX([2]!NOTA[HARGA SATUAN],KALINDO[[#This Row],[//]]-2))</f>
        <v>32500</v>
      </c>
      <c r="O8" s="7">
        <f ca="1">IF(KALINDO[[#This Row],[//]]="","",INDEX([2]!NOTA[DISC 1],KALINDO[[#This Row],[//]]-2))</f>
        <v>0.125</v>
      </c>
      <c r="P8" s="7">
        <f ca="1">IF(KALINDO[[#This Row],[//]]="","",INDEX([2]!NOTA[DISC 2],KALINDO[[#This Row],[//]]-2))</f>
        <v>0.1</v>
      </c>
      <c r="Q8" s="5">
        <f ca="1">IF(KALINDO[[#This Row],[//]]="","",INDEX([2]!NOTA[TOTAL],KALINDO[[#This Row],[//]]-2))</f>
        <v>1023750</v>
      </c>
      <c r="R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8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8" t="str">
        <f ca="1">IF(KALINDO[[#This Row],[//]]="","",INDEX([2]!NOTA[NAMA BARANG],KALINDO[[#This Row],[//]]-2))</f>
        <v>CALCULATOR JOYKO CC-47CO GREEN</v>
      </c>
      <c r="V8" t="str">
        <f ca="1">LOWER(SUBSTITUTE(SUBSTITUTE(SUBSTITUTE(SUBSTITUTE(SUBSTITUTE(SUBSTITUTE(KALINDO[[#This Row],[N.B.nota]]," ",""),"-",""),"(",""),")",""),".",""),",",""))</f>
        <v>calculatorjoykocc47cogreen</v>
      </c>
      <c r="W8">
        <f ca="1">IF(KALINDO[[#This Row],[concat]]="","",MATCH(KALINDO[[#This Row],[concat]],[4]!db[NB NOTA_C],0)+1)</f>
        <v>407</v>
      </c>
      <c r="X8" t="str">
        <f ca="1">IF(KALINDO[[#This Row],[N.B.nota]]="","",ADDRESS(ROW(KALINDO[QB]),COLUMN(KALINDO[QB]))&amp;":"&amp;ADDRESS(ROW(),COLUMN(KALINDO[QB])))</f>
        <v>$D$3:$D$8</v>
      </c>
      <c r="Y8" s="13" t="str">
        <f ca="1">IF(KALINDO[[#This Row],[//]]="","",HYPERLINK("[../DB.xlsx]DB!e"&amp;MATCH(KALINDO[[#This Row],[concat]],[4]!db[NB NOTA_C],0)+1,"&gt;"))</f>
        <v>&gt;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363</v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4" t="str">
        <f ca="1">IF(KALINDO[[#This Row],[//]]="","",INDEX([4]!db[NB PAJAK],KALINDO[[#This Row],[stt]]-1))</f>
        <v>CALCULATOR JOYKO CC-47CO MERAH</v>
      </c>
      <c r="K9" s="6" t="str">
        <f ca="1">IF(KALINDO[[#This Row],[//]]="","",IF(INDEX([2]!NOTA[C],KALINDO[[#This Row],[//]]-2)="","",INDEX([2]!NOTA[C],KALINDO[[#This Row],[//]]-2)))</f>
        <v/>
      </c>
      <c r="L9" s="6">
        <f ca="1">IF(KALINDO[[#This Row],[//]]="","",INDEX([2]!NOTA[QTY],KALINDO[[#This Row],[//]]-2))</f>
        <v>40</v>
      </c>
      <c r="M9" s="6" t="str">
        <f ca="1">IF(KALINDO[[#This Row],[//]]="","",INDEX([2]!NOTA[STN],KALINDO[[#This Row],[//]]-2))</f>
        <v>PCS</v>
      </c>
      <c r="N9" s="5">
        <f ca="1">IF(KALINDO[[#This Row],[//]]="","",INDEX([2]!NOTA[HARGA SATUAN],KALINDO[[#This Row],[//]]-2))</f>
        <v>32500</v>
      </c>
      <c r="O9" s="7">
        <f ca="1">IF(KALINDO[[#This Row],[//]]="","",INDEX([2]!NOTA[DISC 1],KALINDO[[#This Row],[//]]-2))</f>
        <v>0.125</v>
      </c>
      <c r="P9" s="7">
        <f ca="1">IF(KALINDO[[#This Row],[//]]="","",INDEX([2]!NOTA[DISC 2],KALINDO[[#This Row],[//]]-2))</f>
        <v>0.1</v>
      </c>
      <c r="Q9" s="5">
        <f ca="1">IF(KALINDO[[#This Row],[//]]="","",INDEX([2]!NOTA[TOTAL],KALINDO[[#This Row],[//]]-2))</f>
        <v>1023750</v>
      </c>
      <c r="R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9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9" s="4" t="str">
        <f ca="1">IF(KALINDO[[#This Row],[//]]="","",INDEX([2]!NOTA[NAMA BARANG],KALINDO[[#This Row],[//]]-2))</f>
        <v>CALCULATOR JOYKO CC-47CO RED</v>
      </c>
      <c r="V9" t="str">
        <f ca="1">LOWER(SUBSTITUTE(SUBSTITUTE(SUBSTITUTE(SUBSTITUTE(SUBSTITUTE(SUBSTITUTE(KALINDO[[#This Row],[N.B.nota]]," ",""),"-",""),"(",""),")",""),".",""),",",""))</f>
        <v>calculatorjoykocc47cored</v>
      </c>
      <c r="W9">
        <f ca="1">IF(KALINDO[[#This Row],[concat]]="","",MATCH(KALINDO[[#This Row],[concat]],[4]!db[NB NOTA_C],0)+1)</f>
        <v>408</v>
      </c>
      <c r="X9" t="str">
        <f ca="1">IF(KALINDO[[#This Row],[N.B.nota]]="","",ADDRESS(ROW(KALINDO[QB]),COLUMN(KALINDO[QB]))&amp;":"&amp;ADDRESS(ROW(),COLUMN(KALINDO[QB])))</f>
        <v>$D$3:$D$9</v>
      </c>
      <c r="Y9" s="21" t="str">
        <f ca="1">IF(KALINDO[[#This Row],[//]]="","",HYPERLINK("[../DB.xlsx]DB!e"&amp;MATCH(KALINDO[[#This Row],[concat]],[4]!db[NB NOTA_C],0)+1,"&gt;"))</f>
        <v>&gt;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NOTA]]="","",HYPERLINK("[NOTA_.xlsx]NOTA!e"&amp;INDEX([2]!PAJAK[//],MATCH(KALINDO[[#This Row],[ID NOTA]],[2]!PAJAK[ID],0)),"&gt;") )</f>
        <v/>
      </c>
      <c r="D10" s="6" t="str">
        <f>IF(KALINDO[[#This Row],[ID NOTA]]="","",INDEX(Table1[QB],MATCH(KALINDO[[#This Row],[ID NOTA]],Table1[ID],0)))</f>
        <v/>
      </c>
      <c r="E10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364</v>
      </c>
      <c r="F10" s="6"/>
      <c r="G10" s="3" t="str">
        <f>IF(KALINDO[[#This Row],[ID NOTA]]="","",INDEX([2]!NOTA[TGL_H],MATCH(KALINDO[[#This Row],[ID NOTA]],[2]!NOTA[ID],0)))</f>
        <v/>
      </c>
      <c r="H10" s="3" t="str">
        <f>IF(KALINDO[[#This Row],[ID NOTA]]="","",INDEX([2]!NOTA[TGL.NOTA],MATCH(KALINDO[[#This Row],[ID NOTA]],[2]!NOTA[ID],0)))</f>
        <v/>
      </c>
      <c r="I10" s="4" t="str">
        <f>IF(KALINDO[[#This Row],[ID NOTA]]="","",INDEX([2]!NOTA[NO.NOTA],MATCH(KALINDO[[#This Row],[ID NOTA]],[2]!NOTA[ID],0)))</f>
        <v/>
      </c>
      <c r="J10" s="4" t="str">
        <f ca="1">IF(KALINDO[[#This Row],[//]]="","",INDEX([4]!db[NB PAJAK],KALINDO[[#This Row],[stt]]-1))</f>
        <v>CALCULATOR JOYKO CC-810CH</v>
      </c>
      <c r="K10" s="6">
        <f ca="1">IF(KALINDO[[#This Row],[//]]="","",IF(INDEX([2]!NOTA[C],KALINDO[[#This Row],[//]]-2)="","",INDEX([2]!NOTA[C],KALINDO[[#This Row],[//]]-2)))</f>
        <v>1</v>
      </c>
      <c r="L10" s="6">
        <f ca="1">IF(KALINDO[[#This Row],[//]]="","",INDEX([2]!NOTA[QTY],KALINDO[[#This Row],[//]]-2))</f>
        <v>60</v>
      </c>
      <c r="M10" s="6" t="str">
        <f ca="1">IF(KALINDO[[#This Row],[//]]="","",INDEX([2]!NOTA[STN],KALINDO[[#This Row],[//]]-2))</f>
        <v>PCS</v>
      </c>
      <c r="N10" s="5">
        <f ca="1">IF(KALINDO[[#This Row],[//]]="","",INDEX([2]!NOTA[HARGA SATUAN],KALINDO[[#This Row],[//]]-2))</f>
        <v>75000</v>
      </c>
      <c r="O10" s="7">
        <f ca="1">IF(KALINDO[[#This Row],[//]]="","",INDEX([2]!NOTA[DISC 1],KALINDO[[#This Row],[//]]-2))</f>
        <v>0.125</v>
      </c>
      <c r="P10" s="7">
        <f ca="1">IF(KALINDO[[#This Row],[//]]="","",INDEX([2]!NOTA[DISC 2],KALINDO[[#This Row],[//]]-2))</f>
        <v>0.1</v>
      </c>
      <c r="Q10" s="5">
        <f ca="1">IF(KALINDO[[#This Row],[//]]="","",INDEX([2]!NOTA[TOTAL],KALINDO[[#This Row],[//]]-2))</f>
        <v>3543750</v>
      </c>
      <c r="R10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10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15088500</v>
      </c>
      <c r="T10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0" s="4" t="str">
        <f ca="1">IF(KALINDO[[#This Row],[//]]="","",INDEX([2]!NOTA[NAMA BARANG],KALINDO[[#This Row],[//]]-2))</f>
        <v>CALCULATOR JOYKO CC-810CH</v>
      </c>
      <c r="V10" t="str">
        <f ca="1">LOWER(SUBSTITUTE(SUBSTITUTE(SUBSTITUTE(SUBSTITUTE(SUBSTITUTE(SUBSTITUTE(KALINDO[[#This Row],[N.B.nota]]," ",""),"-",""),"(",""),")",""),".",""),",",""))</f>
        <v>calculatorjoykocc810ch</v>
      </c>
      <c r="W10">
        <f ca="1">IF(KALINDO[[#This Row],[concat]]="","",MATCH(KALINDO[[#This Row],[concat]],[4]!db[NB NOTA_C],0)+1)</f>
        <v>412</v>
      </c>
      <c r="X10" t="str">
        <f ca="1">IF(KALINDO[[#This Row],[N.B.nota]]="","",ADDRESS(ROW(KALINDO[QB]),COLUMN(KALINDO[QB]))&amp;":"&amp;ADDRESS(ROW(),COLUMN(KALINDO[QB])))</f>
        <v>$D$3:$D$10</v>
      </c>
      <c r="Y10" s="21" t="str">
        <f ca="1">IF(KALINDO[[#This Row],[//]]="","",HYPERLINK("[../DB.xlsx]DB!e"&amp;MATCH(KALINDO[[#This Row],[concat]],[4]!db[NB NOTA_C],0)+1,"&gt;"))</f>
        <v>&gt;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1" s="6"/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4" t="str">
        <f ca="1">IF(KALINDO[[#This Row],[//]]="","",INDEX([4]!db[NB PAJAK],KALINDO[[#This Row],[stt]]-1))</f>
        <v/>
      </c>
      <c r="K11" s="6" t="str">
        <f ca="1">IF(KALINDO[[#This Row],[//]]="","",IF(INDEX([2]!NOTA[C],KALINDO[[#This Row],[//]]-2)="","",INDEX([2]!NOTA[C],KALINDO[[#This Row],[//]]-2)))</f>
        <v/>
      </c>
      <c r="L11" s="6" t="str">
        <f ca="1">IF(KALINDO[[#This Row],[//]]="","",INDEX([2]!NOTA[QTY],KALINDO[[#This Row],[//]]-2))</f>
        <v/>
      </c>
      <c r="M11" s="6" t="str">
        <f ca="1">IF(KALINDO[[#This Row],[//]]="","",INDEX([2]!NOTA[STN],KALINDO[[#This Row],[//]]-2))</f>
        <v/>
      </c>
      <c r="N11" s="5" t="str">
        <f ca="1">IF(KALINDO[[#This Row],[//]]="","",INDEX([2]!NOTA[HARGA SATUAN],KALINDO[[#This Row],[//]]-2))</f>
        <v/>
      </c>
      <c r="O11" s="7" t="str">
        <f ca="1">IF(KALINDO[[#This Row],[//]]="","",INDEX([2]!NOTA[DISC 1],KALINDO[[#This Row],[//]]-2))</f>
        <v/>
      </c>
      <c r="P11" s="7" t="str">
        <f ca="1">IF(KALINDO[[#This Row],[//]]="","",INDEX([2]!NOTA[DISC 2],KALINDO[[#This Row],[//]]-2))</f>
        <v/>
      </c>
      <c r="Q11" s="5" t="str">
        <f ca="1">IF(KALINDO[[#This Row],[//]]="","",INDEX([2]!NOTA[TOTAL],KALINDO[[#This Row],[//]]-2))</f>
        <v/>
      </c>
      <c r="R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1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1" s="4" t="str">
        <f ca="1">IF(KALINDO[[#This Row],[//]]="","",INDEX([2]!NOTA[NAMA BARANG],KALINDO[[#This Row],[//]]-2))</f>
        <v/>
      </c>
      <c r="V11" t="str">
        <f ca="1">LOWER(SUBSTITUTE(SUBSTITUTE(SUBSTITUTE(SUBSTITUTE(SUBSTITUTE(SUBSTITUTE(KALINDO[[#This Row],[N.B.nota]]," ",""),"-",""),"(",""),")",""),".",""),",",""))</f>
        <v/>
      </c>
      <c r="W11" t="str">
        <f ca="1">IF(KALINDO[[#This Row],[concat]]="","",MATCH(KALINDO[[#This Row],[concat]],[4]!db[NB NOTA_C],0)+1)</f>
        <v/>
      </c>
      <c r="X11" t="str">
        <f ca="1">IF(KALINDO[[#This Row],[N.B.nota]]="","",ADDRESS(ROW(KALINDO[QB]),COLUMN(KALINDO[QB]))&amp;":"&amp;ADDRESS(ROW(),COLUMN(KALINDO[QB])))</f>
        <v/>
      </c>
      <c r="Y11" s="21" t="str">
        <f ca="1">IF(KALINDO[[#This Row],[//]]="","",HYPERLINK("[../DB.xlsx]DB!e"&amp;MATCH(KALINDO[[#This Row],[concat]],[4]!db[NB NOTA_C],0)+1,"&gt;"))</f>
        <v/>
      </c>
    </row>
    <row r="12" spans="1:25" x14ac:dyDescent="0.25">
      <c r="A12" s="4" t="s">
        <v>117</v>
      </c>
      <c r="B12" s="6">
        <f ca="1">IF(KALINDO[[#This Row],[N_ID]]="","",INDEX(Table1[ID],MATCH(KALINDO[[#This Row],[N_ID]],Table1[N_ID],0)))</f>
        <v>120</v>
      </c>
      <c r="C12" s="6" t="str">
        <f ca="1">IF(KALINDO[[#This Row],[ID NOTA]]="","",HYPERLINK("[NOTA_.xlsx]NOTA!e"&amp;INDEX([2]!PAJAK[//],MATCH(KALINDO[[#This Row],[ID NOTA]],[2]!PAJAK[ID],0)),"&gt;") )</f>
        <v>&gt;</v>
      </c>
      <c r="D12" s="6">
        <f ca="1">IF(KALINDO[[#This Row],[ID NOTA]]="","",INDEX(Table1[QB],MATCH(KALINDO[[#This Row],[ID NOTA]],Table1[ID],0)))</f>
        <v>1</v>
      </c>
      <c r="E12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718</v>
      </c>
      <c r="F12" s="6"/>
      <c r="G12" s="3">
        <f ca="1">IF(KALINDO[[#This Row],[ID NOTA]]="","",INDEX([2]!NOTA[TGL_H],MATCH(KALINDO[[#This Row],[ID NOTA]],[2]!NOTA[ID],0)))</f>
        <v>44830</v>
      </c>
      <c r="H12" s="3">
        <f ca="1">IF(KALINDO[[#This Row],[ID NOTA]]="","",INDEX([2]!NOTA[TGL.NOTA],MATCH(KALINDO[[#This Row],[ID NOTA]],[2]!NOTA[ID],0)))</f>
        <v>44825</v>
      </c>
      <c r="I12" s="4" t="str">
        <f ca="1">IF(KALINDO[[#This Row],[ID NOTA]]="","",INDEX([2]!NOTA[NO.NOTA],MATCH(KALINDO[[#This Row],[ID NOTA]],[2]!NOTA[ID],0)))</f>
        <v>SN22091838</v>
      </c>
      <c r="J12" s="4" t="str">
        <f ca="1">IF(KALINDO[[#This Row],[//]]="","",INDEX([4]!db[NB PAJAK],KALINDO[[#This Row],[stt]]-1))</f>
        <v>CALCULATOR JOYKO CC-15A</v>
      </c>
      <c r="K12" s="6">
        <f ca="1">IF(KALINDO[[#This Row],[//]]="","",IF(INDEX([2]!NOTA[C],KALINDO[[#This Row],[//]]-2)="","",INDEX([2]!NOTA[C],KALINDO[[#This Row],[//]]-2)))</f>
        <v>1</v>
      </c>
      <c r="L12" s="6">
        <f ca="1">IF(KALINDO[[#This Row],[//]]="","",INDEX([2]!NOTA[QTY],KALINDO[[#This Row],[//]]-2))</f>
        <v>120</v>
      </c>
      <c r="M12" s="6" t="str">
        <f ca="1">IF(KALINDO[[#This Row],[//]]="","",INDEX([2]!NOTA[STN],KALINDO[[#This Row],[//]]-2))</f>
        <v>PCS</v>
      </c>
      <c r="N12" s="5">
        <f ca="1">IF(KALINDO[[#This Row],[//]]="","",INDEX([2]!NOTA[HARGA SATUAN],KALINDO[[#This Row],[//]]-2))</f>
        <v>47000</v>
      </c>
      <c r="O12" s="7">
        <f ca="1">IF(KALINDO[[#This Row],[//]]="","",INDEX([2]!NOTA[DISC 1],KALINDO[[#This Row],[//]]-2))</f>
        <v>0.125</v>
      </c>
      <c r="P12" s="7">
        <f ca="1">IF(KALINDO[[#This Row],[//]]="","",INDEX([2]!NOTA[DISC 2],KALINDO[[#This Row],[//]]-2))</f>
        <v>0.05</v>
      </c>
      <c r="Q12" s="5">
        <f ca="1">IF(KALINDO[[#This Row],[//]]="","",INDEX([2]!NOTA[TOTAL],KALINDO[[#This Row],[//]]-2))</f>
        <v>4688250</v>
      </c>
      <c r="R12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12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4688250</v>
      </c>
      <c r="T12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2" s="4" t="str">
        <f ca="1">IF(KALINDO[[#This Row],[//]]="","",INDEX([2]!NOTA[NAMA BARANG],KALINDO[[#This Row],[//]]-2))</f>
        <v>CALCULATOR JOYKO CC-15A</v>
      </c>
      <c r="V12" t="str">
        <f ca="1">LOWER(SUBSTITUTE(SUBSTITUTE(SUBSTITUTE(SUBSTITUTE(SUBSTITUTE(SUBSTITUTE(KALINDO[[#This Row],[N.B.nota]]," ",""),"-",""),"(",""),")",""),".",""),",",""))</f>
        <v>calculatorjoykocc15a</v>
      </c>
      <c r="W12">
        <f ca="1">IF(KALINDO[[#This Row],[concat]]="","",MATCH(KALINDO[[#This Row],[concat]],[4]!db[NB NOTA_C],0)+1)</f>
        <v>388</v>
      </c>
      <c r="X12" t="str">
        <f ca="1">IF(KALINDO[[#This Row],[N.B.nota]]="","",ADDRESS(ROW(KALINDO[QB]),COLUMN(KALINDO[QB]))&amp;":"&amp;ADDRESS(ROW(),COLUMN(KALINDO[QB])))</f>
        <v>$D$3:$D$12</v>
      </c>
      <c r="Y12" s="21" t="str">
        <f ca="1">IF(KALINDO[[#This Row],[//]]="","",HYPERLINK("[../DB.xlsx]DB!e"&amp;MATCH(KALINDO[[#This Row],[concat]],[4]!db[NB NOTA_C],0)+1,"&gt;"))</f>
        <v>&gt;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4" t="str">
        <f ca="1">IF(KALINDO[[#This Row],[//]]="","",INDEX([4]!db[NB PAJAK],KALINDO[[#This Row],[stt]]-1))</f>
        <v/>
      </c>
      <c r="K13" s="6" t="str">
        <f ca="1">IF(KALINDO[[#This Row],[//]]="","",IF(INDEX([2]!NOTA[C],KALINDO[[#This Row],[//]]-2)="","",INDEX([2]!NOTA[C],KALINDO[[#This Row],[//]]-2)))</f>
        <v/>
      </c>
      <c r="L13" s="6" t="str">
        <f ca="1">IF(KALINDO[[#This Row],[//]]="","",INDEX([2]!NOTA[QTY],KALINDO[[#This Row],[//]]-2))</f>
        <v/>
      </c>
      <c r="M13" s="6" t="str">
        <f ca="1">IF(KALINDO[[#This Row],[//]]="","",INDEX([2]!NOTA[STN],KALINDO[[#This Row],[//]]-2))</f>
        <v/>
      </c>
      <c r="N13" s="5" t="str">
        <f ca="1">IF(KALINDO[[#This Row],[//]]="","",INDEX([2]!NOTA[HARGA SATUAN],KALINDO[[#This Row],[//]]-2))</f>
        <v/>
      </c>
      <c r="O13" s="7" t="str">
        <f ca="1">IF(KALINDO[[#This Row],[//]]="","",INDEX([2]!NOTA[DISC 1],KALINDO[[#This Row],[//]]-2))</f>
        <v/>
      </c>
      <c r="P13" s="7" t="str">
        <f ca="1">IF(KALINDO[[#This Row],[//]]="","",INDEX([2]!NOTA[DISC 2],KALINDO[[#This Row],[//]]-2))</f>
        <v/>
      </c>
      <c r="Q13" s="5" t="str">
        <f ca="1">IF(KALINDO[[#This Row],[//]]="","",INDEX([2]!NOTA[TOTAL],KALINDO[[#This Row],[//]]-2))</f>
        <v/>
      </c>
      <c r="R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3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3" s="4" t="str">
        <f ca="1">IF(KALINDO[[#This Row],[//]]="","",INDEX([2]!NOTA[NAMA BARANG],KALINDO[[#This Row],[//]]-2))</f>
        <v/>
      </c>
      <c r="V13" t="str">
        <f ca="1">LOWER(SUBSTITUTE(SUBSTITUTE(SUBSTITUTE(SUBSTITUTE(SUBSTITUTE(SUBSTITUTE(KALINDO[[#This Row],[N.B.nota]]," ",""),"-",""),"(",""),")",""),".",""),",",""))</f>
        <v/>
      </c>
      <c r="W13" t="str">
        <f ca="1">IF(KALINDO[[#This Row],[concat]]="","",MATCH(KALINDO[[#This Row],[concat]],[4]!db[NB NOTA_C],0)+1)</f>
        <v/>
      </c>
      <c r="X13" t="str">
        <f ca="1">IF(KALINDO[[#This Row],[N.B.nota]]="","",ADDRESS(ROW(KALINDO[QB]),COLUMN(KALINDO[QB]))&amp;":"&amp;ADDRESS(ROW(),COLUMN(KALINDO[QB])))</f>
        <v/>
      </c>
      <c r="Y13" s="21" t="str">
        <f ca="1">IF(KALINDO[[#This Row],[//]]="","",HYPERLINK("[../DB.xlsx]DB!e"&amp;MATCH(KALINDO[[#This Row],[concat]],[4]!db[NB NOTA_C],0)+1,"&gt;"))</f>
        <v/>
      </c>
    </row>
    <row r="14" spans="1:25" x14ac:dyDescent="0.25">
      <c r="A14" s="4" t="s">
        <v>131</v>
      </c>
      <c r="B14" s="6">
        <f ca="1">IF(KALINDO[[#This Row],[N_ID]]="","",INDEX(Table1[ID],MATCH(KALINDO[[#This Row],[N_ID]],Table1[N_ID],0)))</f>
        <v>156</v>
      </c>
      <c r="C14" s="6" t="str">
        <f ca="1">IF(KALINDO[[#This Row],[ID NOTA]]="","",HYPERLINK("[NOTA_.xlsx]NOTA!e"&amp;INDEX([2]!PAJAK[//],MATCH(KALINDO[[#This Row],[ID NOTA]],[2]!PAJAK[ID],0)),"&gt;") )</f>
        <v>&gt;</v>
      </c>
      <c r="D14" s="6">
        <f ca="1">IF(KALINDO[[#This Row],[ID NOTA]]="","",INDEX(Table1[QB],MATCH(KALINDO[[#This Row],[ID NOTA]],Table1[ID],0)))</f>
        <v>4</v>
      </c>
      <c r="E14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874</v>
      </c>
      <c r="F14" s="6"/>
      <c r="G14" s="3">
        <f ca="1">IF(KALINDO[[#This Row],[ID NOTA]]="","",INDEX([2]!NOTA[TGL_H],MATCH(KALINDO[[#This Row],[ID NOTA]],[2]!NOTA[ID],0)))</f>
        <v>44837</v>
      </c>
      <c r="H14" s="3">
        <f ca="1">IF(KALINDO[[#This Row],[ID NOTA]]="","",INDEX([2]!NOTA[TGL.NOTA],MATCH(KALINDO[[#This Row],[ID NOTA]],[2]!NOTA[ID],0)))</f>
        <v>44832</v>
      </c>
      <c r="I14" s="4" t="str">
        <f ca="1">IF(KALINDO[[#This Row],[ID NOTA]]="","",INDEX([2]!NOTA[NO.NOTA],MATCH(KALINDO[[#This Row],[ID NOTA]],[2]!NOTA[ID],0)))</f>
        <v>SN22091886</v>
      </c>
      <c r="J14" s="4" t="str">
        <f ca="1">IF(KALINDO[[#This Row],[//]]="","",INDEX([4]!db[NB PAJAK],KALINDO[[#This Row],[stt]]-1))</f>
        <v>CALCULATOR JOYKO DTC-1313CH</v>
      </c>
      <c r="K14" s="6">
        <f ca="1">IF(KALINDO[[#This Row],[//]]="","",IF(INDEX([2]!NOTA[C],KALINDO[[#This Row],[//]]-2)="","",INDEX([2]!NOTA[C],KALINDO[[#This Row],[//]]-2)))</f>
        <v>2</v>
      </c>
      <c r="L14" s="6">
        <f ca="1">IF(KALINDO[[#This Row],[//]]="","",INDEX([2]!NOTA[QTY],KALINDO[[#This Row],[//]]-2))</f>
        <v>240</v>
      </c>
      <c r="M14" s="6" t="str">
        <f ca="1">IF(KALINDO[[#This Row],[//]]="","",INDEX([2]!NOTA[STN],KALINDO[[#This Row],[//]]-2))</f>
        <v>PCS</v>
      </c>
      <c r="N14" s="5">
        <f ca="1">IF(KALINDO[[#This Row],[//]]="","",INDEX([2]!NOTA[HARGA SATUAN],KALINDO[[#This Row],[//]]-2))</f>
        <v>40000</v>
      </c>
      <c r="O14" s="7">
        <f ca="1">IF(KALINDO[[#This Row],[//]]="","",INDEX([2]!NOTA[DISC 1],KALINDO[[#This Row],[//]]-2))</f>
        <v>0.125</v>
      </c>
      <c r="P14" s="7">
        <f ca="1">IF(KALINDO[[#This Row],[//]]="","",INDEX([2]!NOTA[DISC 2],KALINDO[[#This Row],[//]]-2))</f>
        <v>0.05</v>
      </c>
      <c r="Q14" s="5">
        <f ca="1">IF(KALINDO[[#This Row],[//]]="","",INDEX([2]!NOTA[TOTAL],KALINDO[[#This Row],[//]]-2))</f>
        <v>7980000</v>
      </c>
      <c r="R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4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4" s="4" t="str">
        <f ca="1">IF(KALINDO[[#This Row],[//]]="","",INDEX([2]!NOTA[NAMA BARANG],KALINDO[[#This Row],[//]]-2))</f>
        <v>CALCULATOR JOYKO DTC-1313 CH</v>
      </c>
      <c r="V14" t="str">
        <f ca="1">LOWER(SUBSTITUTE(SUBSTITUTE(SUBSTITUTE(SUBSTITUTE(SUBSTITUTE(SUBSTITUTE(KALINDO[[#This Row],[N.B.nota]]," ",""),"-",""),"(",""),")",""),".",""),",",""))</f>
        <v>calculatorjoykodtc1313ch</v>
      </c>
      <c r="W14">
        <f ca="1">IF(KALINDO[[#This Row],[concat]]="","",MATCH(KALINDO[[#This Row],[concat]],[4]!db[NB NOTA_C],0)+1)</f>
        <v>419</v>
      </c>
      <c r="X14" t="str">
        <f ca="1">IF(KALINDO[[#This Row],[N.B.nota]]="","",ADDRESS(ROW(KALINDO[QB]),COLUMN(KALINDO[QB]))&amp;":"&amp;ADDRESS(ROW(),COLUMN(KALINDO[QB])))</f>
        <v>$D$3:$D$14</v>
      </c>
      <c r="Y14" s="21" t="str">
        <f ca="1">IF(KALINDO[[#This Row],[//]]="","",HYPERLINK("[../DB.xlsx]DB!e"&amp;MATCH(KALINDO[[#This Row],[concat]],[4]!db[NB NOTA_C],0)+1,"&gt;"))</f>
        <v>&gt;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875</v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4" t="str">
        <f ca="1">IF(KALINDO[[#This Row],[//]]="","",INDEX([4]!db[NB PAJAK],KALINDO[[#This Row],[stt]]-1))</f>
        <v>CALCULATOR JOYKO CC-8CO BIRU</v>
      </c>
      <c r="K15" s="6" t="str">
        <f ca="1">IF(KALINDO[[#This Row],[//]]="","",IF(INDEX([2]!NOTA[C],KALINDO[[#This Row],[//]]-2)="","",INDEX([2]!NOTA[C],KALINDO[[#This Row],[//]]-2)))</f>
        <v/>
      </c>
      <c r="L15" s="6">
        <f ca="1">IF(KALINDO[[#This Row],[//]]="","",INDEX([2]!NOTA[QTY],KALINDO[[#This Row],[//]]-2))</f>
        <v>40</v>
      </c>
      <c r="M15" s="6" t="str">
        <f ca="1">IF(KALINDO[[#This Row],[//]]="","",INDEX([2]!NOTA[STN],KALINDO[[#This Row],[//]]-2))</f>
        <v>PCS</v>
      </c>
      <c r="N15" s="5">
        <f ca="1">IF(KALINDO[[#This Row],[//]]="","",INDEX([2]!NOTA[HARGA SATUAN],KALINDO[[#This Row],[//]]-2))</f>
        <v>47000</v>
      </c>
      <c r="O15" s="7">
        <f ca="1">IF(KALINDO[[#This Row],[//]]="","",INDEX([2]!NOTA[DISC 1],KALINDO[[#This Row],[//]]-2))</f>
        <v>0.125</v>
      </c>
      <c r="P15" s="7">
        <f ca="1">IF(KALINDO[[#This Row],[//]]="","",INDEX([2]!NOTA[DISC 2],KALINDO[[#This Row],[//]]-2))</f>
        <v>0.05</v>
      </c>
      <c r="Q15" s="5">
        <f ca="1">IF(KALINDO[[#This Row],[//]]="","",INDEX([2]!NOTA[TOTAL],KALINDO[[#This Row],[//]]-2))</f>
        <v>1562750</v>
      </c>
      <c r="R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5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5" s="4" t="str">
        <f ca="1">IF(KALINDO[[#This Row],[//]]="","",INDEX([2]!NOTA[NAMA BARANG],KALINDO[[#This Row],[//]]-2))</f>
        <v>CALCULATOR JOYKO CC-8CO BLUE</v>
      </c>
      <c r="V15" t="str">
        <f ca="1">LOWER(SUBSTITUTE(SUBSTITUTE(SUBSTITUTE(SUBSTITUTE(SUBSTITUTE(SUBSTITUTE(KALINDO[[#This Row],[N.B.nota]]," ",""),"-",""),"(",""),")",""),".",""),",",""))</f>
        <v>calculatorjoykocc8coblue</v>
      </c>
      <c r="W15">
        <f ca="1">IF(KALINDO[[#This Row],[concat]]="","",MATCH(KALINDO[[#This Row],[concat]],[4]!db[NB NOTA_C],0)+1)</f>
        <v>417</v>
      </c>
      <c r="X15" t="str">
        <f ca="1">IF(KALINDO[[#This Row],[N.B.nota]]="","",ADDRESS(ROW(KALINDO[QB]),COLUMN(KALINDO[QB]))&amp;":"&amp;ADDRESS(ROW(),COLUMN(KALINDO[QB])))</f>
        <v>$D$3:$D$15</v>
      </c>
      <c r="Y15" s="21" t="str">
        <f ca="1">IF(KALINDO[[#This Row],[//]]="","",HYPERLINK("[../DB.xlsx]DB!e"&amp;MATCH(KALINDO[[#This Row],[concat]],[4]!db[NB NOTA_C],0)+1,"&gt;"))</f>
        <v>&gt;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876</v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4" t="str">
        <f ca="1">IF(KALINDO[[#This Row],[//]]="","",INDEX([4]!db[NB PAJAK],KALINDO[[#This Row],[stt]]-1))</f>
        <v>CALCULATOR JOYKO CC-8CO HIJAU</v>
      </c>
      <c r="K16" s="6" t="str">
        <f ca="1">IF(KALINDO[[#This Row],[//]]="","",IF(INDEX([2]!NOTA[C],KALINDO[[#This Row],[//]]-2)="","",INDEX([2]!NOTA[C],KALINDO[[#This Row],[//]]-2)))</f>
        <v/>
      </c>
      <c r="L16" s="6">
        <f ca="1">IF(KALINDO[[#This Row],[//]]="","",INDEX([2]!NOTA[QTY],KALINDO[[#This Row],[//]]-2))</f>
        <v>40</v>
      </c>
      <c r="M16" s="6" t="str">
        <f ca="1">IF(KALINDO[[#This Row],[//]]="","",INDEX([2]!NOTA[STN],KALINDO[[#This Row],[//]]-2))</f>
        <v>PCS</v>
      </c>
      <c r="N16" s="5">
        <f ca="1">IF(KALINDO[[#This Row],[//]]="","",INDEX([2]!NOTA[HARGA SATUAN],KALINDO[[#This Row],[//]]-2))</f>
        <v>47000</v>
      </c>
      <c r="O16" s="7">
        <f ca="1">IF(KALINDO[[#This Row],[//]]="","",INDEX([2]!NOTA[DISC 1],KALINDO[[#This Row],[//]]-2))</f>
        <v>0.125</v>
      </c>
      <c r="P16" s="7">
        <f ca="1">IF(KALINDO[[#This Row],[//]]="","",INDEX([2]!NOTA[DISC 2],KALINDO[[#This Row],[//]]-2))</f>
        <v>0.05</v>
      </c>
      <c r="Q16" s="5">
        <f ca="1">IF(KALINDO[[#This Row],[//]]="","",INDEX([2]!NOTA[TOTAL],KALINDO[[#This Row],[//]]-2))</f>
        <v>1562750</v>
      </c>
      <c r="R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6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6" s="4" t="str">
        <f ca="1">IF(KALINDO[[#This Row],[//]]="","",INDEX([2]!NOTA[NAMA BARANG],KALINDO[[#This Row],[//]]-2))</f>
        <v>CALCULATOR JOYKO CC-8CO GREEN</v>
      </c>
      <c r="V16" t="str">
        <f ca="1">LOWER(SUBSTITUTE(SUBSTITUTE(SUBSTITUTE(SUBSTITUTE(SUBSTITUTE(SUBSTITUTE(KALINDO[[#This Row],[N.B.nota]]," ",""),"-",""),"(",""),")",""),".",""),",",""))</f>
        <v>calculatorjoykocc8cogreen</v>
      </c>
      <c r="W16">
        <f ca="1">IF(KALINDO[[#This Row],[concat]]="","",MATCH(KALINDO[[#This Row],[concat]],[4]!db[NB NOTA_C],0)+1)</f>
        <v>410</v>
      </c>
      <c r="X16" t="str">
        <f ca="1">IF(KALINDO[[#This Row],[N.B.nota]]="","",ADDRESS(ROW(KALINDO[QB]),COLUMN(KALINDO[QB]))&amp;":"&amp;ADDRESS(ROW(),COLUMN(KALINDO[QB])))</f>
        <v>$D$3:$D$16</v>
      </c>
      <c r="Y16" s="21" t="str">
        <f ca="1">IF(KALINDO[[#This Row],[//]]="","",HYPERLINK("[../DB.xlsx]DB!e"&amp;MATCH(KALINDO[[#This Row],[concat]],[4]!db[NB NOTA_C],0)+1,"&gt;"))</f>
        <v>&gt;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877</v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4" t="str">
        <f ca="1">IF(KALINDO[[#This Row],[//]]="","",INDEX([4]!db[NB PAJAK],KALINDO[[#This Row],[stt]]-1))</f>
        <v>CALCULATOR JOYKO CC-8CO ORANGE</v>
      </c>
      <c r="K17" s="6" t="str">
        <f ca="1">IF(KALINDO[[#This Row],[//]]="","",IF(INDEX([2]!NOTA[C],KALINDO[[#This Row],[//]]-2)="","",INDEX([2]!NOTA[C],KALINDO[[#This Row],[//]]-2)))</f>
        <v/>
      </c>
      <c r="L17" s="6">
        <f ca="1">IF(KALINDO[[#This Row],[//]]="","",INDEX([2]!NOTA[QTY],KALINDO[[#This Row],[//]]-2))</f>
        <v>40</v>
      </c>
      <c r="M17" s="6" t="str">
        <f ca="1">IF(KALINDO[[#This Row],[//]]="","",INDEX([2]!NOTA[STN],KALINDO[[#This Row],[//]]-2))</f>
        <v>PCS</v>
      </c>
      <c r="N17" s="5">
        <f ca="1">IF(KALINDO[[#This Row],[//]]="","",INDEX([2]!NOTA[HARGA SATUAN],KALINDO[[#This Row],[//]]-2))</f>
        <v>47000</v>
      </c>
      <c r="O17" s="7">
        <f ca="1">IF(KALINDO[[#This Row],[//]]="","",INDEX([2]!NOTA[DISC 1],KALINDO[[#This Row],[//]]-2))</f>
        <v>0.125</v>
      </c>
      <c r="P17" s="7">
        <f ca="1">IF(KALINDO[[#This Row],[//]]="","",INDEX([2]!NOTA[DISC 2],KALINDO[[#This Row],[//]]-2))</f>
        <v>0.05</v>
      </c>
      <c r="Q17" s="5">
        <f ca="1">IF(KALINDO[[#This Row],[//]]="","",INDEX([2]!NOTA[TOTAL],KALINDO[[#This Row],[//]]-2))</f>
        <v>1562750</v>
      </c>
      <c r="R17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206567</v>
      </c>
      <c r="S17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12461683</v>
      </c>
      <c r="T17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7" s="4" t="str">
        <f ca="1">IF(KALINDO[[#This Row],[//]]="","",INDEX([2]!NOTA[NAMA BARANG],KALINDO[[#This Row],[//]]-2))</f>
        <v>CALCULATOR JOYKO CC-8CO ORANGE</v>
      </c>
      <c r="V17" t="str">
        <f ca="1">LOWER(SUBSTITUTE(SUBSTITUTE(SUBSTITUTE(SUBSTITUTE(SUBSTITUTE(SUBSTITUTE(KALINDO[[#This Row],[N.B.nota]]," ",""),"-",""),"(",""),")",""),".",""),",",""))</f>
        <v>calculatorjoykocc8coorange</v>
      </c>
      <c r="W17">
        <f ca="1">IF(KALINDO[[#This Row],[concat]]="","",MATCH(KALINDO[[#This Row],[concat]],[4]!db[NB NOTA_C],0)+1)</f>
        <v>418</v>
      </c>
      <c r="X17" t="str">
        <f ca="1">IF(KALINDO[[#This Row],[N.B.nota]]="","",ADDRESS(ROW(KALINDO[QB]),COLUMN(KALINDO[QB]))&amp;":"&amp;ADDRESS(ROW(),COLUMN(KALINDO[QB])))</f>
        <v>$D$3:$D$17</v>
      </c>
      <c r="Y17" s="21" t="str">
        <f ca="1">IF(KALINDO[[#This Row],[//]]="","",HYPERLINK("[../DB.xlsx]DB!e"&amp;MATCH(KALINDO[[#This Row],[concat]],[4]!db[NB NOTA_C],0)+1,"&gt;"))</f>
        <v>&gt;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4" t="str">
        <f ca="1">IF(KALINDO[[#This Row],[//]]="","",INDEX([4]!db[NB PAJAK],KALINDO[[#This Row],[stt]]-1))</f>
        <v/>
      </c>
      <c r="K18" s="6" t="str">
        <f ca="1">IF(KALINDO[[#This Row],[//]]="","",IF(INDEX([2]!NOTA[C],KALINDO[[#This Row],[//]]-2)="","",INDEX([2]!NOTA[C],KALINDO[[#This Row],[//]]-2)))</f>
        <v/>
      </c>
      <c r="L18" s="6" t="str">
        <f ca="1">IF(KALINDO[[#This Row],[//]]="","",INDEX([2]!NOTA[QTY],KALINDO[[#This Row],[//]]-2))</f>
        <v/>
      </c>
      <c r="M18" s="6" t="str">
        <f ca="1">IF(KALINDO[[#This Row],[//]]="","",INDEX([2]!NOTA[STN],KALINDO[[#This Row],[//]]-2))</f>
        <v/>
      </c>
      <c r="N18" s="5" t="str">
        <f ca="1">IF(KALINDO[[#This Row],[//]]="","",INDEX([2]!NOTA[HARGA SATUAN],KALINDO[[#This Row],[//]]-2))</f>
        <v/>
      </c>
      <c r="O18" s="7" t="str">
        <f ca="1">IF(KALINDO[[#This Row],[//]]="","",INDEX([2]!NOTA[DISC 1],KALINDO[[#This Row],[//]]-2))</f>
        <v/>
      </c>
      <c r="P18" s="7" t="str">
        <f ca="1">IF(KALINDO[[#This Row],[//]]="","",INDEX([2]!NOTA[DISC 2],KALINDO[[#This Row],[//]]-2))</f>
        <v/>
      </c>
      <c r="Q18" s="5" t="str">
        <f ca="1">IF(KALINDO[[#This Row],[//]]="","",INDEX([2]!NOTA[TOTAL],KALINDO[[#This Row],[//]]-2))</f>
        <v/>
      </c>
      <c r="R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8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8" s="4" t="str">
        <f ca="1">IF(KALINDO[[#This Row],[//]]="","",INDEX([2]!NOTA[NAMA BARANG],KALINDO[[#This Row],[//]]-2))</f>
        <v/>
      </c>
      <c r="V18" s="4" t="str">
        <f ca="1">LOWER(SUBSTITUTE(SUBSTITUTE(SUBSTITUTE(SUBSTITUTE(SUBSTITUTE(SUBSTITUTE(KALINDO[[#This Row],[N.B.nota]]," ",""),"-",""),"(",""),")",""),".",""),",",""))</f>
        <v/>
      </c>
      <c r="W18" s="4" t="str">
        <f ca="1">IF(KALINDO[[#This Row],[concat]]="","",MATCH(KALINDO[[#This Row],[concat]],[4]!db[NB NOTA_C],0)+1)</f>
        <v/>
      </c>
      <c r="X18" s="4" t="str">
        <f ca="1">IF(KALINDO[[#This Row],[N.B.nota]]="","",ADDRESS(ROW(KALINDO[QB]),COLUMN(KALINDO[QB]))&amp;":"&amp;ADDRESS(ROW(),COLUMN(KALINDO[QB])))</f>
        <v/>
      </c>
      <c r="Y18" s="13" t="str">
        <f ca="1">IF(KALINDO[[#This Row],[//]]="","",HYPERLINK("[../DB.xlsx]DB!e"&amp;MATCH(KALINDO[[#This Row],[concat]],[4]!db[NB NOTA_C],0)+1,"&gt;"))</f>
        <v/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NOTA]]="","",HYPERLINK("[NOTA_.xlsx]NOTA!e"&amp;INDEX([2]!PAJAK[//],MATCH(KALINDO[[#This Row],[ID NOTA]],[2]!PAJAK[ID],0)),"&gt;") )</f>
        <v/>
      </c>
      <c r="D19" s="6" t="str">
        <f>IF(KALINDO[[#This Row],[ID NOTA]]="","",INDEX(Table1[QB],MATCH(KALINDO[[#This Row],[ID NOTA]],Table1[ID],0)))</f>
        <v/>
      </c>
      <c r="E1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9" s="6"/>
      <c r="G19" s="3" t="str">
        <f>IF(KALINDO[[#This Row],[ID NOTA]]="","",INDEX([2]!NOTA[TGL_H],MATCH(KALINDO[[#This Row],[ID NOTA]],[2]!NOTA[ID],0)))</f>
        <v/>
      </c>
      <c r="H19" s="3" t="str">
        <f>IF(KALINDO[[#This Row],[ID NOTA]]="","",INDEX([2]!NOTA[TGL.NOTA],MATCH(KALINDO[[#This Row],[ID NOTA]],[2]!NOTA[ID],0)))</f>
        <v/>
      </c>
      <c r="I19" s="4" t="str">
        <f>IF(KALINDO[[#This Row],[ID NOTA]]="","",INDEX([2]!NOTA[NO.NOTA],MATCH(KALINDO[[#This Row],[ID NOTA]],[2]!NOTA[ID],0)))</f>
        <v/>
      </c>
      <c r="J19" s="4" t="str">
        <f ca="1">IF(KALINDO[[#This Row],[//]]="","",INDEX([4]!db[NB PAJAK],KALINDO[[#This Row],[stt]]-1))</f>
        <v/>
      </c>
      <c r="K19" s="6" t="str">
        <f ca="1">IF(KALINDO[[#This Row],[//]]="","",IF(INDEX([2]!NOTA[C],KALINDO[[#This Row],[//]]-2)="","",INDEX([2]!NOTA[C],KALINDO[[#This Row],[//]]-2)))</f>
        <v/>
      </c>
      <c r="L19" s="6" t="str">
        <f ca="1">IF(KALINDO[[#This Row],[//]]="","",INDEX([2]!NOTA[QTY],KALINDO[[#This Row],[//]]-2))</f>
        <v/>
      </c>
      <c r="M19" s="6" t="str">
        <f ca="1">IF(KALINDO[[#This Row],[//]]="","",INDEX([2]!NOTA[STN],KALINDO[[#This Row],[//]]-2))</f>
        <v/>
      </c>
      <c r="N19" s="5" t="str">
        <f ca="1">IF(KALINDO[[#This Row],[//]]="","",INDEX([2]!NOTA[HARGA SATUAN],KALINDO[[#This Row],[//]]-2))</f>
        <v/>
      </c>
      <c r="O19" s="7" t="str">
        <f ca="1">IF(KALINDO[[#This Row],[//]]="","",INDEX([2]!NOTA[DISC 1],KALINDO[[#This Row],[//]]-2))</f>
        <v/>
      </c>
      <c r="P19" s="7" t="str">
        <f ca="1">IF(KALINDO[[#This Row],[//]]="","",INDEX([2]!NOTA[DISC 2],KALINDO[[#This Row],[//]]-2))</f>
        <v/>
      </c>
      <c r="Q19" s="5" t="str">
        <f ca="1">IF(KALINDO[[#This Row],[//]]="","",INDEX([2]!NOTA[TOTAL],KALINDO[[#This Row],[//]]-2))</f>
        <v/>
      </c>
      <c r="R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9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9" s="4" t="str">
        <f ca="1">IF(KALINDO[[#This Row],[//]]="","",INDEX([2]!NOTA[NAMA BARANG],KALINDO[[#This Row],[//]]-2))</f>
        <v/>
      </c>
      <c r="V19" s="4" t="str">
        <f ca="1">LOWER(SUBSTITUTE(SUBSTITUTE(SUBSTITUTE(SUBSTITUTE(SUBSTITUTE(SUBSTITUTE(KALINDO[[#This Row],[N.B.nota]]," ",""),"-",""),"(",""),")",""),".",""),",",""))</f>
        <v/>
      </c>
      <c r="W19" s="4" t="str">
        <f ca="1">IF(KALINDO[[#This Row],[concat]]="","",MATCH(KALINDO[[#This Row],[concat]],[4]!db[NB NOTA_C],0)+1)</f>
        <v/>
      </c>
      <c r="X19" s="4" t="str">
        <f ca="1">IF(KALINDO[[#This Row],[N.B.nota]]="","",ADDRESS(ROW(KALINDO[QB]),COLUMN(KALINDO[QB]))&amp;":"&amp;ADDRESS(ROW(),COLUMN(KALINDO[QB])))</f>
        <v/>
      </c>
      <c r="Y19" s="63" t="str">
        <f ca="1">IF(KALINDO[[#This Row],[//]]="","",HYPERLINK("[../DB.xlsx]DB!e"&amp;MATCH(KALINDO[[#This Row],[concat]],[4]!db[NB NOTA_C],0)+1,"&gt;"))</f>
        <v/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NOTA]]="","",HYPERLINK("[NOTA_.xlsx]NOTA!e"&amp;INDEX([2]!PAJAK[//],MATCH(KALINDO[[#This Row],[ID NOTA]],[2]!PAJAK[ID],0)),"&gt;") )</f>
        <v/>
      </c>
      <c r="D20" s="6" t="str">
        <f>IF(KALINDO[[#This Row],[ID NOTA]]="","",INDEX(Table1[QB],MATCH(KALINDO[[#This Row],[ID NOTA]],Table1[ID],0)))</f>
        <v/>
      </c>
      <c r="E2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0" s="6"/>
      <c r="G20" s="3" t="str">
        <f>IF(KALINDO[[#This Row],[ID NOTA]]="","",INDEX([2]!NOTA[TGL_H],MATCH(KALINDO[[#This Row],[ID NOTA]],[2]!NOTA[ID],0)))</f>
        <v/>
      </c>
      <c r="H20" s="3" t="str">
        <f>IF(KALINDO[[#This Row],[ID NOTA]]="","",INDEX([2]!NOTA[TGL.NOTA],MATCH(KALINDO[[#This Row],[ID NOTA]],[2]!NOTA[ID],0)))</f>
        <v/>
      </c>
      <c r="I20" s="4" t="str">
        <f>IF(KALINDO[[#This Row],[ID NOTA]]="","",INDEX([2]!NOTA[NO.NOTA],MATCH(KALINDO[[#This Row],[ID NOTA]],[2]!NOTA[ID],0)))</f>
        <v/>
      </c>
      <c r="J20" s="4" t="str">
        <f ca="1">IF(KALINDO[[#This Row],[//]]="","",INDEX([4]!db[NB PAJAK],KALINDO[[#This Row],[stt]]-1))</f>
        <v/>
      </c>
      <c r="K20" s="6" t="str">
        <f ca="1">IF(KALINDO[[#This Row],[//]]="","",IF(INDEX([2]!NOTA[C],KALINDO[[#This Row],[//]]-2)="","",INDEX([2]!NOTA[C],KALINDO[[#This Row],[//]]-2)))</f>
        <v/>
      </c>
      <c r="L20" s="6" t="str">
        <f ca="1">IF(KALINDO[[#This Row],[//]]="","",INDEX([2]!NOTA[QTY],KALINDO[[#This Row],[//]]-2))</f>
        <v/>
      </c>
      <c r="M20" s="6" t="str">
        <f ca="1">IF(KALINDO[[#This Row],[//]]="","",INDEX([2]!NOTA[STN],KALINDO[[#This Row],[//]]-2))</f>
        <v/>
      </c>
      <c r="N20" s="5" t="str">
        <f ca="1">IF(KALINDO[[#This Row],[//]]="","",INDEX([2]!NOTA[HARGA SATUAN],KALINDO[[#This Row],[//]]-2))</f>
        <v/>
      </c>
      <c r="O20" s="7" t="str">
        <f ca="1">IF(KALINDO[[#This Row],[//]]="","",INDEX([2]!NOTA[DISC 1],KALINDO[[#This Row],[//]]-2))</f>
        <v/>
      </c>
      <c r="P20" s="7" t="str">
        <f ca="1">IF(KALINDO[[#This Row],[//]]="","",INDEX([2]!NOTA[DISC 2],KALINDO[[#This Row],[//]]-2))</f>
        <v/>
      </c>
      <c r="Q20" s="5" t="str">
        <f ca="1">IF(KALINDO[[#This Row],[//]]="","",INDEX([2]!NOTA[TOTAL],KALINDO[[#This Row],[//]]-2))</f>
        <v/>
      </c>
      <c r="R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0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0" s="4" t="str">
        <f ca="1">IF(KALINDO[[#This Row],[//]]="","",INDEX([2]!NOTA[NAMA BARANG],KALINDO[[#This Row],[//]]-2))</f>
        <v/>
      </c>
      <c r="V20" s="4" t="str">
        <f ca="1">LOWER(SUBSTITUTE(SUBSTITUTE(SUBSTITUTE(SUBSTITUTE(SUBSTITUTE(SUBSTITUTE(KALINDO[[#This Row],[N.B.nota]]," ",""),"-",""),"(",""),")",""),".",""),",",""))</f>
        <v/>
      </c>
      <c r="W20" s="4" t="str">
        <f ca="1">IF(KALINDO[[#This Row],[concat]]="","",MATCH(KALINDO[[#This Row],[concat]],[4]!db[NB NOTA_C],0)+1)</f>
        <v/>
      </c>
      <c r="X20" s="4" t="str">
        <f ca="1">IF(KALINDO[[#This Row],[N.B.nota]]="","",ADDRESS(ROW(KALINDO[QB]),COLUMN(KALINDO[QB]))&amp;":"&amp;ADDRESS(ROW(),COLUMN(KALINDO[QB])))</f>
        <v/>
      </c>
      <c r="Y20" s="63" t="str">
        <f ca="1">IF(KALINDO[[#This Row],[//]]="","",HYPERLINK("[../DB.xlsx]DB!e"&amp;MATCH(KALINDO[[#This Row],[concat]],[4]!db[NB NOTA_C],0)+1,"&gt;"))</f>
        <v/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4" t="str">
        <f ca="1">IF(KALINDO[[#This Row],[//]]="","",INDEX([4]!db[NB PAJAK],KALINDO[[#This Row],[stt]]-1))</f>
        <v/>
      </c>
      <c r="K21" s="6" t="str">
        <f ca="1">IF(KALINDO[[#This Row],[//]]="","",IF(INDEX([2]!NOTA[C],KALINDO[[#This Row],[//]]-2)="","",INDEX([2]!NOTA[C],KALINDO[[#This Row],[//]]-2)))</f>
        <v/>
      </c>
      <c r="L21" s="6" t="str">
        <f ca="1">IF(KALINDO[[#This Row],[//]]="","",INDEX([2]!NOTA[QTY],KALINDO[[#This Row],[//]]-2))</f>
        <v/>
      </c>
      <c r="M21" s="6" t="str">
        <f ca="1">IF(KALINDO[[#This Row],[//]]="","",INDEX([2]!NOTA[STN],KALINDO[[#This Row],[//]]-2))</f>
        <v/>
      </c>
      <c r="N21" s="5" t="str">
        <f ca="1">IF(KALINDO[[#This Row],[//]]="","",INDEX([2]!NOTA[HARGA SATUAN],KALINDO[[#This Row],[//]]-2))</f>
        <v/>
      </c>
      <c r="O21" s="7" t="str">
        <f ca="1">IF(KALINDO[[#This Row],[//]]="","",INDEX([2]!NOTA[DISC 1],KALINDO[[#This Row],[//]]-2))</f>
        <v/>
      </c>
      <c r="P21" s="7" t="str">
        <f ca="1">IF(KALINDO[[#This Row],[//]]="","",INDEX([2]!NOTA[DISC 2],KALINDO[[#This Row],[//]]-2))</f>
        <v/>
      </c>
      <c r="Q21" s="5" t="str">
        <f ca="1">IF(KALINDO[[#This Row],[//]]="","",INDEX([2]!NOTA[TOTAL],KALINDO[[#This Row],[//]]-2))</f>
        <v/>
      </c>
      <c r="R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1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1" s="4" t="str">
        <f ca="1">IF(KALINDO[[#This Row],[//]]="","",INDEX([2]!NOTA[NAMA BARANG],KALINDO[[#This Row],[//]]-2))</f>
        <v/>
      </c>
      <c r="V21" s="4" t="str">
        <f ca="1">LOWER(SUBSTITUTE(SUBSTITUTE(SUBSTITUTE(SUBSTITUTE(SUBSTITUTE(SUBSTITUTE(KALINDO[[#This Row],[N.B.nota]]," ",""),"-",""),"(",""),")",""),".",""),",",""))</f>
        <v/>
      </c>
      <c r="W21" s="4" t="str">
        <f ca="1">IF(KALINDO[[#This Row],[concat]]="","",MATCH(KALINDO[[#This Row],[concat]],[4]!db[NB NOTA_C],0)+1)</f>
        <v/>
      </c>
      <c r="X21" s="4" t="str">
        <f ca="1">IF(KALINDO[[#This Row],[N.B.nota]]="","",ADDRESS(ROW(KALINDO[QB]),COLUMN(KALINDO[QB]))&amp;":"&amp;ADDRESS(ROW(),COLUMN(KALINDO[QB])))</f>
        <v/>
      </c>
      <c r="Y21" s="63" t="str">
        <f ca="1">IF(KALINDO[[#This Row],[//]]="","",HYPERLINK("[../DB.xlsx]DB!e"&amp;MATCH(KALINDO[[#This Row],[concat]],[4]!db[NB NOTA_C],0)+1,"&gt;"))</f>
        <v/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4" t="str">
        <f ca="1">IF(KALINDO[[#This Row],[//]]="","",INDEX([4]!db[NB PAJAK],KALINDO[[#This Row],[stt]]-1))</f>
        <v/>
      </c>
      <c r="K22" s="6" t="str">
        <f ca="1">IF(KALINDO[[#This Row],[//]]="","",IF(INDEX([2]!NOTA[C],KALINDO[[#This Row],[//]]-2)="","",INDEX([2]!NOTA[C],KALINDO[[#This Row],[//]]-2)))</f>
        <v/>
      </c>
      <c r="L22" s="6" t="str">
        <f ca="1">IF(KALINDO[[#This Row],[//]]="","",INDEX([2]!NOTA[QTY],KALINDO[[#This Row],[//]]-2))</f>
        <v/>
      </c>
      <c r="M22" s="6" t="str">
        <f ca="1">IF(KALINDO[[#This Row],[//]]="","",INDEX([2]!NOTA[STN],KALINDO[[#This Row],[//]]-2))</f>
        <v/>
      </c>
      <c r="N22" s="5" t="str">
        <f ca="1">IF(KALINDO[[#This Row],[//]]="","",INDEX([2]!NOTA[HARGA SATUAN],KALINDO[[#This Row],[//]]-2))</f>
        <v/>
      </c>
      <c r="O22" s="7" t="str">
        <f ca="1">IF(KALINDO[[#This Row],[//]]="","",INDEX([2]!NOTA[DISC 1],KALINDO[[#This Row],[//]]-2))</f>
        <v/>
      </c>
      <c r="P22" s="7" t="str">
        <f ca="1">IF(KALINDO[[#This Row],[//]]="","",INDEX([2]!NOTA[DISC 2],KALINDO[[#This Row],[//]]-2))</f>
        <v/>
      </c>
      <c r="Q22" s="5" t="str">
        <f ca="1">IF(KALINDO[[#This Row],[//]]="","",INDEX([2]!NOTA[TOTAL],KALINDO[[#This Row],[//]]-2))</f>
        <v/>
      </c>
      <c r="R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2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2" s="4" t="str">
        <f ca="1">IF(KALINDO[[#This Row],[//]]="","",INDEX([2]!NOTA[NAMA BARANG],KALINDO[[#This Row],[//]]-2))</f>
        <v/>
      </c>
      <c r="V22" s="4" t="str">
        <f ca="1">LOWER(SUBSTITUTE(SUBSTITUTE(SUBSTITUTE(SUBSTITUTE(SUBSTITUTE(SUBSTITUTE(KALINDO[[#This Row],[N.B.nota]]," ",""),"-",""),"(",""),")",""),".",""),",",""))</f>
        <v/>
      </c>
      <c r="W22" s="4" t="str">
        <f ca="1">IF(KALINDO[[#This Row],[concat]]="","",MATCH(KALINDO[[#This Row],[concat]],[4]!db[NB NOTA_C],0)+1)</f>
        <v/>
      </c>
      <c r="X22" s="4" t="str">
        <f ca="1">IF(KALINDO[[#This Row],[N.B.nota]]="","",ADDRESS(ROW(KALINDO[QB]),COLUMN(KALINDO[QB]))&amp;":"&amp;ADDRESS(ROW(),COLUMN(KALINDO[QB])))</f>
        <v/>
      </c>
      <c r="Y22" s="63" t="str">
        <f ca="1">IF(KALINDO[[#This Row],[//]]="","",HYPERLINK("[../DB.xlsx]DB!e"&amp;MATCH(KALINDO[[#This Row],[concat]],[4]!db[NB NOTA_C],0)+1,"&gt;"))</f>
        <v/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4" t="str">
        <f ca="1">IF(KALINDO[[#This Row],[//]]="","",INDEX([4]!db[NB PAJAK],KALINDO[[#This Row],[stt]]-1))</f>
        <v/>
      </c>
      <c r="K23" s="6" t="str">
        <f ca="1">IF(KALINDO[[#This Row],[//]]="","",IF(INDEX([2]!NOTA[C],KALINDO[[#This Row],[//]]-2)="","",INDEX([2]!NOTA[C],KALINDO[[#This Row],[//]]-2)))</f>
        <v/>
      </c>
      <c r="L23" s="6" t="str">
        <f ca="1">IF(KALINDO[[#This Row],[//]]="","",INDEX([2]!NOTA[QTY],KALINDO[[#This Row],[//]]-2))</f>
        <v/>
      </c>
      <c r="M23" s="6" t="str">
        <f ca="1">IF(KALINDO[[#This Row],[//]]="","",INDEX([2]!NOTA[STN],KALINDO[[#This Row],[//]]-2))</f>
        <v/>
      </c>
      <c r="N23" s="5" t="str">
        <f ca="1">IF(KALINDO[[#This Row],[//]]="","",INDEX([2]!NOTA[HARGA SATUAN],KALINDO[[#This Row],[//]]-2))</f>
        <v/>
      </c>
      <c r="O23" s="7" t="str">
        <f ca="1">IF(KALINDO[[#This Row],[//]]="","",INDEX([2]!NOTA[DISC 1],KALINDO[[#This Row],[//]]-2))</f>
        <v/>
      </c>
      <c r="P23" s="7" t="str">
        <f ca="1">IF(KALINDO[[#This Row],[//]]="","",INDEX([2]!NOTA[DISC 2],KALINDO[[#This Row],[//]]-2))</f>
        <v/>
      </c>
      <c r="Q23" s="5" t="str">
        <f ca="1">IF(KALINDO[[#This Row],[//]]="","",INDEX([2]!NOTA[TOTAL],KALINDO[[#This Row],[//]]-2))</f>
        <v/>
      </c>
      <c r="R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3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3" s="4" t="str">
        <f ca="1">IF(KALINDO[[#This Row],[//]]="","",INDEX([2]!NOTA[NAMA BARANG],KALINDO[[#This Row],[//]]-2))</f>
        <v/>
      </c>
      <c r="V23" s="4" t="str">
        <f ca="1">LOWER(SUBSTITUTE(SUBSTITUTE(SUBSTITUTE(SUBSTITUTE(SUBSTITUTE(SUBSTITUTE(KALINDO[[#This Row],[N.B.nota]]," ",""),"-",""),"(",""),")",""),".",""),",",""))</f>
        <v/>
      </c>
      <c r="W23" s="4" t="str">
        <f ca="1">IF(KALINDO[[#This Row],[concat]]="","",MATCH(KALINDO[[#This Row],[concat]],[4]!db[NB NOTA_C],0)+1)</f>
        <v/>
      </c>
      <c r="X23" s="4" t="str">
        <f ca="1">IF(KALINDO[[#This Row],[N.B.nota]]="","",ADDRESS(ROW(KALINDO[QB]),COLUMN(KALINDO[QB]))&amp;":"&amp;ADDRESS(ROW(),COLUMN(KALINDO[QB])))</f>
        <v/>
      </c>
      <c r="Y23" s="63" t="str">
        <f ca="1">IF(KALINDO[[#This Row],[//]]="","",HYPERLINK("[../DB.xlsx]DB!e"&amp;MATCH(KALINDO[[#This Row],[concat]],[4]!db[NB NOTA_C],0)+1,"&gt;"))</f>
        <v/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4" t="str">
        <f ca="1">IF(KALINDO[[#This Row],[//]]="","",INDEX([4]!db[NB PAJAK],KALINDO[[#This Row],[stt]]-1))</f>
        <v/>
      </c>
      <c r="K24" s="6" t="str">
        <f ca="1">IF(KALINDO[[#This Row],[//]]="","",IF(INDEX([2]!NOTA[C],KALINDO[[#This Row],[//]]-2)="","",INDEX([2]!NOTA[C],KALINDO[[#This Row],[//]]-2)))</f>
        <v/>
      </c>
      <c r="L24" s="6" t="str">
        <f ca="1">IF(KALINDO[[#This Row],[//]]="","",INDEX([2]!NOTA[QTY],KALINDO[[#This Row],[//]]-2))</f>
        <v/>
      </c>
      <c r="M24" s="6" t="str">
        <f ca="1">IF(KALINDO[[#This Row],[//]]="","",INDEX([2]!NOTA[STN],KALINDO[[#This Row],[//]]-2))</f>
        <v/>
      </c>
      <c r="N24" s="5" t="str">
        <f ca="1">IF(KALINDO[[#This Row],[//]]="","",INDEX([2]!NOTA[HARGA SATUAN],KALINDO[[#This Row],[//]]-2))</f>
        <v/>
      </c>
      <c r="O24" s="7" t="str">
        <f ca="1">IF(KALINDO[[#This Row],[//]]="","",INDEX([2]!NOTA[DISC 1],KALINDO[[#This Row],[//]]-2))</f>
        <v/>
      </c>
      <c r="P24" s="7" t="str">
        <f ca="1">IF(KALINDO[[#This Row],[//]]="","",INDEX([2]!NOTA[DISC 2],KALINDO[[#This Row],[//]]-2))</f>
        <v/>
      </c>
      <c r="Q24" s="5" t="str">
        <f ca="1">IF(KALINDO[[#This Row],[//]]="","",INDEX([2]!NOTA[TOTAL],KALINDO[[#This Row],[//]]-2))</f>
        <v/>
      </c>
      <c r="R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4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4" s="4" t="str">
        <f ca="1">IF(KALINDO[[#This Row],[//]]="","",INDEX([2]!NOTA[NAMA BARANG],KALINDO[[#This Row],[//]]-2))</f>
        <v/>
      </c>
      <c r="V24" s="4" t="str">
        <f ca="1">LOWER(SUBSTITUTE(SUBSTITUTE(SUBSTITUTE(SUBSTITUTE(SUBSTITUTE(SUBSTITUTE(KALINDO[[#This Row],[N.B.nota]]," ",""),"-",""),"(",""),")",""),".",""),",",""))</f>
        <v/>
      </c>
      <c r="W24" s="4" t="str">
        <f ca="1">IF(KALINDO[[#This Row],[concat]]="","",MATCH(KALINDO[[#This Row],[concat]],[4]!db[NB NOTA_C],0)+1)</f>
        <v/>
      </c>
      <c r="X24" s="4" t="str">
        <f ca="1">IF(KALINDO[[#This Row],[N.B.nota]]="","",ADDRESS(ROW(KALINDO[QB]),COLUMN(KALINDO[QB]))&amp;":"&amp;ADDRESS(ROW(),COLUMN(KALINDO[QB])))</f>
        <v/>
      </c>
      <c r="Y24" s="63" t="str">
        <f ca="1">IF(KALINDO[[#This Row],[//]]="","",HYPERLINK("[../DB.xlsx]DB!e"&amp;MATCH(KALINDO[[#This Row],[concat]],[4]!db[NB NOTA_C],0)+1,"&gt;"))</f>
        <v/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4" t="str">
        <f ca="1">IF(KALINDO[[#This Row],[//]]="","",INDEX([4]!db[NB PAJAK],KALINDO[[#This Row],[stt]]-1))</f>
        <v/>
      </c>
      <c r="K25" s="6" t="str">
        <f ca="1">IF(KALINDO[[#This Row],[//]]="","",IF(INDEX([2]!NOTA[C],KALINDO[[#This Row],[//]]-2)="","",INDEX([2]!NOTA[C],KALINDO[[#This Row],[//]]-2)))</f>
        <v/>
      </c>
      <c r="L25" s="6" t="str">
        <f ca="1">IF(KALINDO[[#This Row],[//]]="","",INDEX([2]!NOTA[QTY],KALINDO[[#This Row],[//]]-2))</f>
        <v/>
      </c>
      <c r="M25" s="6" t="str">
        <f ca="1">IF(KALINDO[[#This Row],[//]]="","",INDEX([2]!NOTA[STN],KALINDO[[#This Row],[//]]-2))</f>
        <v/>
      </c>
      <c r="N25" s="5" t="str">
        <f ca="1">IF(KALINDO[[#This Row],[//]]="","",INDEX([2]!NOTA[HARGA SATUAN],KALINDO[[#This Row],[//]]-2))</f>
        <v/>
      </c>
      <c r="O25" s="7" t="str">
        <f ca="1">IF(KALINDO[[#This Row],[//]]="","",INDEX([2]!NOTA[DISC 1],KALINDO[[#This Row],[//]]-2))</f>
        <v/>
      </c>
      <c r="P25" s="7" t="str">
        <f ca="1">IF(KALINDO[[#This Row],[//]]="","",INDEX([2]!NOTA[DISC 2],KALINDO[[#This Row],[//]]-2))</f>
        <v/>
      </c>
      <c r="Q25" s="5" t="str">
        <f ca="1">IF(KALINDO[[#This Row],[//]]="","",INDEX([2]!NOTA[TOTAL],KALINDO[[#This Row],[//]]-2))</f>
        <v/>
      </c>
      <c r="R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5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5" s="4" t="str">
        <f ca="1">IF(KALINDO[[#This Row],[//]]="","",INDEX([2]!NOTA[NAMA BARANG],KALINDO[[#This Row],[//]]-2))</f>
        <v/>
      </c>
      <c r="V25" s="4" t="str">
        <f ca="1">LOWER(SUBSTITUTE(SUBSTITUTE(SUBSTITUTE(SUBSTITUTE(SUBSTITUTE(SUBSTITUTE(KALINDO[[#This Row],[N.B.nota]]," ",""),"-",""),"(",""),")",""),".",""),",",""))</f>
        <v/>
      </c>
      <c r="W25" s="4" t="str">
        <f ca="1">IF(KALINDO[[#This Row],[concat]]="","",MATCH(KALINDO[[#This Row],[concat]],[4]!db[NB NOTA_C],0)+1)</f>
        <v/>
      </c>
      <c r="X25" s="4" t="str">
        <f ca="1">IF(KALINDO[[#This Row],[N.B.nota]]="","",ADDRESS(ROW(KALINDO[QB]),COLUMN(KALINDO[QB]))&amp;":"&amp;ADDRESS(ROW(),COLUMN(KALINDO[QB])))</f>
        <v/>
      </c>
      <c r="Y25" s="63" t="str">
        <f ca="1">IF(KALINDO[[#This Row],[//]]="","",HYPERLINK("[../DB.xlsx]DB!e"&amp;MATCH(KALINDO[[#This Row],[concat]],[4]!db[NB NOTA_C],0)+1,"&gt;"))</f>
        <v/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4" t="str">
        <f ca="1">IF(KALINDO[[#This Row],[//]]="","",INDEX([4]!db[NB PAJAK],KALINDO[[#This Row],[stt]]-1))</f>
        <v/>
      </c>
      <c r="K26" s="6" t="str">
        <f ca="1">IF(KALINDO[[#This Row],[//]]="","",IF(INDEX([2]!NOTA[C],KALINDO[[#This Row],[//]]-2)="","",INDEX([2]!NOTA[C],KALINDO[[#This Row],[//]]-2)))</f>
        <v/>
      </c>
      <c r="L26" s="6" t="str">
        <f ca="1">IF(KALINDO[[#This Row],[//]]="","",INDEX([2]!NOTA[QTY],KALINDO[[#This Row],[//]]-2))</f>
        <v/>
      </c>
      <c r="M26" s="6" t="str">
        <f ca="1">IF(KALINDO[[#This Row],[//]]="","",INDEX([2]!NOTA[STN],KALINDO[[#This Row],[//]]-2))</f>
        <v/>
      </c>
      <c r="N26" s="5" t="str">
        <f ca="1">IF(KALINDO[[#This Row],[//]]="","",INDEX([2]!NOTA[HARGA SATUAN],KALINDO[[#This Row],[//]]-2))</f>
        <v/>
      </c>
      <c r="O26" s="7" t="str">
        <f ca="1">IF(KALINDO[[#This Row],[//]]="","",INDEX([2]!NOTA[DISC 1],KALINDO[[#This Row],[//]]-2))</f>
        <v/>
      </c>
      <c r="P26" s="7" t="str">
        <f ca="1">IF(KALINDO[[#This Row],[//]]="","",INDEX([2]!NOTA[DISC 2],KALINDO[[#This Row],[//]]-2))</f>
        <v/>
      </c>
      <c r="Q26" s="5" t="str">
        <f ca="1">IF(KALINDO[[#This Row],[//]]="","",INDEX([2]!NOTA[TOTAL],KALINDO[[#This Row],[//]]-2))</f>
        <v/>
      </c>
      <c r="R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6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6" s="4" t="str">
        <f ca="1">IF(KALINDO[[#This Row],[//]]="","",INDEX([2]!NOTA[NAMA BARANG],KALINDO[[#This Row],[//]]-2))</f>
        <v/>
      </c>
      <c r="V26" s="4" t="str">
        <f ca="1">LOWER(SUBSTITUTE(SUBSTITUTE(SUBSTITUTE(SUBSTITUTE(SUBSTITUTE(SUBSTITUTE(KALINDO[[#This Row],[N.B.nota]]," ",""),"-",""),"(",""),")",""),".",""),",",""))</f>
        <v/>
      </c>
      <c r="W26" s="4" t="str">
        <f ca="1">IF(KALINDO[[#This Row],[concat]]="","",MATCH(KALINDO[[#This Row],[concat]],[4]!db[NB NOTA_C],0)+1)</f>
        <v/>
      </c>
      <c r="X26" s="4" t="str">
        <f ca="1">IF(KALINDO[[#This Row],[N.B.nota]]="","",ADDRESS(ROW(KALINDO[QB]),COLUMN(KALINDO[QB]))&amp;":"&amp;ADDRESS(ROW(),COLUMN(KALINDO[QB])))</f>
        <v/>
      </c>
      <c r="Y26" s="63" t="str">
        <f ca="1">IF(KALINDO[[#This Row],[//]]="","",HYPERLINK("[../DB.xlsx]DB!e"&amp;MATCH(KALINDO[[#This Row],[concat]],[4]!db[NB NOTA_C],0)+1,"&gt;"))</f>
        <v/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4" t="str">
        <f ca="1">IF(KALINDO[[#This Row],[//]]="","",INDEX([4]!db[NB PAJAK],KALINDO[[#This Row],[stt]]-1))</f>
        <v/>
      </c>
      <c r="K27" s="6" t="str">
        <f ca="1">IF(KALINDO[[#This Row],[//]]="","",IF(INDEX([2]!NOTA[C],KALINDO[[#This Row],[//]]-2)="","",INDEX([2]!NOTA[C],KALINDO[[#This Row],[//]]-2)))</f>
        <v/>
      </c>
      <c r="L27" s="6" t="str">
        <f ca="1">IF(KALINDO[[#This Row],[//]]="","",INDEX([2]!NOTA[QTY],KALINDO[[#This Row],[//]]-2))</f>
        <v/>
      </c>
      <c r="M27" s="6" t="str">
        <f ca="1">IF(KALINDO[[#This Row],[//]]="","",INDEX([2]!NOTA[STN],KALINDO[[#This Row],[//]]-2))</f>
        <v/>
      </c>
      <c r="N27" s="5" t="str">
        <f ca="1">IF(KALINDO[[#This Row],[//]]="","",INDEX([2]!NOTA[HARGA SATUAN],KALINDO[[#This Row],[//]]-2))</f>
        <v/>
      </c>
      <c r="O27" s="7" t="str">
        <f ca="1">IF(KALINDO[[#This Row],[//]]="","",INDEX([2]!NOTA[DISC 1],KALINDO[[#This Row],[//]]-2))</f>
        <v/>
      </c>
      <c r="P27" s="7" t="str">
        <f ca="1">IF(KALINDO[[#This Row],[//]]="","",INDEX([2]!NOTA[DISC 2],KALINDO[[#This Row],[//]]-2))</f>
        <v/>
      </c>
      <c r="Q27" s="5" t="str">
        <f ca="1">IF(KALINDO[[#This Row],[//]]="","",INDEX([2]!NOTA[TOTAL],KALINDO[[#This Row],[//]]-2))</f>
        <v/>
      </c>
      <c r="R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7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7" s="4" t="str">
        <f ca="1">IF(KALINDO[[#This Row],[//]]="","",INDEX([2]!NOTA[NAMA BARANG],KALINDO[[#This Row],[//]]-2))</f>
        <v/>
      </c>
      <c r="V27" s="4" t="str">
        <f ca="1">LOWER(SUBSTITUTE(SUBSTITUTE(SUBSTITUTE(SUBSTITUTE(SUBSTITUTE(SUBSTITUTE(KALINDO[[#This Row],[N.B.nota]]," ",""),"-",""),"(",""),")",""),".",""),",",""))</f>
        <v/>
      </c>
      <c r="W27" s="4" t="str">
        <f ca="1">IF(KALINDO[[#This Row],[concat]]="","",MATCH(KALINDO[[#This Row],[concat]],[4]!db[NB NOTA_C],0)+1)</f>
        <v/>
      </c>
      <c r="X27" s="4" t="str">
        <f ca="1">IF(KALINDO[[#This Row],[N.B.nota]]="","",ADDRESS(ROW(KALINDO[QB]),COLUMN(KALINDO[QB]))&amp;":"&amp;ADDRESS(ROW(),COLUMN(KALINDO[QB])))</f>
        <v/>
      </c>
      <c r="Y27" s="63" t="str">
        <f ca="1">IF(KALINDO[[#This Row],[//]]="","",HYPERLINK("[../DB.xlsx]DB!e"&amp;MATCH(KALINDO[[#This Row],[concat]],[4]!db[NB NOTA_C],0)+1,"&gt;"))</f>
        <v/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4" t="str">
        <f ca="1">IF(KALINDO[[#This Row],[//]]="","",INDEX([4]!db[NB PAJAK],KALINDO[[#This Row],[stt]]-1))</f>
        <v/>
      </c>
      <c r="K28" s="6" t="str">
        <f ca="1">IF(KALINDO[[#This Row],[//]]="","",IF(INDEX([2]!NOTA[C],KALINDO[[#This Row],[//]]-2)="","",INDEX([2]!NOTA[C],KALINDO[[#This Row],[//]]-2)))</f>
        <v/>
      </c>
      <c r="L28" s="6" t="str">
        <f ca="1">IF(KALINDO[[#This Row],[//]]="","",INDEX([2]!NOTA[QTY],KALINDO[[#This Row],[//]]-2))</f>
        <v/>
      </c>
      <c r="M28" s="6" t="str">
        <f ca="1">IF(KALINDO[[#This Row],[//]]="","",INDEX([2]!NOTA[STN],KALINDO[[#This Row],[//]]-2))</f>
        <v/>
      </c>
      <c r="N28" s="5" t="str">
        <f ca="1">IF(KALINDO[[#This Row],[//]]="","",INDEX([2]!NOTA[HARGA SATUAN],KALINDO[[#This Row],[//]]-2))</f>
        <v/>
      </c>
      <c r="O28" s="7" t="str">
        <f ca="1">IF(KALINDO[[#This Row],[//]]="","",INDEX([2]!NOTA[DISC 1],KALINDO[[#This Row],[//]]-2))</f>
        <v/>
      </c>
      <c r="P28" s="7" t="str">
        <f ca="1">IF(KALINDO[[#This Row],[//]]="","",INDEX([2]!NOTA[DISC 2],KALINDO[[#This Row],[//]]-2))</f>
        <v/>
      </c>
      <c r="Q28" s="5" t="str">
        <f ca="1">IF(KALINDO[[#This Row],[//]]="","",INDEX([2]!NOTA[TOTAL],KALINDO[[#This Row],[//]]-2))</f>
        <v/>
      </c>
      <c r="R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8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8" s="4" t="str">
        <f ca="1">IF(KALINDO[[#This Row],[//]]="","",INDEX([2]!NOTA[NAMA BARANG],KALINDO[[#This Row],[//]]-2))</f>
        <v/>
      </c>
      <c r="V28" s="4" t="str">
        <f ca="1">LOWER(SUBSTITUTE(SUBSTITUTE(SUBSTITUTE(SUBSTITUTE(SUBSTITUTE(SUBSTITUTE(KALINDO[[#This Row],[N.B.nota]]," ",""),"-",""),"(",""),")",""),".",""),",",""))</f>
        <v/>
      </c>
      <c r="W28" s="4" t="str">
        <f ca="1">IF(KALINDO[[#This Row],[concat]]="","",MATCH(KALINDO[[#This Row],[concat]],[4]!db[NB NOTA_C],0)+1)</f>
        <v/>
      </c>
      <c r="X28" s="4" t="str">
        <f ca="1">IF(KALINDO[[#This Row],[N.B.nota]]="","",ADDRESS(ROW(KALINDO[QB]),COLUMN(KALINDO[QB]))&amp;":"&amp;ADDRESS(ROW(),COLUMN(KALINDO[QB])))</f>
        <v/>
      </c>
      <c r="Y28" s="63" t="str">
        <f ca="1">IF(KALINDO[[#This Row],[//]]="","",HYPERLINK("[../DB.xlsx]DB!e"&amp;MATCH(KALINDO[[#This Row],[concat]],[4]!db[NB NOTA_C],0)+1,"&gt;"))</f>
        <v/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4" t="str">
        <f ca="1">IF(KALINDO[[#This Row],[//]]="","",INDEX([4]!db[NB PAJAK],KALINDO[[#This Row],[stt]]-1))</f>
        <v/>
      </c>
      <c r="K29" s="6" t="str">
        <f ca="1">IF(KALINDO[[#This Row],[//]]="","",IF(INDEX([2]!NOTA[C],KALINDO[[#This Row],[//]]-2)="","",INDEX([2]!NOTA[C],KALINDO[[#This Row],[//]]-2)))</f>
        <v/>
      </c>
      <c r="L29" s="6" t="str">
        <f ca="1">IF(KALINDO[[#This Row],[//]]="","",INDEX([2]!NOTA[QTY],KALINDO[[#This Row],[//]]-2))</f>
        <v/>
      </c>
      <c r="M29" s="6" t="str">
        <f ca="1">IF(KALINDO[[#This Row],[//]]="","",INDEX([2]!NOTA[STN],KALINDO[[#This Row],[//]]-2))</f>
        <v/>
      </c>
      <c r="N29" s="5" t="str">
        <f ca="1">IF(KALINDO[[#This Row],[//]]="","",INDEX([2]!NOTA[HARGA SATUAN],KALINDO[[#This Row],[//]]-2))</f>
        <v/>
      </c>
      <c r="O29" s="7" t="str">
        <f ca="1">IF(KALINDO[[#This Row],[//]]="","",INDEX([2]!NOTA[DISC 1],KALINDO[[#This Row],[//]]-2))</f>
        <v/>
      </c>
      <c r="P29" s="7" t="str">
        <f ca="1">IF(KALINDO[[#This Row],[//]]="","",INDEX([2]!NOTA[DISC 2],KALINDO[[#This Row],[//]]-2))</f>
        <v/>
      </c>
      <c r="Q29" s="5" t="str">
        <f ca="1">IF(KALINDO[[#This Row],[//]]="","",INDEX([2]!NOTA[TOTAL],KALINDO[[#This Row],[//]]-2))</f>
        <v/>
      </c>
      <c r="R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9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9" s="4" t="str">
        <f ca="1">IF(KALINDO[[#This Row],[//]]="","",INDEX([2]!NOTA[NAMA BARANG],KALINDO[[#This Row],[//]]-2))</f>
        <v/>
      </c>
      <c r="V29" s="4" t="str">
        <f ca="1">LOWER(SUBSTITUTE(SUBSTITUTE(SUBSTITUTE(SUBSTITUTE(SUBSTITUTE(SUBSTITUTE(KALINDO[[#This Row],[N.B.nota]]," ",""),"-",""),"(",""),")",""),".",""),",",""))</f>
        <v/>
      </c>
      <c r="W29" s="4" t="str">
        <f ca="1">IF(KALINDO[[#This Row],[concat]]="","",MATCH(KALINDO[[#This Row],[concat]],[4]!db[NB NOTA_C],0)+1)</f>
        <v/>
      </c>
      <c r="X29" s="4" t="str">
        <f ca="1">IF(KALINDO[[#This Row],[N.B.nota]]="","",ADDRESS(ROW(KALINDO[QB]),COLUMN(KALINDO[QB]))&amp;":"&amp;ADDRESS(ROW(),COLUMN(KALINDO[QB])))</f>
        <v/>
      </c>
      <c r="Y29" s="63" t="str">
        <f ca="1">IF(KALINDO[[#This Row],[//]]="","",HYPERLINK("[../DB.xlsx]DB!e"&amp;MATCH(KALINDO[[#This Row],[concat]],[4]!db[NB NOTA_C],0)+1,"&gt;"))</f>
        <v/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4" t="str">
        <f ca="1">IF(KALINDO[[#This Row],[//]]="","",INDEX([4]!db[NB PAJAK],KALINDO[[#This Row],[stt]]-1))</f>
        <v/>
      </c>
      <c r="K30" s="6" t="str">
        <f ca="1">IF(KALINDO[[#This Row],[//]]="","",IF(INDEX([2]!NOTA[C],KALINDO[[#This Row],[//]]-2)="","",INDEX([2]!NOTA[C],KALINDO[[#This Row],[//]]-2)))</f>
        <v/>
      </c>
      <c r="L30" s="6" t="str">
        <f ca="1">IF(KALINDO[[#This Row],[//]]="","",INDEX([2]!NOTA[QTY],KALINDO[[#This Row],[//]]-2))</f>
        <v/>
      </c>
      <c r="M30" s="6" t="str">
        <f ca="1">IF(KALINDO[[#This Row],[//]]="","",INDEX([2]!NOTA[STN],KALINDO[[#This Row],[//]]-2))</f>
        <v/>
      </c>
      <c r="N30" s="5" t="str">
        <f ca="1">IF(KALINDO[[#This Row],[//]]="","",INDEX([2]!NOTA[HARGA SATUAN],KALINDO[[#This Row],[//]]-2))</f>
        <v/>
      </c>
      <c r="O30" s="7" t="str">
        <f ca="1">IF(KALINDO[[#This Row],[//]]="","",INDEX([2]!NOTA[DISC 1],KALINDO[[#This Row],[//]]-2))</f>
        <v/>
      </c>
      <c r="P30" s="7" t="str">
        <f ca="1">IF(KALINDO[[#This Row],[//]]="","",INDEX([2]!NOTA[DISC 2],KALINDO[[#This Row],[//]]-2))</f>
        <v/>
      </c>
      <c r="Q30" s="5" t="str">
        <f ca="1">IF(KALINDO[[#This Row],[//]]="","",INDEX([2]!NOTA[TOTAL],KALINDO[[#This Row],[//]]-2))</f>
        <v/>
      </c>
      <c r="R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0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0" s="4" t="str">
        <f ca="1">IF(KALINDO[[#This Row],[//]]="","",INDEX([2]!NOTA[NAMA BARANG],KALINDO[[#This Row],[//]]-2))</f>
        <v/>
      </c>
      <c r="V30" s="4" t="str">
        <f ca="1">LOWER(SUBSTITUTE(SUBSTITUTE(SUBSTITUTE(SUBSTITUTE(SUBSTITUTE(SUBSTITUTE(KALINDO[[#This Row],[N.B.nota]]," ",""),"-",""),"(",""),")",""),".",""),",",""))</f>
        <v/>
      </c>
      <c r="W30" s="4" t="str">
        <f ca="1">IF(KALINDO[[#This Row],[concat]]="","",MATCH(KALINDO[[#This Row],[concat]],[4]!db[NB NOTA_C],0)+1)</f>
        <v/>
      </c>
      <c r="X30" s="4" t="str">
        <f ca="1">IF(KALINDO[[#This Row],[N.B.nota]]="","",ADDRESS(ROW(KALINDO[QB]),COLUMN(KALINDO[QB]))&amp;":"&amp;ADDRESS(ROW(),COLUMN(KALINDO[QB])))</f>
        <v/>
      </c>
      <c r="Y30" s="63" t="str">
        <f ca="1">IF(KALINDO[[#This Row],[//]]="","",HYPERLINK("[../DB.xlsx]DB!e"&amp;MATCH(KALINDO[[#This Row],[concat]],[4]!db[NB NOTA_C],0)+1,"&gt;"))</f>
        <v/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4" t="str">
        <f ca="1">IF(KALINDO[[#This Row],[//]]="","",INDEX([4]!db[NB PAJAK],KALINDO[[#This Row],[stt]]-1))</f>
        <v/>
      </c>
      <c r="K31" s="6" t="str">
        <f ca="1">IF(KALINDO[[#This Row],[//]]="","",IF(INDEX([2]!NOTA[C],KALINDO[[#This Row],[//]]-2)="","",INDEX([2]!NOTA[C],KALINDO[[#This Row],[//]]-2)))</f>
        <v/>
      </c>
      <c r="L31" s="6" t="str">
        <f ca="1">IF(KALINDO[[#This Row],[//]]="","",INDEX([2]!NOTA[QTY],KALINDO[[#This Row],[//]]-2))</f>
        <v/>
      </c>
      <c r="M31" s="6" t="str">
        <f ca="1">IF(KALINDO[[#This Row],[//]]="","",INDEX([2]!NOTA[STN],KALINDO[[#This Row],[//]]-2))</f>
        <v/>
      </c>
      <c r="N31" s="5" t="str">
        <f ca="1">IF(KALINDO[[#This Row],[//]]="","",INDEX([2]!NOTA[HARGA SATUAN],KALINDO[[#This Row],[//]]-2))</f>
        <v/>
      </c>
      <c r="O31" s="7" t="str">
        <f ca="1">IF(KALINDO[[#This Row],[//]]="","",INDEX([2]!NOTA[DISC 1],KALINDO[[#This Row],[//]]-2))</f>
        <v/>
      </c>
      <c r="P31" s="7" t="str">
        <f ca="1">IF(KALINDO[[#This Row],[//]]="","",INDEX([2]!NOTA[DISC 2],KALINDO[[#This Row],[//]]-2))</f>
        <v/>
      </c>
      <c r="Q31" s="5" t="str">
        <f ca="1">IF(KALINDO[[#This Row],[//]]="","",INDEX([2]!NOTA[TOTAL],KALINDO[[#This Row],[//]]-2))</f>
        <v/>
      </c>
      <c r="R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1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1" s="4" t="str">
        <f ca="1">IF(KALINDO[[#This Row],[//]]="","",INDEX([2]!NOTA[NAMA BARANG],KALINDO[[#This Row],[//]]-2))</f>
        <v/>
      </c>
      <c r="V31" s="4" t="str">
        <f ca="1">LOWER(SUBSTITUTE(SUBSTITUTE(SUBSTITUTE(SUBSTITUTE(SUBSTITUTE(SUBSTITUTE(KALINDO[[#This Row],[N.B.nota]]," ",""),"-",""),"(",""),")",""),".",""),",",""))</f>
        <v/>
      </c>
      <c r="W31" s="4" t="str">
        <f ca="1">IF(KALINDO[[#This Row],[concat]]="","",MATCH(KALINDO[[#This Row],[concat]],[4]!db[NB NOTA_C],0)+1)</f>
        <v/>
      </c>
      <c r="X31" s="4" t="str">
        <f ca="1">IF(KALINDO[[#This Row],[N.B.nota]]="","",ADDRESS(ROW(KALINDO[QB]),COLUMN(KALINDO[QB]))&amp;":"&amp;ADDRESS(ROW(),COLUMN(KALINDO[QB])))</f>
        <v/>
      </c>
      <c r="Y31" s="63" t="str">
        <f ca="1">IF(KALINDO[[#This Row],[//]]="","",HYPERLINK("[../DB.xlsx]DB!e"&amp;MATCH(KALINDO[[#This Row],[concat]],[4]!db[NB NOTA_C],0)+1,"&gt;"))</f>
        <v/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4" t="str">
        <f ca="1">IF(KALINDO[[#This Row],[//]]="","",INDEX([4]!db[NB PAJAK],KALINDO[[#This Row],[stt]]-1))</f>
        <v/>
      </c>
      <c r="K32" s="6" t="str">
        <f ca="1">IF(KALINDO[[#This Row],[//]]="","",IF(INDEX([2]!NOTA[C],KALINDO[[#This Row],[//]]-2)="","",INDEX([2]!NOTA[C],KALINDO[[#This Row],[//]]-2)))</f>
        <v/>
      </c>
      <c r="L32" s="6" t="str">
        <f ca="1">IF(KALINDO[[#This Row],[//]]="","",INDEX([2]!NOTA[QTY],KALINDO[[#This Row],[//]]-2))</f>
        <v/>
      </c>
      <c r="M32" s="6" t="str">
        <f ca="1">IF(KALINDO[[#This Row],[//]]="","",INDEX([2]!NOTA[STN],KALINDO[[#This Row],[//]]-2))</f>
        <v/>
      </c>
      <c r="N32" s="5" t="str">
        <f ca="1">IF(KALINDO[[#This Row],[//]]="","",INDEX([2]!NOTA[HARGA SATUAN],KALINDO[[#This Row],[//]]-2))</f>
        <v/>
      </c>
      <c r="O32" s="7" t="str">
        <f ca="1">IF(KALINDO[[#This Row],[//]]="","",INDEX([2]!NOTA[DISC 1],KALINDO[[#This Row],[//]]-2))</f>
        <v/>
      </c>
      <c r="P32" s="7" t="str">
        <f ca="1">IF(KALINDO[[#This Row],[//]]="","",INDEX([2]!NOTA[DISC 2],KALINDO[[#This Row],[//]]-2))</f>
        <v/>
      </c>
      <c r="Q32" s="5" t="str">
        <f ca="1">IF(KALINDO[[#This Row],[//]]="","",INDEX([2]!NOTA[TOTAL],KALINDO[[#This Row],[//]]-2))</f>
        <v/>
      </c>
      <c r="R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2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2" s="4" t="str">
        <f ca="1">IF(KALINDO[[#This Row],[//]]="","",INDEX([2]!NOTA[NAMA BARANG],KALINDO[[#This Row],[//]]-2))</f>
        <v/>
      </c>
      <c r="V32" s="4" t="str">
        <f ca="1">LOWER(SUBSTITUTE(SUBSTITUTE(SUBSTITUTE(SUBSTITUTE(SUBSTITUTE(SUBSTITUTE(KALINDO[[#This Row],[N.B.nota]]," ",""),"-",""),"(",""),")",""),".",""),",",""))</f>
        <v/>
      </c>
      <c r="W32" s="4" t="str">
        <f ca="1">IF(KALINDO[[#This Row],[concat]]="","",MATCH(KALINDO[[#This Row],[concat]],[4]!db[NB NOTA_C],0)+1)</f>
        <v/>
      </c>
      <c r="X32" s="4" t="str">
        <f ca="1">IF(KALINDO[[#This Row],[N.B.nota]]="","",ADDRESS(ROW(KALINDO[QB]),COLUMN(KALINDO[QB]))&amp;":"&amp;ADDRESS(ROW(),COLUMN(KALINDO[QB])))</f>
        <v/>
      </c>
      <c r="Y32" s="63" t="str">
        <f ca="1">IF(KALINDO[[#This Row],[//]]="","",HYPERLINK("[../DB.xlsx]DB!e"&amp;MATCH(KALINDO[[#This Row],[concat]],[4]!db[NB NOTA_C],0)+1,"&gt;"))</f>
        <v/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4" t="str">
        <f ca="1">IF(KALINDO[[#This Row],[//]]="","",INDEX([4]!db[NB PAJAK],KALINDO[[#This Row],[stt]]-1))</f>
        <v/>
      </c>
      <c r="K33" s="6" t="str">
        <f ca="1">IF(KALINDO[[#This Row],[//]]="","",IF(INDEX([2]!NOTA[C],KALINDO[[#This Row],[//]]-2)="","",INDEX([2]!NOTA[C],KALINDO[[#This Row],[//]]-2)))</f>
        <v/>
      </c>
      <c r="L33" s="6" t="str">
        <f ca="1">IF(KALINDO[[#This Row],[//]]="","",INDEX([2]!NOTA[QTY],KALINDO[[#This Row],[//]]-2))</f>
        <v/>
      </c>
      <c r="M33" s="6" t="str">
        <f ca="1">IF(KALINDO[[#This Row],[//]]="","",INDEX([2]!NOTA[STN],KALINDO[[#This Row],[//]]-2))</f>
        <v/>
      </c>
      <c r="N33" s="5" t="str">
        <f ca="1">IF(KALINDO[[#This Row],[//]]="","",INDEX([2]!NOTA[HARGA SATUAN],KALINDO[[#This Row],[//]]-2))</f>
        <v/>
      </c>
      <c r="O33" s="7" t="str">
        <f ca="1">IF(KALINDO[[#This Row],[//]]="","",INDEX([2]!NOTA[DISC 1],KALINDO[[#This Row],[//]]-2))</f>
        <v/>
      </c>
      <c r="P33" s="7" t="str">
        <f ca="1">IF(KALINDO[[#This Row],[//]]="","",INDEX([2]!NOTA[DISC 2],KALINDO[[#This Row],[//]]-2))</f>
        <v/>
      </c>
      <c r="Q33" s="5" t="str">
        <f ca="1">IF(KALINDO[[#This Row],[//]]="","",INDEX([2]!NOTA[TOTAL],KALINDO[[#This Row],[//]]-2))</f>
        <v/>
      </c>
      <c r="R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3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3" s="4" t="str">
        <f ca="1">IF(KALINDO[[#This Row],[//]]="","",INDEX([2]!NOTA[NAMA BARANG],KALINDO[[#This Row],[//]]-2))</f>
        <v/>
      </c>
      <c r="V33" s="4" t="str">
        <f ca="1">LOWER(SUBSTITUTE(SUBSTITUTE(SUBSTITUTE(SUBSTITUTE(SUBSTITUTE(SUBSTITUTE(KALINDO[[#This Row],[N.B.nota]]," ",""),"-",""),"(",""),")",""),".",""),",",""))</f>
        <v/>
      </c>
      <c r="W33" s="4" t="str">
        <f ca="1">IF(KALINDO[[#This Row],[concat]]="","",MATCH(KALINDO[[#This Row],[concat]],[4]!db[NB NOTA_C],0)+1)</f>
        <v/>
      </c>
      <c r="X33" s="4" t="str">
        <f ca="1">IF(KALINDO[[#This Row],[N.B.nota]]="","",ADDRESS(ROW(KALINDO[QB]),COLUMN(KALINDO[QB]))&amp;":"&amp;ADDRESS(ROW(),COLUMN(KALINDO[QB])))</f>
        <v/>
      </c>
      <c r="Y33" s="63" t="str">
        <f ca="1">IF(KALINDO[[#This Row],[//]]="","",HYPERLINK("[../DB.xlsx]DB!e"&amp;MATCH(KALINDO[[#This Row],[concat]],[4]!db[NB NOTA_C],0)+1,"&gt;"))</f>
        <v/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4" t="str">
        <f ca="1">IF(KALINDO[[#This Row],[//]]="","",INDEX([4]!db[NB PAJAK],KALINDO[[#This Row],[stt]]-1))</f>
        <v/>
      </c>
      <c r="K34" s="6" t="str">
        <f ca="1">IF(KALINDO[[#This Row],[//]]="","",IF(INDEX([2]!NOTA[C],KALINDO[[#This Row],[//]]-2)="","",INDEX([2]!NOTA[C],KALINDO[[#This Row],[//]]-2)))</f>
        <v/>
      </c>
      <c r="L34" s="6" t="str">
        <f ca="1">IF(KALINDO[[#This Row],[//]]="","",INDEX([2]!NOTA[QTY],KALINDO[[#This Row],[//]]-2))</f>
        <v/>
      </c>
      <c r="M34" s="6" t="str">
        <f ca="1">IF(KALINDO[[#This Row],[//]]="","",INDEX([2]!NOTA[STN],KALINDO[[#This Row],[//]]-2))</f>
        <v/>
      </c>
      <c r="N34" s="5" t="str">
        <f ca="1">IF(KALINDO[[#This Row],[//]]="","",INDEX([2]!NOTA[HARGA SATUAN],KALINDO[[#This Row],[//]]-2))</f>
        <v/>
      </c>
      <c r="O34" s="7" t="str">
        <f ca="1">IF(KALINDO[[#This Row],[//]]="","",INDEX([2]!NOTA[DISC 1],KALINDO[[#This Row],[//]]-2))</f>
        <v/>
      </c>
      <c r="P34" s="7" t="str">
        <f ca="1">IF(KALINDO[[#This Row],[//]]="","",INDEX([2]!NOTA[DISC 2],KALINDO[[#This Row],[//]]-2))</f>
        <v/>
      </c>
      <c r="Q34" s="5" t="str">
        <f ca="1">IF(KALINDO[[#This Row],[//]]="","",INDEX([2]!NOTA[TOTAL],KALINDO[[#This Row],[//]]-2))</f>
        <v/>
      </c>
      <c r="R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4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4" s="4" t="str">
        <f ca="1">IF(KALINDO[[#This Row],[//]]="","",INDEX([2]!NOTA[NAMA BARANG],KALINDO[[#This Row],[//]]-2))</f>
        <v/>
      </c>
      <c r="V34" s="4" t="str">
        <f ca="1">LOWER(SUBSTITUTE(SUBSTITUTE(SUBSTITUTE(SUBSTITUTE(SUBSTITUTE(SUBSTITUTE(KALINDO[[#This Row],[N.B.nota]]," ",""),"-",""),"(",""),")",""),".",""),",",""))</f>
        <v/>
      </c>
      <c r="W34" s="4" t="str">
        <f ca="1">IF(KALINDO[[#This Row],[concat]]="","",MATCH(KALINDO[[#This Row],[concat]],[4]!db[NB NOTA_C],0)+1)</f>
        <v/>
      </c>
      <c r="X34" s="4" t="str">
        <f ca="1">IF(KALINDO[[#This Row],[N.B.nota]]="","",ADDRESS(ROW(KALINDO[QB]),COLUMN(KALINDO[QB]))&amp;":"&amp;ADDRESS(ROW(),COLUMN(KALINDO[QB])))</f>
        <v/>
      </c>
      <c r="Y34" s="63" t="str">
        <f ca="1">IF(KALINDO[[#This Row],[//]]="","",HYPERLINK("[../DB.xlsx]DB!e"&amp;MATCH(KALINDO[[#This Row],[concat]],[4]!db[NB NOTA_C],0)+1,"&gt;"))</f>
        <v/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4" t="str">
        <f ca="1">IF(KALINDO[[#This Row],[//]]="","",INDEX([4]!db[NB PAJAK],KALINDO[[#This Row],[stt]]-1))</f>
        <v/>
      </c>
      <c r="K35" s="6" t="str">
        <f ca="1">IF(KALINDO[[#This Row],[//]]="","",IF(INDEX([2]!NOTA[C],KALINDO[[#This Row],[//]]-2)="","",INDEX([2]!NOTA[C],KALINDO[[#This Row],[//]]-2)))</f>
        <v/>
      </c>
      <c r="L35" s="6" t="str">
        <f ca="1">IF(KALINDO[[#This Row],[//]]="","",INDEX([2]!NOTA[QTY],KALINDO[[#This Row],[//]]-2))</f>
        <v/>
      </c>
      <c r="M35" s="6" t="str">
        <f ca="1">IF(KALINDO[[#This Row],[//]]="","",INDEX([2]!NOTA[STN],KALINDO[[#This Row],[//]]-2))</f>
        <v/>
      </c>
      <c r="N35" s="5" t="str">
        <f ca="1">IF(KALINDO[[#This Row],[//]]="","",INDEX([2]!NOTA[HARGA SATUAN],KALINDO[[#This Row],[//]]-2))</f>
        <v/>
      </c>
      <c r="O35" s="7" t="str">
        <f ca="1">IF(KALINDO[[#This Row],[//]]="","",INDEX([2]!NOTA[DISC 1],KALINDO[[#This Row],[//]]-2))</f>
        <v/>
      </c>
      <c r="P35" s="7" t="str">
        <f ca="1">IF(KALINDO[[#This Row],[//]]="","",INDEX([2]!NOTA[DISC 2],KALINDO[[#This Row],[//]]-2))</f>
        <v/>
      </c>
      <c r="Q35" s="5" t="str">
        <f ca="1">IF(KALINDO[[#This Row],[//]]="","",INDEX([2]!NOTA[TOTAL],KALINDO[[#This Row],[//]]-2))</f>
        <v/>
      </c>
      <c r="R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5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5" s="4" t="str">
        <f ca="1">IF(KALINDO[[#This Row],[//]]="","",INDEX([2]!NOTA[NAMA BARANG],KALINDO[[#This Row],[//]]-2))</f>
        <v/>
      </c>
      <c r="V35" s="4" t="str">
        <f ca="1">LOWER(SUBSTITUTE(SUBSTITUTE(SUBSTITUTE(SUBSTITUTE(SUBSTITUTE(SUBSTITUTE(KALINDO[[#This Row],[N.B.nota]]," ",""),"-",""),"(",""),")",""),".",""),",",""))</f>
        <v/>
      </c>
      <c r="W35" s="4" t="str">
        <f ca="1">IF(KALINDO[[#This Row],[concat]]="","",MATCH(KALINDO[[#This Row],[concat]],[4]!db[NB NOTA_C],0)+1)</f>
        <v/>
      </c>
      <c r="X35" s="4" t="str">
        <f ca="1">IF(KALINDO[[#This Row],[N.B.nota]]="","",ADDRESS(ROW(KALINDO[QB]),COLUMN(KALINDO[QB]))&amp;":"&amp;ADDRESS(ROW(),COLUMN(KALINDO[QB])))</f>
        <v/>
      </c>
      <c r="Y35" s="63" t="str">
        <f ca="1">IF(KALINDO[[#This Row],[//]]="","",HYPERLINK("[../DB.xlsx]DB!e"&amp;MATCH(KALINDO[[#This Row],[concat]],[4]!db[NB NOTA_C],0)+1,"&gt;"))</f>
        <v/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4" t="str">
        <f ca="1">IF(KALINDO[[#This Row],[//]]="","",INDEX([4]!db[NB PAJAK],KALINDO[[#This Row],[stt]]-1))</f>
        <v/>
      </c>
      <c r="K36" s="6" t="str">
        <f ca="1">IF(KALINDO[[#This Row],[//]]="","",IF(INDEX([2]!NOTA[C],KALINDO[[#This Row],[//]]-2)="","",INDEX([2]!NOTA[C],KALINDO[[#This Row],[//]]-2)))</f>
        <v/>
      </c>
      <c r="L36" s="6" t="str">
        <f ca="1">IF(KALINDO[[#This Row],[//]]="","",INDEX([2]!NOTA[QTY],KALINDO[[#This Row],[//]]-2))</f>
        <v/>
      </c>
      <c r="M36" s="6" t="str">
        <f ca="1">IF(KALINDO[[#This Row],[//]]="","",INDEX([2]!NOTA[STN],KALINDO[[#This Row],[//]]-2))</f>
        <v/>
      </c>
      <c r="N36" s="5" t="str">
        <f ca="1">IF(KALINDO[[#This Row],[//]]="","",INDEX([2]!NOTA[HARGA SATUAN],KALINDO[[#This Row],[//]]-2))</f>
        <v/>
      </c>
      <c r="O36" s="7" t="str">
        <f ca="1">IF(KALINDO[[#This Row],[//]]="","",INDEX([2]!NOTA[DISC 1],KALINDO[[#This Row],[//]]-2))</f>
        <v/>
      </c>
      <c r="P36" s="7" t="str">
        <f ca="1">IF(KALINDO[[#This Row],[//]]="","",INDEX([2]!NOTA[DISC 2],KALINDO[[#This Row],[//]]-2))</f>
        <v/>
      </c>
      <c r="Q36" s="5" t="str">
        <f ca="1">IF(KALINDO[[#This Row],[//]]="","",INDEX([2]!NOTA[TOTAL],KALINDO[[#This Row],[//]]-2))</f>
        <v/>
      </c>
      <c r="R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6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6" s="4" t="str">
        <f ca="1">IF(KALINDO[[#This Row],[//]]="","",INDEX([2]!NOTA[NAMA BARANG],KALINDO[[#This Row],[//]]-2))</f>
        <v/>
      </c>
      <c r="V36" s="4" t="str">
        <f ca="1">LOWER(SUBSTITUTE(SUBSTITUTE(SUBSTITUTE(SUBSTITUTE(SUBSTITUTE(SUBSTITUTE(KALINDO[[#This Row],[N.B.nota]]," ",""),"-",""),"(",""),")",""),".",""),",",""))</f>
        <v/>
      </c>
      <c r="W36" s="4" t="str">
        <f ca="1">IF(KALINDO[[#This Row],[concat]]="","",MATCH(KALINDO[[#This Row],[concat]],[4]!db[NB NOTA_C],0)+1)</f>
        <v/>
      </c>
      <c r="X36" s="4" t="str">
        <f ca="1">IF(KALINDO[[#This Row],[N.B.nota]]="","",ADDRESS(ROW(KALINDO[QB]),COLUMN(KALINDO[QB]))&amp;":"&amp;ADDRESS(ROW(),COLUMN(KALINDO[QB])))</f>
        <v/>
      </c>
      <c r="Y36" s="63" t="str">
        <f ca="1">IF(KALINDO[[#This Row],[//]]="","",HYPERLINK("[../DB.xlsx]DB!e"&amp;MATCH(KALINDO[[#This Row],[concat]],[4]!db[NB NOTA_C],0)+1,"&gt;"))</f>
        <v/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4" t="str">
        <f ca="1">IF(KALINDO[[#This Row],[//]]="","",INDEX([4]!db[NB PAJAK],KALINDO[[#This Row],[stt]]-1))</f>
        <v/>
      </c>
      <c r="K37" s="6" t="str">
        <f ca="1">IF(KALINDO[[#This Row],[//]]="","",IF(INDEX([2]!NOTA[C],KALINDO[[#This Row],[//]]-2)="","",INDEX([2]!NOTA[C],KALINDO[[#This Row],[//]]-2)))</f>
        <v/>
      </c>
      <c r="L37" s="6" t="str">
        <f ca="1">IF(KALINDO[[#This Row],[//]]="","",INDEX([2]!NOTA[QTY],KALINDO[[#This Row],[//]]-2))</f>
        <v/>
      </c>
      <c r="M37" s="6" t="str">
        <f ca="1">IF(KALINDO[[#This Row],[//]]="","",INDEX([2]!NOTA[STN],KALINDO[[#This Row],[//]]-2))</f>
        <v/>
      </c>
      <c r="N37" s="5" t="str">
        <f ca="1">IF(KALINDO[[#This Row],[//]]="","",INDEX([2]!NOTA[HARGA SATUAN],KALINDO[[#This Row],[//]]-2))</f>
        <v/>
      </c>
      <c r="O37" s="7" t="str">
        <f ca="1">IF(KALINDO[[#This Row],[//]]="","",INDEX([2]!NOTA[DISC 1],KALINDO[[#This Row],[//]]-2))</f>
        <v/>
      </c>
      <c r="P37" s="7" t="str">
        <f ca="1">IF(KALINDO[[#This Row],[//]]="","",INDEX([2]!NOTA[DISC 2],KALINDO[[#This Row],[//]]-2))</f>
        <v/>
      </c>
      <c r="Q37" s="5" t="str">
        <f ca="1">IF(KALINDO[[#This Row],[//]]="","",INDEX([2]!NOTA[TOTAL],KALINDO[[#This Row],[//]]-2))</f>
        <v/>
      </c>
      <c r="R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7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7" s="4" t="str">
        <f ca="1">IF(KALINDO[[#This Row],[//]]="","",INDEX([2]!NOTA[NAMA BARANG],KALINDO[[#This Row],[//]]-2))</f>
        <v/>
      </c>
      <c r="V37" s="4" t="str">
        <f ca="1">LOWER(SUBSTITUTE(SUBSTITUTE(SUBSTITUTE(SUBSTITUTE(SUBSTITUTE(SUBSTITUTE(KALINDO[[#This Row],[N.B.nota]]," ",""),"-",""),"(",""),")",""),".",""),",",""))</f>
        <v/>
      </c>
      <c r="W37" s="4" t="str">
        <f ca="1">IF(KALINDO[[#This Row],[concat]]="","",MATCH(KALINDO[[#This Row],[concat]],[4]!db[NB NOTA_C],0)+1)</f>
        <v/>
      </c>
      <c r="X37" s="4" t="str">
        <f ca="1">IF(KALINDO[[#This Row],[N.B.nota]]="","",ADDRESS(ROW(KALINDO[QB]),COLUMN(KALINDO[QB]))&amp;":"&amp;ADDRESS(ROW(),COLUMN(KALINDO[QB])))</f>
        <v/>
      </c>
      <c r="Y37" s="63" t="str">
        <f ca="1">IF(KALINDO[[#This Row],[//]]="","",HYPERLINK("[../DB.xlsx]DB!e"&amp;MATCH(KALINDO[[#This Row],[concat]],[4]!db[NB NOTA_C],0)+1,"&gt;"))</f>
        <v/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4" t="str">
        <f ca="1">IF(KALINDO[[#This Row],[//]]="","",INDEX([4]!db[NB PAJAK],KALINDO[[#This Row],[stt]]-1))</f>
        <v/>
      </c>
      <c r="K38" s="6" t="str">
        <f ca="1">IF(KALINDO[[#This Row],[//]]="","",IF(INDEX([2]!NOTA[C],KALINDO[[#This Row],[//]]-2)="","",INDEX([2]!NOTA[C],KALINDO[[#This Row],[//]]-2)))</f>
        <v/>
      </c>
      <c r="L38" s="6" t="str">
        <f ca="1">IF(KALINDO[[#This Row],[//]]="","",INDEX([2]!NOTA[QTY],KALINDO[[#This Row],[//]]-2))</f>
        <v/>
      </c>
      <c r="M38" s="6" t="str">
        <f ca="1">IF(KALINDO[[#This Row],[//]]="","",INDEX([2]!NOTA[STN],KALINDO[[#This Row],[//]]-2))</f>
        <v/>
      </c>
      <c r="N38" s="5" t="str">
        <f ca="1">IF(KALINDO[[#This Row],[//]]="","",INDEX([2]!NOTA[HARGA SATUAN],KALINDO[[#This Row],[//]]-2))</f>
        <v/>
      </c>
      <c r="O38" s="7" t="str">
        <f ca="1">IF(KALINDO[[#This Row],[//]]="","",INDEX([2]!NOTA[DISC 1],KALINDO[[#This Row],[//]]-2))</f>
        <v/>
      </c>
      <c r="P38" s="7" t="str">
        <f ca="1">IF(KALINDO[[#This Row],[//]]="","",INDEX([2]!NOTA[DISC 2],KALINDO[[#This Row],[//]]-2))</f>
        <v/>
      </c>
      <c r="Q38" s="5" t="str">
        <f ca="1">IF(KALINDO[[#This Row],[//]]="","",INDEX([2]!NOTA[TOTAL],KALINDO[[#This Row],[//]]-2))</f>
        <v/>
      </c>
      <c r="R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8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8" s="4" t="str">
        <f ca="1">IF(KALINDO[[#This Row],[//]]="","",INDEX([2]!NOTA[NAMA BARANG],KALINDO[[#This Row],[//]]-2))</f>
        <v/>
      </c>
      <c r="V38" s="4" t="str">
        <f ca="1">LOWER(SUBSTITUTE(SUBSTITUTE(SUBSTITUTE(SUBSTITUTE(SUBSTITUTE(SUBSTITUTE(KALINDO[[#This Row],[N.B.nota]]," ",""),"-",""),"(",""),")",""),".",""),",",""))</f>
        <v/>
      </c>
      <c r="W38" s="4" t="str">
        <f ca="1">IF(KALINDO[[#This Row],[concat]]="","",MATCH(KALINDO[[#This Row],[concat]],[4]!db[NB NOTA_C],0)+1)</f>
        <v/>
      </c>
      <c r="X38" s="4" t="str">
        <f ca="1">IF(KALINDO[[#This Row],[N.B.nota]]="","",ADDRESS(ROW(KALINDO[QB]),COLUMN(KALINDO[QB]))&amp;":"&amp;ADDRESS(ROW(),COLUMN(KALINDO[QB])))</f>
        <v/>
      </c>
      <c r="Y38" s="63" t="str">
        <f ca="1">IF(KALINDO[[#This Row],[//]]="","",HYPERLINK("[../DB.xlsx]DB!e"&amp;MATCH(KALINDO[[#This Row],[concat]],[4]!db[NB NOTA_C],0)+1,"&gt;"))</f>
        <v/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4" t="str">
        <f ca="1">IF(KALINDO[[#This Row],[//]]="","",INDEX([4]!db[NB PAJAK],KALINDO[[#This Row],[stt]]-1))</f>
        <v/>
      </c>
      <c r="K39" s="6" t="str">
        <f ca="1">IF(KALINDO[[#This Row],[//]]="","",IF(INDEX([2]!NOTA[C],KALINDO[[#This Row],[//]]-2)="","",INDEX([2]!NOTA[C],KALINDO[[#This Row],[//]]-2)))</f>
        <v/>
      </c>
      <c r="L39" s="6" t="str">
        <f ca="1">IF(KALINDO[[#This Row],[//]]="","",INDEX([2]!NOTA[QTY],KALINDO[[#This Row],[//]]-2))</f>
        <v/>
      </c>
      <c r="M39" s="6" t="str">
        <f ca="1">IF(KALINDO[[#This Row],[//]]="","",INDEX([2]!NOTA[STN],KALINDO[[#This Row],[//]]-2))</f>
        <v/>
      </c>
      <c r="N39" s="5" t="str">
        <f ca="1">IF(KALINDO[[#This Row],[//]]="","",INDEX([2]!NOTA[HARGA SATUAN],KALINDO[[#This Row],[//]]-2))</f>
        <v/>
      </c>
      <c r="O39" s="7" t="str">
        <f ca="1">IF(KALINDO[[#This Row],[//]]="","",INDEX([2]!NOTA[DISC 1],KALINDO[[#This Row],[//]]-2))</f>
        <v/>
      </c>
      <c r="P39" s="7" t="str">
        <f ca="1">IF(KALINDO[[#This Row],[//]]="","",INDEX([2]!NOTA[DISC 2],KALINDO[[#This Row],[//]]-2))</f>
        <v/>
      </c>
      <c r="Q39" s="5" t="str">
        <f ca="1">IF(KALINDO[[#This Row],[//]]="","",INDEX([2]!NOTA[TOTAL],KALINDO[[#This Row],[//]]-2))</f>
        <v/>
      </c>
      <c r="R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9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9" s="4" t="str">
        <f ca="1">IF(KALINDO[[#This Row],[//]]="","",INDEX([2]!NOTA[NAMA BARANG],KALINDO[[#This Row],[//]]-2))</f>
        <v/>
      </c>
      <c r="V39" s="4" t="str">
        <f ca="1">LOWER(SUBSTITUTE(SUBSTITUTE(SUBSTITUTE(SUBSTITUTE(SUBSTITUTE(SUBSTITUTE(KALINDO[[#This Row],[N.B.nota]]," ",""),"-",""),"(",""),")",""),".",""),",",""))</f>
        <v/>
      </c>
      <c r="W39" s="4" t="str">
        <f ca="1">IF(KALINDO[[#This Row],[concat]]="","",MATCH(KALINDO[[#This Row],[concat]],[4]!db[NB NOTA_C],0)+1)</f>
        <v/>
      </c>
      <c r="X39" s="4" t="str">
        <f ca="1">IF(KALINDO[[#This Row],[N.B.nota]]="","",ADDRESS(ROW(KALINDO[QB]),COLUMN(KALINDO[QB]))&amp;":"&amp;ADDRESS(ROW(),COLUMN(KALINDO[QB])))</f>
        <v/>
      </c>
      <c r="Y39" s="63" t="str">
        <f ca="1">IF(KALINDO[[#This Row],[//]]="","",HYPERLINK("[../DB.xlsx]DB!e"&amp;MATCH(KALINDO[[#This Row],[concat]],[4]!db[NB NOTA_C],0)+1,"&gt;"))</f>
        <v/>
      </c>
    </row>
    <row r="40" spans="1:25" x14ac:dyDescent="0.25">
      <c r="A40" s="4"/>
      <c r="B40" s="6" t="str">
        <f>IF(KALINDO[[#This Row],[N_ID]]="","",INDEX(Table1[ID],MATCH(KALINDO[[#This Row],[N_ID]],Table1[N_ID],0)))</f>
        <v/>
      </c>
      <c r="C40" s="6" t="str">
        <f>IF(KALINDO[[#This Row],[ID NOTA]]="","",HYPERLINK("[NOTA_.xlsx]NOTA!e"&amp;INDEX([2]!PAJAK[//],MATCH(KALINDO[[#This Row],[ID NOTA]],[2]!PAJAK[ID],0)),"&gt;") )</f>
        <v/>
      </c>
      <c r="D40" s="6" t="str">
        <f>IF(KALINDO[[#This Row],[ID NOTA]]="","",INDEX(Table1[QB],MATCH(KALINDO[[#This Row],[ID NOTA]],Table1[ID],0)))</f>
        <v/>
      </c>
      <c r="E4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40" s="6"/>
      <c r="G40" s="3" t="str">
        <f>IF(KALINDO[[#This Row],[ID NOTA]]="","",INDEX([2]!NOTA[TGL_H],MATCH(KALINDO[[#This Row],[ID NOTA]],[2]!NOTA[ID],0)))</f>
        <v/>
      </c>
      <c r="H40" s="3" t="str">
        <f>IF(KALINDO[[#This Row],[ID NOTA]]="","",INDEX([2]!NOTA[TGL.NOTA],MATCH(KALINDO[[#This Row],[ID NOTA]],[2]!NOTA[ID],0)))</f>
        <v/>
      </c>
      <c r="I40" s="4" t="str">
        <f>IF(KALINDO[[#This Row],[ID NOTA]]="","",INDEX([2]!NOTA[NO.NOTA],MATCH(KALINDO[[#This Row],[ID NOTA]],[2]!NOTA[ID],0)))</f>
        <v/>
      </c>
      <c r="J40" s="4" t="str">
        <f ca="1">IF(KALINDO[[#This Row],[//]]="","",INDEX([4]!db[NB PAJAK],KALINDO[[#This Row],[stt]]-1))</f>
        <v/>
      </c>
      <c r="K40" s="6" t="str">
        <f ca="1">IF(KALINDO[[#This Row],[//]]="","",IF(INDEX([2]!NOTA[C],KALINDO[[#This Row],[//]]-2)="","",INDEX([2]!NOTA[C],KALINDO[[#This Row],[//]]-2)))</f>
        <v/>
      </c>
      <c r="L40" s="6" t="str">
        <f ca="1">IF(KALINDO[[#This Row],[//]]="","",INDEX([2]!NOTA[QTY],KALINDO[[#This Row],[//]]-2))</f>
        <v/>
      </c>
      <c r="M40" s="6" t="str">
        <f ca="1">IF(KALINDO[[#This Row],[//]]="","",INDEX([2]!NOTA[STN],KALINDO[[#This Row],[//]]-2))</f>
        <v/>
      </c>
      <c r="N40" s="5" t="str">
        <f ca="1">IF(KALINDO[[#This Row],[//]]="","",INDEX([2]!NOTA[HARGA SATUAN],KALINDO[[#This Row],[//]]-2))</f>
        <v/>
      </c>
      <c r="O40" s="7" t="str">
        <f ca="1">IF(KALINDO[[#This Row],[//]]="","",INDEX([2]!NOTA[DISC 1],KALINDO[[#This Row],[//]]-2))</f>
        <v/>
      </c>
      <c r="P40" s="7" t="str">
        <f ca="1">IF(KALINDO[[#This Row],[//]]="","",INDEX([2]!NOTA[DISC 2],KALINDO[[#This Row],[//]]-2))</f>
        <v/>
      </c>
      <c r="Q40" s="5" t="str">
        <f ca="1">IF(KALINDO[[#This Row],[//]]="","",INDEX([2]!NOTA[TOTAL],KALINDO[[#This Row],[//]]-2))</f>
        <v/>
      </c>
      <c r="R4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0" s="6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0" s="4" t="str">
        <f ca="1">IF(KALINDO[[#This Row],[//]]="","",INDEX([2]!NOTA[NAMA BARANG],KALINDO[[#This Row],[//]]-2))</f>
        <v/>
      </c>
      <c r="V40" s="4" t="str">
        <f ca="1">LOWER(SUBSTITUTE(SUBSTITUTE(SUBSTITUTE(SUBSTITUTE(SUBSTITUTE(SUBSTITUTE(KALINDO[[#This Row],[N.B.nota]]," ",""),"-",""),"(",""),")",""),".",""),",",""))</f>
        <v/>
      </c>
      <c r="W40" s="4" t="str">
        <f ca="1">IF(KALINDO[[#This Row],[concat]]="","",MATCH(KALINDO[[#This Row],[concat]],[4]!db[NB NOTA_C],0)+1)</f>
        <v/>
      </c>
      <c r="X40" s="4" t="str">
        <f ca="1">IF(KALINDO[[#This Row],[N.B.nota]]="","",ADDRESS(ROW(KALINDO[QB]),COLUMN(KALINDO[QB]))&amp;":"&amp;ADDRESS(ROW(),COLUMN(KALINDO[QB])))</f>
        <v/>
      </c>
      <c r="Y40" s="63" t="str">
        <f ca="1">IF(KALINDO[[#This Row],[//]]="","",HYPERLINK("[../DB.xlsx]DB!e"&amp;MATCH(KALINDO[[#This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2"/>
  <sheetViews>
    <sheetView workbookViewId="0">
      <selection activeCell="J6" sqref="J6"/>
    </sheetView>
  </sheetViews>
  <sheetFormatPr defaultRowHeight="15" customHeight="1" x14ac:dyDescent="0.25"/>
  <cols>
    <col min="1" max="1" width="14.5703125" style="24" customWidth="1"/>
    <col min="2" max="2" width="4" style="24" customWidth="1"/>
    <col min="3" max="4" width="2" style="24" customWidth="1"/>
    <col min="5" max="5" width="4" style="24" customWidth="1"/>
    <col min="6" max="6" width="2" style="24" customWidth="1"/>
    <col min="7" max="8" width="10.7109375" style="24" customWidth="1"/>
    <col min="9" max="9" width="9.42578125" style="24" customWidth="1"/>
    <col min="10" max="10" width="32.85546875" style="25" customWidth="1"/>
    <col min="11" max="11" width="3" style="24" customWidth="1"/>
    <col min="12" max="12" width="5" style="24" customWidth="1"/>
    <col min="13" max="13" width="4.28515625" style="24" customWidth="1"/>
    <col min="14" max="14" width="9.140625" style="24" customWidth="1"/>
    <col min="15" max="16" width="6.140625" style="24" customWidth="1"/>
    <col min="17" max="17" width="12.7109375" style="24" customWidth="1"/>
    <col min="18" max="18" width="4.5703125" style="31" customWidth="1"/>
    <col min="19" max="19" width="12.7109375" style="24" customWidth="1"/>
    <col min="20" max="20" width="7.28515625" style="24" customWidth="1"/>
    <col min="21" max="21" width="23" style="24" customWidth="1"/>
    <col min="22" max="22" width="19" style="24" customWidth="1"/>
    <col min="23" max="23" width="4" style="24" customWidth="1"/>
    <col min="24" max="24" width="10.140625" style="24" customWidth="1"/>
    <col min="25" max="25" width="2" style="24" customWidth="1"/>
    <col min="26" max="16384" width="9.140625" style="24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5" t="s">
        <v>86</v>
      </c>
      <c r="B3" s="8">
        <f ca="1">IF(J_UTAMA[[#This Row],[N_ID]]="","",INDEX(Table1[ID],MATCH(J_UTAMA[[#This Row],[N_ID]],Table1[N_ID],0)))</f>
        <v>71</v>
      </c>
      <c r="C3" s="8" t="str">
        <f ca="1">IF(J_UTAMA[[#This Row],[ID NOTA]]="","",HYPERLINK("[NOTA_.xlsx]NOTA!e"&amp;INDEX([2]!PAJAK[//],MATCH(J_UTAMA[[#This Row],[ID NOTA]],[2]!PAJAK[ID],0)),"&gt;") )</f>
        <v>&gt;</v>
      </c>
      <c r="D3" s="8">
        <f ca="1">IF(J_UTAMA[[#This Row],[ID NOTA]]="","",INDEX(Table1[QB],MATCH(J_UTAMA[[#This Row],[ID NOTA]],Table1[ID],0)))</f>
        <v>2</v>
      </c>
      <c r="E3" s="8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400</v>
      </c>
      <c r="F3" s="8">
        <v>1</v>
      </c>
      <c r="G3" s="9">
        <f ca="1">IF(J_UTAMA[[#This Row],[ID NOTA]]="","",INDEX([2]!NOTA[TGL_H],MATCH(J_UTAMA[[#This Row],[ID NOTA]],[2]!NOTA[ID],0)))</f>
        <v>44821</v>
      </c>
      <c r="H3" s="9">
        <f ca="1">IF(J_UTAMA[[#This Row],[ID NOTA]]="","",INDEX([2]!NOTA[TGL.NOTA],MATCH(J_UTAMA[[#This Row],[ID NOTA]],[2]!NOTA[ID],0)))</f>
        <v>44816</v>
      </c>
      <c r="I3" s="16" t="str">
        <f ca="1">IF(J_UTAMA[[#This Row],[ID NOTA]]="","",INDEX([2]!NOTA[NO.NOTA],MATCH(J_UTAMA[[#This Row],[ID NOTA]],[2]!NOTA[ID],0)))</f>
        <v>JUI261/22</v>
      </c>
      <c r="J3" s="16" t="str">
        <f ca="1">IF(J_UTAMA[[#This Row],[//]]="","",INDEX([4]!db[NB PAJAK],J_UTAMA[[#This Row],[stt]]-1))</f>
        <v>GEL PEN TIZO 1.0 MM TG-340</v>
      </c>
      <c r="K3" s="8">
        <f ca="1">IF(J_UTAMA[[#This Row],[//]]="","",INDEX([2]!NOTA[C],J_UTAMA[[#This Row],[//]]-2))</f>
        <v>3</v>
      </c>
      <c r="L3" s="8">
        <f ca="1">IF(J_UTAMA[[#This Row],[//]]="","",INDEX([2]!NOTA[QTY],J_UTAMA[[#This Row],[//]]-2))</f>
        <v>288</v>
      </c>
      <c r="M3" s="8" t="str">
        <f ca="1">IF(J_UTAMA[[#This Row],[//]]="","",INDEX([2]!NOTA[STN],J_UTAMA[[#This Row],[//]]-2))</f>
        <v>LSN</v>
      </c>
      <c r="N3" s="17">
        <f ca="1">IF(J_UTAMA[[#This Row],[//]]="","",INDEX([2]!NOTA[HARGA SATUAN],J_UTAMA[[#This Row],[//]]-2))</f>
        <v>31500</v>
      </c>
      <c r="O3" s="19" t="str">
        <f ca="1">IF(J_UTAMA[[#This Row],[//]]="","",IF(INDEX([2]!NOTA[DISC 1],J_UTAMA[[#This Row],[//]]-2)="","",INDEX([2]!NOTA[DISC 1],J_UTAMA[[#This Row],[//]]-2)))</f>
        <v/>
      </c>
      <c r="P3" s="19" t="str">
        <f ca="1">IF(J_UTAMA[[#This Row],[//]]="","",IF(INDEX([2]!NOTA[DISC 2],J_UTAMA[[#This Row],[//]]-2)="","",INDEX([2]!NOTA[DISC 2],J_UTAMA[[#This Row],[//]]-2)))</f>
        <v/>
      </c>
      <c r="Q3" s="10">
        <f ca="1">IF(J_UTAMA[[#This Row],[//]]="","",INDEX([2]!NOTA[JUMLAH],J_UTAMA[[#This Row],[//]]-2)*(100%-IF(ISNUMBER(J_UTAMA[[#This Row],[DISC 1 (%)]]),J_UTAMA[[#This Row],[DISC 1 (%)]],0)))</f>
        <v>9072000</v>
      </c>
      <c r="R3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3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3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3" s="16" t="str">
        <f ca="1">IF(J_UTAMA[[#This Row],[//]]="","",INDEX([2]!NOTA[NAMA BARANG],J_UTAMA[[#This Row],[//]]-2))</f>
        <v>GEL PEN TIZO 1.0 TG340</v>
      </c>
      <c r="V3" s="16" t="str">
        <f ca="1">LOWER(SUBSTITUTE(SUBSTITUTE(SUBSTITUTE(SUBSTITUTE(SUBSTITUTE(SUBSTITUTE(SUBSTITUTE(J_UTAMA[[#This Row],[N.B.nota]]," ",""),"-",""),"(",""),")",""),".",""),",",""),"/",""))</f>
        <v>gelpentizo10tg340</v>
      </c>
      <c r="W3">
        <f ca="1">IF(J_UTAMA[[#This Row],[concat]]="","",MATCH(J_UTAMA[[#This Row],[concat]],[4]!db[NB NOTA_C],0)+1)</f>
        <v>732</v>
      </c>
      <c r="X3" s="16" t="str">
        <f ca="1">IF(J_UTAMA[[#This Row],[N.B.nota]]="","",ADDRESS(ROW(J_UTAMA[QB]),COLUMN(J_UTAMA[QB]))&amp;":"&amp;ADDRESS(ROW(),COLUMN(J_UTAMA[QB])))</f>
        <v>$D$3:$D$3</v>
      </c>
      <c r="Y3" s="16" t="str">
        <f ca="1">IF(J_UTAMA[[#This Row],[//]]="","",HYPERLINK("[..\\DB.xlsx]DB!e"&amp;MATCH(J_UTAMA[[#This Row],[concat]],[4]!db[NB NOTA_C],0)+1,"&gt;"))</f>
        <v>&gt;</v>
      </c>
    </row>
    <row r="4" spans="1:25" ht="15" customHeight="1" x14ac:dyDescent="0.25">
      <c r="A4" s="25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401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6" t="str">
        <f>IF(J_UTAMA[[#This Row],[ID NOTA]]="","",INDEX([2]!NOTA[NO.NOTA],MATCH(J_UTAMA[[#This Row],[ID NOTA]],[2]!NOTA[ID],0)))</f>
        <v/>
      </c>
      <c r="J4" s="16" t="str">
        <f ca="1">IF(J_UTAMA[[#This Row],[//]]="","",INDEX([4]!db[NB PAJAK],J_UTAMA[[#This Row],[stt]]-1))</f>
        <v>GEL PEN TIZO 1.0 MM TG-340BI BIRU</v>
      </c>
      <c r="K4" s="8">
        <f ca="1">IF(J_UTAMA[[#This Row],[//]]="","",INDEX([2]!NOTA[C],J_UTAMA[[#This Row],[//]]-2))</f>
        <v>3</v>
      </c>
      <c r="L4" s="8">
        <f ca="1">IF(J_UTAMA[[#This Row],[//]]="","",INDEX([2]!NOTA[QTY],J_UTAMA[[#This Row],[//]]-2))</f>
        <v>288</v>
      </c>
      <c r="M4" s="8" t="str">
        <f ca="1">IF(J_UTAMA[[#This Row],[//]]="","",INDEX([2]!NOTA[STN],J_UTAMA[[#This Row],[//]]-2))</f>
        <v>LSN</v>
      </c>
      <c r="N4" s="17">
        <f ca="1">IF(J_UTAMA[[#This Row],[//]]="","",INDEX([2]!NOTA[HARGA SATUAN],J_UTAMA[[#This Row],[//]]-2))</f>
        <v>31500</v>
      </c>
      <c r="O4" s="19" t="str">
        <f ca="1">IF(J_UTAMA[[#This Row],[//]]="","",IF(INDEX([2]!NOTA[DISC 1],J_UTAMA[[#This Row],[//]]-2)="","",INDEX([2]!NOTA[DISC 1],J_UTAMA[[#This Row],[//]]-2)))</f>
        <v/>
      </c>
      <c r="P4" s="19" t="str">
        <f ca="1">IF(J_UTAMA[[#This Row],[//]]="","",IF(INDEX([2]!NOTA[DISC 2],J_UTAMA[[#This Row],[//]]-2)="","",INDEX([2]!NOTA[DISC 2],J_UTAMA[[#This Row],[//]]-2)))</f>
        <v/>
      </c>
      <c r="Q4" s="10">
        <f ca="1">IF(J_UTAMA[[#This Row],[//]]="","",INDEX([2]!NOTA[JUMLAH],J_UTAMA[[#This Row],[//]]-2)*(100%-IF(ISNUMBER(J_UTAMA[[#This Row],[DISC 1 (%)]]),J_UTAMA[[#This Row],[DISC 1 (%)]],0)))</f>
        <v>9072000</v>
      </c>
      <c r="R4" s="10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0</v>
      </c>
      <c r="S4" s="17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18144000</v>
      </c>
      <c r="T4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4" s="16" t="str">
        <f ca="1">IF(J_UTAMA[[#This Row],[//]]="","",INDEX([2]!NOTA[NAMA BARANG],J_UTAMA[[#This Row],[//]]-2))</f>
        <v>GEL 1.0 340 BIRU TG340BI</v>
      </c>
      <c r="V4" s="16" t="str">
        <f ca="1">LOWER(SUBSTITUTE(SUBSTITUTE(SUBSTITUTE(SUBSTITUTE(SUBSTITUTE(SUBSTITUTE(SUBSTITUTE(J_UTAMA[[#This Row],[N.B.nota]]," ",""),"-",""),"(",""),")",""),".",""),",",""),"/",""))</f>
        <v>gel10340birutg340bi</v>
      </c>
      <c r="W4" s="16">
        <f ca="1">IF(J_UTAMA[[#This Row],[concat]]="","",MATCH(J_UTAMA[[#This Row],[concat]],[4]!db[NB NOTA_C],0)+1)</f>
        <v>685</v>
      </c>
      <c r="X4" s="16" t="str">
        <f ca="1">IF(J_UTAMA[[#This Row],[N.B.nota]]="","",ADDRESS(ROW(J_UTAMA[QB]),COLUMN(J_UTAMA[QB]))&amp;":"&amp;ADDRESS(ROW(),COLUMN(J_UTAMA[QB])))</f>
        <v>$D$3:$D$4</v>
      </c>
      <c r="Y4" s="16" t="str">
        <f ca="1">IF(J_UTAMA[[#This Row],[//]]="","",HYPERLINK("[..\\DB.xlsx]DB!e"&amp;MATCH(J_UTAMA[[#This Row],[concat]],[4]!db[NB NOTA_C],0)+1,"&gt;"))</f>
        <v>&gt;</v>
      </c>
    </row>
    <row r="5" spans="1:25" ht="15" customHeight="1" x14ac:dyDescent="0.25">
      <c r="A5" s="25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6" t="str">
        <f>IF(J_UTAMA[[#This Row],[ID NOTA]]="","",INDEX([2]!NOTA[NO.NOTA],MATCH(J_UTAMA[[#This Row],[ID NOTA]],[2]!NOTA[ID],0)))</f>
        <v/>
      </c>
      <c r="J5" s="16" t="str">
        <f ca="1">IF(J_UTAMA[[#This Row],[//]]="","",INDEX([4]!db[NB PAJAK],J_UTAMA[[#This Row],[stt]]-1))</f>
        <v/>
      </c>
      <c r="K5" s="8" t="str">
        <f ca="1">IF(J_UTAMA[[#This Row],[//]]="","",INDEX([2]!NOTA[C],J_UTAMA[[#This Row],[//]]-2))</f>
        <v/>
      </c>
      <c r="L5" s="8" t="str">
        <f ca="1">IF(J_UTAMA[[#This Row],[//]]="","",INDEX([2]!NOTA[QTY],J_UTAMA[[#This Row],[//]]-2))</f>
        <v/>
      </c>
      <c r="M5" s="8" t="str">
        <f ca="1">IF(J_UTAMA[[#This Row],[//]]="","",INDEX([2]!NOTA[STN],J_UTAMA[[#This Row],[//]]-2))</f>
        <v/>
      </c>
      <c r="N5" s="17" t="str">
        <f ca="1">IF(J_UTAMA[[#This Row],[//]]="","",INDEX([2]!NOTA[HARGA SATUAN],J_UTAMA[[#This Row],[//]]-2))</f>
        <v/>
      </c>
      <c r="O5" s="19" t="str">
        <f ca="1">IF(J_UTAMA[[#This Row],[//]]="","",IF(INDEX([2]!NOTA[DISC 1],J_UTAMA[[#This Row],[//]]-2)="","",INDEX([2]!NOTA[DISC 1],J_UTAMA[[#This Row],[//]]-2)))</f>
        <v/>
      </c>
      <c r="P5" s="19" t="str">
        <f ca="1">IF(J_UTAMA[[#This Row],[//]]="","",IF(INDEX([2]!NOTA[DISC 2],J_UTAMA[[#This Row],[//]]-2)="","",INDEX([2]!NOTA[DISC 2],J_UTAMA[[#This Row],[//]]-2)))</f>
        <v/>
      </c>
      <c r="Q5" s="10" t="str">
        <f ca="1">IF(J_UTAMA[[#This Row],[//]]="","",INDEX([2]!NOTA[JUMLAH],J_UTAMA[[#This Row],[//]]-2)*(100%-IF(ISNUMBER(J_UTAMA[[#This Row],[DISC 1 (%)]]),J_UTAMA[[#This Row],[DISC 1 (%)]],0)))</f>
        <v/>
      </c>
      <c r="R5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5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5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5" s="16" t="str">
        <f ca="1">IF(J_UTAMA[[#This Row],[//]]="","",INDEX([2]!NOTA[NAMA BARANG],J_UTAMA[[#This Row],[//]]-2))</f>
        <v/>
      </c>
      <c r="V5" s="16" t="str">
        <f ca="1">LOWER(SUBSTITUTE(SUBSTITUTE(SUBSTITUTE(SUBSTITUTE(SUBSTITUTE(SUBSTITUTE(SUBSTITUTE(J_UTAMA[[#This Row],[N.B.nota]]," ",""),"-",""),"(",""),")",""),".",""),",",""),"/",""))</f>
        <v/>
      </c>
      <c r="W5" s="16" t="str">
        <f ca="1">IF(J_UTAMA[[#This Row],[concat]]="","",MATCH(J_UTAMA[[#This Row],[concat]],[4]!db[NB NOTA_C],0)+1)</f>
        <v/>
      </c>
      <c r="X5" s="16" t="str">
        <f ca="1">IF(J_UTAMA[[#This Row],[N.B.nota]]="","",ADDRESS(ROW(J_UTAMA[QB]),COLUMN(J_UTAMA[QB]))&amp;":"&amp;ADDRESS(ROW(),COLUMN(J_UTAMA[QB])))</f>
        <v/>
      </c>
      <c r="Y5" s="16" t="str">
        <f ca="1">IF(J_UTAMA[[#This Row],[//]]="","",HYPERLINK("[..\\DB.xlsx]DB!e"&amp;MATCH(J_UTAMA[[#This Row],[concat]],[4]!db[NB NOTA_C],0)+1,"&gt;"))</f>
        <v/>
      </c>
    </row>
    <row r="6" spans="1:25" ht="15" customHeight="1" x14ac:dyDescent="0.25">
      <c r="A6" s="25" t="s">
        <v>121</v>
      </c>
      <c r="B6" s="8">
        <f ca="1">IF(J_UTAMA[[#This Row],[N_ID]]="","",INDEX(Table1[ID],MATCH(J_UTAMA[[#This Row],[N_ID]],Table1[N_ID],0)))</f>
        <v>134</v>
      </c>
      <c r="C6" s="8" t="str">
        <f ca="1">IF(J_UTAMA[[#This Row],[ID NOTA]]="","",HYPERLINK("[NOTA_.xlsx]NOTA!e"&amp;INDEX([2]!PAJAK[//],MATCH(J_UTAMA[[#This Row],[ID NOTA]],[2]!PAJAK[ID],0)),"&gt;") )</f>
        <v>&gt;</v>
      </c>
      <c r="D6" s="8">
        <f ca="1">IF(J_UTAMA[[#This Row],[ID NOTA]]="","",INDEX(Table1[QB],MATCH(J_UTAMA[[#This Row],[ID NOTA]],Table1[ID],0)))</f>
        <v>1</v>
      </c>
      <c r="E6" s="8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768</v>
      </c>
      <c r="F6" s="8"/>
      <c r="G6" s="9">
        <f ca="1">IF(J_UTAMA[[#This Row],[ID NOTA]]="","",INDEX([2]!NOTA[TGL_H],MATCH(J_UTAMA[[#This Row],[ID NOTA]],[2]!NOTA[ID],0)))</f>
        <v>44832</v>
      </c>
      <c r="H6" s="9">
        <f ca="1">IF(J_UTAMA[[#This Row],[ID NOTA]]="","",INDEX([2]!NOTA[TGL.NOTA],MATCH(J_UTAMA[[#This Row],[ID NOTA]],[2]!NOTA[ID],0)))</f>
        <v>44830</v>
      </c>
      <c r="I6" s="16" t="str">
        <f ca="1">IF(J_UTAMA[[#This Row],[ID NOTA]]="","",INDEX([2]!NOTA[NO.NOTA],MATCH(J_UTAMA[[#This Row],[ID NOTA]],[2]!NOTA[ID],0)))</f>
        <v>JUI551/22</v>
      </c>
      <c r="J6" s="16" t="str">
        <f ca="1">IF(J_UTAMA[[#This Row],[//]]="","",INDEX([4]!db[NB PAJAK],J_UTAMA[[#This Row],[stt]]-1))</f>
        <v>GEL INK TIANJIAO TZ-501</v>
      </c>
      <c r="K6" s="8">
        <f ca="1">IF(J_UTAMA[[#This Row],[//]]="","",INDEX([2]!NOTA[C],J_UTAMA[[#This Row],[//]]-2))</f>
        <v>5</v>
      </c>
      <c r="L6" s="8">
        <f ca="1">IF(J_UTAMA[[#This Row],[//]]="","",INDEX([2]!NOTA[QTY],J_UTAMA[[#This Row],[//]]-2))</f>
        <v>720</v>
      </c>
      <c r="M6" s="8" t="str">
        <f ca="1">IF(J_UTAMA[[#This Row],[//]]="","",INDEX([2]!NOTA[STN],J_UTAMA[[#This Row],[//]]-2))</f>
        <v>LSN</v>
      </c>
      <c r="N6" s="17">
        <f ca="1">IF(J_UTAMA[[#This Row],[//]]="","",INDEX([2]!NOTA[HARGA SATUAN],J_UTAMA[[#This Row],[//]]-2))</f>
        <v>22500</v>
      </c>
      <c r="O6" s="19" t="str">
        <f ca="1">IF(J_UTAMA[[#This Row],[//]]="","",IF(INDEX([2]!NOTA[DISC 1],J_UTAMA[[#This Row],[//]]-2)="","",INDEX([2]!NOTA[DISC 1],J_UTAMA[[#This Row],[//]]-2)))</f>
        <v/>
      </c>
      <c r="P6" s="19" t="str">
        <f ca="1">IF(J_UTAMA[[#This Row],[//]]="","",IF(INDEX([2]!NOTA[DISC 2],J_UTAMA[[#This Row],[//]]-2)="","",INDEX([2]!NOTA[DISC 2],J_UTAMA[[#This Row],[//]]-2)))</f>
        <v/>
      </c>
      <c r="Q6" s="10">
        <f ca="1">IF(J_UTAMA[[#This Row],[//]]="","",INDEX([2]!NOTA[JUMLAH],J_UTAMA[[#This Row],[//]]-2)*(100%-IF(ISNUMBER(J_UTAMA[[#This Row],[DISC 1 (%)]]),J_UTAMA[[#This Row],[DISC 1 (%)]],0)))</f>
        <v>16200000</v>
      </c>
      <c r="R6" s="10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0</v>
      </c>
      <c r="S6" s="17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16200000</v>
      </c>
      <c r="T6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6" s="16" t="str">
        <f ca="1">IF(J_UTAMA[[#This Row],[//]]="","",INDEX([2]!NOTA[NAMA BARANG],J_UTAMA[[#This Row],[//]]-2))</f>
        <v>GEL INK TIANJIAO TZ-501</v>
      </c>
      <c r="V6" s="16" t="str">
        <f ca="1">LOWER(SUBSTITUTE(SUBSTITUTE(SUBSTITUTE(SUBSTITUTE(SUBSTITUTE(SUBSTITUTE(SUBSTITUTE(J_UTAMA[[#This Row],[N.B.nota]]," ",""),"-",""),"(",""),")",""),".",""),",",""),"/",""))</f>
        <v>gelinktianjiaotz501</v>
      </c>
      <c r="W6" s="16">
        <f ca="1">IF(J_UTAMA[[#This Row],[concat]]="","",MATCH(J_UTAMA[[#This Row],[concat]],[4]!db[NB NOTA_C],0)+1)</f>
        <v>699</v>
      </c>
      <c r="X6" s="16" t="str">
        <f ca="1">IF(J_UTAMA[[#This Row],[N.B.nota]]="","",ADDRESS(ROW(J_UTAMA[QB]),COLUMN(J_UTAMA[QB]))&amp;":"&amp;ADDRESS(ROW(),COLUMN(J_UTAMA[QB])))</f>
        <v>$D$3:$D$6</v>
      </c>
      <c r="Y6" s="16" t="str">
        <f ca="1">IF(J_UTAMA[[#This Row],[//]]="","",HYPERLINK("[..\\DB.xlsx]DB!e"&amp;MATCH(J_UTAMA[[#This Row],[concat]],[4]!db[NB NOTA_C],0)+1,"&gt;"))</f>
        <v>&gt;</v>
      </c>
    </row>
    <row r="7" spans="1:25" ht="15" customHeight="1" x14ac:dyDescent="0.25">
      <c r="A7" s="25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6" t="str">
        <f>IF(J_UTAMA[[#This Row],[ID NOTA]]="","",INDEX([2]!NOTA[NO.NOTA],MATCH(J_UTAMA[[#This Row],[ID NOTA]],[2]!NOTA[ID],0)))</f>
        <v/>
      </c>
      <c r="J7" s="16" t="str">
        <f ca="1">IF(J_UTAMA[[#This Row],[//]]="","",INDEX([4]!db[NB PAJAK],J_UTAMA[[#This Row],[stt]]-1))</f>
        <v/>
      </c>
      <c r="K7" s="8" t="str">
        <f ca="1">IF(J_UTAMA[[#This Row],[//]]="","",INDEX([2]!NOTA[C],J_UTAMA[[#This Row],[//]]-2))</f>
        <v/>
      </c>
      <c r="L7" s="8" t="str">
        <f ca="1">IF(J_UTAMA[[#This Row],[//]]="","",INDEX([2]!NOTA[QTY],J_UTAMA[[#This Row],[//]]-2))</f>
        <v/>
      </c>
      <c r="M7" s="8" t="str">
        <f ca="1">IF(J_UTAMA[[#This Row],[//]]="","",INDEX([2]!NOTA[STN],J_UTAMA[[#This Row],[//]]-2))</f>
        <v/>
      </c>
      <c r="N7" s="17" t="str">
        <f ca="1">IF(J_UTAMA[[#This Row],[//]]="","",INDEX([2]!NOTA[HARGA SATUAN],J_UTAMA[[#This Row],[//]]-2))</f>
        <v/>
      </c>
      <c r="O7" s="19" t="str">
        <f ca="1">IF(J_UTAMA[[#This Row],[//]]="","",IF(INDEX([2]!NOTA[DISC 1],J_UTAMA[[#This Row],[//]]-2)="","",INDEX([2]!NOTA[DISC 1],J_UTAMA[[#This Row],[//]]-2)))</f>
        <v/>
      </c>
      <c r="P7" s="19" t="str">
        <f ca="1">IF(J_UTAMA[[#This Row],[//]]="","",IF(INDEX([2]!NOTA[DISC 2],J_UTAMA[[#This Row],[//]]-2)="","",INDEX([2]!NOTA[DISC 2],J_UTAMA[[#This Row],[//]]-2)))</f>
        <v/>
      </c>
      <c r="Q7" s="10" t="str">
        <f ca="1">IF(J_UTAMA[[#This Row],[//]]="","",INDEX([2]!NOTA[JUMLAH],J_UTAMA[[#This Row],[//]]-2)*(100%-IF(ISNUMBER(J_UTAMA[[#This Row],[DISC 1 (%)]]),J_UTAMA[[#This Row],[DISC 1 (%)]],0)))</f>
        <v/>
      </c>
      <c r="R7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7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7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7" s="16" t="str">
        <f ca="1">IF(J_UTAMA[[#This Row],[//]]="","",INDEX([2]!NOTA[NAMA BARANG],J_UTAMA[[#This Row],[//]]-2))</f>
        <v/>
      </c>
      <c r="V7" s="16" t="str">
        <f ca="1">LOWER(SUBSTITUTE(SUBSTITUTE(SUBSTITUTE(SUBSTITUTE(SUBSTITUTE(SUBSTITUTE(SUBSTITUTE(J_UTAMA[[#This Row],[N.B.nota]]," ",""),"-",""),"(",""),")",""),".",""),",",""),"/",""))</f>
        <v/>
      </c>
      <c r="W7" s="16" t="str">
        <f ca="1">IF(J_UTAMA[[#This Row],[concat]]="","",MATCH(J_UTAMA[[#This Row],[concat]],[4]!db[NB NOTA_C],0)+1)</f>
        <v/>
      </c>
      <c r="X7" s="16" t="str">
        <f ca="1">IF(J_UTAMA[[#This Row],[N.B.nota]]="","",ADDRESS(ROW(J_UTAMA[QB]),COLUMN(J_UTAMA[QB]))&amp;":"&amp;ADDRESS(ROW(),COLUMN(J_UTAMA[QB])))</f>
        <v/>
      </c>
      <c r="Y7" s="16" t="str">
        <f ca="1">IF(J_UTAMA[[#This Row],[//]]="","",HYPERLINK("[..\\DB.xlsx]DB!e"&amp;MATCH(J_UTAMA[[#This Row],[concat]],[4]!db[NB NOTA_C],0)+1,"&gt;"))</f>
        <v/>
      </c>
    </row>
    <row r="8" spans="1:25" ht="15" customHeight="1" x14ac:dyDescent="0.25">
      <c r="A8" s="25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6" t="str">
        <f>IF(J_UTAMA[[#This Row],[ID NOTA]]="","",INDEX([2]!NOTA[NO.NOTA],MATCH(J_UTAMA[[#This Row],[ID NOTA]],[2]!NOTA[ID],0)))</f>
        <v/>
      </c>
      <c r="J8" s="16" t="str">
        <f ca="1">IF(J_UTAMA[[#This Row],[//]]="","",INDEX([4]!db[NB PAJAK],J_UTAMA[[#This Row],[stt]]-1))</f>
        <v/>
      </c>
      <c r="K8" s="8" t="str">
        <f ca="1">IF(J_UTAMA[[#This Row],[//]]="","",INDEX([2]!NOTA[C],J_UTAMA[[#This Row],[//]]-2))</f>
        <v/>
      </c>
      <c r="L8" s="8" t="str">
        <f ca="1">IF(J_UTAMA[[#This Row],[//]]="","",INDEX([2]!NOTA[QTY],J_UTAMA[[#This Row],[//]]-2))</f>
        <v/>
      </c>
      <c r="M8" s="8" t="str">
        <f ca="1">IF(J_UTAMA[[#This Row],[//]]="","",INDEX([2]!NOTA[STN],J_UTAMA[[#This Row],[//]]-2))</f>
        <v/>
      </c>
      <c r="N8" s="17" t="str">
        <f ca="1">IF(J_UTAMA[[#This Row],[//]]="","",INDEX([2]!NOTA[HARGA SATUAN],J_UTAMA[[#This Row],[//]]-2))</f>
        <v/>
      </c>
      <c r="O8" s="19" t="str">
        <f ca="1">IF(J_UTAMA[[#This Row],[//]]="","",IF(INDEX([2]!NOTA[DISC 1],J_UTAMA[[#This Row],[//]]-2)="","",INDEX([2]!NOTA[DISC 1],J_UTAMA[[#This Row],[//]]-2)))</f>
        <v/>
      </c>
      <c r="P8" s="19" t="str">
        <f ca="1">IF(J_UTAMA[[#This Row],[//]]="","",IF(INDEX([2]!NOTA[DISC 2],J_UTAMA[[#This Row],[//]]-2)="","",INDEX([2]!NOTA[DISC 2],J_UTAMA[[#This Row],[//]]-2)))</f>
        <v/>
      </c>
      <c r="Q8" s="10" t="str">
        <f ca="1">IF(J_UTAMA[[#This Row],[//]]="","",INDEX([2]!NOTA[JUMLAH],J_UTAMA[[#This Row],[//]]-2)*(100%-IF(ISNUMBER(J_UTAMA[[#This Row],[DISC 1 (%)]]),J_UTAMA[[#This Row],[DISC 1 (%)]],0)))</f>
        <v/>
      </c>
      <c r="R8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8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8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8" s="16" t="str">
        <f ca="1">IF(J_UTAMA[[#This Row],[//]]="","",INDEX([2]!NOTA[NAMA BARANG],J_UTAMA[[#This Row],[//]]-2))</f>
        <v/>
      </c>
      <c r="V8" s="16" t="str">
        <f ca="1">LOWER(SUBSTITUTE(SUBSTITUTE(SUBSTITUTE(SUBSTITUTE(SUBSTITUTE(SUBSTITUTE(SUBSTITUTE(J_UTAMA[[#This Row],[N.B.nota]]," ",""),"-",""),"(",""),")",""),".",""),",",""),"/",""))</f>
        <v/>
      </c>
      <c r="W8" s="16" t="str">
        <f ca="1">IF(J_UTAMA[[#This Row],[concat]]="","",MATCH(J_UTAMA[[#This Row],[concat]],[4]!db[NB NOTA_C],0)+1)</f>
        <v/>
      </c>
      <c r="X8" s="16" t="str">
        <f ca="1">IF(J_UTAMA[[#This Row],[N.B.nota]]="","",ADDRESS(ROW(J_UTAMA[QB]),COLUMN(J_UTAMA[QB]))&amp;":"&amp;ADDRESS(ROW(),COLUMN(J_UTAMA[QB])))</f>
        <v/>
      </c>
      <c r="Y8" s="16" t="str">
        <f ca="1">IF(J_UTAMA[[#This Row],[//]]="","",HYPERLINK("[..\\DB.xlsx]DB!e"&amp;MATCH(J_UTAMA[[#This Row],[concat]],[4]!db[NB NOTA_C],0)+1,"&gt;"))</f>
        <v/>
      </c>
    </row>
    <row r="9" spans="1:25" ht="15" customHeight="1" x14ac:dyDescent="0.25">
      <c r="A9" s="25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6" t="str">
        <f>IF(J_UTAMA[[#This Row],[ID NOTA]]="","",INDEX([2]!NOTA[NO.NOTA],MATCH(J_UTAMA[[#This Row],[ID NOTA]],[2]!NOTA[ID],0)))</f>
        <v/>
      </c>
      <c r="J9" s="16" t="str">
        <f ca="1">IF(J_UTAMA[[#This Row],[//]]="","",INDEX([4]!db[NB PAJAK],J_UTAMA[[#This Row],[stt]]-1))</f>
        <v/>
      </c>
      <c r="K9" s="8" t="str">
        <f ca="1">IF(J_UTAMA[[#This Row],[//]]="","",INDEX([2]!NOTA[C],J_UTAMA[[#This Row],[//]]-2))</f>
        <v/>
      </c>
      <c r="L9" s="8" t="str">
        <f ca="1">IF(J_UTAMA[[#This Row],[//]]="","",INDEX([2]!NOTA[QTY],J_UTAMA[[#This Row],[//]]-2))</f>
        <v/>
      </c>
      <c r="M9" s="8" t="str">
        <f ca="1">IF(J_UTAMA[[#This Row],[//]]="","",INDEX([2]!NOTA[STN],J_UTAMA[[#This Row],[//]]-2))</f>
        <v/>
      </c>
      <c r="N9" s="17" t="str">
        <f ca="1">IF(J_UTAMA[[#This Row],[//]]="","",INDEX([2]!NOTA[HARGA SATUAN],J_UTAMA[[#This Row],[//]]-2))</f>
        <v/>
      </c>
      <c r="O9" s="19" t="str">
        <f ca="1">IF(J_UTAMA[[#This Row],[//]]="","",IF(INDEX([2]!NOTA[DISC 1],J_UTAMA[[#This Row],[//]]-2)="","",INDEX([2]!NOTA[DISC 1],J_UTAMA[[#This Row],[//]]-2)))</f>
        <v/>
      </c>
      <c r="P9" s="19" t="str">
        <f ca="1">IF(J_UTAMA[[#This Row],[//]]="","",IF(INDEX([2]!NOTA[DISC 2],J_UTAMA[[#This Row],[//]]-2)="","",INDEX([2]!NOTA[DISC 2],J_UTAMA[[#This Row],[//]]-2)))</f>
        <v/>
      </c>
      <c r="Q9" s="10" t="str">
        <f ca="1">IF(J_UTAMA[[#This Row],[//]]="","",INDEX([2]!NOTA[JUMLAH],J_UTAMA[[#This Row],[//]]-2)*(100%-IF(ISNUMBER(J_UTAMA[[#This Row],[DISC 1 (%)]]),J_UTAMA[[#This Row],[DISC 1 (%)]],0)))</f>
        <v/>
      </c>
      <c r="R9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9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9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9" s="16" t="str">
        <f ca="1">IF(J_UTAMA[[#This Row],[//]]="","",INDEX([2]!NOTA[NAMA BARANG],J_UTAMA[[#This Row],[//]]-2))</f>
        <v/>
      </c>
      <c r="V9" s="16" t="str">
        <f ca="1">LOWER(SUBSTITUTE(SUBSTITUTE(SUBSTITUTE(SUBSTITUTE(SUBSTITUTE(SUBSTITUTE(SUBSTITUTE(J_UTAMA[[#This Row],[N.B.nota]]," ",""),"-",""),"(",""),")",""),".",""),",",""),"/",""))</f>
        <v/>
      </c>
      <c r="W9" s="16" t="str">
        <f ca="1">IF(J_UTAMA[[#This Row],[concat]]="","",MATCH(J_UTAMA[[#This Row],[concat]],[4]!db[NB NOTA_C],0)+1)</f>
        <v/>
      </c>
      <c r="X9" s="16" t="str">
        <f ca="1">IF(J_UTAMA[[#This Row],[N.B.nota]]="","",ADDRESS(ROW(J_UTAMA[QB]),COLUMN(J_UTAMA[QB]))&amp;":"&amp;ADDRESS(ROW(),COLUMN(J_UTAMA[QB])))</f>
        <v/>
      </c>
      <c r="Y9" s="16" t="str">
        <f ca="1">IF(J_UTAMA[[#This Row],[//]]="","",HYPERLINK("[..\\DB.xlsx]DB!e"&amp;MATCH(J_UTAMA[[#This Row],[concat]],[4]!db[NB NOTA_C],0)+1,"&gt;"))</f>
        <v/>
      </c>
    </row>
    <row r="10" spans="1:25" ht="15" customHeight="1" x14ac:dyDescent="0.25">
      <c r="A10" s="25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6" t="str">
        <f>IF(J_UTAMA[[#This Row],[ID NOTA]]="","",INDEX([2]!NOTA[NO.NOTA],MATCH(J_UTAMA[[#This Row],[ID NOTA]],[2]!NOTA[ID],0)))</f>
        <v/>
      </c>
      <c r="J10" s="16" t="str">
        <f ca="1">IF(J_UTAMA[[#This Row],[//]]="","",INDEX([4]!db[NB PAJAK],J_UTAMA[[#This Row],[stt]]-1))</f>
        <v/>
      </c>
      <c r="K10" s="8" t="str">
        <f ca="1">IF(J_UTAMA[[#This Row],[//]]="","",INDEX([2]!NOTA[C],J_UTAMA[[#This Row],[//]]-2))</f>
        <v/>
      </c>
      <c r="L10" s="8" t="str">
        <f ca="1">IF(J_UTAMA[[#This Row],[//]]="","",INDEX([2]!NOTA[QTY],J_UTAMA[[#This Row],[//]]-2))</f>
        <v/>
      </c>
      <c r="M10" s="8" t="str">
        <f ca="1">IF(J_UTAMA[[#This Row],[//]]="","",INDEX([2]!NOTA[STN],J_UTAMA[[#This Row],[//]]-2))</f>
        <v/>
      </c>
      <c r="N10" s="17" t="str">
        <f ca="1">IF(J_UTAMA[[#This Row],[//]]="","",INDEX([2]!NOTA[HARGA SATUAN],J_UTAMA[[#This Row],[//]]-2))</f>
        <v/>
      </c>
      <c r="O10" s="19" t="str">
        <f ca="1">IF(J_UTAMA[[#This Row],[//]]="","",IF(INDEX([2]!NOTA[DISC 1],J_UTAMA[[#This Row],[//]]-2)="","",INDEX([2]!NOTA[DISC 1],J_UTAMA[[#This Row],[//]]-2)))</f>
        <v/>
      </c>
      <c r="P10" s="19" t="str">
        <f ca="1">IF(J_UTAMA[[#This Row],[//]]="","",IF(INDEX([2]!NOTA[DISC 2],J_UTAMA[[#This Row],[//]]-2)="","",INDEX([2]!NOTA[DISC 2],J_UTAMA[[#This Row],[//]]-2)))</f>
        <v/>
      </c>
      <c r="Q10" s="10" t="str">
        <f ca="1">IF(J_UTAMA[[#This Row],[//]]="","",INDEX([2]!NOTA[JUMLAH],J_UTAMA[[#This Row],[//]]-2)*(100%-IF(ISNUMBER(J_UTAMA[[#This Row],[DISC 1 (%)]]),J_UTAMA[[#This Row],[DISC 1 (%)]],0)))</f>
        <v/>
      </c>
      <c r="R10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0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0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0" s="16" t="str">
        <f ca="1">IF(J_UTAMA[[#This Row],[//]]="","",INDEX([2]!NOTA[NAMA BARANG],J_UTAMA[[#This Row],[//]]-2))</f>
        <v/>
      </c>
      <c r="V10" s="16" t="str">
        <f ca="1">LOWER(SUBSTITUTE(SUBSTITUTE(SUBSTITUTE(SUBSTITUTE(SUBSTITUTE(SUBSTITUTE(SUBSTITUTE(J_UTAMA[[#This Row],[N.B.nota]]," ",""),"-",""),"(",""),")",""),".",""),",",""),"/",""))</f>
        <v/>
      </c>
      <c r="W10" s="16" t="str">
        <f ca="1">IF(J_UTAMA[[#This Row],[concat]]="","",MATCH(J_UTAMA[[#This Row],[concat]],[4]!db[NB NOTA_C],0)+1)</f>
        <v/>
      </c>
      <c r="X10" s="16" t="str">
        <f ca="1">IF(J_UTAMA[[#This Row],[N.B.nota]]="","",ADDRESS(ROW(J_UTAMA[QB]),COLUMN(J_UTAMA[QB]))&amp;":"&amp;ADDRESS(ROW(),COLUMN(J_UTAMA[QB])))</f>
        <v/>
      </c>
      <c r="Y10" s="16" t="str">
        <f ca="1">IF(J_UTAMA[[#This Row],[//]]="","",HYPERLINK("[..\\DB.xlsx]DB!e"&amp;MATCH(J_UTAMA[[#This Row],[concat]],[4]!db[NB NOTA_C],0)+1,"&gt;"))</f>
        <v/>
      </c>
    </row>
    <row r="11" spans="1:25" ht="15" customHeight="1" x14ac:dyDescent="0.25">
      <c r="A11" s="25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6" t="str">
        <f>IF(J_UTAMA[[#This Row],[ID NOTA]]="","",INDEX([2]!NOTA[NO.NOTA],MATCH(J_UTAMA[[#This Row],[ID NOTA]],[2]!NOTA[ID],0)))</f>
        <v/>
      </c>
      <c r="J11" s="16" t="str">
        <f ca="1">IF(J_UTAMA[[#This Row],[//]]="","",INDEX([4]!db[NB PAJAK],J_UTAMA[[#This Row],[stt]]-1))</f>
        <v/>
      </c>
      <c r="K11" s="8" t="str">
        <f ca="1">IF(J_UTAMA[[#This Row],[//]]="","",INDEX([2]!NOTA[C],J_UTAMA[[#This Row],[//]]-2))</f>
        <v/>
      </c>
      <c r="L11" s="8" t="str">
        <f ca="1">IF(J_UTAMA[[#This Row],[//]]="","",INDEX([2]!NOTA[QTY],J_UTAMA[[#This Row],[//]]-2))</f>
        <v/>
      </c>
      <c r="M11" s="8" t="str">
        <f ca="1">IF(J_UTAMA[[#This Row],[//]]="","",INDEX([2]!NOTA[STN],J_UTAMA[[#This Row],[//]]-2))</f>
        <v/>
      </c>
      <c r="N11" s="17" t="str">
        <f ca="1">IF(J_UTAMA[[#This Row],[//]]="","",INDEX([2]!NOTA[HARGA SATUAN],J_UTAMA[[#This Row],[//]]-2))</f>
        <v/>
      </c>
      <c r="O11" s="19" t="str">
        <f ca="1">IF(J_UTAMA[[#This Row],[//]]="","",IF(INDEX([2]!NOTA[DISC 1],J_UTAMA[[#This Row],[//]]-2)="","",INDEX([2]!NOTA[DISC 1],J_UTAMA[[#This Row],[//]]-2)))</f>
        <v/>
      </c>
      <c r="P11" s="19" t="str">
        <f ca="1">IF(J_UTAMA[[#This Row],[//]]="","",IF(INDEX([2]!NOTA[DISC 2],J_UTAMA[[#This Row],[//]]-2)="","",INDEX([2]!NOTA[DISC 2],J_UTAMA[[#This Row],[//]]-2)))</f>
        <v/>
      </c>
      <c r="Q11" s="10" t="str">
        <f ca="1">IF(J_UTAMA[[#This Row],[//]]="","",INDEX([2]!NOTA[JUMLAH],J_UTAMA[[#This Row],[//]]-2)*(100%-IF(ISNUMBER(J_UTAMA[[#This Row],[DISC 1 (%)]]),J_UTAMA[[#This Row],[DISC 1 (%)]],0)))</f>
        <v/>
      </c>
      <c r="R11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1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1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1" s="16" t="str">
        <f ca="1">IF(J_UTAMA[[#This Row],[//]]="","",INDEX([2]!NOTA[NAMA BARANG],J_UTAMA[[#This Row],[//]]-2))</f>
        <v/>
      </c>
      <c r="V11" s="16" t="str">
        <f ca="1">LOWER(SUBSTITUTE(SUBSTITUTE(SUBSTITUTE(SUBSTITUTE(SUBSTITUTE(SUBSTITUTE(SUBSTITUTE(J_UTAMA[[#This Row],[N.B.nota]]," ",""),"-",""),"(",""),")",""),".",""),",",""),"/",""))</f>
        <v/>
      </c>
      <c r="W11" s="16" t="str">
        <f ca="1">IF(J_UTAMA[[#This Row],[concat]]="","",MATCH(J_UTAMA[[#This Row],[concat]],[4]!db[NB NOTA_C],0)+1)</f>
        <v/>
      </c>
      <c r="X11" s="16" t="str">
        <f ca="1">IF(J_UTAMA[[#This Row],[N.B.nota]]="","",ADDRESS(ROW(J_UTAMA[QB]),COLUMN(J_UTAMA[QB]))&amp;":"&amp;ADDRESS(ROW(),COLUMN(J_UTAMA[QB])))</f>
        <v/>
      </c>
      <c r="Y11" s="16" t="str">
        <f ca="1">IF(J_UTAMA[[#This Row],[//]]="","",HYPERLINK("[..\\DB.xlsx]DB!e"&amp;MATCH(J_UTAMA[[#This Row],[concat]],[4]!db[NB NOTA_C],0)+1,"&gt;"))</f>
        <v/>
      </c>
    </row>
    <row r="12" spans="1:25" ht="15" customHeight="1" x14ac:dyDescent="0.25">
      <c r="A12" s="16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6" t="str">
        <f>IF(J_UTAMA[[#This Row],[ID NOTA]]="","",INDEX([2]!NOTA[NO.NOTA],MATCH(J_UTAMA[[#This Row],[ID NOTA]],[2]!NOTA[ID],0)))</f>
        <v/>
      </c>
      <c r="J12" s="16" t="str">
        <f ca="1">IF(J_UTAMA[[#This Row],[//]]="","",INDEX([4]!db[NB PAJAK],J_UTAMA[[#This Row],[stt]]-1))</f>
        <v/>
      </c>
      <c r="K12" s="8" t="str">
        <f ca="1">IF(J_UTAMA[[#This Row],[//]]="","",INDEX([2]!NOTA[C],J_UTAMA[[#This Row],[//]]-2))</f>
        <v/>
      </c>
      <c r="L12" s="8" t="str">
        <f ca="1">IF(J_UTAMA[[#This Row],[//]]="","",INDEX([2]!NOTA[QTY],J_UTAMA[[#This Row],[//]]-2))</f>
        <v/>
      </c>
      <c r="M12" s="8" t="str">
        <f ca="1">IF(J_UTAMA[[#This Row],[//]]="","",INDEX([2]!NOTA[STN],J_UTAMA[[#This Row],[//]]-2))</f>
        <v/>
      </c>
      <c r="N12" s="17" t="str">
        <f ca="1">IF(J_UTAMA[[#This Row],[//]]="","",INDEX([2]!NOTA[HARGA SATUAN],J_UTAMA[[#This Row],[//]]-2))</f>
        <v/>
      </c>
      <c r="O12" s="11" t="str">
        <f ca="1">IF(J_UTAMA[[#This Row],[//]]="","",IF(INDEX([2]!NOTA[DISC 1],J_UTAMA[[#This Row],[//]]-2)="","",INDEX([2]!NOTA[DISC 1],J_UTAMA[[#This Row],[//]]-2)))</f>
        <v/>
      </c>
      <c r="P12" s="11" t="str">
        <f ca="1">IF(J_UTAMA[[#This Row],[//]]="","",IF(INDEX([2]!NOTA[DISC 2],J_UTAMA[[#This Row],[//]]-2)="","",INDEX([2]!NOTA[DISC 2],J_UTAMA[[#This Row],[//]]-2)))</f>
        <v/>
      </c>
      <c r="Q12" s="10" t="str">
        <f ca="1">IF(J_UTAMA[[#This Row],[//]]="","",INDEX([2]!NOTA[JUMLAH],J_UTAMA[[#This Row],[//]]-2)*(100%-IF(ISNUMBER(J_UTAMA[[#This Row],[DISC 1 (%)]]),J_UTAMA[[#This Row],[DISC 1 (%)]],0)))</f>
        <v/>
      </c>
      <c r="R12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2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2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2" s="16" t="str">
        <f ca="1">IF(J_UTAMA[[#This Row],[//]]="","",INDEX([2]!NOTA[NAMA BARANG],J_UTAMA[[#This Row],[//]]-2))</f>
        <v/>
      </c>
      <c r="V12" s="16" t="str">
        <f ca="1">LOWER(SUBSTITUTE(SUBSTITUTE(SUBSTITUTE(SUBSTITUTE(SUBSTITUTE(SUBSTITUTE(SUBSTITUTE(J_UTAMA[[#This Row],[N.B.nota]]," ",""),"-",""),"(",""),")",""),".",""),",",""),"/",""))</f>
        <v/>
      </c>
      <c r="W12" s="8" t="str">
        <f ca="1">IF(J_UTAMA[[#This Row],[concat]]="","",MATCH(J_UTAMA[[#This Row],[concat]],[4]!db[NB NOTA_C],0)+1)</f>
        <v/>
      </c>
      <c r="X12" s="8" t="str">
        <f ca="1">IF(J_UTAMA[[#This Row],[N.B.nota]]="","",ADDRESS(ROW(J_UTAMA[QB]),COLUMN(J_UTAMA[QB]))&amp;":"&amp;ADDRESS(ROW(),COLUMN(J_UTAMA[QB])))</f>
        <v/>
      </c>
      <c r="Y12" s="8" t="str">
        <f ca="1">IF(J_UTAMA[[#This Row],[//]]="","",HYPERLINK("[..\\DB.xlsx]DB!e"&amp;MATCH(J_UTAMA[[#This Row],[concat]],[4]!db[NB NOTA_C],0)+1,"&gt;"))</f>
        <v/>
      </c>
    </row>
    <row r="13" spans="1:25" ht="15" customHeight="1" x14ac:dyDescent="0.25">
      <c r="A13" s="8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6" t="str">
        <f>IF(J_UTAMA[[#This Row],[ID NOTA]]="","",INDEX([2]!NOTA[NO.NOTA],MATCH(J_UTAMA[[#This Row],[ID NOTA]],[2]!NOTA[ID],0)))</f>
        <v/>
      </c>
      <c r="J13" s="16" t="str">
        <f ca="1">IF(J_UTAMA[[#This Row],[//]]="","",INDEX([4]!db[NB PAJAK],J_UTAMA[[#This Row],[stt]]-1))</f>
        <v/>
      </c>
      <c r="K13" s="8" t="str">
        <f ca="1">IF(J_UTAMA[[#This Row],[//]]="","",INDEX([2]!NOTA[C],J_UTAMA[[#This Row],[//]]-2))</f>
        <v/>
      </c>
      <c r="L13" s="8" t="str">
        <f ca="1">IF(J_UTAMA[[#This Row],[//]]="","",INDEX([2]!NOTA[QTY],J_UTAMA[[#This Row],[//]]-2))</f>
        <v/>
      </c>
      <c r="M13" s="8" t="str">
        <f ca="1">IF(J_UTAMA[[#This Row],[//]]="","",INDEX([2]!NOTA[STN],J_UTAMA[[#This Row],[//]]-2))</f>
        <v/>
      </c>
      <c r="N13" s="17" t="str">
        <f ca="1">IF(J_UTAMA[[#This Row],[//]]="","",INDEX([2]!NOTA[HARGA SATUAN],J_UTAMA[[#This Row],[//]]-2))</f>
        <v/>
      </c>
      <c r="O13" s="11" t="str">
        <f ca="1">IF(J_UTAMA[[#This Row],[//]]="","",IF(INDEX([2]!NOTA[DISC 1],J_UTAMA[[#This Row],[//]]-2)="","",INDEX([2]!NOTA[DISC 1],J_UTAMA[[#This Row],[//]]-2)))</f>
        <v/>
      </c>
      <c r="P13" s="11" t="str">
        <f ca="1">IF(J_UTAMA[[#This Row],[//]]="","",IF(INDEX([2]!NOTA[DISC 2],J_UTAMA[[#This Row],[//]]-2)="","",INDEX([2]!NOTA[DISC 2],J_UTAMA[[#This Row],[//]]-2)))</f>
        <v/>
      </c>
      <c r="Q13" s="10" t="str">
        <f ca="1">IF(J_UTAMA[[#This Row],[//]]="","",INDEX([2]!NOTA[JUMLAH],J_UTAMA[[#This Row],[//]]-2)*(100%-IF(ISNUMBER(J_UTAMA[[#This Row],[DISC 1 (%)]]),J_UTAMA[[#This Row],[DISC 1 (%)]],0)))</f>
        <v/>
      </c>
      <c r="R13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3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3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3" s="16" t="str">
        <f ca="1">IF(J_UTAMA[[#This Row],[//]]="","",INDEX([2]!NOTA[NAMA BARANG],J_UTAMA[[#This Row],[//]]-2))</f>
        <v/>
      </c>
      <c r="V13" s="16" t="str">
        <f ca="1">LOWER(SUBSTITUTE(SUBSTITUTE(SUBSTITUTE(SUBSTITUTE(SUBSTITUTE(SUBSTITUTE(SUBSTITUTE(J_UTAMA[[#This Row],[N.B.nota]]," ",""),"-",""),"(",""),")",""),".",""),",",""),"/",""))</f>
        <v/>
      </c>
      <c r="W13" s="8" t="str">
        <f ca="1">IF(J_UTAMA[[#This Row],[concat]]="","",MATCH(J_UTAMA[[#This Row],[concat]],[4]!db[NB NOTA_C],0)+1)</f>
        <v/>
      </c>
      <c r="X13" s="8" t="str">
        <f ca="1">IF(J_UTAMA[[#This Row],[N.B.nota]]="","",ADDRESS(ROW(J_UTAMA[QB]),COLUMN(J_UTAMA[QB]))&amp;":"&amp;ADDRESS(ROW(),COLUMN(J_UTAMA[QB])))</f>
        <v/>
      </c>
      <c r="Y13" s="8" t="str">
        <f ca="1">IF(J_UTAMA[[#This Row],[//]]="","",HYPERLINK("[..\\DB.xlsx]DB!e"&amp;MATCH(J_UTAMA[[#This Row],[concat]],[4]!db[NB NOTA_C],0)+1,"&gt;"))</f>
        <v/>
      </c>
    </row>
    <row r="14" spans="1:25" ht="15" customHeight="1" x14ac:dyDescent="0.25">
      <c r="A14" s="8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6" t="str">
        <f>IF(J_UTAMA[[#This Row],[ID NOTA]]="","",INDEX([2]!NOTA[NO.NOTA],MATCH(J_UTAMA[[#This Row],[ID NOTA]],[2]!NOTA[ID],0)))</f>
        <v/>
      </c>
      <c r="J14" s="16" t="str">
        <f ca="1">IF(J_UTAMA[[#This Row],[//]]="","",INDEX([4]!db[NB PAJAK],J_UTAMA[[#This Row],[stt]]-1))</f>
        <v/>
      </c>
      <c r="K14" s="8" t="str">
        <f ca="1">IF(J_UTAMA[[#This Row],[//]]="","",INDEX([2]!NOTA[C],J_UTAMA[[#This Row],[//]]-2))</f>
        <v/>
      </c>
      <c r="L14" s="8" t="str">
        <f ca="1">IF(J_UTAMA[[#This Row],[//]]="","",INDEX([2]!NOTA[QTY],J_UTAMA[[#This Row],[//]]-2))</f>
        <v/>
      </c>
      <c r="M14" s="8" t="str">
        <f ca="1">IF(J_UTAMA[[#This Row],[//]]="","",INDEX([2]!NOTA[STN],J_UTAMA[[#This Row],[//]]-2))</f>
        <v/>
      </c>
      <c r="N14" s="17" t="str">
        <f ca="1">IF(J_UTAMA[[#This Row],[//]]="","",INDEX([2]!NOTA[HARGA SATUAN],J_UTAMA[[#This Row],[//]]-2))</f>
        <v/>
      </c>
      <c r="O14" s="11" t="str">
        <f ca="1">IF(J_UTAMA[[#This Row],[//]]="","",IF(INDEX([2]!NOTA[DISC 1],J_UTAMA[[#This Row],[//]]-2)="","",INDEX([2]!NOTA[DISC 1],J_UTAMA[[#This Row],[//]]-2)))</f>
        <v/>
      </c>
      <c r="P14" s="11" t="str">
        <f ca="1">IF(J_UTAMA[[#This Row],[//]]="","",IF(INDEX([2]!NOTA[DISC 2],J_UTAMA[[#This Row],[//]]-2)="","",INDEX([2]!NOTA[DISC 2],J_UTAMA[[#This Row],[//]]-2)))</f>
        <v/>
      </c>
      <c r="Q14" s="10" t="str">
        <f ca="1">IF(J_UTAMA[[#This Row],[//]]="","",INDEX([2]!NOTA[JUMLAH],J_UTAMA[[#This Row],[//]]-2)*(100%-IF(ISNUMBER(J_UTAMA[[#This Row],[DISC 1 (%)]]),J_UTAMA[[#This Row],[DISC 1 (%)]],0)))</f>
        <v/>
      </c>
      <c r="R14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4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4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4" s="16" t="str">
        <f ca="1">IF(J_UTAMA[[#This Row],[//]]="","",INDEX([2]!NOTA[NAMA BARANG],J_UTAMA[[#This Row],[//]]-2))</f>
        <v/>
      </c>
      <c r="V14" s="16" t="str">
        <f ca="1">LOWER(SUBSTITUTE(SUBSTITUTE(SUBSTITUTE(SUBSTITUTE(SUBSTITUTE(SUBSTITUTE(SUBSTITUTE(J_UTAMA[[#This Row],[N.B.nota]]," ",""),"-",""),"(",""),")",""),".",""),",",""),"/",""))</f>
        <v/>
      </c>
      <c r="W14" s="8" t="str">
        <f ca="1">IF(J_UTAMA[[#This Row],[concat]]="","",MATCH(J_UTAMA[[#This Row],[concat]],[4]!db[NB NOTA_C],0)+1)</f>
        <v/>
      </c>
      <c r="X14" s="8" t="str">
        <f ca="1">IF(J_UTAMA[[#This Row],[N.B.nota]]="","",ADDRESS(ROW(J_UTAMA[QB]),COLUMN(J_UTAMA[QB]))&amp;":"&amp;ADDRESS(ROW(),COLUMN(J_UTAMA[QB])))</f>
        <v/>
      </c>
      <c r="Y14" s="8" t="str">
        <f ca="1">IF(J_UTAMA[[#This Row],[//]]="","",HYPERLINK("[..\\DB.xlsx]DB!e"&amp;MATCH(J_UTAMA[[#This Row],[concat]],[4]!db[NB NOTA_C],0)+1,"&gt;"))</f>
        <v/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6" t="str">
        <f>IF(J_UTAMA[[#This Row],[ID NOTA]]="","",INDEX([2]!NOTA[NO.NOTA],MATCH(J_UTAMA[[#This Row],[ID NOTA]],[2]!NOTA[ID],0)))</f>
        <v/>
      </c>
      <c r="J15" s="16" t="str">
        <f ca="1">IF(J_UTAMA[[#This Row],[//]]="","",INDEX([4]!db[NB PAJAK],J_UTAMA[[#This Row],[stt]]-1))</f>
        <v/>
      </c>
      <c r="K15" s="8" t="str">
        <f ca="1">IF(J_UTAMA[[#This Row],[//]]="","",INDEX([2]!NOTA[C],J_UTAMA[[#This Row],[//]]-2))</f>
        <v/>
      </c>
      <c r="L15" s="8" t="str">
        <f ca="1">IF(J_UTAMA[[#This Row],[//]]="","",INDEX([2]!NOTA[QTY],J_UTAMA[[#This Row],[//]]-2))</f>
        <v/>
      </c>
      <c r="M15" s="8" t="str">
        <f ca="1">IF(J_UTAMA[[#This Row],[//]]="","",INDEX([2]!NOTA[STN],J_UTAMA[[#This Row],[//]]-2))</f>
        <v/>
      </c>
      <c r="N15" s="17" t="str">
        <f ca="1">IF(J_UTAMA[[#This Row],[//]]="","",INDEX([2]!NOTA[HARGA SATUAN],J_UTAMA[[#This Row],[//]]-2))</f>
        <v/>
      </c>
      <c r="O15" s="11" t="str">
        <f ca="1">IF(J_UTAMA[[#This Row],[//]]="","",IF(INDEX([2]!NOTA[DISC 1],J_UTAMA[[#This Row],[//]]-2)="","",INDEX([2]!NOTA[DISC 1],J_UTAMA[[#This Row],[//]]-2)))</f>
        <v/>
      </c>
      <c r="P15" s="11" t="str">
        <f ca="1">IF(J_UTAMA[[#This Row],[//]]="","",IF(INDEX([2]!NOTA[DISC 2],J_UTAMA[[#This Row],[//]]-2)="","",INDEX([2]!NOTA[DISC 2],J_UTAMA[[#This Row],[//]]-2)))</f>
        <v/>
      </c>
      <c r="Q15" s="10" t="str">
        <f ca="1">IF(J_UTAMA[[#This Row],[//]]="","",INDEX([2]!NOTA[JUMLAH],J_UTAMA[[#This Row],[//]]-2)*(100%-IF(ISNUMBER(J_UTAMA[[#This Row],[DISC 1 (%)]]),J_UTAMA[[#This Row],[DISC 1 (%)]],0)))</f>
        <v/>
      </c>
      <c r="R15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5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5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5" s="16" t="str">
        <f ca="1">IF(J_UTAMA[[#This Row],[//]]="","",INDEX([2]!NOTA[NAMA BARANG],J_UTAMA[[#This Row],[//]]-2))</f>
        <v/>
      </c>
      <c r="V15" s="16" t="str">
        <f ca="1">LOWER(SUBSTITUTE(SUBSTITUTE(SUBSTITUTE(SUBSTITUTE(SUBSTITUTE(SUBSTITUTE(SUBSTITUTE(J_UTAMA[[#This Row],[N.B.nota]]," ",""),"-",""),"(",""),")",""),".",""),",",""),"/",""))</f>
        <v/>
      </c>
      <c r="W15" s="8" t="str">
        <f ca="1">IF(J_UTAMA[[#This Row],[concat]]="","",MATCH(J_UTAMA[[#This Row],[concat]],[4]!db[NB NOTA_C],0)+1)</f>
        <v/>
      </c>
      <c r="X15" s="8" t="str">
        <f ca="1">IF(J_UTAMA[[#This Row],[N.B.nota]]="","",ADDRESS(ROW(J_UTAMA[QB]),COLUMN(J_UTAMA[QB]))&amp;":"&amp;ADDRESS(ROW(),COLUMN(J_UTAMA[QB])))</f>
        <v/>
      </c>
      <c r="Y15" s="8" t="str">
        <f ca="1">IF(J_UTAMA[[#This Row],[//]]="","",HYPERLINK("[..\\DB.xlsx]DB!e"&amp;MATCH(J_UTAMA[[#This Row],[concat]],[4]!db[NB NOTA_C],0)+1,"&gt;"))</f>
        <v/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6" t="str">
        <f>IF(J_UTAMA[[#This Row],[ID NOTA]]="","",INDEX([2]!NOTA[NO.NOTA],MATCH(J_UTAMA[[#This Row],[ID NOTA]],[2]!NOTA[ID],0)))</f>
        <v/>
      </c>
      <c r="J16" s="16" t="str">
        <f ca="1">IF(J_UTAMA[[#This Row],[//]]="","",INDEX([4]!db[NB PAJAK],J_UTAMA[[#This Row],[stt]]-1))</f>
        <v/>
      </c>
      <c r="K16" s="8" t="str">
        <f ca="1">IF(J_UTAMA[[#This Row],[//]]="","",INDEX([2]!NOTA[C],J_UTAMA[[#This Row],[//]]-2))</f>
        <v/>
      </c>
      <c r="L16" s="8" t="str">
        <f ca="1">IF(J_UTAMA[[#This Row],[//]]="","",INDEX([2]!NOTA[QTY],J_UTAMA[[#This Row],[//]]-2))</f>
        <v/>
      </c>
      <c r="M16" s="8" t="str">
        <f ca="1">IF(J_UTAMA[[#This Row],[//]]="","",INDEX([2]!NOTA[STN],J_UTAMA[[#This Row],[//]]-2))</f>
        <v/>
      </c>
      <c r="N16" s="17" t="str">
        <f ca="1">IF(J_UTAMA[[#This Row],[//]]="","",INDEX([2]!NOTA[HARGA SATUAN],J_UTAMA[[#This Row],[//]]-2))</f>
        <v/>
      </c>
      <c r="O16" s="11" t="str">
        <f ca="1">IF(J_UTAMA[[#This Row],[//]]="","",IF(INDEX([2]!NOTA[DISC 1],J_UTAMA[[#This Row],[//]]-2)="","",INDEX([2]!NOTA[DISC 1],J_UTAMA[[#This Row],[//]]-2)))</f>
        <v/>
      </c>
      <c r="P16" s="11" t="str">
        <f ca="1">IF(J_UTAMA[[#This Row],[//]]="","",IF(INDEX([2]!NOTA[DISC 2],J_UTAMA[[#This Row],[//]]-2)="","",INDEX([2]!NOTA[DISC 2],J_UTAMA[[#This Row],[//]]-2)))</f>
        <v/>
      </c>
      <c r="Q16" s="10" t="str">
        <f ca="1">IF(J_UTAMA[[#This Row],[//]]="","",INDEX([2]!NOTA[JUMLAH],J_UTAMA[[#This Row],[//]]-2)*(100%-IF(ISNUMBER(J_UTAMA[[#This Row],[DISC 1 (%)]]),J_UTAMA[[#This Row],[DISC 1 (%)]],0)))</f>
        <v/>
      </c>
      <c r="R16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6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6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6" s="16" t="str">
        <f ca="1">IF(J_UTAMA[[#This Row],[//]]="","",INDEX([2]!NOTA[NAMA BARANG],J_UTAMA[[#This Row],[//]]-2))</f>
        <v/>
      </c>
      <c r="V16" s="16" t="str">
        <f ca="1">LOWER(SUBSTITUTE(SUBSTITUTE(SUBSTITUTE(SUBSTITUTE(SUBSTITUTE(SUBSTITUTE(SUBSTITUTE(J_UTAMA[[#This Row],[N.B.nota]]," ",""),"-",""),"(",""),")",""),".",""),",",""),"/",""))</f>
        <v/>
      </c>
      <c r="W16" s="8" t="str">
        <f ca="1">IF(J_UTAMA[[#This Row],[concat]]="","",MATCH(J_UTAMA[[#This Row],[concat]],[4]!db[NB NOTA_C],0)+1)</f>
        <v/>
      </c>
      <c r="X16" s="8" t="str">
        <f ca="1">IF(J_UTAMA[[#This Row],[N.B.nota]]="","",ADDRESS(ROW(J_UTAMA[QB]),COLUMN(J_UTAMA[QB]))&amp;":"&amp;ADDRESS(ROW(),COLUMN(J_UTAMA[QB])))</f>
        <v/>
      </c>
      <c r="Y16" s="8" t="str">
        <f ca="1">IF(J_UTAMA[[#This Row],[//]]="","",HYPERLINK("[..\\DB.xlsx]DB!e"&amp;MATCH(J_UTAMA[[#This Row],[concat]],[4]!db[NB NOTA_C],0)+1,"&gt;"))</f>
        <v/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6" t="str">
        <f>IF(J_UTAMA[[#This Row],[ID NOTA]]="","",INDEX([2]!NOTA[NO.NOTA],MATCH(J_UTAMA[[#This Row],[ID NOTA]],[2]!NOTA[ID],0)))</f>
        <v/>
      </c>
      <c r="J17" s="16" t="str">
        <f ca="1">IF(J_UTAMA[[#This Row],[//]]="","",INDEX([4]!db[NB PAJAK],J_UTAMA[[#This Row],[stt]]-1))</f>
        <v/>
      </c>
      <c r="K17" s="8" t="str">
        <f ca="1">IF(J_UTAMA[[#This Row],[//]]="","",INDEX([2]!NOTA[C],J_UTAMA[[#This Row],[//]]-2))</f>
        <v/>
      </c>
      <c r="L17" s="8" t="str">
        <f ca="1">IF(J_UTAMA[[#This Row],[//]]="","",INDEX([2]!NOTA[QTY],J_UTAMA[[#This Row],[//]]-2))</f>
        <v/>
      </c>
      <c r="M17" s="8" t="str">
        <f ca="1">IF(J_UTAMA[[#This Row],[//]]="","",INDEX([2]!NOTA[STN],J_UTAMA[[#This Row],[//]]-2))</f>
        <v/>
      </c>
      <c r="N17" s="17" t="str">
        <f ca="1">IF(J_UTAMA[[#This Row],[//]]="","",INDEX([2]!NOTA[HARGA SATUAN],J_UTAMA[[#This Row],[//]]-2))</f>
        <v/>
      </c>
      <c r="O17" s="11" t="str">
        <f ca="1">IF(J_UTAMA[[#This Row],[//]]="","",IF(INDEX([2]!NOTA[DISC 1],J_UTAMA[[#This Row],[//]]-2)="","",INDEX([2]!NOTA[DISC 1],J_UTAMA[[#This Row],[//]]-2)))</f>
        <v/>
      </c>
      <c r="P17" s="11" t="str">
        <f ca="1">IF(J_UTAMA[[#This Row],[//]]="","",IF(INDEX([2]!NOTA[DISC 2],J_UTAMA[[#This Row],[//]]-2)="","",INDEX([2]!NOTA[DISC 2],J_UTAMA[[#This Row],[//]]-2)))</f>
        <v/>
      </c>
      <c r="Q17" s="10" t="str">
        <f ca="1">IF(J_UTAMA[[#This Row],[//]]="","",INDEX([2]!NOTA[JUMLAH],J_UTAMA[[#This Row],[//]]-2)*(100%-IF(ISNUMBER(J_UTAMA[[#This Row],[DISC 1 (%)]]),J_UTAMA[[#This Row],[DISC 1 (%)]],0)))</f>
        <v/>
      </c>
      <c r="R17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7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7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7" s="16" t="str">
        <f ca="1">IF(J_UTAMA[[#This Row],[//]]="","",INDEX([2]!NOTA[NAMA BARANG],J_UTAMA[[#This Row],[//]]-2))</f>
        <v/>
      </c>
      <c r="V17" s="16" t="str">
        <f ca="1">LOWER(SUBSTITUTE(SUBSTITUTE(SUBSTITUTE(SUBSTITUTE(SUBSTITUTE(SUBSTITUTE(SUBSTITUTE(J_UTAMA[[#This Row],[N.B.nota]]," ",""),"-",""),"(",""),")",""),".",""),",",""),"/",""))</f>
        <v/>
      </c>
      <c r="W17" s="8" t="str">
        <f ca="1">IF(J_UTAMA[[#This Row],[concat]]="","",MATCH(J_UTAMA[[#This Row],[concat]],[4]!db[NB NOTA_C],0)+1)</f>
        <v/>
      </c>
      <c r="X17" s="8" t="str">
        <f ca="1">IF(J_UTAMA[[#This Row],[N.B.nota]]="","",ADDRESS(ROW(J_UTAMA[QB]),COLUMN(J_UTAMA[QB]))&amp;":"&amp;ADDRESS(ROW(),COLUMN(J_UTAMA[QB])))</f>
        <v/>
      </c>
      <c r="Y17" s="8" t="str">
        <f ca="1">IF(J_UTAMA[[#This Row],[//]]="","",HYPERLINK("[..\\DB.xlsx]DB!e"&amp;MATCH(J_UTAMA[[#This Row],[concat]],[4]!db[NB NOTA_C],0)+1,"&gt;"))</f>
        <v/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6" t="str">
        <f>IF(J_UTAMA[[#This Row],[ID NOTA]]="","",INDEX([2]!NOTA[NO.NOTA],MATCH(J_UTAMA[[#This Row],[ID NOTA]],[2]!NOTA[ID],0)))</f>
        <v/>
      </c>
      <c r="J18" s="16" t="str">
        <f ca="1">IF(J_UTAMA[[#This Row],[//]]="","",INDEX([4]!db[NB PAJAK],J_UTAMA[[#This Row],[stt]]-1))</f>
        <v/>
      </c>
      <c r="K18" s="8" t="str">
        <f ca="1">IF(J_UTAMA[[#This Row],[//]]="","",INDEX([2]!NOTA[C],J_UTAMA[[#This Row],[//]]-2))</f>
        <v/>
      </c>
      <c r="L18" s="8" t="str">
        <f ca="1">IF(J_UTAMA[[#This Row],[//]]="","",INDEX([2]!NOTA[QTY],J_UTAMA[[#This Row],[//]]-2))</f>
        <v/>
      </c>
      <c r="M18" s="8" t="str">
        <f ca="1">IF(J_UTAMA[[#This Row],[//]]="","",INDEX([2]!NOTA[STN],J_UTAMA[[#This Row],[//]]-2))</f>
        <v/>
      </c>
      <c r="N18" s="17" t="str">
        <f ca="1">IF(J_UTAMA[[#This Row],[//]]="","",INDEX([2]!NOTA[HARGA SATUAN],J_UTAMA[[#This Row],[//]]-2))</f>
        <v/>
      </c>
      <c r="O18" s="11" t="str">
        <f ca="1">IF(J_UTAMA[[#This Row],[//]]="","",IF(INDEX([2]!NOTA[DISC 1],J_UTAMA[[#This Row],[//]]-2)="","",INDEX([2]!NOTA[DISC 1],J_UTAMA[[#This Row],[//]]-2)))</f>
        <v/>
      </c>
      <c r="P18" s="11" t="str">
        <f ca="1">IF(J_UTAMA[[#This Row],[//]]="","",IF(INDEX([2]!NOTA[DISC 2],J_UTAMA[[#This Row],[//]]-2)="","",INDEX([2]!NOTA[DISC 2],J_UTAMA[[#This Row],[//]]-2)))</f>
        <v/>
      </c>
      <c r="Q18" s="10" t="str">
        <f ca="1">IF(J_UTAMA[[#This Row],[//]]="","",INDEX([2]!NOTA[JUMLAH],J_UTAMA[[#This Row],[//]]-2)*(100%-IF(ISNUMBER(J_UTAMA[[#This Row],[DISC 1 (%)]]),J_UTAMA[[#This Row],[DISC 1 (%)]],0)))</f>
        <v/>
      </c>
      <c r="R18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8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8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8" s="16" t="str">
        <f ca="1">IF(J_UTAMA[[#This Row],[//]]="","",INDEX([2]!NOTA[NAMA BARANG],J_UTAMA[[#This Row],[//]]-2))</f>
        <v/>
      </c>
      <c r="V18" s="16" t="str">
        <f ca="1">LOWER(SUBSTITUTE(SUBSTITUTE(SUBSTITUTE(SUBSTITUTE(SUBSTITUTE(SUBSTITUTE(SUBSTITUTE(J_UTAMA[[#This Row],[N.B.nota]]," ",""),"-",""),"(",""),")",""),".",""),",",""),"/",""))</f>
        <v/>
      </c>
      <c r="W18" s="8" t="str">
        <f ca="1">IF(J_UTAMA[[#This Row],[concat]]="","",MATCH(J_UTAMA[[#This Row],[concat]],[4]!db[NB NOTA_C],0)+1)</f>
        <v/>
      </c>
      <c r="X18" s="8" t="str">
        <f ca="1">IF(J_UTAMA[[#This Row],[N.B.nota]]="","",ADDRESS(ROW(J_UTAMA[QB]),COLUMN(J_UTAMA[QB]))&amp;":"&amp;ADDRESS(ROW(),COLUMN(J_UTAMA[QB])))</f>
        <v/>
      </c>
      <c r="Y18" s="8" t="str">
        <f ca="1">IF(J_UTAMA[[#This Row],[//]]="","",HYPERLINK("[..\\DB.xlsx]DB!e"&amp;MATCH(J_UTAMA[[#This Row],[concat]],[4]!db[NB NOTA_C],0)+1,"&gt;"))</f>
        <v/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6" t="str">
        <f>IF(J_UTAMA[[#This Row],[ID NOTA]]="","",INDEX([2]!NOTA[NO.NOTA],MATCH(J_UTAMA[[#This Row],[ID NOTA]],[2]!NOTA[ID],0)))</f>
        <v/>
      </c>
      <c r="J19" s="16" t="str">
        <f ca="1">IF(J_UTAMA[[#This Row],[//]]="","",INDEX([4]!db[NB PAJAK],J_UTAMA[[#This Row],[stt]]-1))</f>
        <v/>
      </c>
      <c r="K19" s="8" t="str">
        <f ca="1">IF(J_UTAMA[[#This Row],[//]]="","",INDEX([2]!NOTA[C],J_UTAMA[[#This Row],[//]]-2))</f>
        <v/>
      </c>
      <c r="L19" s="8" t="str">
        <f ca="1">IF(J_UTAMA[[#This Row],[//]]="","",INDEX([2]!NOTA[QTY],J_UTAMA[[#This Row],[//]]-2))</f>
        <v/>
      </c>
      <c r="M19" s="8" t="str">
        <f ca="1">IF(J_UTAMA[[#This Row],[//]]="","",INDEX([2]!NOTA[STN],J_UTAMA[[#This Row],[//]]-2))</f>
        <v/>
      </c>
      <c r="N19" s="10" t="str">
        <f ca="1">IF(J_UTAMA[[#This Row],[//]]="","",INDEX([2]!NOTA[HARGA SATUAN],J_UTAMA[[#This Row],[//]]-2))</f>
        <v/>
      </c>
      <c r="O19" s="11" t="str">
        <f ca="1">IF(J_UTAMA[[#This Row],[//]]="","",IF(INDEX([2]!NOTA[DISC 1],J_UTAMA[[#This Row],[//]]-2)="","",INDEX([2]!NOTA[DISC 1],J_UTAMA[[#This Row],[//]]-2)))</f>
        <v/>
      </c>
      <c r="P19" s="11" t="str">
        <f ca="1">IF(J_UTAMA[[#This Row],[//]]="","",IF(INDEX([2]!NOTA[DISC 2],J_UTAMA[[#This Row],[//]]-2)="","",INDEX([2]!NOTA[DISC 2],J_UTAMA[[#This Row],[//]]-2)))</f>
        <v/>
      </c>
      <c r="Q19" s="10" t="str">
        <f ca="1">IF(J_UTAMA[[#This Row],[//]]="","",INDEX([2]!NOTA[JUMLAH],J_UTAMA[[#This Row],[//]]-2)*(100%-IF(ISNUMBER(J_UTAMA[[#This Row],[DISC 1 (%)]]),J_UTAMA[[#This Row],[DISC 1 (%)]],0)))</f>
        <v/>
      </c>
      <c r="R19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19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19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9" s="16" t="str">
        <f ca="1">IF(J_UTAMA[[#This Row],[//]]="","",INDEX([2]!NOTA[NAMA BARANG],J_UTAMA[[#This Row],[//]]-2))</f>
        <v/>
      </c>
      <c r="V19" s="16" t="str">
        <f ca="1">LOWER(SUBSTITUTE(SUBSTITUTE(SUBSTITUTE(SUBSTITUTE(SUBSTITUTE(SUBSTITUTE(SUBSTITUTE(J_UTAMA[[#This Row],[N.B.nota]]," ",""),"-",""),"(",""),")",""),".",""),",",""),"/",""))</f>
        <v/>
      </c>
      <c r="W19" s="8" t="str">
        <f ca="1">IF(J_UTAMA[[#This Row],[concat]]="","",MATCH(J_UTAMA[[#This Row],[concat]],[4]!db[NB NOTA_C],0)+1)</f>
        <v/>
      </c>
      <c r="X19" s="8" t="str">
        <f ca="1">IF(J_UTAMA[[#This Row],[N.B.nota]]="","",ADDRESS(ROW(J_UTAMA[QB]),COLUMN(J_UTAMA[QB]))&amp;":"&amp;ADDRESS(ROW(),COLUMN(J_UTAMA[QB])))</f>
        <v/>
      </c>
      <c r="Y19" s="8" t="str">
        <f ca="1">IF(J_UTAMA[[#This Row],[//]]="","",HYPERLINK("[..\\DB.xlsx]DB!e"&amp;MATCH(J_UTAMA[[#This Row],[concat]],[4]!db[NB NOTA_C],0)+1,"&gt;"))</f>
        <v/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6" t="str">
        <f>IF(J_UTAMA[[#This Row],[ID NOTA]]="","",INDEX([2]!NOTA[NO.NOTA],MATCH(J_UTAMA[[#This Row],[ID NOTA]],[2]!NOTA[ID],0)))</f>
        <v/>
      </c>
      <c r="J20" s="16" t="str">
        <f ca="1">IF(J_UTAMA[[#This Row],[//]]="","",INDEX([4]!db[NB PAJAK],J_UTAMA[[#This Row],[stt]]-1))</f>
        <v/>
      </c>
      <c r="K20" s="8" t="str">
        <f ca="1">IF(J_UTAMA[[#This Row],[//]]="","",INDEX([2]!NOTA[C],J_UTAMA[[#This Row],[//]]-2))</f>
        <v/>
      </c>
      <c r="L20" s="8" t="str">
        <f ca="1">IF(J_UTAMA[[#This Row],[//]]="","",INDEX([2]!NOTA[QTY],J_UTAMA[[#This Row],[//]]-2))</f>
        <v/>
      </c>
      <c r="M20" s="8" t="str">
        <f ca="1">IF(J_UTAMA[[#This Row],[//]]="","",INDEX([2]!NOTA[STN],J_UTAMA[[#This Row],[//]]-2))</f>
        <v/>
      </c>
      <c r="N20" s="10" t="str">
        <f ca="1">IF(J_UTAMA[[#This Row],[//]]="","",INDEX([2]!NOTA[HARGA SATUAN],J_UTAMA[[#This Row],[//]]-2))</f>
        <v/>
      </c>
      <c r="O20" s="11" t="str">
        <f ca="1">IF(J_UTAMA[[#This Row],[//]]="","",IF(INDEX([2]!NOTA[DISC 1],J_UTAMA[[#This Row],[//]]-2)="","",INDEX([2]!NOTA[DISC 1],J_UTAMA[[#This Row],[//]]-2)))</f>
        <v/>
      </c>
      <c r="P20" s="11" t="str">
        <f ca="1">IF(J_UTAMA[[#This Row],[//]]="","",IF(INDEX([2]!NOTA[DISC 2],J_UTAMA[[#This Row],[//]]-2)="","",INDEX([2]!NOTA[DISC 2],J_UTAMA[[#This Row],[//]]-2)))</f>
        <v/>
      </c>
      <c r="Q20" s="10" t="str">
        <f ca="1">IF(J_UTAMA[[#This Row],[//]]="","",INDEX([2]!NOTA[JUMLAH],J_UTAMA[[#This Row],[//]]-2)*(100%-IF(ISNUMBER(J_UTAMA[[#This Row],[DISC 1 (%)]]),J_UTAMA[[#This Row],[DISC 1 (%)]],0)))</f>
        <v/>
      </c>
      <c r="R20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20" s="1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20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0" s="16" t="str">
        <f ca="1">IF(J_UTAMA[[#This Row],[//]]="","",INDEX([2]!NOTA[NAMA BARANG],J_UTAMA[[#This Row],[//]]-2))</f>
        <v/>
      </c>
      <c r="V20" s="16" t="str">
        <f ca="1">LOWER(SUBSTITUTE(SUBSTITUTE(SUBSTITUTE(SUBSTITUTE(SUBSTITUTE(SUBSTITUTE(SUBSTITUTE(J_UTAMA[[#This Row],[N.B.nota]]," ",""),"-",""),"(",""),")",""),".",""),",",""),"/",""))</f>
        <v/>
      </c>
      <c r="W20" s="8" t="str">
        <f ca="1">IF(J_UTAMA[[#This Row],[concat]]="","",MATCH(J_UTAMA[[#This Row],[concat]],[4]!db[NB NOTA_C],0)+1)</f>
        <v/>
      </c>
      <c r="X20" s="8" t="str">
        <f ca="1">IF(J_UTAMA[[#This Row],[N.B.nota]]="","",ADDRESS(ROW(J_UTAMA[QB]),COLUMN(J_UTAMA[QB]))&amp;":"&amp;ADDRESS(ROW(),COLUMN(J_UTAMA[QB])))</f>
        <v/>
      </c>
      <c r="Y20" s="8" t="str">
        <f ca="1">IF(J_UTAMA[[#This Row],[//]]="","",HYPERLINK("[..\\DB.xlsx]DB!e"&amp;MATCH(J_UTAMA[[#This Row],[concat]],[4]!db[NB NOTA_C],0)+1,"&gt;"))</f>
        <v/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6" t="str">
        <f>IF(J_UTAMA[[#This Row],[ID NOTA]]="","",INDEX([2]!NOTA[NO.NOTA],MATCH(J_UTAMA[[#This Row],[ID NOTA]],[2]!NOTA[ID],0)))</f>
        <v/>
      </c>
      <c r="J21" s="16" t="str">
        <f ca="1">IF(J_UTAMA[[#This Row],[//]]="","",INDEX([4]!db[NB PAJAK],J_UTAMA[[#This Row],[stt]]-1))</f>
        <v/>
      </c>
      <c r="K21" s="8" t="str">
        <f ca="1">IF(J_UTAMA[[#This Row],[//]]="","",INDEX([2]!NOTA[C],J_UTAMA[[#This Row],[//]]-2))</f>
        <v/>
      </c>
      <c r="L21" s="8" t="str">
        <f ca="1">IF(J_UTAMA[[#This Row],[//]]="","",INDEX([2]!NOTA[QTY],J_UTAMA[[#This Row],[//]]-2))</f>
        <v/>
      </c>
      <c r="M21" s="8" t="str">
        <f ca="1">IF(J_UTAMA[[#This Row],[//]]="","",INDEX([2]!NOTA[STN],J_UTAMA[[#This Row],[//]]-2))</f>
        <v/>
      </c>
      <c r="N21" s="10" t="str">
        <f ca="1">IF(J_UTAMA[[#This Row],[//]]="","",INDEX([2]!NOTA[HARGA SATUAN],J_UTAMA[[#This Row],[//]]-2))</f>
        <v/>
      </c>
      <c r="O21" s="11" t="str">
        <f ca="1">IF(J_UTAMA[[#This Row],[//]]="","",IF(INDEX([2]!NOTA[DISC 1],J_UTAMA[[#This Row],[//]]-2)="","",INDEX([2]!NOTA[DISC 1],J_UTAMA[[#This Row],[//]]-2)))</f>
        <v/>
      </c>
      <c r="P21" s="11" t="str">
        <f ca="1">IF(J_UTAMA[[#This Row],[//]]="","",IF(INDEX([2]!NOTA[DISC 2],J_UTAMA[[#This Row],[//]]-2)="","",INDEX([2]!NOTA[DISC 2],J_UTAMA[[#This Row],[//]]-2)))</f>
        <v/>
      </c>
      <c r="Q21" s="10" t="str">
        <f ca="1">IF(J_UTAMA[[#This Row],[//]]="","",INDEX([2]!NOTA[JUMLAH],J_UTAMA[[#This Row],[//]]-2)*(100%-IF(ISNUMBER(J_UTAMA[[#This Row],[DISC 1 (%)]]),J_UTAMA[[#This Row],[DISC 1 (%)]],0)))</f>
        <v/>
      </c>
      <c r="R21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21" s="10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21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1" s="8" t="str">
        <f ca="1">IF(J_UTAMA[[#This Row],[//]]="","",INDEX([2]!NOTA[NAMA BARANG],J_UTAMA[[#This Row],[//]]-2))</f>
        <v/>
      </c>
      <c r="V21" s="8" t="str">
        <f ca="1">LOWER(SUBSTITUTE(SUBSTITUTE(SUBSTITUTE(SUBSTITUTE(SUBSTITUTE(SUBSTITUTE(SUBSTITUTE(J_UTAMA[[#This Row],[N.B.nota]]," ",""),"-",""),"(",""),")",""),".",""),",",""),"/",""))</f>
        <v/>
      </c>
      <c r="W21" s="8" t="str">
        <f ca="1">IF(J_UTAMA[[#This Row],[concat]]="","",MATCH(J_UTAMA[[#This Row],[concat]],[4]!db[NB NOTA_C],0)+1)</f>
        <v/>
      </c>
      <c r="X21" s="8" t="str">
        <f ca="1">IF(J_UTAMA[[#This Row],[N.B.nota]]="","",ADDRESS(ROW(J_UTAMA[QB]),COLUMN(J_UTAMA[QB]))&amp;":"&amp;ADDRESS(ROW(),COLUMN(J_UTAMA[QB])))</f>
        <v/>
      </c>
      <c r="Y21" s="8" t="str">
        <f ca="1">IF(J_UTAMA[[#This Row],[//]]="","",HYPERLINK("[..\\DB.xlsx]DB!e"&amp;MATCH(J_UTAMA[[#This Row],[concat]],[4]!db[NB NOTA_C],0)+1,"&gt;"))</f>
        <v/>
      </c>
    </row>
    <row r="22" spans="1:25" ht="15" customHeight="1" x14ac:dyDescent="0.25">
      <c r="B22" s="22" t="str">
        <f>IF(J_UTAMA[[#This Row],[N_ID]]="","",INDEX(Table1[ID],MATCH(J_UTAMA[[#This Row],[N_ID]],Table1[N_ID],0)))</f>
        <v/>
      </c>
      <c r="C22" s="22" t="str">
        <f>IF(J_UTAMA[[#This Row],[ID NOTA]]="","",HYPERLINK("[NOTA_.xlsx]NOTA!e"&amp;INDEX([2]!PAJAK[//],MATCH(J_UTAMA[[#This Row],[ID NOTA]],[2]!PAJAK[ID],0)),"&gt;") )</f>
        <v/>
      </c>
      <c r="D22" s="22" t="str">
        <f>IF(J_UTAMA[[#This Row],[ID NOTA]]="","",INDEX(Table1[QB],MATCH(J_UTAMA[[#This Row],[ID NOTA]],Table1[ID],0)))</f>
        <v/>
      </c>
      <c r="E22" s="22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/>
      </c>
      <c r="F22" s="22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23" t="str">
        <f>IF(J_UTAMA[[#This Row],[ID NOTA]]="","",INDEX([2]!NOTA[NO.NOTA],MATCH(J_UTAMA[[#This Row],[ID NOTA]],[2]!NOTA[ID],0)))</f>
        <v/>
      </c>
      <c r="J22" s="26" t="str">
        <f ca="1">IF(J_UTAMA[[#This Row],[//]]="","",INDEX([4]!db[NB PAJAK],J_UTAMA[[#This Row],[stt]]-1))</f>
        <v/>
      </c>
      <c r="K22" s="8" t="str">
        <f ca="1">IF(J_UTAMA[[#This Row],[//]]="","",INDEX([2]!NOTA[C],J_UTAMA[[#This Row],[//]]-2))</f>
        <v/>
      </c>
      <c r="L22" s="22" t="str">
        <f ca="1">IF(J_UTAMA[[#This Row],[//]]="","",INDEX([2]!NOTA[QTY],J_UTAMA[[#This Row],[//]]-2))</f>
        <v/>
      </c>
      <c r="M22" s="22" t="str">
        <f ca="1">IF(J_UTAMA[[#This Row],[//]]="","",INDEX([2]!NOTA[STN],J_UTAMA[[#This Row],[//]]-2))</f>
        <v/>
      </c>
      <c r="N22" s="27" t="str">
        <f ca="1">IF(J_UTAMA[[#This Row],[//]]="","",INDEX([2]!NOTA[HARGA SATUAN],J_UTAMA[[#This Row],[//]]-2))</f>
        <v/>
      </c>
      <c r="O22" s="28" t="str">
        <f ca="1">IF(J_UTAMA[[#This Row],[//]]="","",IF(INDEX([2]!NOTA[DISC 1],J_UTAMA[[#This Row],[//]]-2)="","",INDEX([2]!NOTA[DISC 1],J_UTAMA[[#This Row],[//]]-2)))</f>
        <v/>
      </c>
      <c r="P22" s="28" t="str">
        <f ca="1">IF(J_UTAMA[[#This Row],[//]]="","",IF(INDEX([2]!NOTA[DISC 2],J_UTAMA[[#This Row],[//]]-2)="","",INDEX([2]!NOTA[DISC 2],J_UTAMA[[#This Row],[//]]-2)))</f>
        <v/>
      </c>
      <c r="Q22" s="10" t="str">
        <f ca="1">IF(J_UTAMA[[#This Row],[//]]="","",INDEX([2]!NOTA[JUMLAH],J_UTAMA[[#This Row],[//]]-2)*(100%-IF(ISNUMBER(J_UTAMA[[#This Row],[DISC 1 (%)]]),J_UTAMA[[#This Row],[DISC 1 (%)]],0)))</f>
        <v/>
      </c>
      <c r="R22" s="29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/>
      </c>
      <c r="S22" s="27" t="str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/>
      </c>
      <c r="T22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2" s="30" t="str">
        <f ca="1">IF(J_UTAMA[[#This Row],[//]]="","",INDEX([2]!NOTA[NAMA BARANG],J_UTAMA[[#This Row],[//]]-2))</f>
        <v/>
      </c>
      <c r="V22" s="30" t="str">
        <f ca="1">LOWER(SUBSTITUTE(SUBSTITUTE(SUBSTITUTE(SUBSTITUTE(SUBSTITUTE(SUBSTITUTE(SUBSTITUTE(J_UTAMA[[#This Row],[N.B.nota]]," ",""),"-",""),"(",""),")",""),".",""),",",""),"/",""))</f>
        <v/>
      </c>
      <c r="W22" s="30" t="str">
        <f ca="1">IF(J_UTAMA[[#This Row],[concat]]="","",MATCH(J_UTAMA[[#This Row],[concat]],[4]!db[NB NOTA_C],0)+1)</f>
        <v/>
      </c>
      <c r="X22" s="30" t="str">
        <f ca="1">IF(J_UTAMA[[#This Row],[N.B.nota]]="","",ADDRESS(ROW(J_UTAMA[QB]),COLUMN(J_UTAMA[QB]))&amp;":"&amp;ADDRESS(ROW(),COLUMN(J_UTAMA[QB])))</f>
        <v/>
      </c>
      <c r="Y22" s="30" t="str">
        <f ca="1">IF(J_UTAMA[[#This Row],[//]]="","",HYPERLINK("[..\\DB.xlsx]DB!e"&amp;MATCH(J_UTAMA[[#This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opLeftCell="G1" workbookViewId="0">
      <selection activeCell="J4" sqref="J4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3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s="33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 t="s">
        <v>122</v>
      </c>
      <c r="B3" s="31">
        <f ca="1">IF(SAJ[[#This Row],[N_ID]]="","",INDEX(Table1[ID],MATCH(SAJ[[#This Row],[N_ID]],Table1[N_ID],0)))</f>
        <v>136</v>
      </c>
      <c r="C3" s="31" t="str">
        <f ca="1">IF(SAJ[[#This Row],[ID NOTA]]="","",HYPERLINK("[NOTA_.xlsx]NOTA!e"&amp;INDEX([2]!PAJAK[//],MATCH(SAJ[[#This Row],[ID NOTA]],[2]!PAJAK[ID],0)),"&gt;") )</f>
        <v>&gt;</v>
      </c>
      <c r="D3" s="31">
        <f ca="1">IF(SAJ[[#This Row],[ID NOTA]]="","",INDEX(Table1[QB],MATCH(SAJ[[#This Row],[ID NOTA]],Table1[ID],0)))</f>
        <v>3</v>
      </c>
      <c r="E3" s="31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772</v>
      </c>
      <c r="F3" s="31"/>
      <c r="G3" s="34">
        <f ca="1">IF(SAJ[[#This Row],[ID NOTA]]="","",INDEX([2]!NOTA[TGL_H],MATCH(SAJ[[#This Row],[ID NOTA]],[2]!NOTA[ID],0)))</f>
        <v>44832</v>
      </c>
      <c r="H3" s="34">
        <f ca="1">IF(SAJ[[#This Row],[ID NOTA]]="","",INDEX([2]!NOTA[TGL.NOTA],MATCH(SAJ[[#This Row],[ID NOTA]],[2]!NOTA[ID],0)))</f>
        <v>44831</v>
      </c>
      <c r="I3" s="25" t="str">
        <f ca="1">IF(SAJ[[#This Row],[ID NOTA]]="","",INDEX([2]!NOTA[NO.NOTA],MATCH(SAJ[[#This Row],[ID NOTA]],[2]!NOTA[ID],0)))</f>
        <v>JL-24019</v>
      </c>
      <c r="J3" s="25" t="str">
        <f ca="1">IF(SAJ[[#This Row],[//]]="","",INDEX([4]!db[NB PAJAK],SAJ[[#This Row],[stt]]-1))</f>
        <v>TALI CANTOL PLASTIK 1.0 MERAH</v>
      </c>
      <c r="K3" s="31">
        <f ca="1">IF(SAJ[[#This Row],[//]]="","",INDEX([2]!NOTA[C],SAJ[[#This Row],[//]]-2))</f>
        <v>1</v>
      </c>
      <c r="L3" s="31">
        <f ca="1">IF(SAJ[//]="","",INDEX([2]!NOTA[QTY],SAJ[//]-2))</f>
        <v>50</v>
      </c>
      <c r="M3" s="31" t="str">
        <f ca="1">IF(SAJ[//]="","",INDEX([2]!NOTA[STN],SAJ[//]-2))</f>
        <v>BOX</v>
      </c>
      <c r="N3" s="35">
        <f ca="1">IF(SAJ[[#This Row],[//]]="","",IF(INDEX([2]!NOTA[HARGA/ CTN],SAJ[[#This Row],[//]]-2)="",INDEX([2]!NOTA[HARGA SATUAN],SAJ[//]-2),INDEX([2]!NOTA[HARGA/ CTN],SAJ[[#This Row],[//]]-2)))</f>
        <v>39500</v>
      </c>
      <c r="O3" s="36">
        <f ca="1">IF(SAJ[[#This Row],[//]]="","",IF(INDEX([2]!NOTA[DISC 1],SAJ[[#This Row],[//]]-2)="","",INDEX([2]!NOTA[DISC 1],SAJ[[#This Row],[//]]-2)))</f>
        <v>0.05</v>
      </c>
      <c r="P3" s="36" t="str">
        <f ca="1">IF(SAJ[[#This Row],[//]]="","",IF(INDEX([2]!NOTA[DISC 2],SAJ[[#This Row],[//]]-2)="","",INDEX([2]!NOTA[DISC 2],SAJ[[#This Row],[//]]-2)))</f>
        <v/>
      </c>
      <c r="Q3" s="29">
        <f ca="1">IF(SAJ[[#This Row],[//]]="","",INDEX([2]!NOTA[JUMLAH],SAJ[[#This Row],[//]]-2)*(100%-IF(ISNUMBER(SAJ[[#This Row],[DISC 1 (%)]]),SAJ[[#This Row],[DISC 1 (%)]],0)))</f>
        <v>1876250</v>
      </c>
      <c r="R3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3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3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3" s="25" t="str">
        <f ca="1">IF(SAJ[[#This Row],[//]]="","",INDEX([2]!NOTA[NAMA BARANG],SAJ[[#This Row],[//]]-2))</f>
        <v>TALI CANTOL PLASTIK 1.0 MERAH</v>
      </c>
      <c r="V3" s="25" t="str">
        <f ca="1">LOWER(SUBSTITUTE(SUBSTITUTE(SUBSTITUTE(SUBSTITUTE(SUBSTITUTE(SUBSTITUTE(SUBSTITUTE(SUBSTITUTE(SAJ[[#This Row],[N.B.nota]]," ",""),"-",""),"(",""),")",""),".",""),",",""),"/",""),"""",""))</f>
        <v>talicantolplastik10merah</v>
      </c>
      <c r="W3" s="25">
        <f ca="1">IF(SAJ[[#This Row],[concat]]="","",MATCH(SAJ[[#This Row],[concat]],[4]!db[NB NOTA_C],0)+1)</f>
        <v>1920</v>
      </c>
      <c r="X3" s="25" t="str">
        <f ca="1">IF(SAJ[[#This Row],[N.B.nota]]="","",ADDRESS(ROW(SAJ[QB]),COLUMN(SAJ[QB]))&amp;":"&amp;ADDRESS(ROW(),COLUMN(SAJ[QB])))</f>
        <v>$D$3:$D$3</v>
      </c>
      <c r="Y3" s="25" t="str">
        <f ca="1">IF(SAJ[[#This Row],[//]]="","",HYPERLINK("[..\\DB.xlsx]DB!e"&amp;MATCH(SAJ[[#This Row],[concat]],[4]!db[NB NOTA_C],0)+1,"&gt;"))</f>
        <v>&gt;</v>
      </c>
    </row>
    <row r="4" spans="1:25" x14ac:dyDescent="0.25">
      <c r="A4" s="13"/>
      <c r="B4" s="31" t="str">
        <f>IF(SAJ[[#This Row],[N_ID]]="","",INDEX(Table1[ID],MATCH(SAJ[[#This Row],[N_ID]],Table1[N_ID],0)))</f>
        <v/>
      </c>
      <c r="C4" s="31" t="str">
        <f>IF(SAJ[[#This Row],[ID NOTA]]="","",HYPERLINK("[NOTA_.xlsx]NOTA!e"&amp;INDEX([2]!PAJAK[//],MATCH(SAJ[[#This Row],[ID NOTA]],[2]!PAJAK[ID],0)),"&gt;") )</f>
        <v/>
      </c>
      <c r="D4" s="31" t="str">
        <f>IF(SAJ[[#This Row],[ID NOTA]]="","",INDEX(Table1[QB],MATCH(SAJ[[#This Row],[ID NOTA]],Table1[ID],0)))</f>
        <v/>
      </c>
      <c r="E4" s="31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773</v>
      </c>
      <c r="F4" s="31"/>
      <c r="G4" s="34" t="str">
        <f>IF(SAJ[[#This Row],[ID NOTA]]="","",INDEX([2]!NOTA[TGL_H],MATCH(SAJ[[#This Row],[ID NOTA]],[2]!NOTA[ID],0)))</f>
        <v/>
      </c>
      <c r="H4" s="34" t="str">
        <f>IF(SAJ[[#This Row],[ID NOTA]]="","",INDEX([2]!NOTA[TGL.NOTA],MATCH(SAJ[[#This Row],[ID NOTA]],[2]!NOTA[ID],0)))</f>
        <v/>
      </c>
      <c r="I4" s="25" t="str">
        <f>IF(SAJ[[#This Row],[ID NOTA]]="","",INDEX([2]!NOTA[NO.NOTA],MATCH(SAJ[[#This Row],[ID NOTA]],[2]!NOTA[ID],0)))</f>
        <v/>
      </c>
      <c r="J4" s="25" t="str">
        <f ca="1">IF(SAJ[[#This Row],[//]]="","",INDEX([4]!db[NB PAJAK],SAJ[[#This Row],[stt]]-1))</f>
        <v>TALI CANTOL PLASTIK 1.0 BIRU</v>
      </c>
      <c r="K4" s="31">
        <f ca="1">IF(SAJ[[#This Row],[//]]="","",INDEX([2]!NOTA[C],SAJ[[#This Row],[//]]-2))</f>
        <v>1</v>
      </c>
      <c r="L4" s="31">
        <f ca="1">IF(SAJ[//]="","",INDEX([2]!NOTA[QTY],SAJ[//]-2))</f>
        <v>50</v>
      </c>
      <c r="M4" s="31" t="str">
        <f ca="1">IF(SAJ[//]="","",INDEX([2]!NOTA[STN],SAJ[//]-2))</f>
        <v>BOX</v>
      </c>
      <c r="N4" s="35">
        <f ca="1">IF(SAJ[[#This Row],[//]]="","",IF(INDEX([2]!NOTA[HARGA/ CTN],SAJ[[#This Row],[//]]-2)="",INDEX([2]!NOTA[HARGA SATUAN],SAJ[//]-2),INDEX([2]!NOTA[HARGA/ CTN],SAJ[[#This Row],[//]]-2)))</f>
        <v>39500</v>
      </c>
      <c r="O4" s="36">
        <f ca="1">IF(SAJ[[#This Row],[//]]="","",IF(INDEX([2]!NOTA[DISC 1],SAJ[[#This Row],[//]]-2)="","",INDEX([2]!NOTA[DISC 1],SAJ[[#This Row],[//]]-2)))</f>
        <v>0.05</v>
      </c>
      <c r="P4" s="36" t="str">
        <f ca="1">IF(SAJ[[#This Row],[//]]="","",IF(INDEX([2]!NOTA[DISC 2],SAJ[[#This Row],[//]]-2)="","",INDEX([2]!NOTA[DISC 2],SAJ[[#This Row],[//]]-2)))</f>
        <v/>
      </c>
      <c r="Q4" s="29">
        <f ca="1">IF(SAJ[[#This Row],[//]]="","",INDEX([2]!NOTA[JUMLAH],SAJ[[#This Row],[//]]-2)*(100%-IF(ISNUMBER(SAJ[[#This Row],[DISC 1 (%)]]),SAJ[[#This Row],[DISC 1 (%)]],0)))</f>
        <v>1876250</v>
      </c>
      <c r="R4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4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4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4" s="25" t="str">
        <f ca="1">IF(SAJ[[#This Row],[//]]="","",INDEX([2]!NOTA[NAMA BARANG],SAJ[[#This Row],[//]]-2))</f>
        <v>TALI CANTOL PLASTIK 1.0 BIRU</v>
      </c>
      <c r="V4" s="25" t="str">
        <f ca="1">LOWER(SUBSTITUTE(SUBSTITUTE(SUBSTITUTE(SUBSTITUTE(SUBSTITUTE(SUBSTITUTE(SUBSTITUTE(SUBSTITUTE(SAJ[[#This Row],[N.B.nota]]," ",""),"-",""),"(",""),")",""),".",""),",",""),"/",""),"""",""))</f>
        <v>talicantolplastik10biru</v>
      </c>
      <c r="W4" s="25">
        <f ca="1">IF(SAJ[[#This Row],[concat]]="","",MATCH(SAJ[[#This Row],[concat]],[4]!db[NB NOTA_C],0)+1)</f>
        <v>1918</v>
      </c>
      <c r="X4" s="25" t="str">
        <f ca="1">IF(SAJ[[#This Row],[N.B.nota]]="","",ADDRESS(ROW(SAJ[QB]),COLUMN(SAJ[QB]))&amp;":"&amp;ADDRESS(ROW(),COLUMN(SAJ[QB])))</f>
        <v>$D$3:$D$4</v>
      </c>
      <c r="Y4" s="25" t="str">
        <f ca="1">IF(SAJ[[#This Row],[//]]="","",HYPERLINK("[..\\DB.xlsx]DB!e"&amp;MATCH(SAJ[[#This Row],[concat]],[4]!db[NB NOTA_C],0)+1,"&gt;"))</f>
        <v>&gt;</v>
      </c>
    </row>
    <row r="5" spans="1:25" x14ac:dyDescent="0.25">
      <c r="A5" s="13"/>
      <c r="B5" s="31" t="str">
        <f>IF(SAJ[[#This Row],[N_ID]]="","",INDEX(Table1[ID],MATCH(SAJ[[#This Row],[N_ID]],Table1[N_ID],0)))</f>
        <v/>
      </c>
      <c r="C5" s="31" t="str">
        <f>IF(SAJ[[#This Row],[ID NOTA]]="","",HYPERLINK("[NOTA_.xlsx]NOTA!e"&amp;INDEX([2]!PAJAK[//],MATCH(SAJ[[#This Row],[ID NOTA]],[2]!PAJAK[ID],0)),"&gt;") )</f>
        <v/>
      </c>
      <c r="D5" s="31" t="str">
        <f>IF(SAJ[[#This Row],[ID NOTA]]="","",INDEX(Table1[QB],MATCH(SAJ[[#This Row],[ID NOTA]],Table1[ID],0)))</f>
        <v/>
      </c>
      <c r="E5" s="31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774</v>
      </c>
      <c r="F5" s="31"/>
      <c r="G5" s="34" t="str">
        <f>IF(SAJ[[#This Row],[ID NOTA]]="","",INDEX([2]!NOTA[TGL_H],MATCH(SAJ[[#This Row],[ID NOTA]],[2]!NOTA[ID],0)))</f>
        <v/>
      </c>
      <c r="H5" s="34" t="str">
        <f>IF(SAJ[[#This Row],[ID NOTA]]="","",INDEX([2]!NOTA[TGL.NOTA],MATCH(SAJ[[#This Row],[ID NOTA]],[2]!NOTA[ID],0)))</f>
        <v/>
      </c>
      <c r="I5" s="25" t="str">
        <f>IF(SAJ[[#This Row],[ID NOTA]]="","",INDEX([2]!NOTA[NO.NOTA],MATCH(SAJ[[#This Row],[ID NOTA]],[2]!NOTA[ID],0)))</f>
        <v/>
      </c>
      <c r="J5" s="25" t="str">
        <f ca="1">IF(SAJ[[#This Row],[//]]="","",INDEX([4]!db[NB PAJAK],SAJ[[#This Row],[stt]]-1))</f>
        <v>TALI CANTOL PLASTIK 1.0 HIJAU</v>
      </c>
      <c r="K5" s="31">
        <f ca="1">IF(SAJ[[#This Row],[//]]="","",INDEX([2]!NOTA[C],SAJ[[#This Row],[//]]-2))</f>
        <v>1</v>
      </c>
      <c r="L5" s="31">
        <f ca="1">IF(SAJ[//]="","",INDEX([2]!NOTA[QTY],SAJ[//]-2))</f>
        <v>50</v>
      </c>
      <c r="M5" s="31" t="str">
        <f ca="1">IF(SAJ[//]="","",INDEX([2]!NOTA[STN],SAJ[//]-2))</f>
        <v>BOX</v>
      </c>
      <c r="N5" s="35">
        <f ca="1">IF(SAJ[[#This Row],[//]]="","",IF(INDEX([2]!NOTA[HARGA/ CTN],SAJ[[#This Row],[//]]-2)="",INDEX([2]!NOTA[HARGA SATUAN],SAJ[//]-2),INDEX([2]!NOTA[HARGA/ CTN],SAJ[[#This Row],[//]]-2)))</f>
        <v>39500</v>
      </c>
      <c r="O5" s="36">
        <f ca="1">IF(SAJ[[#This Row],[//]]="","",IF(INDEX([2]!NOTA[DISC 1],SAJ[[#This Row],[//]]-2)="","",INDEX([2]!NOTA[DISC 1],SAJ[[#This Row],[//]]-2)))</f>
        <v>0.05</v>
      </c>
      <c r="P5" s="36" t="str">
        <f ca="1">IF(SAJ[[#This Row],[//]]="","",IF(INDEX([2]!NOTA[DISC 2],SAJ[[#This Row],[//]]-2)="","",INDEX([2]!NOTA[DISC 2],SAJ[[#This Row],[//]]-2)))</f>
        <v/>
      </c>
      <c r="Q5" s="29">
        <f ca="1">IF(SAJ[[#This Row],[//]]="","",INDEX([2]!NOTA[JUMLAH],SAJ[[#This Row],[//]]-2)*(100%-IF(ISNUMBER(SAJ[[#This Row],[DISC 1 (%)]]),SAJ[[#This Row],[DISC 1 (%)]],0)))</f>
        <v>1876250</v>
      </c>
      <c r="R5" s="35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296250</v>
      </c>
      <c r="S5" s="35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5628750</v>
      </c>
      <c r="T5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5" s="25" t="str">
        <f ca="1">IF(SAJ[[#This Row],[//]]="","",INDEX([2]!NOTA[NAMA BARANG],SAJ[[#This Row],[//]]-2))</f>
        <v>TALI CANTOL PLASTIK 1.0 HIJAU</v>
      </c>
      <c r="V5" s="25" t="str">
        <f ca="1">LOWER(SUBSTITUTE(SUBSTITUTE(SUBSTITUTE(SUBSTITUTE(SUBSTITUTE(SUBSTITUTE(SUBSTITUTE(SUBSTITUTE(SAJ[[#This Row],[N.B.nota]]," ",""),"-",""),"(",""),")",""),".",""),",",""),"/",""),"""",""))</f>
        <v>talicantolplastik10hijau</v>
      </c>
      <c r="W5" s="25">
        <f ca="1">IF(SAJ[[#This Row],[concat]]="","",MATCH(SAJ[[#This Row],[concat]],[4]!db[NB NOTA_C],0)+1)</f>
        <v>1919</v>
      </c>
      <c r="X5" s="25" t="str">
        <f ca="1">IF(SAJ[[#This Row],[N.B.nota]]="","",ADDRESS(ROW(SAJ[QB]),COLUMN(SAJ[QB]))&amp;":"&amp;ADDRESS(ROW(),COLUMN(SAJ[QB])))</f>
        <v>$D$3:$D$5</v>
      </c>
      <c r="Y5" s="25" t="str">
        <f ca="1">IF(SAJ[[#This Row],[//]]="","",HYPERLINK("[..\\DB.xlsx]DB!e"&amp;MATCH(SAJ[[#This Row],[concat]],[4]!db[NB NOTA_C],0)+1,"&gt;"))</f>
        <v>&gt;</v>
      </c>
    </row>
    <row r="6" spans="1:25" x14ac:dyDescent="0.25">
      <c r="A6" s="13"/>
      <c r="B6" s="31" t="str">
        <f>IF(SAJ[[#This Row],[N_ID]]="","",INDEX(Table1[ID],MATCH(SAJ[[#This Row],[N_ID]],Table1[N_ID],0)))</f>
        <v/>
      </c>
      <c r="C6" s="31" t="str">
        <f>IF(SAJ[[#This Row],[ID NOTA]]="","",HYPERLINK("[NOTA_.xlsx]NOTA!e"&amp;INDEX([2]!PAJAK[//],MATCH(SAJ[[#This Row],[ID NOTA]],[2]!PAJAK[ID],0)),"&gt;") )</f>
        <v/>
      </c>
      <c r="D6" s="31" t="str">
        <f>IF(SAJ[[#This Row],[ID NOTA]]="","",INDEX(Table1[QB],MATCH(SAJ[[#This Row],[ID NOTA]],Table1[ID],0)))</f>
        <v/>
      </c>
      <c r="E6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6" s="31"/>
      <c r="G6" s="34" t="str">
        <f>IF(SAJ[[#This Row],[ID NOTA]]="","",INDEX([2]!NOTA[TGL_H],MATCH(SAJ[[#This Row],[ID NOTA]],[2]!NOTA[ID],0)))</f>
        <v/>
      </c>
      <c r="H6" s="34" t="str">
        <f>IF(SAJ[[#This Row],[ID NOTA]]="","",INDEX([2]!NOTA[TGL.NOTA],MATCH(SAJ[[#This Row],[ID NOTA]],[2]!NOTA[ID],0)))</f>
        <v/>
      </c>
      <c r="I6" s="25" t="str">
        <f>IF(SAJ[[#This Row],[ID NOTA]]="","",INDEX([2]!NOTA[NO.NOTA],MATCH(SAJ[[#This Row],[ID NOTA]],[2]!NOTA[ID],0)))</f>
        <v/>
      </c>
      <c r="J6" s="25" t="str">
        <f ca="1">IF(SAJ[[#This Row],[//]]="","",INDEX([4]!db[NB PAJAK],SAJ[[#This Row],[stt]]-1))</f>
        <v/>
      </c>
      <c r="K6" s="31" t="str">
        <f ca="1">IF(SAJ[[#This Row],[//]]="","",INDEX([2]!NOTA[C],SAJ[[#This Row],[//]]-2))</f>
        <v/>
      </c>
      <c r="L6" s="31" t="str">
        <f ca="1">IF(SAJ[//]="","",INDEX([2]!NOTA[QTY],SAJ[//]-2))</f>
        <v/>
      </c>
      <c r="M6" s="31" t="str">
        <f ca="1">IF(SAJ[//]="","",INDEX([2]!NOTA[STN],SAJ[//]-2))</f>
        <v/>
      </c>
      <c r="N6" s="35" t="str">
        <f ca="1">IF(SAJ[[#This Row],[//]]="","",IF(INDEX([2]!NOTA[HARGA/ CTN],SAJ[[#This Row],[//]]-2)="",INDEX([2]!NOTA[HARGA SATUAN],SAJ[//]-2),INDEX([2]!NOTA[HARGA/ CTN],SAJ[[#This Row],[//]]-2)))</f>
        <v/>
      </c>
      <c r="O6" s="36" t="str">
        <f ca="1">IF(SAJ[[#This Row],[//]]="","",IF(INDEX([2]!NOTA[DISC 1],SAJ[[#This Row],[//]]-2)="","",INDEX([2]!NOTA[DISC 1],SAJ[[#This Row],[//]]-2)))</f>
        <v/>
      </c>
      <c r="P6" s="36" t="str">
        <f ca="1">IF(SAJ[[#This Row],[//]]="","",IF(INDEX([2]!NOTA[DISC 2],SAJ[[#This Row],[//]]-2)="","",INDEX([2]!NOTA[DISC 2],SAJ[[#This Row],[//]]-2)))</f>
        <v/>
      </c>
      <c r="Q6" s="29" t="str">
        <f ca="1">IF(SAJ[[#This Row],[//]]="","",INDEX([2]!NOTA[JUMLAH],SAJ[[#This Row],[//]]-2)*(100%-IF(ISNUMBER(SAJ[[#This Row],[DISC 1 (%)]]),SAJ[[#This Row],[DISC 1 (%)]],0)))</f>
        <v/>
      </c>
      <c r="R6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6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6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6" s="25" t="str">
        <f ca="1">IF(SAJ[[#This Row],[//]]="","",INDEX([2]!NOTA[NAMA BARANG],SAJ[[#This Row],[//]]-2))</f>
        <v/>
      </c>
      <c r="V6" s="25" t="str">
        <f ca="1">LOWER(SUBSTITUTE(SUBSTITUTE(SUBSTITUTE(SUBSTITUTE(SUBSTITUTE(SUBSTITUTE(SUBSTITUTE(SUBSTITUTE(SAJ[[#This Row],[N.B.nota]]," ",""),"-",""),"(",""),")",""),".",""),",",""),"/",""),"""",""))</f>
        <v/>
      </c>
      <c r="W6" s="25" t="str">
        <f ca="1">IF(SAJ[[#This Row],[concat]]="","",MATCH(SAJ[[#This Row],[concat]],[4]!db[NB NOTA_C],0)+1)</f>
        <v/>
      </c>
      <c r="X6" s="25" t="str">
        <f ca="1">IF(SAJ[[#This Row],[N.B.nota]]="","",ADDRESS(ROW(SAJ[QB]),COLUMN(SAJ[QB]))&amp;":"&amp;ADDRESS(ROW(),COLUMN(SAJ[QB])))</f>
        <v/>
      </c>
      <c r="Y6" s="25" t="str">
        <f ca="1">IF(SAJ[[#This Row],[//]]="","",HYPERLINK("[..\\DB.xlsx]DB!e"&amp;MATCH(SAJ[[#This Row],[concat]],[4]!db[NB NOTA_C],0)+1,"&gt;"))</f>
        <v/>
      </c>
    </row>
    <row r="7" spans="1:25" x14ac:dyDescent="0.25">
      <c r="A7" s="13"/>
      <c r="B7" s="31" t="str">
        <f>IF(SAJ[[#This Row],[N_ID]]="","",INDEX(Table1[ID],MATCH(SAJ[[#This Row],[N_ID]],Table1[N_ID],0)))</f>
        <v/>
      </c>
      <c r="C7" s="31" t="str">
        <f>IF(SAJ[[#This Row],[ID NOTA]]="","",HYPERLINK("[NOTA_.xlsx]NOTA!e"&amp;INDEX([2]!PAJAK[//],MATCH(SAJ[[#This Row],[ID NOTA]],[2]!PAJAK[ID],0)),"&gt;") )</f>
        <v/>
      </c>
      <c r="D7" s="31" t="str">
        <f>IF(SAJ[[#This Row],[ID NOTA]]="","",INDEX(Table1[QB],MATCH(SAJ[[#This Row],[ID NOTA]],Table1[ID],0)))</f>
        <v/>
      </c>
      <c r="E7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7" s="31"/>
      <c r="G7" s="34" t="str">
        <f>IF(SAJ[[#This Row],[ID NOTA]]="","",INDEX([2]!NOTA[TGL_H],MATCH(SAJ[[#This Row],[ID NOTA]],[2]!NOTA[ID],0)))</f>
        <v/>
      </c>
      <c r="H7" s="34" t="str">
        <f>IF(SAJ[[#This Row],[ID NOTA]]="","",INDEX([2]!NOTA[TGL.NOTA],MATCH(SAJ[[#This Row],[ID NOTA]],[2]!NOTA[ID],0)))</f>
        <v/>
      </c>
      <c r="I7" s="25" t="str">
        <f>IF(SAJ[[#This Row],[ID NOTA]]="","",INDEX([2]!NOTA[NO.NOTA],MATCH(SAJ[[#This Row],[ID NOTA]],[2]!NOTA[ID],0)))</f>
        <v/>
      </c>
      <c r="J7" s="25" t="str">
        <f ca="1">IF(SAJ[[#This Row],[//]]="","",INDEX([4]!db[NB PAJAK],SAJ[[#This Row],[stt]]-1))</f>
        <v/>
      </c>
      <c r="K7" s="31" t="str">
        <f ca="1">IF(SAJ[[#This Row],[//]]="","",INDEX([2]!NOTA[C],SAJ[[#This Row],[//]]-2))</f>
        <v/>
      </c>
      <c r="L7" s="31" t="str">
        <f ca="1">IF(SAJ[//]="","",INDEX([2]!NOTA[QTY],SAJ[//]-2))</f>
        <v/>
      </c>
      <c r="M7" s="31" t="str">
        <f ca="1">IF(SAJ[//]="","",INDEX([2]!NOTA[STN],SAJ[//]-2))</f>
        <v/>
      </c>
      <c r="N7" s="35" t="str">
        <f ca="1">IF(SAJ[[#This Row],[//]]="","",IF(INDEX([2]!NOTA[HARGA/ CTN],SAJ[[#This Row],[//]]-2)="",INDEX([2]!NOTA[HARGA SATUAN],SAJ[//]-2),INDEX([2]!NOTA[HARGA/ CTN],SAJ[[#This Row],[//]]-2)))</f>
        <v/>
      </c>
      <c r="O7" s="36" t="str">
        <f ca="1">IF(SAJ[[#This Row],[//]]="","",IF(INDEX([2]!NOTA[DISC 1],SAJ[[#This Row],[//]]-2)="","",INDEX([2]!NOTA[DISC 1],SAJ[[#This Row],[//]]-2)))</f>
        <v/>
      </c>
      <c r="P7" s="36" t="str">
        <f ca="1">IF(SAJ[[#This Row],[//]]="","",IF(INDEX([2]!NOTA[DISC 2],SAJ[[#This Row],[//]]-2)="","",INDEX([2]!NOTA[DISC 2],SAJ[[#This Row],[//]]-2)))</f>
        <v/>
      </c>
      <c r="Q7" s="29" t="str">
        <f ca="1">IF(SAJ[[#This Row],[//]]="","",INDEX([2]!NOTA[JUMLAH],SAJ[[#This Row],[//]]-2)*(100%-IF(ISNUMBER(SAJ[[#This Row],[DISC 1 (%)]]),SAJ[[#This Row],[DISC 1 (%)]],0)))</f>
        <v/>
      </c>
      <c r="R7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7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7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7" s="25" t="str">
        <f ca="1">IF(SAJ[[#This Row],[//]]="","",INDEX([2]!NOTA[NAMA BARANG],SAJ[[#This Row],[//]]-2))</f>
        <v/>
      </c>
      <c r="V7" s="25" t="str">
        <f ca="1">LOWER(SUBSTITUTE(SUBSTITUTE(SUBSTITUTE(SUBSTITUTE(SUBSTITUTE(SUBSTITUTE(SUBSTITUTE(SUBSTITUTE(SAJ[[#This Row],[N.B.nota]]," ",""),"-",""),"(",""),")",""),".",""),",",""),"/",""),"""",""))</f>
        <v/>
      </c>
      <c r="W7" s="25" t="str">
        <f ca="1">IF(SAJ[[#This Row],[concat]]="","",MATCH(SAJ[[#This Row],[concat]],[4]!db[NB NOTA_C],0)+1)</f>
        <v/>
      </c>
      <c r="X7" s="25" t="str">
        <f ca="1">IF(SAJ[[#This Row],[N.B.nota]]="","",ADDRESS(ROW(SAJ[QB]),COLUMN(SAJ[QB]))&amp;":"&amp;ADDRESS(ROW(),COLUMN(SAJ[QB])))</f>
        <v/>
      </c>
      <c r="Y7" s="25" t="str">
        <f ca="1">IF(SAJ[[#This Row],[//]]="","",HYPERLINK("[..\\DB.xlsx]DB!e"&amp;MATCH(SAJ[[#This Row],[concat]],[4]!db[NB NOTA_C],0)+1,"&gt;"))</f>
        <v/>
      </c>
    </row>
    <row r="8" spans="1:25" x14ac:dyDescent="0.25">
      <c r="A8" s="13"/>
      <c r="B8" s="31" t="str">
        <f>IF(SAJ[[#This Row],[N_ID]]="","",INDEX(Table1[ID],MATCH(SAJ[[#This Row],[N_ID]],Table1[N_ID],0)))</f>
        <v/>
      </c>
      <c r="C8" s="31" t="str">
        <f>IF(SAJ[[#This Row],[ID NOTA]]="","",HYPERLINK("[NOTA_.xlsx]NOTA!e"&amp;INDEX([2]!PAJAK[//],MATCH(SAJ[[#This Row],[ID NOTA]],[2]!PAJAK[ID],0)),"&gt;") )</f>
        <v/>
      </c>
      <c r="D8" s="31" t="str">
        <f>IF(SAJ[[#This Row],[ID NOTA]]="","",INDEX(Table1[QB],MATCH(SAJ[[#This Row],[ID NOTA]],Table1[ID],0)))</f>
        <v/>
      </c>
      <c r="E8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8" s="31"/>
      <c r="G8" s="34" t="str">
        <f>IF(SAJ[[#This Row],[ID NOTA]]="","",INDEX([2]!NOTA[TGL_H],MATCH(SAJ[[#This Row],[ID NOTA]],[2]!NOTA[ID],0)))</f>
        <v/>
      </c>
      <c r="H8" s="34" t="str">
        <f>IF(SAJ[[#This Row],[ID NOTA]]="","",INDEX([2]!NOTA[TGL.NOTA],MATCH(SAJ[[#This Row],[ID NOTA]],[2]!NOTA[ID],0)))</f>
        <v/>
      </c>
      <c r="I8" s="25" t="str">
        <f>IF(SAJ[[#This Row],[ID NOTA]]="","",INDEX([2]!NOTA[NO.NOTA],MATCH(SAJ[[#This Row],[ID NOTA]],[2]!NOTA[ID],0)))</f>
        <v/>
      </c>
      <c r="J8" s="25" t="str">
        <f ca="1">IF(SAJ[[#This Row],[//]]="","",INDEX([4]!db[NB PAJAK],SAJ[[#This Row],[stt]]-1))</f>
        <v/>
      </c>
      <c r="K8" s="31" t="str">
        <f ca="1">IF(SAJ[[#This Row],[//]]="","",INDEX([2]!NOTA[C],SAJ[[#This Row],[//]]-2))</f>
        <v/>
      </c>
      <c r="L8" s="31" t="str">
        <f ca="1">IF(SAJ[//]="","",INDEX([2]!NOTA[QTY],SAJ[//]-2))</f>
        <v/>
      </c>
      <c r="M8" s="31" t="str">
        <f ca="1">IF(SAJ[//]="","",INDEX([2]!NOTA[STN],SAJ[//]-2))</f>
        <v/>
      </c>
      <c r="N8" s="35" t="str">
        <f ca="1">IF(SAJ[[#This Row],[//]]="","",IF(INDEX([2]!NOTA[HARGA/ CTN],SAJ[[#This Row],[//]]-2)="",INDEX([2]!NOTA[HARGA SATUAN],SAJ[//]-2),INDEX([2]!NOTA[HARGA/ CTN],SAJ[[#This Row],[//]]-2)))</f>
        <v/>
      </c>
      <c r="O8" s="36" t="str">
        <f ca="1">IF(SAJ[[#This Row],[//]]="","",IF(INDEX([2]!NOTA[DISC 1],SAJ[[#This Row],[//]]-2)="","",INDEX([2]!NOTA[DISC 1],SAJ[[#This Row],[//]]-2)))</f>
        <v/>
      </c>
      <c r="P8" s="36" t="str">
        <f ca="1">IF(SAJ[[#This Row],[//]]="","",IF(INDEX([2]!NOTA[DISC 2],SAJ[[#This Row],[//]]-2)="","",INDEX([2]!NOTA[DISC 2],SAJ[[#This Row],[//]]-2)))</f>
        <v/>
      </c>
      <c r="Q8" s="29" t="str">
        <f ca="1">IF(SAJ[[#This Row],[//]]="","",INDEX([2]!NOTA[JUMLAH],SAJ[[#This Row],[//]]-2)*(100%-IF(ISNUMBER(SAJ[[#This Row],[DISC 1 (%)]]),SAJ[[#This Row],[DISC 1 (%)]],0)))</f>
        <v/>
      </c>
      <c r="R8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8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8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8" s="25" t="str">
        <f ca="1">IF(SAJ[[#This Row],[//]]="","",INDEX([2]!NOTA[NAMA BARANG],SAJ[[#This Row],[//]]-2))</f>
        <v/>
      </c>
      <c r="V8" s="25" t="str">
        <f ca="1">LOWER(SUBSTITUTE(SUBSTITUTE(SUBSTITUTE(SUBSTITUTE(SUBSTITUTE(SUBSTITUTE(SUBSTITUTE(SUBSTITUTE(SAJ[[#This Row],[N.B.nota]]," ",""),"-",""),"(",""),")",""),".",""),",",""),"/",""),"""",""))</f>
        <v/>
      </c>
      <c r="W8" s="25" t="str">
        <f ca="1">IF(SAJ[[#This Row],[concat]]="","",MATCH(SAJ[[#This Row],[concat]],[4]!db[NB NOTA_C],0)+1)</f>
        <v/>
      </c>
      <c r="X8" s="25" t="str">
        <f ca="1">IF(SAJ[[#This Row],[N.B.nota]]="","",ADDRESS(ROW(SAJ[QB]),COLUMN(SAJ[QB]))&amp;":"&amp;ADDRESS(ROW(),COLUMN(SAJ[QB])))</f>
        <v/>
      </c>
      <c r="Y8" s="25" t="str">
        <f ca="1">IF(SAJ[[#This Row],[//]]="","",HYPERLINK("[..\\DB.xlsx]DB!e"&amp;MATCH(SAJ[[#This Row],[concat]],[4]!db[NB NOTA_C],0)+1,"&gt;"))</f>
        <v/>
      </c>
    </row>
    <row r="9" spans="1:25" x14ac:dyDescent="0.25">
      <c r="A9" s="13"/>
      <c r="B9" s="31" t="str">
        <f>IF(SAJ[[#This Row],[N_ID]]="","",INDEX(Table1[ID],MATCH(SAJ[[#This Row],[N_ID]],Table1[N_ID],0)))</f>
        <v/>
      </c>
      <c r="C9" s="31" t="str">
        <f>IF(SAJ[[#This Row],[ID NOTA]]="","",HYPERLINK("[NOTA_.xlsx]NOTA!e"&amp;INDEX([2]!PAJAK[//],MATCH(SAJ[[#This Row],[ID NOTA]],[2]!PAJAK[ID],0)),"&gt;") )</f>
        <v/>
      </c>
      <c r="D9" s="31" t="str">
        <f>IF(SAJ[[#This Row],[ID NOTA]]="","",INDEX(Table1[QB],MATCH(SAJ[[#This Row],[ID NOTA]],Table1[ID],0)))</f>
        <v/>
      </c>
      <c r="E9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9" s="31"/>
      <c r="G9" s="34" t="str">
        <f>IF(SAJ[[#This Row],[ID NOTA]]="","",INDEX([2]!NOTA[TGL_H],MATCH(SAJ[[#This Row],[ID NOTA]],[2]!NOTA[ID],0)))</f>
        <v/>
      </c>
      <c r="H9" s="34" t="str">
        <f>IF(SAJ[[#This Row],[ID NOTA]]="","",INDEX([2]!NOTA[TGL.NOTA],MATCH(SAJ[[#This Row],[ID NOTA]],[2]!NOTA[ID],0)))</f>
        <v/>
      </c>
      <c r="I9" s="25" t="str">
        <f>IF(SAJ[[#This Row],[ID NOTA]]="","",INDEX([2]!NOTA[NO.NOTA],MATCH(SAJ[[#This Row],[ID NOTA]],[2]!NOTA[ID],0)))</f>
        <v/>
      </c>
      <c r="J9" s="25" t="str">
        <f ca="1">IF(SAJ[[#This Row],[//]]="","",INDEX([4]!db[NB PAJAK],SAJ[[#This Row],[stt]]-1))</f>
        <v/>
      </c>
      <c r="K9" s="31" t="str">
        <f ca="1">IF(SAJ[[#This Row],[//]]="","",INDEX([2]!NOTA[C],SAJ[[#This Row],[//]]-2))</f>
        <v/>
      </c>
      <c r="L9" s="31" t="str">
        <f ca="1">IF(SAJ[//]="","",INDEX([2]!NOTA[QTY],SAJ[//]-2))</f>
        <v/>
      </c>
      <c r="M9" s="31" t="str">
        <f ca="1">IF(SAJ[//]="","",INDEX([2]!NOTA[STN],SAJ[//]-2))</f>
        <v/>
      </c>
      <c r="N9" s="35" t="str">
        <f ca="1">IF(SAJ[[#This Row],[//]]="","",IF(INDEX([2]!NOTA[HARGA/ CTN],SAJ[[#This Row],[//]]-2)="",INDEX([2]!NOTA[HARGA SATUAN],SAJ[//]-2),INDEX([2]!NOTA[HARGA/ CTN],SAJ[[#This Row],[//]]-2)))</f>
        <v/>
      </c>
      <c r="O9" s="36" t="str">
        <f ca="1">IF(SAJ[[#This Row],[//]]="","",IF(INDEX([2]!NOTA[DISC 1],SAJ[[#This Row],[//]]-2)="","",INDEX([2]!NOTA[DISC 1],SAJ[[#This Row],[//]]-2)))</f>
        <v/>
      </c>
      <c r="P9" s="36" t="str">
        <f ca="1">IF(SAJ[[#This Row],[//]]="","",IF(INDEX([2]!NOTA[DISC 2],SAJ[[#This Row],[//]]-2)="","",INDEX([2]!NOTA[DISC 2],SAJ[[#This Row],[//]]-2)))</f>
        <v/>
      </c>
      <c r="Q9" s="29" t="str">
        <f ca="1">IF(SAJ[[#This Row],[//]]="","",INDEX([2]!NOTA[JUMLAH],SAJ[[#This Row],[//]]-2)*(100%-IF(ISNUMBER(SAJ[[#This Row],[DISC 1 (%)]]),SAJ[[#This Row],[DISC 1 (%)]],0)))</f>
        <v/>
      </c>
      <c r="R9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9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9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9" s="25" t="str">
        <f ca="1">IF(SAJ[[#This Row],[//]]="","",INDEX([2]!NOTA[NAMA BARANG],SAJ[[#This Row],[//]]-2))</f>
        <v/>
      </c>
      <c r="V9" s="25" t="str">
        <f ca="1">LOWER(SUBSTITUTE(SUBSTITUTE(SUBSTITUTE(SUBSTITUTE(SUBSTITUTE(SUBSTITUTE(SUBSTITUTE(SUBSTITUTE(SAJ[[#This Row],[N.B.nota]]," ",""),"-",""),"(",""),")",""),".",""),",",""),"/",""),"""",""))</f>
        <v/>
      </c>
      <c r="W9" s="25" t="str">
        <f ca="1">IF(SAJ[[#This Row],[concat]]="","",MATCH(SAJ[[#This Row],[concat]],[4]!db[NB NOTA_C],0)+1)</f>
        <v/>
      </c>
      <c r="X9" s="25" t="str">
        <f ca="1">IF(SAJ[[#This Row],[N.B.nota]]="","",ADDRESS(ROW(SAJ[QB]),COLUMN(SAJ[QB]))&amp;":"&amp;ADDRESS(ROW(),COLUMN(SAJ[QB])))</f>
        <v/>
      </c>
      <c r="Y9" s="25" t="str">
        <f ca="1">IF(SAJ[[#This Row],[//]]="","",HYPERLINK("[..\\DB.xlsx]DB!e"&amp;MATCH(SAJ[[#This Row],[concat]],[4]!db[NB NOTA_C],0)+1,"&gt;"))</f>
        <v/>
      </c>
    </row>
    <row r="10" spans="1:25" x14ac:dyDescent="0.25">
      <c r="A10" s="13"/>
      <c r="B10" s="31" t="str">
        <f>IF(SAJ[[#This Row],[N_ID]]="","",INDEX(Table1[ID],MATCH(SAJ[[#This Row],[N_ID]],Table1[N_ID],0)))</f>
        <v/>
      </c>
      <c r="C10" s="31" t="str">
        <f>IF(SAJ[[#This Row],[ID NOTA]]="","",HYPERLINK("[NOTA_.xlsx]NOTA!e"&amp;INDEX([2]!PAJAK[//],MATCH(SAJ[[#This Row],[ID NOTA]],[2]!PAJAK[ID],0)),"&gt;") )</f>
        <v/>
      </c>
      <c r="D10" s="31" t="str">
        <f>IF(SAJ[[#This Row],[ID NOTA]]="","",INDEX(Table1[QB],MATCH(SAJ[[#This Row],[ID NOTA]],Table1[ID],0)))</f>
        <v/>
      </c>
      <c r="E10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0" s="31"/>
      <c r="G10" s="34" t="str">
        <f>IF(SAJ[[#This Row],[ID NOTA]]="","",INDEX([2]!NOTA[TGL_H],MATCH(SAJ[[#This Row],[ID NOTA]],[2]!NOTA[ID],0)))</f>
        <v/>
      </c>
      <c r="H10" s="34" t="str">
        <f>IF(SAJ[[#This Row],[ID NOTA]]="","",INDEX([2]!NOTA[TGL.NOTA],MATCH(SAJ[[#This Row],[ID NOTA]],[2]!NOTA[ID],0)))</f>
        <v/>
      </c>
      <c r="I10" s="25" t="str">
        <f>IF(SAJ[[#This Row],[ID NOTA]]="","",INDEX([2]!NOTA[NO.NOTA],MATCH(SAJ[[#This Row],[ID NOTA]],[2]!NOTA[ID],0)))</f>
        <v/>
      </c>
      <c r="J10" s="25" t="str">
        <f ca="1">IF(SAJ[[#This Row],[//]]="","",INDEX([4]!db[NB PAJAK],SAJ[[#This Row],[stt]]-1))</f>
        <v/>
      </c>
      <c r="K10" s="31" t="str">
        <f ca="1">IF(SAJ[[#This Row],[//]]="","",INDEX([2]!NOTA[C],SAJ[[#This Row],[//]]-2))</f>
        <v/>
      </c>
      <c r="L10" s="31" t="str">
        <f ca="1">IF(SAJ[//]="","",INDEX([2]!NOTA[QTY],SAJ[//]-2))</f>
        <v/>
      </c>
      <c r="M10" s="31" t="str">
        <f ca="1">IF(SAJ[//]="","",INDEX([2]!NOTA[STN],SAJ[//]-2))</f>
        <v/>
      </c>
      <c r="N10" s="35" t="str">
        <f ca="1">IF(SAJ[[#This Row],[//]]="","",IF(INDEX([2]!NOTA[HARGA/ CTN],SAJ[[#This Row],[//]]-2)="",INDEX([2]!NOTA[HARGA SATUAN],SAJ[//]-2),INDEX([2]!NOTA[HARGA/ CTN],SAJ[[#This Row],[//]]-2)))</f>
        <v/>
      </c>
      <c r="O10" s="36" t="str">
        <f ca="1">IF(SAJ[[#This Row],[//]]="","",IF(INDEX([2]!NOTA[DISC 1],SAJ[[#This Row],[//]]-2)="","",INDEX([2]!NOTA[DISC 1],SAJ[[#This Row],[//]]-2)))</f>
        <v/>
      </c>
      <c r="P10" s="36" t="str">
        <f ca="1">IF(SAJ[[#This Row],[//]]="","",IF(INDEX([2]!NOTA[DISC 2],SAJ[[#This Row],[//]]-2)="","",INDEX([2]!NOTA[DISC 2],SAJ[[#This Row],[//]]-2)))</f>
        <v/>
      </c>
      <c r="Q10" s="29" t="str">
        <f ca="1">IF(SAJ[[#This Row],[//]]="","",INDEX([2]!NOTA[JUMLAH],SAJ[[#This Row],[//]]-2)*(100%-IF(ISNUMBER(SAJ[[#This Row],[DISC 1 (%)]]),SAJ[[#This Row],[DISC 1 (%)]],0)))</f>
        <v/>
      </c>
      <c r="R10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0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0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0" s="25" t="str">
        <f ca="1">IF(SAJ[[#This Row],[//]]="","",INDEX([2]!NOTA[NAMA BARANG],SAJ[[#This Row],[//]]-2))</f>
        <v/>
      </c>
      <c r="V10" s="25" t="str">
        <f ca="1">LOWER(SUBSTITUTE(SUBSTITUTE(SUBSTITUTE(SUBSTITUTE(SUBSTITUTE(SUBSTITUTE(SUBSTITUTE(SUBSTITUTE(SAJ[[#This Row],[N.B.nota]]," ",""),"-",""),"(",""),")",""),".",""),",",""),"/",""),"""",""))</f>
        <v/>
      </c>
      <c r="W10" s="25" t="str">
        <f ca="1">IF(SAJ[[#This Row],[concat]]="","",MATCH(SAJ[[#This Row],[concat]],[4]!db[NB NOTA_C],0)+1)</f>
        <v/>
      </c>
      <c r="X10" s="25" t="str">
        <f ca="1">IF(SAJ[[#This Row],[N.B.nota]]="","",ADDRESS(ROW(SAJ[QB]),COLUMN(SAJ[QB]))&amp;":"&amp;ADDRESS(ROW(),COLUMN(SAJ[QB])))</f>
        <v/>
      </c>
      <c r="Y10" s="25" t="str">
        <f ca="1">IF(SAJ[[#This Row],[//]]="","",HYPERLINK("[..\\DB.xlsx]DB!e"&amp;MATCH(SAJ[[#This Row],[concat]],[4]!db[NB NOTA_C],0)+1,"&gt;"))</f>
        <v/>
      </c>
    </row>
    <row r="11" spans="1:25" x14ac:dyDescent="0.25">
      <c r="A11" s="13"/>
      <c r="B11" s="31" t="str">
        <f>IF(SAJ[[#This Row],[N_ID]]="","",INDEX(Table1[ID],MATCH(SAJ[[#This Row],[N_ID]],Table1[N_ID],0)))</f>
        <v/>
      </c>
      <c r="C11" s="31" t="str">
        <f>IF(SAJ[[#This Row],[ID NOTA]]="","",HYPERLINK("[NOTA_.xlsx]NOTA!e"&amp;INDEX([2]!PAJAK[//],MATCH(SAJ[[#This Row],[ID NOTA]],[2]!PAJAK[ID],0)),"&gt;") )</f>
        <v/>
      </c>
      <c r="D11" s="31" t="str">
        <f>IF(SAJ[[#This Row],[ID NOTA]]="","",INDEX(Table1[QB],MATCH(SAJ[[#This Row],[ID NOTA]],Table1[ID],0)))</f>
        <v/>
      </c>
      <c r="E11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1" s="31"/>
      <c r="G11" s="34" t="str">
        <f>IF(SAJ[[#This Row],[ID NOTA]]="","",INDEX([2]!NOTA[TGL_H],MATCH(SAJ[[#This Row],[ID NOTA]],[2]!NOTA[ID],0)))</f>
        <v/>
      </c>
      <c r="H11" s="34" t="str">
        <f>IF(SAJ[[#This Row],[ID NOTA]]="","",INDEX([2]!NOTA[TGL.NOTA],MATCH(SAJ[[#This Row],[ID NOTA]],[2]!NOTA[ID],0)))</f>
        <v/>
      </c>
      <c r="I11" s="25" t="str">
        <f>IF(SAJ[[#This Row],[ID NOTA]]="","",INDEX([2]!NOTA[NO.NOTA],MATCH(SAJ[[#This Row],[ID NOTA]],[2]!NOTA[ID],0)))</f>
        <v/>
      </c>
      <c r="J11" s="25" t="str">
        <f ca="1">IF(SAJ[[#This Row],[//]]="","",INDEX([4]!db[NB PAJAK],SAJ[[#This Row],[stt]]-1))</f>
        <v/>
      </c>
      <c r="K11" s="31" t="str">
        <f ca="1">IF(SAJ[[#This Row],[//]]="","",INDEX([2]!NOTA[C],SAJ[[#This Row],[//]]-2))</f>
        <v/>
      </c>
      <c r="L11" s="31" t="str">
        <f ca="1">IF(SAJ[//]="","",INDEX([2]!NOTA[QTY],SAJ[//]-2))</f>
        <v/>
      </c>
      <c r="M11" s="31" t="str">
        <f ca="1">IF(SAJ[//]="","",INDEX([2]!NOTA[STN],SAJ[//]-2))</f>
        <v/>
      </c>
      <c r="N11" s="35" t="str">
        <f ca="1">IF(SAJ[[#This Row],[//]]="","",IF(INDEX([2]!NOTA[HARGA/ CTN],SAJ[[#This Row],[//]]-2)="",INDEX([2]!NOTA[HARGA SATUAN],SAJ[//]-2),INDEX([2]!NOTA[HARGA/ CTN],SAJ[[#This Row],[//]]-2)))</f>
        <v/>
      </c>
      <c r="O11" s="36" t="str">
        <f ca="1">IF(SAJ[[#This Row],[//]]="","",IF(INDEX([2]!NOTA[DISC 1],SAJ[[#This Row],[//]]-2)="","",INDEX([2]!NOTA[DISC 1],SAJ[[#This Row],[//]]-2)))</f>
        <v/>
      </c>
      <c r="P11" s="36" t="str">
        <f ca="1">IF(SAJ[[#This Row],[//]]="","",IF(INDEX([2]!NOTA[DISC 2],SAJ[[#This Row],[//]]-2)="","",INDEX([2]!NOTA[DISC 2],SAJ[[#This Row],[//]]-2)))</f>
        <v/>
      </c>
      <c r="Q11" s="29" t="str">
        <f ca="1">IF(SAJ[[#This Row],[//]]="","",INDEX([2]!NOTA[JUMLAH],SAJ[[#This Row],[//]]-2)*(100%-IF(ISNUMBER(SAJ[[#This Row],[DISC 1 (%)]]),SAJ[[#This Row],[DISC 1 (%)]],0)))</f>
        <v/>
      </c>
      <c r="R11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1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1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1" s="25" t="str">
        <f ca="1">IF(SAJ[[#This Row],[//]]="","",INDEX([2]!NOTA[NAMA BARANG],SAJ[[#This Row],[//]]-2))</f>
        <v/>
      </c>
      <c r="V11" s="25" t="str">
        <f ca="1">LOWER(SUBSTITUTE(SUBSTITUTE(SUBSTITUTE(SUBSTITUTE(SUBSTITUTE(SUBSTITUTE(SUBSTITUTE(SUBSTITUTE(SAJ[[#This Row],[N.B.nota]]," ",""),"-",""),"(",""),")",""),".",""),",",""),"/",""),"""",""))</f>
        <v/>
      </c>
      <c r="W11" s="25" t="str">
        <f ca="1">IF(SAJ[[#This Row],[concat]]="","",MATCH(SAJ[[#This Row],[concat]],[4]!db[NB NOTA_C],0)+1)</f>
        <v/>
      </c>
      <c r="X11" s="25" t="str">
        <f ca="1">IF(SAJ[[#This Row],[N.B.nota]]="","",ADDRESS(ROW(SAJ[QB]),COLUMN(SAJ[QB]))&amp;":"&amp;ADDRESS(ROW(),COLUMN(SAJ[QB])))</f>
        <v/>
      </c>
      <c r="Y11" s="25" t="str">
        <f ca="1">IF(SAJ[[#This Row],[//]]="","",HYPERLINK("[..\\DB.xlsx]DB!e"&amp;MATCH(SAJ[[#This Row],[concat]],[4]!db[NB NOTA_C],0)+1,"&gt;"))</f>
        <v/>
      </c>
    </row>
    <row r="12" spans="1:25" x14ac:dyDescent="0.25">
      <c r="A12" s="13"/>
      <c r="B12" s="31" t="str">
        <f>IF(SAJ[[#This Row],[N_ID]]="","",INDEX(Table1[ID],MATCH(SAJ[[#This Row],[N_ID]],Table1[N_ID],0)))</f>
        <v/>
      </c>
      <c r="C12" s="31" t="str">
        <f>IF(SAJ[[#This Row],[ID NOTA]]="","",HYPERLINK("[NOTA_.xlsx]NOTA!e"&amp;INDEX([2]!PAJAK[//],MATCH(SAJ[[#This Row],[ID NOTA]],[2]!PAJAK[ID],0)),"&gt;") )</f>
        <v/>
      </c>
      <c r="D12" s="31" t="str">
        <f>IF(SAJ[[#This Row],[ID NOTA]]="","",INDEX(Table1[QB],MATCH(SAJ[[#This Row],[ID NOTA]],Table1[ID],0)))</f>
        <v/>
      </c>
      <c r="E12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2" s="31"/>
      <c r="G12" s="34" t="str">
        <f>IF(SAJ[[#This Row],[ID NOTA]]="","",INDEX([2]!NOTA[TGL_H],MATCH(SAJ[[#This Row],[ID NOTA]],[2]!NOTA[ID],0)))</f>
        <v/>
      </c>
      <c r="H12" s="34" t="str">
        <f>IF(SAJ[[#This Row],[ID NOTA]]="","",INDEX([2]!NOTA[TGL.NOTA],MATCH(SAJ[[#This Row],[ID NOTA]],[2]!NOTA[ID],0)))</f>
        <v/>
      </c>
      <c r="I12" s="25" t="str">
        <f>IF(SAJ[[#This Row],[ID NOTA]]="","",INDEX([2]!NOTA[NO.NOTA],MATCH(SAJ[[#This Row],[ID NOTA]],[2]!NOTA[ID],0)))</f>
        <v/>
      </c>
      <c r="J12" s="25" t="str">
        <f ca="1">IF(SAJ[[#This Row],[//]]="","",INDEX([4]!db[NB PAJAK],SAJ[[#This Row],[stt]]-1))</f>
        <v/>
      </c>
      <c r="K12" s="31" t="str">
        <f ca="1">IF(SAJ[[#This Row],[//]]="","",INDEX([2]!NOTA[C],SAJ[[#This Row],[//]]-2))</f>
        <v/>
      </c>
      <c r="L12" s="31" t="str">
        <f ca="1">IF(SAJ[//]="","",INDEX([2]!NOTA[QTY],SAJ[//]-2))</f>
        <v/>
      </c>
      <c r="M12" s="31" t="str">
        <f ca="1">IF(SAJ[//]="","",INDEX([2]!NOTA[STN],SAJ[//]-2))</f>
        <v/>
      </c>
      <c r="N12" s="35" t="str">
        <f ca="1">IF(SAJ[[#This Row],[//]]="","",IF(INDEX([2]!NOTA[HARGA/ CTN],SAJ[[#This Row],[//]]-2)="",INDEX([2]!NOTA[HARGA SATUAN],SAJ[//]-2),INDEX([2]!NOTA[HARGA/ CTN],SAJ[[#This Row],[//]]-2)))</f>
        <v/>
      </c>
      <c r="O12" s="36" t="str">
        <f ca="1">IF(SAJ[[#This Row],[//]]="","",IF(INDEX([2]!NOTA[DISC 1],SAJ[[#This Row],[//]]-2)="","",INDEX([2]!NOTA[DISC 1],SAJ[[#This Row],[//]]-2)))</f>
        <v/>
      </c>
      <c r="P12" s="36" t="str">
        <f ca="1">IF(SAJ[[#This Row],[//]]="","",IF(INDEX([2]!NOTA[DISC 2],SAJ[[#This Row],[//]]-2)="","",INDEX([2]!NOTA[DISC 2],SAJ[[#This Row],[//]]-2)))</f>
        <v/>
      </c>
      <c r="Q12" s="29" t="str">
        <f ca="1">IF(SAJ[[#This Row],[//]]="","",INDEX([2]!NOTA[JUMLAH],SAJ[[#This Row],[//]]-2)*(100%-IF(ISNUMBER(SAJ[[#This Row],[DISC 1 (%)]]),SAJ[[#This Row],[DISC 1 (%)]],0)))</f>
        <v/>
      </c>
      <c r="R12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2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2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2" s="25" t="str">
        <f ca="1">IF(SAJ[[#This Row],[//]]="","",INDEX([2]!NOTA[NAMA BARANG],SAJ[[#This Row],[//]]-2))</f>
        <v/>
      </c>
      <c r="V12" s="25" t="str">
        <f ca="1">LOWER(SUBSTITUTE(SUBSTITUTE(SUBSTITUTE(SUBSTITUTE(SUBSTITUTE(SUBSTITUTE(SUBSTITUTE(SUBSTITUTE(SAJ[[#This Row],[N.B.nota]]," ",""),"-",""),"(",""),")",""),".",""),",",""),"/",""),"""",""))</f>
        <v/>
      </c>
      <c r="W12" s="25" t="str">
        <f ca="1">IF(SAJ[[#This Row],[concat]]="","",MATCH(SAJ[[#This Row],[concat]],[4]!db[NB NOTA_C],0)+1)</f>
        <v/>
      </c>
      <c r="X12" s="25" t="str">
        <f ca="1">IF(SAJ[[#This Row],[N.B.nota]]="","",ADDRESS(ROW(SAJ[QB]),COLUMN(SAJ[QB]))&amp;":"&amp;ADDRESS(ROW(),COLUMN(SAJ[QB])))</f>
        <v/>
      </c>
      <c r="Y12" s="25" t="str">
        <f ca="1">IF(SAJ[[#This Row],[//]]="","",HYPERLINK("[..\\DB.xlsx]DB!e"&amp;MATCH(SAJ[[#This Row],[concat]],[4]!db[NB NOTA_C],0)+1,"&gt;"))</f>
        <v/>
      </c>
    </row>
    <row r="13" spans="1:25" x14ac:dyDescent="0.25">
      <c r="A13" s="13"/>
      <c r="B13" s="31" t="str">
        <f>IF(SAJ[[#This Row],[N_ID]]="","",INDEX(Table1[ID],MATCH(SAJ[[#This Row],[N_ID]],Table1[N_ID],0)))</f>
        <v/>
      </c>
      <c r="C13" s="31" t="str">
        <f>IF(SAJ[[#This Row],[ID NOTA]]="","",HYPERLINK("[NOTA_.xlsx]NOTA!e"&amp;INDEX([2]!PAJAK[//],MATCH(SAJ[[#This Row],[ID NOTA]],[2]!PAJAK[ID],0)),"&gt;") )</f>
        <v/>
      </c>
      <c r="D13" s="31" t="str">
        <f>IF(SAJ[[#This Row],[ID NOTA]]="","",INDEX(Table1[QB],MATCH(SAJ[[#This Row],[ID NOTA]],Table1[ID],0)))</f>
        <v/>
      </c>
      <c r="E13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3" s="31"/>
      <c r="G13" s="34" t="str">
        <f>IF(SAJ[[#This Row],[ID NOTA]]="","",INDEX([2]!NOTA[TGL_H],MATCH(SAJ[[#This Row],[ID NOTA]],[2]!NOTA[ID],0)))</f>
        <v/>
      </c>
      <c r="H13" s="34" t="str">
        <f>IF(SAJ[[#This Row],[ID NOTA]]="","",INDEX([2]!NOTA[TGL.NOTA],MATCH(SAJ[[#This Row],[ID NOTA]],[2]!NOTA[ID],0)))</f>
        <v/>
      </c>
      <c r="I13" s="25" t="str">
        <f>IF(SAJ[[#This Row],[ID NOTA]]="","",INDEX([2]!NOTA[NO.NOTA],MATCH(SAJ[[#This Row],[ID NOTA]],[2]!NOTA[ID],0)))</f>
        <v/>
      </c>
      <c r="J13" s="25" t="str">
        <f ca="1">IF(SAJ[[#This Row],[//]]="","",INDEX([4]!db[NB PAJAK],SAJ[[#This Row],[stt]]-1))</f>
        <v/>
      </c>
      <c r="K13" s="31" t="str">
        <f ca="1">IF(SAJ[[#This Row],[//]]="","",INDEX([2]!NOTA[C],SAJ[[#This Row],[//]]-2))</f>
        <v/>
      </c>
      <c r="L13" s="31" t="str">
        <f ca="1">IF(SAJ[//]="","",INDEX([2]!NOTA[QTY],SAJ[//]-2))</f>
        <v/>
      </c>
      <c r="M13" s="31" t="str">
        <f ca="1">IF(SAJ[//]="","",INDEX([2]!NOTA[STN],SAJ[//]-2))</f>
        <v/>
      </c>
      <c r="N13" s="35" t="str">
        <f ca="1">IF(SAJ[[#This Row],[//]]="","",IF(INDEX([2]!NOTA[HARGA/ CTN],SAJ[[#This Row],[//]]-2)="",INDEX([2]!NOTA[HARGA SATUAN],SAJ[//]-2),INDEX([2]!NOTA[HARGA/ CTN],SAJ[[#This Row],[//]]-2)))</f>
        <v/>
      </c>
      <c r="O13" s="36" t="str">
        <f ca="1">IF(SAJ[[#This Row],[//]]="","",IF(INDEX([2]!NOTA[DISC 1],SAJ[[#This Row],[//]]-2)="","",INDEX([2]!NOTA[DISC 1],SAJ[[#This Row],[//]]-2)))</f>
        <v/>
      </c>
      <c r="P13" s="36" t="str">
        <f ca="1">IF(SAJ[[#This Row],[//]]="","",IF(INDEX([2]!NOTA[DISC 2],SAJ[[#This Row],[//]]-2)="","",INDEX([2]!NOTA[DISC 2],SAJ[[#This Row],[//]]-2)))</f>
        <v/>
      </c>
      <c r="Q13" s="29" t="str">
        <f ca="1">IF(SAJ[[#This Row],[//]]="","",INDEX([2]!NOTA[JUMLAH],SAJ[[#This Row],[//]]-2)*(100%-IF(ISNUMBER(SAJ[[#This Row],[DISC 1 (%)]]),SAJ[[#This Row],[DISC 1 (%)]],0)))</f>
        <v/>
      </c>
      <c r="R13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3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3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3" s="25" t="str">
        <f ca="1">IF(SAJ[[#This Row],[//]]="","",INDEX([2]!NOTA[NAMA BARANG],SAJ[[#This Row],[//]]-2))</f>
        <v/>
      </c>
      <c r="V13" s="25" t="str">
        <f ca="1">LOWER(SUBSTITUTE(SUBSTITUTE(SUBSTITUTE(SUBSTITUTE(SUBSTITUTE(SUBSTITUTE(SUBSTITUTE(SUBSTITUTE(SAJ[[#This Row],[N.B.nota]]," ",""),"-",""),"(",""),")",""),".",""),",",""),"/",""),"""",""))</f>
        <v/>
      </c>
      <c r="W13" s="25" t="str">
        <f ca="1">IF(SAJ[[#This Row],[concat]]="","",MATCH(SAJ[[#This Row],[concat]],[4]!db[NB NOTA_C],0)+1)</f>
        <v/>
      </c>
      <c r="X13" s="25" t="str">
        <f ca="1">IF(SAJ[[#This Row],[N.B.nota]]="","",ADDRESS(ROW(SAJ[QB]),COLUMN(SAJ[QB]))&amp;":"&amp;ADDRESS(ROW(),COLUMN(SAJ[QB])))</f>
        <v/>
      </c>
      <c r="Y13" s="25" t="str">
        <f ca="1">IF(SAJ[[#This Row],[//]]="","",HYPERLINK("[..\\DB.xlsx]DB!e"&amp;MATCH(SAJ[[#This Row],[concat]],[4]!db[NB NOTA_C],0)+1,"&gt;"))</f>
        <v/>
      </c>
    </row>
    <row r="14" spans="1:25" x14ac:dyDescent="0.25">
      <c r="A14" s="13"/>
      <c r="B14" s="31" t="str">
        <f>IF(SAJ[[#This Row],[N_ID]]="","",INDEX(Table1[ID],MATCH(SAJ[[#This Row],[N_ID]],Table1[N_ID],0)))</f>
        <v/>
      </c>
      <c r="C14" s="31" t="str">
        <f>IF(SAJ[[#This Row],[ID NOTA]]="","",HYPERLINK("[NOTA_.xlsx]NOTA!e"&amp;INDEX([2]!PAJAK[//],MATCH(SAJ[[#This Row],[ID NOTA]],[2]!PAJAK[ID],0)),"&gt;") )</f>
        <v/>
      </c>
      <c r="D14" s="31" t="str">
        <f>IF(SAJ[[#This Row],[ID NOTA]]="","",INDEX(Table1[QB],MATCH(SAJ[[#This Row],[ID NOTA]],Table1[ID],0)))</f>
        <v/>
      </c>
      <c r="E14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4" s="31"/>
      <c r="G14" s="34" t="str">
        <f>IF(SAJ[[#This Row],[ID NOTA]]="","",INDEX([2]!NOTA[TGL_H],MATCH(SAJ[[#This Row],[ID NOTA]],[2]!NOTA[ID],0)))</f>
        <v/>
      </c>
      <c r="H14" s="34" t="str">
        <f>IF(SAJ[[#This Row],[ID NOTA]]="","",INDEX([2]!NOTA[TGL.NOTA],MATCH(SAJ[[#This Row],[ID NOTA]],[2]!NOTA[ID],0)))</f>
        <v/>
      </c>
      <c r="I14" s="25" t="str">
        <f>IF(SAJ[[#This Row],[ID NOTA]]="","",INDEX([2]!NOTA[NO.NOTA],MATCH(SAJ[[#This Row],[ID NOTA]],[2]!NOTA[ID],0)))</f>
        <v/>
      </c>
      <c r="J14" s="25" t="str">
        <f ca="1">IF(SAJ[[#This Row],[//]]="","",INDEX([4]!db[NB PAJAK],SAJ[[#This Row],[stt]]-1))</f>
        <v/>
      </c>
      <c r="K14" s="31" t="str">
        <f ca="1">IF(SAJ[[#This Row],[//]]="","",INDEX([2]!NOTA[C],SAJ[[#This Row],[//]]-2))</f>
        <v/>
      </c>
      <c r="L14" s="31" t="str">
        <f ca="1">IF(SAJ[//]="","",INDEX([2]!NOTA[QTY],SAJ[//]-2))</f>
        <v/>
      </c>
      <c r="M14" s="31" t="str">
        <f ca="1">IF(SAJ[//]="","",INDEX([2]!NOTA[STN],SAJ[//]-2))</f>
        <v/>
      </c>
      <c r="N14" s="35" t="str">
        <f ca="1">IF(SAJ[[#This Row],[//]]="","",IF(INDEX([2]!NOTA[HARGA/ CTN],SAJ[[#This Row],[//]]-2)="",INDEX([2]!NOTA[HARGA SATUAN],SAJ[//]-2),INDEX([2]!NOTA[HARGA/ CTN],SAJ[[#This Row],[//]]-2)))</f>
        <v/>
      </c>
      <c r="O14" s="36" t="str">
        <f ca="1">IF(SAJ[[#This Row],[//]]="","",IF(INDEX([2]!NOTA[DISC 1],SAJ[[#This Row],[//]]-2)="","",INDEX([2]!NOTA[DISC 1],SAJ[[#This Row],[//]]-2)))</f>
        <v/>
      </c>
      <c r="P14" s="36" t="str">
        <f ca="1">IF(SAJ[[#This Row],[//]]="","",IF(INDEX([2]!NOTA[DISC 2],SAJ[[#This Row],[//]]-2)="","",INDEX([2]!NOTA[DISC 2],SAJ[[#This Row],[//]]-2)))</f>
        <v/>
      </c>
      <c r="Q14" s="29" t="str">
        <f ca="1">IF(SAJ[[#This Row],[//]]="","",INDEX([2]!NOTA[JUMLAH],SAJ[[#This Row],[//]]-2)*(100%-IF(ISNUMBER(SAJ[[#This Row],[DISC 1 (%)]]),SAJ[[#This Row],[DISC 1 (%)]],0)))</f>
        <v/>
      </c>
      <c r="R14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4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4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4" s="25" t="str">
        <f ca="1">IF(SAJ[[#This Row],[//]]="","",INDEX([2]!NOTA[NAMA BARANG],SAJ[[#This Row],[//]]-2))</f>
        <v/>
      </c>
      <c r="V14" s="25" t="str">
        <f ca="1">LOWER(SUBSTITUTE(SUBSTITUTE(SUBSTITUTE(SUBSTITUTE(SUBSTITUTE(SUBSTITUTE(SUBSTITUTE(SUBSTITUTE(SAJ[[#This Row],[N.B.nota]]," ",""),"-",""),"(",""),")",""),".",""),",",""),"/",""),"""",""))</f>
        <v/>
      </c>
      <c r="W14" s="25" t="str">
        <f ca="1">IF(SAJ[[#This Row],[concat]]="","",MATCH(SAJ[[#This Row],[concat]],[4]!db[NB NOTA_C],0)+1)</f>
        <v/>
      </c>
      <c r="X14" s="25" t="str">
        <f ca="1">IF(SAJ[[#This Row],[N.B.nota]]="","",ADDRESS(ROW(SAJ[QB]),COLUMN(SAJ[QB]))&amp;":"&amp;ADDRESS(ROW(),COLUMN(SAJ[QB])))</f>
        <v/>
      </c>
      <c r="Y14" s="25" t="str">
        <f ca="1">IF(SAJ[[#This Row],[//]]="","",HYPERLINK("[..\\DB.xlsx]DB!e"&amp;MATCH(SAJ[[#This Row],[concat]],[4]!db[NB NOTA_C],0)+1,"&gt;"))</f>
        <v/>
      </c>
    </row>
    <row r="15" spans="1:25" x14ac:dyDescent="0.25">
      <c r="A15" s="13"/>
      <c r="B15" s="31" t="str">
        <f>IF(SAJ[[#This Row],[N_ID]]="","",INDEX(Table1[ID],MATCH(SAJ[[#This Row],[N_ID]],Table1[N_ID],0)))</f>
        <v/>
      </c>
      <c r="C15" s="31" t="str">
        <f>IF(SAJ[[#This Row],[ID NOTA]]="","",HYPERLINK("[NOTA_.xlsx]NOTA!e"&amp;INDEX([2]!PAJAK[//],MATCH(SAJ[[#This Row],[ID NOTA]],[2]!PAJAK[ID],0)),"&gt;") )</f>
        <v/>
      </c>
      <c r="D15" s="31" t="str">
        <f>IF(SAJ[[#This Row],[ID NOTA]]="","",INDEX(Table1[QB],MATCH(SAJ[[#This Row],[ID NOTA]],Table1[ID],0)))</f>
        <v/>
      </c>
      <c r="E15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5" s="31"/>
      <c r="G15" s="34" t="str">
        <f>IF(SAJ[[#This Row],[ID NOTA]]="","",INDEX([2]!NOTA[TGL_H],MATCH(SAJ[[#This Row],[ID NOTA]],[2]!NOTA[ID],0)))</f>
        <v/>
      </c>
      <c r="H15" s="34" t="str">
        <f>IF(SAJ[[#This Row],[ID NOTA]]="","",INDEX([2]!NOTA[TGL.NOTA],MATCH(SAJ[[#This Row],[ID NOTA]],[2]!NOTA[ID],0)))</f>
        <v/>
      </c>
      <c r="I15" s="25" t="str">
        <f>IF(SAJ[[#This Row],[ID NOTA]]="","",INDEX([2]!NOTA[NO.NOTA],MATCH(SAJ[[#This Row],[ID NOTA]],[2]!NOTA[ID],0)))</f>
        <v/>
      </c>
      <c r="J15" s="25" t="str">
        <f ca="1">IF(SAJ[[#This Row],[//]]="","",INDEX([4]!db[NB PAJAK],SAJ[[#This Row],[stt]]-1))</f>
        <v/>
      </c>
      <c r="K15" s="31" t="str">
        <f ca="1">IF(SAJ[[#This Row],[//]]="","",INDEX([2]!NOTA[C],SAJ[[#This Row],[//]]-2))</f>
        <v/>
      </c>
      <c r="L15" s="31" t="str">
        <f ca="1">IF(SAJ[//]="","",INDEX([2]!NOTA[QTY],SAJ[//]-2))</f>
        <v/>
      </c>
      <c r="M15" s="31" t="str">
        <f ca="1">IF(SAJ[//]="","",INDEX([2]!NOTA[STN],SAJ[//]-2))</f>
        <v/>
      </c>
      <c r="N15" s="35" t="str">
        <f ca="1">IF(SAJ[[#This Row],[//]]="","",IF(INDEX([2]!NOTA[HARGA/ CTN],SAJ[[#This Row],[//]]-2)="",INDEX([2]!NOTA[HARGA SATUAN],SAJ[//]-2),INDEX([2]!NOTA[HARGA/ CTN],SAJ[[#This Row],[//]]-2)))</f>
        <v/>
      </c>
      <c r="O15" s="36" t="str">
        <f ca="1">IF(SAJ[[#This Row],[//]]="","",IF(INDEX([2]!NOTA[DISC 1],SAJ[[#This Row],[//]]-2)="","",INDEX([2]!NOTA[DISC 1],SAJ[[#This Row],[//]]-2)))</f>
        <v/>
      </c>
      <c r="P15" s="36" t="str">
        <f ca="1">IF(SAJ[[#This Row],[//]]="","",IF(INDEX([2]!NOTA[DISC 2],SAJ[[#This Row],[//]]-2)="","",INDEX([2]!NOTA[DISC 2],SAJ[[#This Row],[//]]-2)))</f>
        <v/>
      </c>
      <c r="Q15" s="29" t="str">
        <f ca="1">IF(SAJ[[#This Row],[//]]="","",INDEX([2]!NOTA[JUMLAH],SAJ[[#This Row],[//]]-2)*(100%-IF(ISNUMBER(SAJ[[#This Row],[DISC 1 (%)]]),SAJ[[#This Row],[DISC 1 (%)]],0)))</f>
        <v/>
      </c>
      <c r="R15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5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5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5" s="25" t="str">
        <f ca="1">IF(SAJ[[#This Row],[//]]="","",INDEX([2]!NOTA[NAMA BARANG],SAJ[[#This Row],[//]]-2))</f>
        <v/>
      </c>
      <c r="V15" s="25" t="str">
        <f ca="1">LOWER(SUBSTITUTE(SUBSTITUTE(SUBSTITUTE(SUBSTITUTE(SUBSTITUTE(SUBSTITUTE(SUBSTITUTE(SUBSTITUTE(SAJ[[#This Row],[N.B.nota]]," ",""),"-",""),"(",""),")",""),".",""),",",""),"/",""),"""",""))</f>
        <v/>
      </c>
      <c r="W15" s="25" t="str">
        <f ca="1">IF(SAJ[[#This Row],[concat]]="","",MATCH(SAJ[[#This Row],[concat]],[4]!db[NB NOTA_C],0)+1)</f>
        <v/>
      </c>
      <c r="X15" s="25" t="str">
        <f ca="1">IF(SAJ[[#This Row],[N.B.nota]]="","",ADDRESS(ROW(SAJ[QB]),COLUMN(SAJ[QB]))&amp;":"&amp;ADDRESS(ROW(),COLUMN(SAJ[QB])))</f>
        <v/>
      </c>
      <c r="Y15" s="25" t="str">
        <f ca="1">IF(SAJ[[#This Row],[//]]="","",HYPERLINK("[..\\DB.xlsx]DB!e"&amp;MATCH(SAJ[[#This Row],[concat]],[4]!db[NB NOTA_C],0)+1,"&gt;"))</f>
        <v/>
      </c>
    </row>
    <row r="16" spans="1:25" x14ac:dyDescent="0.25">
      <c r="A16" s="13"/>
      <c r="B16" s="31" t="str">
        <f>IF(SAJ[[#This Row],[N_ID]]="","",INDEX(Table1[ID],MATCH(SAJ[[#This Row],[N_ID]],Table1[N_ID],0)))</f>
        <v/>
      </c>
      <c r="C16" s="31" t="str">
        <f>IF(SAJ[[#This Row],[ID NOTA]]="","",HYPERLINK("[NOTA_.xlsx]NOTA!e"&amp;INDEX([2]!PAJAK[//],MATCH(SAJ[[#This Row],[ID NOTA]],[2]!PAJAK[ID],0)),"&gt;") )</f>
        <v/>
      </c>
      <c r="D16" s="31" t="str">
        <f>IF(SAJ[[#This Row],[ID NOTA]]="","",INDEX(Table1[QB],MATCH(SAJ[[#This Row],[ID NOTA]],Table1[ID],0)))</f>
        <v/>
      </c>
      <c r="E16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6" s="31"/>
      <c r="G16" s="34" t="str">
        <f>IF(SAJ[[#This Row],[ID NOTA]]="","",INDEX([2]!NOTA[TGL_H],MATCH(SAJ[[#This Row],[ID NOTA]],[2]!NOTA[ID],0)))</f>
        <v/>
      </c>
      <c r="H16" s="34" t="str">
        <f>IF(SAJ[[#This Row],[ID NOTA]]="","",INDEX([2]!NOTA[TGL.NOTA],MATCH(SAJ[[#This Row],[ID NOTA]],[2]!NOTA[ID],0)))</f>
        <v/>
      </c>
      <c r="I16" s="25" t="str">
        <f>IF(SAJ[[#This Row],[ID NOTA]]="","",INDEX([2]!NOTA[NO.NOTA],MATCH(SAJ[[#This Row],[ID NOTA]],[2]!NOTA[ID],0)))</f>
        <v/>
      </c>
      <c r="J16" s="25" t="str">
        <f ca="1">IF(SAJ[[#This Row],[//]]="","",INDEX([4]!db[NB PAJAK],SAJ[[#This Row],[stt]]-1))</f>
        <v/>
      </c>
      <c r="K16" s="31" t="str">
        <f ca="1">IF(SAJ[[#This Row],[//]]="","",INDEX([2]!NOTA[C],SAJ[[#This Row],[//]]-2))</f>
        <v/>
      </c>
      <c r="L16" s="31" t="str">
        <f ca="1">IF(SAJ[//]="","",INDEX([2]!NOTA[QTY],SAJ[//]-2))</f>
        <v/>
      </c>
      <c r="M16" s="31" t="str">
        <f ca="1">IF(SAJ[//]="","",INDEX([2]!NOTA[STN],SAJ[//]-2))</f>
        <v/>
      </c>
      <c r="N16" s="35" t="str">
        <f ca="1">IF(SAJ[[#This Row],[//]]="","",IF(INDEX([2]!NOTA[HARGA/ CTN],SAJ[[#This Row],[//]]-2)="",INDEX([2]!NOTA[HARGA SATUAN],SAJ[//]-2),INDEX([2]!NOTA[HARGA/ CTN],SAJ[[#This Row],[//]]-2)))</f>
        <v/>
      </c>
      <c r="O16" s="36" t="str">
        <f ca="1">IF(SAJ[[#This Row],[//]]="","",IF(INDEX([2]!NOTA[DISC 1],SAJ[[#This Row],[//]]-2)="","",INDEX([2]!NOTA[DISC 1],SAJ[[#This Row],[//]]-2)))</f>
        <v/>
      </c>
      <c r="P16" s="36" t="str">
        <f ca="1">IF(SAJ[[#This Row],[//]]="","",IF(INDEX([2]!NOTA[DISC 2],SAJ[[#This Row],[//]]-2)="","",INDEX([2]!NOTA[DISC 2],SAJ[[#This Row],[//]]-2)))</f>
        <v/>
      </c>
      <c r="Q16" s="29" t="str">
        <f ca="1">IF(SAJ[[#This Row],[//]]="","",INDEX([2]!NOTA[JUMLAH],SAJ[[#This Row],[//]]-2)*(100%-IF(ISNUMBER(SAJ[[#This Row],[DISC 1 (%)]]),SAJ[[#This Row],[DISC 1 (%)]],0)))</f>
        <v/>
      </c>
      <c r="R16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6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6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6" s="25" t="str">
        <f ca="1">IF(SAJ[[#This Row],[//]]="","",INDEX([2]!NOTA[NAMA BARANG],SAJ[[#This Row],[//]]-2))</f>
        <v/>
      </c>
      <c r="V16" s="25" t="str">
        <f ca="1">LOWER(SUBSTITUTE(SUBSTITUTE(SUBSTITUTE(SUBSTITUTE(SUBSTITUTE(SUBSTITUTE(SUBSTITUTE(SUBSTITUTE(SAJ[[#This Row],[N.B.nota]]," ",""),"-",""),"(",""),")",""),".",""),",",""),"/",""),"""",""))</f>
        <v/>
      </c>
      <c r="W16" s="25" t="str">
        <f ca="1">IF(SAJ[[#This Row],[concat]]="","",MATCH(SAJ[[#This Row],[concat]],[4]!db[NB NOTA_C],0)+1)</f>
        <v/>
      </c>
      <c r="X16" s="25" t="str">
        <f ca="1">IF(SAJ[[#This Row],[N.B.nota]]="","",ADDRESS(ROW(SAJ[QB]),COLUMN(SAJ[QB]))&amp;":"&amp;ADDRESS(ROW(),COLUMN(SAJ[QB])))</f>
        <v/>
      </c>
      <c r="Y16" s="25" t="str">
        <f ca="1">IF(SAJ[[#This Row],[//]]="","",HYPERLINK("[..\\DB.xlsx]DB!e"&amp;MATCH(SAJ[[#This Row],[concat]],[4]!db[NB NOTA_C],0)+1,"&gt;"))</f>
        <v/>
      </c>
    </row>
    <row r="17" spans="1:25" x14ac:dyDescent="0.25">
      <c r="A17" s="13"/>
      <c r="B17" s="31" t="str">
        <f>IF(SAJ[[#This Row],[N_ID]]="","",INDEX(Table1[ID],MATCH(SAJ[[#This Row],[N_ID]],Table1[N_ID],0)))</f>
        <v/>
      </c>
      <c r="C17" s="31" t="str">
        <f>IF(SAJ[[#This Row],[ID NOTA]]="","",HYPERLINK("[NOTA_.xlsx]NOTA!e"&amp;INDEX([2]!PAJAK[//],MATCH(SAJ[[#This Row],[ID NOTA]],[2]!PAJAK[ID],0)),"&gt;") )</f>
        <v/>
      </c>
      <c r="D17" s="31" t="str">
        <f>IF(SAJ[[#This Row],[ID NOTA]]="","",INDEX(Table1[QB],MATCH(SAJ[[#This Row],[ID NOTA]],Table1[ID],0)))</f>
        <v/>
      </c>
      <c r="E17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7" s="31"/>
      <c r="G17" s="34" t="str">
        <f>IF(SAJ[[#This Row],[ID NOTA]]="","",INDEX([2]!NOTA[TGL_H],MATCH(SAJ[[#This Row],[ID NOTA]],[2]!NOTA[ID],0)))</f>
        <v/>
      </c>
      <c r="H17" s="34" t="str">
        <f>IF(SAJ[[#This Row],[ID NOTA]]="","",INDEX([2]!NOTA[TGL.NOTA],MATCH(SAJ[[#This Row],[ID NOTA]],[2]!NOTA[ID],0)))</f>
        <v/>
      </c>
      <c r="I17" s="25" t="str">
        <f>IF(SAJ[[#This Row],[ID NOTA]]="","",INDEX([2]!NOTA[NO.NOTA],MATCH(SAJ[[#This Row],[ID NOTA]],[2]!NOTA[ID],0)))</f>
        <v/>
      </c>
      <c r="J17" s="25" t="str">
        <f ca="1">IF(SAJ[[#This Row],[//]]="","",INDEX([4]!db[NB PAJAK],SAJ[[#This Row],[stt]]-1))</f>
        <v/>
      </c>
      <c r="K17" s="31" t="str">
        <f ca="1">IF(SAJ[[#This Row],[//]]="","",INDEX([2]!NOTA[C],SAJ[[#This Row],[//]]-2))</f>
        <v/>
      </c>
      <c r="L17" s="31" t="str">
        <f ca="1">IF(SAJ[//]="","",INDEX([2]!NOTA[QTY],SAJ[//]-2))</f>
        <v/>
      </c>
      <c r="M17" s="31" t="str">
        <f ca="1">IF(SAJ[//]="","",INDEX([2]!NOTA[STN],SAJ[//]-2))</f>
        <v/>
      </c>
      <c r="N17" s="35" t="str">
        <f ca="1">IF(SAJ[[#This Row],[//]]="","",IF(INDEX([2]!NOTA[HARGA/ CTN],SAJ[[#This Row],[//]]-2)="",INDEX([2]!NOTA[HARGA SATUAN],SAJ[//]-2),INDEX([2]!NOTA[HARGA/ CTN],SAJ[[#This Row],[//]]-2)))</f>
        <v/>
      </c>
      <c r="O17" s="36" t="str">
        <f ca="1">IF(SAJ[[#This Row],[//]]="","",IF(INDEX([2]!NOTA[DISC 1],SAJ[[#This Row],[//]]-2)="","",INDEX([2]!NOTA[DISC 1],SAJ[[#This Row],[//]]-2)))</f>
        <v/>
      </c>
      <c r="P17" s="36" t="str">
        <f ca="1">IF(SAJ[[#This Row],[//]]="","",IF(INDEX([2]!NOTA[DISC 2],SAJ[[#This Row],[//]]-2)="","",INDEX([2]!NOTA[DISC 2],SAJ[[#This Row],[//]]-2)))</f>
        <v/>
      </c>
      <c r="Q17" s="29" t="str">
        <f ca="1">IF(SAJ[[#This Row],[//]]="","",INDEX([2]!NOTA[JUMLAH],SAJ[[#This Row],[//]]-2)*(100%-IF(ISNUMBER(SAJ[[#This Row],[DISC 1 (%)]]),SAJ[[#This Row],[DISC 1 (%)]],0)))</f>
        <v/>
      </c>
      <c r="R17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7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7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7" s="25" t="str">
        <f ca="1">IF(SAJ[[#This Row],[//]]="","",INDEX([2]!NOTA[NAMA BARANG],SAJ[[#This Row],[//]]-2))</f>
        <v/>
      </c>
      <c r="V17" s="25" t="str">
        <f ca="1">LOWER(SUBSTITUTE(SUBSTITUTE(SUBSTITUTE(SUBSTITUTE(SUBSTITUTE(SUBSTITUTE(SUBSTITUTE(SUBSTITUTE(SAJ[[#This Row],[N.B.nota]]," ",""),"-",""),"(",""),")",""),".",""),",",""),"/",""),"""",""))</f>
        <v/>
      </c>
      <c r="W17" s="25" t="str">
        <f ca="1">IF(SAJ[[#This Row],[concat]]="","",MATCH(SAJ[[#This Row],[concat]],[4]!db[NB NOTA_C],0)+1)</f>
        <v/>
      </c>
      <c r="X17" s="25" t="str">
        <f ca="1">IF(SAJ[[#This Row],[N.B.nota]]="","",ADDRESS(ROW(SAJ[QB]),COLUMN(SAJ[QB]))&amp;":"&amp;ADDRESS(ROW(),COLUMN(SAJ[QB])))</f>
        <v/>
      </c>
      <c r="Y17" s="25" t="str">
        <f ca="1">IF(SAJ[[#This Row],[//]]="","",HYPERLINK("[..\\DB.xlsx]DB!e"&amp;MATCH(SAJ[[#This Row],[concat]],[4]!db[NB NOTA_C],0)+1,"&gt;"))</f>
        <v/>
      </c>
    </row>
    <row r="18" spans="1:25" x14ac:dyDescent="0.25">
      <c r="A18" s="13"/>
      <c r="B18" s="31" t="str">
        <f>IF(SAJ[[#This Row],[N_ID]]="","",INDEX(Table1[ID],MATCH(SAJ[[#This Row],[N_ID]],Table1[N_ID],0)))</f>
        <v/>
      </c>
      <c r="C18" s="31" t="str">
        <f>IF(SAJ[[#This Row],[ID NOTA]]="","",HYPERLINK("[NOTA_.xlsx]NOTA!e"&amp;INDEX([2]!PAJAK[//],MATCH(SAJ[[#This Row],[ID NOTA]],[2]!PAJAK[ID],0)),"&gt;") )</f>
        <v/>
      </c>
      <c r="D18" s="31" t="str">
        <f>IF(SAJ[[#This Row],[ID NOTA]]="","",INDEX(Table1[QB],MATCH(SAJ[[#This Row],[ID NOTA]],Table1[ID],0)))</f>
        <v/>
      </c>
      <c r="E18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8" s="31"/>
      <c r="G18" s="34" t="str">
        <f>IF(SAJ[[#This Row],[ID NOTA]]="","",INDEX([2]!NOTA[TGL_H],MATCH(SAJ[[#This Row],[ID NOTA]],[2]!NOTA[ID],0)))</f>
        <v/>
      </c>
      <c r="H18" s="34" t="str">
        <f>IF(SAJ[[#This Row],[ID NOTA]]="","",INDEX([2]!NOTA[TGL.NOTA],MATCH(SAJ[[#This Row],[ID NOTA]],[2]!NOTA[ID],0)))</f>
        <v/>
      </c>
      <c r="I18" s="25" t="str">
        <f>IF(SAJ[[#This Row],[ID NOTA]]="","",INDEX([2]!NOTA[NO.NOTA],MATCH(SAJ[[#This Row],[ID NOTA]],[2]!NOTA[ID],0)))</f>
        <v/>
      </c>
      <c r="J18" s="25" t="str">
        <f ca="1">IF(SAJ[[#This Row],[//]]="","",INDEX([4]!db[NB PAJAK],SAJ[[#This Row],[stt]]-1))</f>
        <v/>
      </c>
      <c r="K18" s="31" t="str">
        <f ca="1">IF(SAJ[[#This Row],[//]]="","",INDEX([2]!NOTA[C],SAJ[[#This Row],[//]]-2))</f>
        <v/>
      </c>
      <c r="L18" s="31" t="str">
        <f ca="1">IF(SAJ[//]="","",INDEX([2]!NOTA[QTY],SAJ[//]-2))</f>
        <v/>
      </c>
      <c r="M18" s="31" t="str">
        <f ca="1">IF(SAJ[//]="","",INDEX([2]!NOTA[STN],SAJ[//]-2))</f>
        <v/>
      </c>
      <c r="N18" s="35" t="str">
        <f ca="1">IF(SAJ[[#This Row],[//]]="","",IF(INDEX([2]!NOTA[HARGA/ CTN],SAJ[[#This Row],[//]]-2)="",INDEX([2]!NOTA[HARGA SATUAN],SAJ[//]-2),INDEX([2]!NOTA[HARGA/ CTN],SAJ[[#This Row],[//]]-2)))</f>
        <v/>
      </c>
      <c r="O18" s="36" t="str">
        <f ca="1">IF(SAJ[[#This Row],[//]]="","",IF(INDEX([2]!NOTA[DISC 1],SAJ[[#This Row],[//]]-2)="","",INDEX([2]!NOTA[DISC 1],SAJ[[#This Row],[//]]-2)))</f>
        <v/>
      </c>
      <c r="P18" s="36" t="str">
        <f ca="1">IF(SAJ[[#This Row],[//]]="","",IF(INDEX([2]!NOTA[DISC 2],SAJ[[#This Row],[//]]-2)="","",INDEX([2]!NOTA[DISC 2],SAJ[[#This Row],[//]]-2)))</f>
        <v/>
      </c>
      <c r="Q18" s="29" t="str">
        <f ca="1">IF(SAJ[[#This Row],[//]]="","",INDEX([2]!NOTA[JUMLAH],SAJ[[#This Row],[//]]-2)*(100%-IF(ISNUMBER(SAJ[[#This Row],[DISC 1 (%)]]),SAJ[[#This Row],[DISC 1 (%)]],0)))</f>
        <v/>
      </c>
      <c r="R18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8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8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8" s="25" t="str">
        <f ca="1">IF(SAJ[[#This Row],[//]]="","",INDEX([2]!NOTA[NAMA BARANG],SAJ[[#This Row],[//]]-2))</f>
        <v/>
      </c>
      <c r="V18" s="25" t="str">
        <f ca="1">LOWER(SUBSTITUTE(SUBSTITUTE(SUBSTITUTE(SUBSTITUTE(SUBSTITUTE(SUBSTITUTE(SUBSTITUTE(SUBSTITUTE(SAJ[[#This Row],[N.B.nota]]," ",""),"-",""),"(",""),")",""),".",""),",",""),"/",""),"""",""))</f>
        <v/>
      </c>
      <c r="W18" s="25" t="str">
        <f ca="1">IF(SAJ[[#This Row],[concat]]="","",MATCH(SAJ[[#This Row],[concat]],[4]!db[NB NOTA_C],0)+1)</f>
        <v/>
      </c>
      <c r="X18" s="25" t="str">
        <f ca="1">IF(SAJ[[#This Row],[N.B.nota]]="","",ADDRESS(ROW(SAJ[QB]),COLUMN(SAJ[QB]))&amp;":"&amp;ADDRESS(ROW(),COLUMN(SAJ[QB])))</f>
        <v/>
      </c>
      <c r="Y18" s="25" t="str">
        <f ca="1">IF(SAJ[[#This Row],[//]]="","",HYPERLINK("[..\\DB.xlsx]DB!e"&amp;MATCH(SAJ[[#This Row],[concat]],[4]!db[NB NOTA_C],0)+1,"&gt;"))</f>
        <v/>
      </c>
    </row>
    <row r="19" spans="1:25" x14ac:dyDescent="0.25">
      <c r="A19" s="13"/>
      <c r="B19" s="31" t="str">
        <f>IF(SAJ[[#This Row],[N_ID]]="","",INDEX(Table1[ID],MATCH(SAJ[[#This Row],[N_ID]],Table1[N_ID],0)))</f>
        <v/>
      </c>
      <c r="C19" s="31" t="str">
        <f>IF(SAJ[[#This Row],[ID NOTA]]="","",HYPERLINK("[NOTA_.xlsx]NOTA!e"&amp;INDEX([2]!PAJAK[//],MATCH(SAJ[[#This Row],[ID NOTA]],[2]!PAJAK[ID],0)),"&gt;") )</f>
        <v/>
      </c>
      <c r="D19" s="31" t="str">
        <f>IF(SAJ[[#This Row],[ID NOTA]]="","",INDEX(Table1[QB],MATCH(SAJ[[#This Row],[ID NOTA]],Table1[ID],0)))</f>
        <v/>
      </c>
      <c r="E19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19" s="31"/>
      <c r="G19" s="34" t="str">
        <f>IF(SAJ[[#This Row],[ID NOTA]]="","",INDEX([2]!NOTA[TGL_H],MATCH(SAJ[[#This Row],[ID NOTA]],[2]!NOTA[ID],0)))</f>
        <v/>
      </c>
      <c r="H19" s="34" t="str">
        <f>IF(SAJ[[#This Row],[ID NOTA]]="","",INDEX([2]!NOTA[TGL.NOTA],MATCH(SAJ[[#This Row],[ID NOTA]],[2]!NOTA[ID],0)))</f>
        <v/>
      </c>
      <c r="I19" s="25" t="str">
        <f>IF(SAJ[[#This Row],[ID NOTA]]="","",INDEX([2]!NOTA[NO.NOTA],MATCH(SAJ[[#This Row],[ID NOTA]],[2]!NOTA[ID],0)))</f>
        <v/>
      </c>
      <c r="J19" s="25" t="str">
        <f ca="1">IF(SAJ[[#This Row],[//]]="","",INDEX([4]!db[NB PAJAK],SAJ[[#This Row],[stt]]-1))</f>
        <v/>
      </c>
      <c r="K19" s="31" t="str">
        <f ca="1">IF(SAJ[[#This Row],[//]]="","",INDEX([2]!NOTA[C],SAJ[[#This Row],[//]]-2))</f>
        <v/>
      </c>
      <c r="L19" s="31" t="str">
        <f ca="1">IF(SAJ[//]="","",INDEX([2]!NOTA[QTY],SAJ[//]-2))</f>
        <v/>
      </c>
      <c r="M19" s="31" t="str">
        <f ca="1">IF(SAJ[//]="","",INDEX([2]!NOTA[STN],SAJ[//]-2))</f>
        <v/>
      </c>
      <c r="N19" s="35" t="str">
        <f ca="1">IF(SAJ[[#This Row],[//]]="","",IF(INDEX([2]!NOTA[HARGA/ CTN],SAJ[[#This Row],[//]]-2)="",INDEX([2]!NOTA[HARGA SATUAN],SAJ[//]-2),INDEX([2]!NOTA[HARGA/ CTN],SAJ[[#This Row],[//]]-2)))</f>
        <v/>
      </c>
      <c r="O19" s="36" t="str">
        <f ca="1">IF(SAJ[[#This Row],[//]]="","",IF(INDEX([2]!NOTA[DISC 1],SAJ[[#This Row],[//]]-2)="","",INDEX([2]!NOTA[DISC 1],SAJ[[#This Row],[//]]-2)))</f>
        <v/>
      </c>
      <c r="P19" s="36" t="str">
        <f ca="1">IF(SAJ[[#This Row],[//]]="","",IF(INDEX([2]!NOTA[DISC 2],SAJ[[#This Row],[//]]-2)="","",INDEX([2]!NOTA[DISC 2],SAJ[[#This Row],[//]]-2)))</f>
        <v/>
      </c>
      <c r="Q19" s="29" t="str">
        <f ca="1">IF(SAJ[[#This Row],[//]]="","",INDEX([2]!NOTA[JUMLAH],SAJ[[#This Row],[//]]-2)*(100%-IF(ISNUMBER(SAJ[[#This Row],[DISC 1 (%)]]),SAJ[[#This Row],[DISC 1 (%)]],0)))</f>
        <v/>
      </c>
      <c r="R19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19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19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19" s="25" t="str">
        <f ca="1">IF(SAJ[[#This Row],[//]]="","",INDEX([2]!NOTA[NAMA BARANG],SAJ[[#This Row],[//]]-2))</f>
        <v/>
      </c>
      <c r="V19" s="25" t="str">
        <f ca="1">LOWER(SUBSTITUTE(SUBSTITUTE(SUBSTITUTE(SUBSTITUTE(SUBSTITUTE(SUBSTITUTE(SUBSTITUTE(SUBSTITUTE(SAJ[[#This Row],[N.B.nota]]," ",""),"-",""),"(",""),")",""),".",""),",",""),"/",""),"""",""))</f>
        <v/>
      </c>
      <c r="W19" s="25" t="str">
        <f ca="1">IF(SAJ[[#This Row],[concat]]="","",MATCH(SAJ[[#This Row],[concat]],[4]!db[NB NOTA_C],0)+1)</f>
        <v/>
      </c>
      <c r="X19" s="25" t="str">
        <f ca="1">IF(SAJ[[#This Row],[N.B.nota]]="","",ADDRESS(ROW(SAJ[QB]),COLUMN(SAJ[QB]))&amp;":"&amp;ADDRESS(ROW(),COLUMN(SAJ[QB])))</f>
        <v/>
      </c>
      <c r="Y19" s="25" t="str">
        <f ca="1">IF(SAJ[[#This Row],[//]]="","",HYPERLINK("[..\\DB.xlsx]DB!e"&amp;MATCH(SAJ[[#This Row],[concat]],[4]!db[NB NOTA_C],0)+1,"&gt;"))</f>
        <v/>
      </c>
    </row>
    <row r="20" spans="1:25" x14ac:dyDescent="0.25">
      <c r="A20" s="13"/>
      <c r="B20" s="31" t="str">
        <f>IF(SAJ[[#This Row],[N_ID]]="","",INDEX(Table1[ID],MATCH(SAJ[[#This Row],[N_ID]],Table1[N_ID],0)))</f>
        <v/>
      </c>
      <c r="C20" s="31" t="str">
        <f>IF(SAJ[[#This Row],[ID NOTA]]="","",HYPERLINK("[NOTA_.xlsx]NOTA!e"&amp;INDEX([2]!PAJAK[//],MATCH(SAJ[[#This Row],[ID NOTA]],[2]!PAJAK[ID],0)),"&gt;") )</f>
        <v/>
      </c>
      <c r="D20" s="31" t="str">
        <f>IF(SAJ[[#This Row],[ID NOTA]]="","",INDEX(Table1[QB],MATCH(SAJ[[#This Row],[ID NOTA]],Table1[ID],0)))</f>
        <v/>
      </c>
      <c r="E20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20" s="31"/>
      <c r="G20" s="34" t="str">
        <f>IF(SAJ[[#This Row],[ID NOTA]]="","",INDEX([2]!NOTA[TGL_H],MATCH(SAJ[[#This Row],[ID NOTA]],[2]!NOTA[ID],0)))</f>
        <v/>
      </c>
      <c r="H20" s="34" t="str">
        <f>IF(SAJ[[#This Row],[ID NOTA]]="","",INDEX([2]!NOTA[TGL.NOTA],MATCH(SAJ[[#This Row],[ID NOTA]],[2]!NOTA[ID],0)))</f>
        <v/>
      </c>
      <c r="I20" s="25" t="str">
        <f>IF(SAJ[[#This Row],[ID NOTA]]="","",INDEX([2]!NOTA[NO.NOTA],MATCH(SAJ[[#This Row],[ID NOTA]],[2]!NOTA[ID],0)))</f>
        <v/>
      </c>
      <c r="J20" s="25" t="str">
        <f ca="1">IF(SAJ[[#This Row],[//]]="","",INDEX([4]!db[NB PAJAK],SAJ[[#This Row],[stt]]-1))</f>
        <v/>
      </c>
      <c r="K20" s="31" t="str">
        <f ca="1">IF(SAJ[[#This Row],[//]]="","",INDEX([2]!NOTA[C],SAJ[[#This Row],[//]]-2))</f>
        <v/>
      </c>
      <c r="L20" s="31" t="str">
        <f ca="1">IF(SAJ[//]="","",INDEX([2]!NOTA[QTY],SAJ[//]-2))</f>
        <v/>
      </c>
      <c r="M20" s="31" t="str">
        <f ca="1">IF(SAJ[//]="","",INDEX([2]!NOTA[STN],SAJ[//]-2))</f>
        <v/>
      </c>
      <c r="N20" s="35" t="str">
        <f ca="1">IF(SAJ[[#This Row],[//]]="","",IF(INDEX([2]!NOTA[HARGA/ CTN],SAJ[[#This Row],[//]]-2)="",INDEX([2]!NOTA[HARGA SATUAN],SAJ[//]-2),INDEX([2]!NOTA[HARGA/ CTN],SAJ[[#This Row],[//]]-2)))</f>
        <v/>
      </c>
      <c r="O20" s="36" t="str">
        <f ca="1">IF(SAJ[[#This Row],[//]]="","",IF(INDEX([2]!NOTA[DISC 1],SAJ[[#This Row],[//]]-2)="","",INDEX([2]!NOTA[DISC 1],SAJ[[#This Row],[//]]-2)))</f>
        <v/>
      </c>
      <c r="P20" s="36" t="str">
        <f ca="1">IF(SAJ[[#This Row],[//]]="","",IF(INDEX([2]!NOTA[DISC 2],SAJ[[#This Row],[//]]-2)="","",INDEX([2]!NOTA[DISC 2],SAJ[[#This Row],[//]]-2)))</f>
        <v/>
      </c>
      <c r="Q20" s="29" t="str">
        <f ca="1">IF(SAJ[[#This Row],[//]]="","",INDEX([2]!NOTA[JUMLAH],SAJ[[#This Row],[//]]-2)*(100%-IF(ISNUMBER(SAJ[[#This Row],[DISC 1 (%)]]),SAJ[[#This Row],[DISC 1 (%)]],0)))</f>
        <v/>
      </c>
      <c r="R20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20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20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20" s="25" t="str">
        <f ca="1">IF(SAJ[[#This Row],[//]]="","",INDEX([2]!NOTA[NAMA BARANG],SAJ[[#This Row],[//]]-2))</f>
        <v/>
      </c>
      <c r="V20" s="25" t="str">
        <f ca="1">LOWER(SUBSTITUTE(SUBSTITUTE(SUBSTITUTE(SUBSTITUTE(SUBSTITUTE(SUBSTITUTE(SUBSTITUTE(SUBSTITUTE(SAJ[[#This Row],[N.B.nota]]," ",""),"-",""),"(",""),")",""),".",""),",",""),"/",""),"""",""))</f>
        <v/>
      </c>
      <c r="W20" s="25" t="str">
        <f ca="1">IF(SAJ[[#This Row],[concat]]="","",MATCH(SAJ[[#This Row],[concat]],[4]!db[NB NOTA_C],0)+1)</f>
        <v/>
      </c>
      <c r="X20" s="25" t="str">
        <f ca="1">IF(SAJ[[#This Row],[N.B.nota]]="","",ADDRESS(ROW(SAJ[QB]),COLUMN(SAJ[QB]))&amp;":"&amp;ADDRESS(ROW(),COLUMN(SAJ[QB])))</f>
        <v/>
      </c>
      <c r="Y20" s="25" t="str">
        <f ca="1">IF(SAJ[[#This Row],[//]]="","",HYPERLINK("[..\\DB.xlsx]DB!e"&amp;MATCH(SAJ[[#This Row],[concat]],[4]!db[NB NOTA_C],0)+1,"&gt;"))</f>
        <v/>
      </c>
    </row>
    <row r="21" spans="1:25" x14ac:dyDescent="0.25">
      <c r="A21" s="13"/>
      <c r="B21" s="31" t="str">
        <f>IF(SAJ[[#This Row],[N_ID]]="","",INDEX(Table1[ID],MATCH(SAJ[[#This Row],[N_ID]],Table1[N_ID],0)))</f>
        <v/>
      </c>
      <c r="C21" s="31" t="str">
        <f>IF(SAJ[[#This Row],[ID NOTA]]="","",HYPERLINK("[NOTA_.xlsx]NOTA!e"&amp;INDEX([2]!PAJAK[//],MATCH(SAJ[[#This Row],[ID NOTA]],[2]!PAJAK[ID],0)),"&gt;") )</f>
        <v/>
      </c>
      <c r="D21" s="31" t="str">
        <f>IF(SAJ[[#This Row],[ID NOTA]]="","",INDEX(Table1[QB],MATCH(SAJ[[#This Row],[ID NOTA]],Table1[ID],0)))</f>
        <v/>
      </c>
      <c r="E21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/>
      </c>
      <c r="F21" s="31"/>
      <c r="G21" s="34" t="str">
        <f>IF(SAJ[[#This Row],[ID NOTA]]="","",INDEX([2]!NOTA[TGL_H],MATCH(SAJ[[#This Row],[ID NOTA]],[2]!NOTA[ID],0)))</f>
        <v/>
      </c>
      <c r="H21" s="34" t="str">
        <f>IF(SAJ[[#This Row],[ID NOTA]]="","",INDEX([2]!NOTA[TGL.NOTA],MATCH(SAJ[[#This Row],[ID NOTA]],[2]!NOTA[ID],0)))</f>
        <v/>
      </c>
      <c r="I21" s="25" t="str">
        <f>IF(SAJ[[#This Row],[ID NOTA]]="","",INDEX([2]!NOTA[NO.NOTA],MATCH(SAJ[[#This Row],[ID NOTA]],[2]!NOTA[ID],0)))</f>
        <v/>
      </c>
      <c r="J21" s="25" t="str">
        <f ca="1">IF(SAJ[[#This Row],[//]]="","",INDEX([4]!db[NB PAJAK],SAJ[[#This Row],[stt]]-1))</f>
        <v/>
      </c>
      <c r="K21" s="31" t="str">
        <f ca="1">IF(SAJ[[#This Row],[//]]="","",INDEX([2]!NOTA[C],SAJ[[#This Row],[//]]-2))</f>
        <v/>
      </c>
      <c r="L21" s="31" t="str">
        <f ca="1">IF(SAJ[//]="","",INDEX([2]!NOTA[QTY],SAJ[//]-2))</f>
        <v/>
      </c>
      <c r="M21" s="31" t="str">
        <f ca="1">IF(SAJ[//]="","",INDEX([2]!NOTA[STN],SAJ[//]-2))</f>
        <v/>
      </c>
      <c r="N21" s="35" t="str">
        <f ca="1">IF(SAJ[[#This Row],[//]]="","",IF(INDEX([2]!NOTA[HARGA/ CTN],SAJ[[#This Row],[//]]-2)="",INDEX([2]!NOTA[HARGA SATUAN],SAJ[//]-2),INDEX([2]!NOTA[HARGA/ CTN],SAJ[[#This Row],[//]]-2)))</f>
        <v/>
      </c>
      <c r="O21" s="36" t="str">
        <f ca="1">IF(SAJ[[#This Row],[//]]="","",IF(INDEX([2]!NOTA[DISC 1],SAJ[[#This Row],[//]]-2)="","",INDEX([2]!NOTA[DISC 1],SAJ[[#This Row],[//]]-2)))</f>
        <v/>
      </c>
      <c r="P21" s="36" t="str">
        <f ca="1">IF(SAJ[[#This Row],[//]]="","",IF(INDEX([2]!NOTA[DISC 2],SAJ[[#This Row],[//]]-2)="","",INDEX([2]!NOTA[DISC 2],SAJ[[#This Row],[//]]-2)))</f>
        <v/>
      </c>
      <c r="Q21" s="29" t="str">
        <f ca="1">IF(SAJ[[#This Row],[//]]="","",INDEX([2]!NOTA[JUMLAH],SAJ[[#This Row],[//]]-2)*(100%-IF(ISNUMBER(SAJ[[#This Row],[DISC 1 (%)]]),SAJ[[#This Row],[DISC 1 (%)]],0)))</f>
        <v/>
      </c>
      <c r="R21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/>
      </c>
      <c r="S21" s="35" t="str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/>
      </c>
      <c r="T21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21" s="25" t="str">
        <f ca="1">IF(SAJ[[#This Row],[//]]="","",INDEX([2]!NOTA[NAMA BARANG],SAJ[[#This Row],[//]]-2))</f>
        <v/>
      </c>
      <c r="V21" s="25" t="str">
        <f ca="1">LOWER(SUBSTITUTE(SUBSTITUTE(SUBSTITUTE(SUBSTITUTE(SUBSTITUTE(SUBSTITUTE(SUBSTITUTE(SUBSTITUTE(SAJ[[#This Row],[N.B.nota]]," ",""),"-",""),"(",""),")",""),".",""),",",""),"/",""),"""",""))</f>
        <v/>
      </c>
      <c r="W21" s="25" t="str">
        <f ca="1">IF(SAJ[[#This Row],[concat]]="","",MATCH(SAJ[[#This Row],[concat]],[4]!db[NB NOTA_C],0)+1)</f>
        <v/>
      </c>
      <c r="X21" s="25" t="str">
        <f ca="1">IF(SAJ[[#This Row],[N.B.nota]]="","",ADDRESS(ROW(SAJ[QB]),COLUMN(SAJ[QB]))&amp;":"&amp;ADDRESS(ROW(),COLUMN(SAJ[QB])))</f>
        <v/>
      </c>
      <c r="Y21" s="25" t="str">
        <f ca="1">IF(SAJ[[#This Row],[//]]="","",HYPERLINK("[..\\DB.xlsx]DB!e"&amp;MATCH(SAJ[[#This Row],[concat]],[4]!db[NB NOTA_C],0)+1,"&gt;"))</f>
        <v/>
      </c>
    </row>
  </sheetData>
  <conditionalFormatting sqref="A3:A21">
    <cfRule type="duplicateValues" dxfId="111" priority="1"/>
    <cfRule type="duplicateValues" dxfId="110" priority="2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J3" sqref="J3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31" t="str">
        <f>IF(SDI[[#This Row],[N_ID]]="","",INDEX(Table1[ID],MATCH(SDI[[#This Row],[N_ID]],Table1[N_ID],0)))</f>
        <v/>
      </c>
      <c r="C3" s="31" t="str">
        <f>IF(SDI[[#This Row],[ID NOTA]]="","",HYPERLINK("[NOTA_.xlsx]NOTA!e"&amp;INDEX([2]!PAJAK[//],MATCH(SDI[[#This Row],[ID NOTA]],[2]!PAJAK[ID],0)),"&gt;") )</f>
        <v/>
      </c>
      <c r="D3" s="31" t="str">
        <f>IF(SDI[[#This Row],[ID NOTA]]="","",INDEX(Table1[QB],MATCH(SDI[[#This Row],[ID NOTA]],Table1[ID],0)))</f>
        <v/>
      </c>
      <c r="E3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3" s="31"/>
      <c r="G3" s="34" t="str">
        <f>IF(SDI[[#This Row],[ID NOTA]]="","",INDEX([2]!NOTA[TGL_H],MATCH(SDI[[#This Row],[ID NOTA]],[2]!NOTA[ID],0)))</f>
        <v/>
      </c>
      <c r="H3" s="34" t="str">
        <f>IF(SDI[[#This Row],[ID NOTA]]="","",INDEX([2]!NOTA[TGL.NOTA],MATCH(SDI[[#This Row],[ID NOTA]],[2]!NOTA[ID],0)))</f>
        <v/>
      </c>
      <c r="I3" s="25" t="str">
        <f>IF(SDI[[#This Row],[ID NOTA]]="","",INDEX([2]!NOTA[NO.NOTA],MATCH(SDI[[#This Row],[ID NOTA]],[2]!NOTA[ID],0)))</f>
        <v/>
      </c>
      <c r="J3" s="25" t="e">
        <f ca="1">IF(SDI[[#This Row],[//]]="","",INDEX([4]!db[NB PAJAK],SDI[[#This Row],[stt]]-1))</f>
        <v>#N/A</v>
      </c>
      <c r="K3" s="31" t="e">
        <f ca="1">IF(SDI[[#This Row],[//]]="","",INDEX([2]!NOTA[C],SDI[[#This Row],[//]]-2))</f>
        <v>#N/A</v>
      </c>
      <c r="L3" s="31" t="e">
        <f ca="1">IF(SDI[//]="","",INDEX([2]!NOTA[QTY],SDI[//]-2))</f>
        <v>#N/A</v>
      </c>
      <c r="M3" s="31" t="e">
        <f ca="1">IF(SDI[//]="","",INDEX([2]!NOTA[STN],SDI[//]-2))</f>
        <v>#N/A</v>
      </c>
      <c r="N3" s="35" t="e">
        <f ca="1">IF(SDI[[#This Row],[//]]="","",IF(INDEX([2]!NOTA[HARGA/ CTN],SDI[[#This Row],[//]]-2)="",INDEX([2]!NOTA[HARGA SATUAN],SDI[//]-2),INDEX([2]!NOTA[HARGA/ CTN],SDI[[#This Row],[//]]-2)))</f>
        <v>#N/A</v>
      </c>
      <c r="O3" s="36" t="e">
        <f ca="1">IF(SDI[[#This Row],[//]]="","",IF(INDEX([2]!NOTA[DISC 1],SDI[[#This Row],[//]]-2)="","",INDEX([2]!NOTA[DISC 1],SDI[[#This Row],[//]]-2)))</f>
        <v>#N/A</v>
      </c>
      <c r="P3" s="36" t="e">
        <f ca="1">IF(SDI[[#This Row],[//]]="","",IF(INDEX([2]!NOTA[DISC 2],SDI[[#This Row],[//]]-2)="","",INDEX([2]!NOTA[DISC 2],SDI[[#This Row],[//]]-2)))</f>
        <v>#N/A</v>
      </c>
      <c r="Q3" s="29" t="e">
        <f ca="1">IF(SDI[[#This Row],[//]]="","",INDEX([2]!NOTA[JUMLAH],SDI[[#This Row],[//]]-2)*(100%-IF(ISNUMBER(SDI[[#This Row],[DISC 1 (%)]]),SDI[[#This Row],[DISC 1 (%)]],0)))</f>
        <v>#N/A</v>
      </c>
      <c r="R3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3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3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5" t="e">
        <f ca="1">IF(SDI[[#This Row],[//]]="","",INDEX([2]!NOTA[NAMA BARANG],SDI[[#This Row],[//]]-2))</f>
        <v>#N/A</v>
      </c>
      <c r="V3" s="25" t="e">
        <f ca="1">LOWER(SUBSTITUTE(SUBSTITUTE(SUBSTITUTE(SUBSTITUTE(SUBSTITUTE(SUBSTITUTE(SUBSTITUTE(SUBSTITUTE(SDI[[#This Row],[N.B.nota]]," ",""),"-",""),"(",""),")",""),".",""),",",""),"/",""),"""",""))</f>
        <v>#N/A</v>
      </c>
      <c r="W3" s="25" t="e">
        <f ca="1">IF(SDI[[#This Row],[concat]]="","",MATCH(SDI[[#This Row],[concat]],[4]!db[NB NOTA_C],0)+1)</f>
        <v>#N/A</v>
      </c>
      <c r="X3" s="25" t="e">
        <f ca="1">IF(SDI[[#This Row],[N.B.nota]]="","",ADDRESS(ROW(SDI[QB]),COLUMN(SDI[QB]))&amp;":"&amp;ADDRESS(ROW(),COLUMN(SDI[QB])))</f>
        <v>#N/A</v>
      </c>
      <c r="Y3" s="25" t="e">
        <f ca="1">IF(SDI[[#This Row],[//]]="","",HYPERLINK("[..\\DB.xlsx]DB!e"&amp;MATCH(SDI[[#This Row],[concat]],[4]!db[NB NOTA_C],0)+1,"&gt;"))</f>
        <v>#N/A</v>
      </c>
    </row>
    <row r="4" spans="1:25" x14ac:dyDescent="0.25">
      <c r="A4" s="13"/>
      <c r="B4" s="31" t="str">
        <f>IF(SDI[[#This Row],[N_ID]]="","",INDEX(Table1[ID],MATCH(SDI[[#This Row],[N_ID]],Table1[N_ID],0)))</f>
        <v/>
      </c>
      <c r="C4" s="31" t="str">
        <f>IF(SDI[[#This Row],[ID NOTA]]="","",HYPERLINK("[NOTA_.xlsx]NOTA!e"&amp;INDEX([2]!PAJAK[//],MATCH(SDI[[#This Row],[ID NOTA]],[2]!PAJAK[ID],0)),"&gt;") )</f>
        <v/>
      </c>
      <c r="D4" s="31" t="str">
        <f>IF(SDI[[#This Row],[ID NOTA]]="","",INDEX(Table1[QB],MATCH(SDI[[#This Row],[ID NOTA]],Table1[ID],0)))</f>
        <v/>
      </c>
      <c r="E4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4" s="31"/>
      <c r="G4" s="34" t="str">
        <f>IF(SDI[[#This Row],[ID NOTA]]="","",INDEX([2]!NOTA[TGL_H],MATCH(SDI[[#This Row],[ID NOTA]],[2]!NOTA[ID],0)))</f>
        <v/>
      </c>
      <c r="H4" s="34" t="str">
        <f>IF(SDI[[#This Row],[ID NOTA]]="","",INDEX([2]!NOTA[TGL.NOTA],MATCH(SDI[[#This Row],[ID NOTA]],[2]!NOTA[ID],0)))</f>
        <v/>
      </c>
      <c r="I4" s="25" t="str">
        <f>IF(SDI[[#This Row],[ID NOTA]]="","",INDEX([2]!NOTA[NO.NOTA],MATCH(SDI[[#This Row],[ID NOTA]],[2]!NOTA[ID],0)))</f>
        <v/>
      </c>
      <c r="J4" s="25" t="e">
        <f ca="1">IF(SDI[[#This Row],[//]]="","",INDEX([4]!db[NB PAJAK],SDI[[#This Row],[stt]]-1))</f>
        <v>#N/A</v>
      </c>
      <c r="K4" s="31" t="e">
        <f ca="1">IF(SDI[[#This Row],[//]]="","",INDEX([2]!NOTA[C],SDI[[#This Row],[//]]-2))</f>
        <v>#N/A</v>
      </c>
      <c r="L4" s="31" t="e">
        <f ca="1">IF(SDI[//]="","",INDEX([2]!NOTA[QTY],SDI[//]-2))</f>
        <v>#N/A</v>
      </c>
      <c r="M4" s="31" t="e">
        <f ca="1">IF(SDI[//]="","",INDEX([2]!NOTA[STN],SDI[//]-2))</f>
        <v>#N/A</v>
      </c>
      <c r="N4" s="35" t="e">
        <f ca="1">IF(SDI[[#This Row],[//]]="","",IF(INDEX([2]!NOTA[HARGA/ CTN],SDI[[#This Row],[//]]-2)="",INDEX([2]!NOTA[HARGA SATUAN],SDI[//]-2),INDEX([2]!NOTA[HARGA/ CTN],SDI[[#This Row],[//]]-2)))</f>
        <v>#N/A</v>
      </c>
      <c r="O4" s="36" t="e">
        <f ca="1">IF(SDI[[#This Row],[//]]="","",IF(INDEX([2]!NOTA[DISC 1],SDI[[#This Row],[//]]-2)="","",INDEX([2]!NOTA[DISC 1],SDI[[#This Row],[//]]-2)))</f>
        <v>#N/A</v>
      </c>
      <c r="P4" s="36" t="e">
        <f ca="1">IF(SDI[[#This Row],[//]]="","",IF(INDEX([2]!NOTA[DISC 2],SDI[[#This Row],[//]]-2)="","",INDEX([2]!NOTA[DISC 2],SDI[[#This Row],[//]]-2)))</f>
        <v>#N/A</v>
      </c>
      <c r="Q4" s="29" t="e">
        <f ca="1">IF(SDI[[#This Row],[//]]="","",INDEX([2]!NOTA[JUMLAH],SDI[[#This Row],[//]]-2)*(100%-IF(ISNUMBER(SDI[[#This Row],[DISC 1 (%)]]),SDI[[#This Row],[DISC 1 (%)]],0)))</f>
        <v>#N/A</v>
      </c>
      <c r="R4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4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4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5" t="e">
        <f ca="1">IF(SDI[[#This Row],[//]]="","",INDEX([2]!NOTA[NAMA BARANG],SDI[[#This Row],[//]]-2))</f>
        <v>#N/A</v>
      </c>
      <c r="V4" s="25" t="e">
        <f ca="1">LOWER(SUBSTITUTE(SUBSTITUTE(SUBSTITUTE(SUBSTITUTE(SUBSTITUTE(SUBSTITUTE(SUBSTITUTE(SUBSTITUTE(SDI[[#This Row],[N.B.nota]]," ",""),"-",""),"(",""),")",""),".",""),",",""),"/",""),"""",""))</f>
        <v>#N/A</v>
      </c>
      <c r="W4" s="25" t="e">
        <f ca="1">IF(SDI[[#This Row],[concat]]="","",MATCH(SDI[[#This Row],[concat]],[4]!db[NB NOTA_C],0)+1)</f>
        <v>#N/A</v>
      </c>
      <c r="X4" s="25" t="e">
        <f ca="1">IF(SDI[[#This Row],[N.B.nota]]="","",ADDRESS(ROW(SDI[QB]),COLUMN(SDI[QB]))&amp;":"&amp;ADDRESS(ROW(),COLUMN(SDI[QB])))</f>
        <v>#N/A</v>
      </c>
      <c r="Y4" s="25" t="e">
        <f ca="1">IF(SDI[[#This Row],[//]]="","",HYPERLINK("[..\\DB.xlsx]DB!e"&amp;MATCH(SDI[[#This Row],[concat]],[4]!db[NB NOTA_C],0)+1,"&gt;"))</f>
        <v>#N/A</v>
      </c>
    </row>
    <row r="5" spans="1:25" x14ac:dyDescent="0.25">
      <c r="A5" s="13"/>
      <c r="B5" s="31" t="str">
        <f>IF(SDI[[#This Row],[N_ID]]="","",INDEX(Table1[ID],MATCH(SDI[[#This Row],[N_ID]],Table1[N_ID],0)))</f>
        <v/>
      </c>
      <c r="C5" s="31" t="str">
        <f>IF(SDI[[#This Row],[ID NOTA]]="","",HYPERLINK("[NOTA_.xlsx]NOTA!e"&amp;INDEX([2]!PAJAK[//],MATCH(SDI[[#This Row],[ID NOTA]],[2]!PAJAK[ID],0)),"&gt;") )</f>
        <v/>
      </c>
      <c r="D5" s="31" t="str">
        <f>IF(SDI[[#This Row],[ID NOTA]]="","",INDEX(Table1[QB],MATCH(SDI[[#This Row],[ID NOTA]],Table1[ID],0)))</f>
        <v/>
      </c>
      <c r="E5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5" s="31"/>
      <c r="G5" s="34" t="str">
        <f>IF(SDI[[#This Row],[ID NOTA]]="","",INDEX([2]!NOTA[TGL_H],MATCH(SDI[[#This Row],[ID NOTA]],[2]!NOTA[ID],0)))</f>
        <v/>
      </c>
      <c r="H5" s="34" t="str">
        <f>IF(SDI[[#This Row],[ID NOTA]]="","",INDEX([2]!NOTA[TGL.NOTA],MATCH(SDI[[#This Row],[ID NOTA]],[2]!NOTA[ID],0)))</f>
        <v/>
      </c>
      <c r="I5" s="25" t="str">
        <f>IF(SDI[[#This Row],[ID NOTA]]="","",INDEX([2]!NOTA[NO.NOTA],MATCH(SDI[[#This Row],[ID NOTA]],[2]!NOTA[ID],0)))</f>
        <v/>
      </c>
      <c r="J5" s="25" t="e">
        <f ca="1">IF(SDI[[#This Row],[//]]="","",INDEX([4]!db[NB PAJAK],SDI[[#This Row],[stt]]-1))</f>
        <v>#N/A</v>
      </c>
      <c r="K5" s="31" t="e">
        <f ca="1">IF(SDI[[#This Row],[//]]="","",INDEX([2]!NOTA[C],SDI[[#This Row],[//]]-2))</f>
        <v>#N/A</v>
      </c>
      <c r="L5" s="31" t="e">
        <f ca="1">IF(SDI[//]="","",INDEX([2]!NOTA[QTY],SDI[//]-2))</f>
        <v>#N/A</v>
      </c>
      <c r="M5" s="31" t="e">
        <f ca="1">IF(SDI[//]="","",INDEX([2]!NOTA[STN],SDI[//]-2))</f>
        <v>#N/A</v>
      </c>
      <c r="N5" s="35" t="e">
        <f ca="1">IF(SDI[[#This Row],[//]]="","",IF(INDEX([2]!NOTA[HARGA/ CTN],SDI[[#This Row],[//]]-2)="",INDEX([2]!NOTA[HARGA SATUAN],SDI[//]-2),INDEX([2]!NOTA[HARGA/ CTN],SDI[[#This Row],[//]]-2)))</f>
        <v>#N/A</v>
      </c>
      <c r="O5" s="36" t="e">
        <f ca="1">IF(SDI[[#This Row],[//]]="","",IF(INDEX([2]!NOTA[DISC 1],SDI[[#This Row],[//]]-2)="","",INDEX([2]!NOTA[DISC 1],SDI[[#This Row],[//]]-2)))</f>
        <v>#N/A</v>
      </c>
      <c r="P5" s="36" t="e">
        <f ca="1">IF(SDI[[#This Row],[//]]="","",IF(INDEX([2]!NOTA[DISC 2],SDI[[#This Row],[//]]-2)="","",INDEX([2]!NOTA[DISC 2],SDI[[#This Row],[//]]-2)))</f>
        <v>#N/A</v>
      </c>
      <c r="Q5" s="29" t="e">
        <f ca="1">IF(SDI[[#This Row],[//]]="","",INDEX([2]!NOTA[JUMLAH],SDI[[#This Row],[//]]-2)*(100%-IF(ISNUMBER(SDI[[#This Row],[DISC 1 (%)]]),SDI[[#This Row],[DISC 1 (%)]],0)))</f>
        <v>#N/A</v>
      </c>
      <c r="R5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5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5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5" t="e">
        <f ca="1">IF(SDI[[#This Row],[//]]="","",INDEX([2]!NOTA[NAMA BARANG],SDI[[#This Row],[//]]-2))</f>
        <v>#N/A</v>
      </c>
      <c r="V5" s="25" t="e">
        <f ca="1">LOWER(SUBSTITUTE(SUBSTITUTE(SUBSTITUTE(SUBSTITUTE(SUBSTITUTE(SUBSTITUTE(SUBSTITUTE(SUBSTITUTE(SDI[[#This Row],[N.B.nota]]," ",""),"-",""),"(",""),")",""),".",""),",",""),"/",""),"""",""))</f>
        <v>#N/A</v>
      </c>
      <c r="W5" s="25" t="e">
        <f ca="1">IF(SDI[[#This Row],[concat]]="","",MATCH(SDI[[#This Row],[concat]],[4]!db[NB NOTA_C],0)+1)</f>
        <v>#N/A</v>
      </c>
      <c r="X5" s="25" t="e">
        <f ca="1">IF(SDI[[#This Row],[N.B.nota]]="","",ADDRESS(ROW(SDI[QB]),COLUMN(SDI[QB]))&amp;":"&amp;ADDRESS(ROW(),COLUMN(SDI[QB])))</f>
        <v>#N/A</v>
      </c>
      <c r="Y5" s="25" t="e">
        <f ca="1">IF(SDI[[#This Row],[//]]="","",HYPERLINK("[..\\DB.xlsx]DB!e"&amp;MATCH(SDI[[#This Row],[concat]],[4]!db[NB NOTA_C],0)+1,"&gt;"))</f>
        <v>#N/A</v>
      </c>
    </row>
    <row r="6" spans="1:25" x14ac:dyDescent="0.25">
      <c r="A6" s="13"/>
      <c r="B6" s="31" t="str">
        <f>IF(SDI[[#This Row],[N_ID]]="","",INDEX(Table1[ID],MATCH(SDI[[#This Row],[N_ID]],Table1[N_ID],0)))</f>
        <v/>
      </c>
      <c r="C6" s="31" t="str">
        <f>IF(SDI[[#This Row],[ID NOTA]]="","",HYPERLINK("[NOTA_.xlsx]NOTA!e"&amp;INDEX([2]!PAJAK[//],MATCH(SDI[[#This Row],[ID NOTA]],[2]!PAJAK[ID],0)),"&gt;") )</f>
        <v/>
      </c>
      <c r="D6" s="31" t="str">
        <f>IF(SDI[[#This Row],[ID NOTA]]="","",INDEX(Table1[QB],MATCH(SDI[[#This Row],[ID NOTA]],Table1[ID],0)))</f>
        <v/>
      </c>
      <c r="E6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6" s="31"/>
      <c r="G6" s="34" t="str">
        <f>IF(SDI[[#This Row],[ID NOTA]]="","",INDEX([2]!NOTA[TGL_H],MATCH(SDI[[#This Row],[ID NOTA]],[2]!NOTA[ID],0)))</f>
        <v/>
      </c>
      <c r="H6" s="34" t="str">
        <f>IF(SDI[[#This Row],[ID NOTA]]="","",INDEX([2]!NOTA[TGL.NOTA],MATCH(SDI[[#This Row],[ID NOTA]],[2]!NOTA[ID],0)))</f>
        <v/>
      </c>
      <c r="I6" s="25" t="str">
        <f>IF(SDI[[#This Row],[ID NOTA]]="","",INDEX([2]!NOTA[NO.NOTA],MATCH(SDI[[#This Row],[ID NOTA]],[2]!NOTA[ID],0)))</f>
        <v/>
      </c>
      <c r="J6" s="25" t="e">
        <f ca="1">IF(SDI[[#This Row],[//]]="","",INDEX([4]!db[NB PAJAK],SDI[[#This Row],[stt]]-1))</f>
        <v>#N/A</v>
      </c>
      <c r="K6" s="31" t="e">
        <f ca="1">IF(SDI[[#This Row],[//]]="","",INDEX([2]!NOTA[C],SDI[[#This Row],[//]]-2))</f>
        <v>#N/A</v>
      </c>
      <c r="L6" s="31" t="e">
        <f ca="1">IF(SDI[//]="","",INDEX([2]!NOTA[QTY],SDI[//]-2))</f>
        <v>#N/A</v>
      </c>
      <c r="M6" s="31" t="e">
        <f ca="1">IF(SDI[//]="","",INDEX([2]!NOTA[STN],SDI[//]-2))</f>
        <v>#N/A</v>
      </c>
      <c r="N6" s="35" t="e">
        <f ca="1">IF(SDI[[#This Row],[//]]="","",IF(INDEX([2]!NOTA[HARGA/ CTN],SDI[[#This Row],[//]]-2)="",INDEX([2]!NOTA[HARGA SATUAN],SDI[//]-2),INDEX([2]!NOTA[HARGA/ CTN],SDI[[#This Row],[//]]-2)))</f>
        <v>#N/A</v>
      </c>
      <c r="O6" s="36" t="e">
        <f ca="1">IF(SDI[[#This Row],[//]]="","",IF(INDEX([2]!NOTA[DISC 1],SDI[[#This Row],[//]]-2)="","",INDEX([2]!NOTA[DISC 1],SDI[[#This Row],[//]]-2)))</f>
        <v>#N/A</v>
      </c>
      <c r="P6" s="36" t="e">
        <f ca="1">IF(SDI[[#This Row],[//]]="","",IF(INDEX([2]!NOTA[DISC 2],SDI[[#This Row],[//]]-2)="","",INDEX([2]!NOTA[DISC 2],SDI[[#This Row],[//]]-2)))</f>
        <v>#N/A</v>
      </c>
      <c r="Q6" s="29" t="e">
        <f ca="1">IF(SDI[[#This Row],[//]]="","",INDEX([2]!NOTA[JUMLAH],SDI[[#This Row],[//]]-2)*(100%-IF(ISNUMBER(SDI[[#This Row],[DISC 1 (%)]]),SDI[[#This Row],[DISC 1 (%)]],0)))</f>
        <v>#N/A</v>
      </c>
      <c r="R6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6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6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5" t="e">
        <f ca="1">IF(SDI[[#This Row],[//]]="","",INDEX([2]!NOTA[NAMA BARANG],SDI[[#This Row],[//]]-2))</f>
        <v>#N/A</v>
      </c>
      <c r="V6" s="25" t="e">
        <f ca="1">LOWER(SUBSTITUTE(SUBSTITUTE(SUBSTITUTE(SUBSTITUTE(SUBSTITUTE(SUBSTITUTE(SUBSTITUTE(SUBSTITUTE(SDI[[#This Row],[N.B.nota]]," ",""),"-",""),"(",""),")",""),".",""),",",""),"/",""),"""",""))</f>
        <v>#N/A</v>
      </c>
      <c r="W6" s="25" t="e">
        <f ca="1">IF(SDI[[#This Row],[concat]]="","",MATCH(SDI[[#This Row],[concat]],[4]!db[NB NOTA_C],0)+1)</f>
        <v>#N/A</v>
      </c>
      <c r="X6" s="25" t="e">
        <f ca="1">IF(SDI[[#This Row],[N.B.nota]]="","",ADDRESS(ROW(SDI[QB]),COLUMN(SDI[QB]))&amp;":"&amp;ADDRESS(ROW(),COLUMN(SDI[QB])))</f>
        <v>#N/A</v>
      </c>
      <c r="Y6" s="25" t="e">
        <f ca="1">IF(SDI[[#This Row],[//]]="","",HYPERLINK("[..\\DB.xlsx]DB!e"&amp;MATCH(SDI[[#This Row],[concat]],[4]!db[NB NOTA_C],0)+1,"&gt;"))</f>
        <v>#N/A</v>
      </c>
    </row>
    <row r="7" spans="1:25" x14ac:dyDescent="0.25">
      <c r="A7" s="13"/>
      <c r="B7" s="31" t="str">
        <f>IF(SDI[[#This Row],[N_ID]]="","",INDEX(Table1[ID],MATCH(SDI[[#This Row],[N_ID]],Table1[N_ID],0)))</f>
        <v/>
      </c>
      <c r="C7" s="31" t="str">
        <f>IF(SDI[[#This Row],[ID NOTA]]="","",HYPERLINK("[NOTA_.xlsx]NOTA!e"&amp;INDEX([2]!PAJAK[//],MATCH(SDI[[#This Row],[ID NOTA]],[2]!PAJAK[ID],0)),"&gt;") )</f>
        <v/>
      </c>
      <c r="D7" s="31" t="str">
        <f>IF(SDI[[#This Row],[ID NOTA]]="","",INDEX(Table1[QB],MATCH(SDI[[#This Row],[ID NOTA]],Table1[ID],0)))</f>
        <v/>
      </c>
      <c r="E7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7" s="31"/>
      <c r="G7" s="34" t="str">
        <f>IF(SDI[[#This Row],[ID NOTA]]="","",INDEX([2]!NOTA[TGL_H],MATCH(SDI[[#This Row],[ID NOTA]],[2]!NOTA[ID],0)))</f>
        <v/>
      </c>
      <c r="H7" s="34" t="str">
        <f>IF(SDI[[#This Row],[ID NOTA]]="","",INDEX([2]!NOTA[TGL.NOTA],MATCH(SDI[[#This Row],[ID NOTA]],[2]!NOTA[ID],0)))</f>
        <v/>
      </c>
      <c r="I7" s="25" t="str">
        <f>IF(SDI[[#This Row],[ID NOTA]]="","",INDEX([2]!NOTA[NO.NOTA],MATCH(SDI[[#This Row],[ID NOTA]],[2]!NOTA[ID],0)))</f>
        <v/>
      </c>
      <c r="J7" s="25" t="e">
        <f ca="1">IF(SDI[[#This Row],[//]]="","",INDEX([4]!db[NB PAJAK],SDI[[#This Row],[stt]]-1))</f>
        <v>#N/A</v>
      </c>
      <c r="K7" s="31" t="e">
        <f ca="1">IF(SDI[[#This Row],[//]]="","",INDEX([2]!NOTA[C],SDI[[#This Row],[//]]-2))</f>
        <v>#N/A</v>
      </c>
      <c r="L7" s="31" t="e">
        <f ca="1">IF(SDI[//]="","",INDEX([2]!NOTA[QTY],SDI[//]-2))</f>
        <v>#N/A</v>
      </c>
      <c r="M7" s="31" t="e">
        <f ca="1">IF(SDI[//]="","",INDEX([2]!NOTA[STN],SDI[//]-2))</f>
        <v>#N/A</v>
      </c>
      <c r="N7" s="35" t="e">
        <f ca="1">IF(SDI[[#This Row],[//]]="","",IF(INDEX([2]!NOTA[HARGA/ CTN],SDI[[#This Row],[//]]-2)="",INDEX([2]!NOTA[HARGA SATUAN],SDI[//]-2),INDEX([2]!NOTA[HARGA/ CTN],SDI[[#This Row],[//]]-2)))</f>
        <v>#N/A</v>
      </c>
      <c r="O7" s="36" t="e">
        <f ca="1">IF(SDI[[#This Row],[//]]="","",IF(INDEX([2]!NOTA[DISC 1],SDI[[#This Row],[//]]-2)="","",INDEX([2]!NOTA[DISC 1],SDI[[#This Row],[//]]-2)))</f>
        <v>#N/A</v>
      </c>
      <c r="P7" s="36" t="e">
        <f ca="1">IF(SDI[[#This Row],[//]]="","",IF(INDEX([2]!NOTA[DISC 2],SDI[[#This Row],[//]]-2)="","",INDEX([2]!NOTA[DISC 2],SDI[[#This Row],[//]]-2)))</f>
        <v>#N/A</v>
      </c>
      <c r="Q7" s="29" t="e">
        <f ca="1">IF(SDI[[#This Row],[//]]="","",INDEX([2]!NOTA[JUMLAH],SDI[[#This Row],[//]]-2)*(100%-IF(ISNUMBER(SDI[[#This Row],[DISC 1 (%)]]),SDI[[#This Row],[DISC 1 (%)]],0)))</f>
        <v>#N/A</v>
      </c>
      <c r="R7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7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7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5" t="e">
        <f ca="1">IF(SDI[[#This Row],[//]]="","",INDEX([2]!NOTA[NAMA BARANG],SDI[[#This Row],[//]]-2))</f>
        <v>#N/A</v>
      </c>
      <c r="V7" s="25" t="e">
        <f ca="1">LOWER(SUBSTITUTE(SUBSTITUTE(SUBSTITUTE(SUBSTITUTE(SUBSTITUTE(SUBSTITUTE(SUBSTITUTE(SUBSTITUTE(SDI[[#This Row],[N.B.nota]]," ",""),"-",""),"(",""),")",""),".",""),",",""),"/",""),"""",""))</f>
        <v>#N/A</v>
      </c>
      <c r="W7" s="25" t="e">
        <f ca="1">IF(SDI[[#This Row],[concat]]="","",MATCH(SDI[[#This Row],[concat]],[4]!db[NB NOTA_C],0)+1)</f>
        <v>#N/A</v>
      </c>
      <c r="X7" s="25" t="e">
        <f ca="1">IF(SDI[[#This Row],[N.B.nota]]="","",ADDRESS(ROW(SDI[QB]),COLUMN(SDI[QB]))&amp;":"&amp;ADDRESS(ROW(),COLUMN(SDI[QB])))</f>
        <v>#N/A</v>
      </c>
      <c r="Y7" s="25" t="e">
        <f ca="1">IF(SDI[[#This Row],[//]]="","",HYPERLINK("[..\\DB.xlsx]DB!e"&amp;MATCH(SDI[[#This Row],[concat]],[4]!db[NB NOTA_C],0)+1,"&gt;"))</f>
        <v>#N/A</v>
      </c>
    </row>
    <row r="8" spans="1:25" x14ac:dyDescent="0.25">
      <c r="A8" s="13"/>
      <c r="B8" s="31" t="str">
        <f>IF(SDI[[#This Row],[N_ID]]="","",INDEX(Table1[ID],MATCH(SDI[[#This Row],[N_ID]],Table1[N_ID],0)))</f>
        <v/>
      </c>
      <c r="C8" s="31" t="str">
        <f>IF(SDI[[#This Row],[ID NOTA]]="","",HYPERLINK("[NOTA_.xlsx]NOTA!e"&amp;INDEX([2]!PAJAK[//],MATCH(SDI[[#This Row],[ID NOTA]],[2]!PAJAK[ID],0)),"&gt;") )</f>
        <v/>
      </c>
      <c r="D8" s="31" t="str">
        <f>IF(SDI[[#This Row],[ID NOTA]]="","",INDEX(Table1[QB],MATCH(SDI[[#This Row],[ID NOTA]],Table1[ID],0)))</f>
        <v/>
      </c>
      <c r="E8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8" s="31"/>
      <c r="G8" s="34" t="str">
        <f>IF(SDI[[#This Row],[ID NOTA]]="","",INDEX([2]!NOTA[TGL_H],MATCH(SDI[[#This Row],[ID NOTA]],[2]!NOTA[ID],0)))</f>
        <v/>
      </c>
      <c r="H8" s="34" t="str">
        <f>IF(SDI[[#This Row],[ID NOTA]]="","",INDEX([2]!NOTA[TGL.NOTA],MATCH(SDI[[#This Row],[ID NOTA]],[2]!NOTA[ID],0)))</f>
        <v/>
      </c>
      <c r="I8" s="25" t="str">
        <f>IF(SDI[[#This Row],[ID NOTA]]="","",INDEX([2]!NOTA[NO.NOTA],MATCH(SDI[[#This Row],[ID NOTA]],[2]!NOTA[ID],0)))</f>
        <v/>
      </c>
      <c r="J8" s="25" t="e">
        <f ca="1">IF(SDI[[#This Row],[//]]="","",INDEX([4]!db[NB PAJAK],SDI[[#This Row],[stt]]-1))</f>
        <v>#N/A</v>
      </c>
      <c r="K8" s="31" t="e">
        <f ca="1">IF(SDI[[#This Row],[//]]="","",INDEX([2]!NOTA[C],SDI[[#This Row],[//]]-2))</f>
        <v>#N/A</v>
      </c>
      <c r="L8" s="31" t="e">
        <f ca="1">IF(SDI[//]="","",INDEX([2]!NOTA[QTY],SDI[//]-2))</f>
        <v>#N/A</v>
      </c>
      <c r="M8" s="31" t="e">
        <f ca="1">IF(SDI[//]="","",INDEX([2]!NOTA[STN],SDI[//]-2))</f>
        <v>#N/A</v>
      </c>
      <c r="N8" s="35" t="e">
        <f ca="1">IF(SDI[[#This Row],[//]]="","",IF(INDEX([2]!NOTA[HARGA/ CTN],SDI[[#This Row],[//]]-2)="",INDEX([2]!NOTA[HARGA SATUAN],SDI[//]-2),INDEX([2]!NOTA[HARGA/ CTN],SDI[[#This Row],[//]]-2)))</f>
        <v>#N/A</v>
      </c>
      <c r="O8" s="36" t="e">
        <f ca="1">IF(SDI[[#This Row],[//]]="","",IF(INDEX([2]!NOTA[DISC 1],SDI[[#This Row],[//]]-2)="","",INDEX([2]!NOTA[DISC 1],SDI[[#This Row],[//]]-2)))</f>
        <v>#N/A</v>
      </c>
      <c r="P8" s="36" t="e">
        <f ca="1">IF(SDI[[#This Row],[//]]="","",IF(INDEX([2]!NOTA[DISC 2],SDI[[#This Row],[//]]-2)="","",INDEX([2]!NOTA[DISC 2],SDI[[#This Row],[//]]-2)))</f>
        <v>#N/A</v>
      </c>
      <c r="Q8" s="29" t="e">
        <f ca="1">IF(SDI[[#This Row],[//]]="","",INDEX([2]!NOTA[JUMLAH],SDI[[#This Row],[//]]-2)*(100%-IF(ISNUMBER(SDI[[#This Row],[DISC 1 (%)]]),SDI[[#This Row],[DISC 1 (%)]],0)))</f>
        <v>#N/A</v>
      </c>
      <c r="R8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8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8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5" t="e">
        <f ca="1">IF(SDI[[#This Row],[//]]="","",INDEX([2]!NOTA[NAMA BARANG],SDI[[#This Row],[//]]-2))</f>
        <v>#N/A</v>
      </c>
      <c r="V8" s="25" t="e">
        <f ca="1">LOWER(SUBSTITUTE(SUBSTITUTE(SUBSTITUTE(SUBSTITUTE(SUBSTITUTE(SUBSTITUTE(SUBSTITUTE(SUBSTITUTE(SDI[[#This Row],[N.B.nota]]," ",""),"-",""),"(",""),")",""),".",""),",",""),"/",""),"""",""))</f>
        <v>#N/A</v>
      </c>
      <c r="W8" s="25" t="e">
        <f ca="1">IF(SDI[[#This Row],[concat]]="","",MATCH(SDI[[#This Row],[concat]],[4]!db[NB NOTA_C],0)+1)</f>
        <v>#N/A</v>
      </c>
      <c r="X8" s="25" t="e">
        <f ca="1">IF(SDI[[#This Row],[N.B.nota]]="","",ADDRESS(ROW(SDI[QB]),COLUMN(SDI[QB]))&amp;":"&amp;ADDRESS(ROW(),COLUMN(SDI[QB])))</f>
        <v>#N/A</v>
      </c>
      <c r="Y8" s="25" t="e">
        <f ca="1">IF(SDI[[#This Row],[//]]="","",HYPERLINK("[..\\DB.xlsx]DB!e"&amp;MATCH(SDI[[#This Row],[concat]],[4]!db[NB NOTA_C],0)+1,"&gt;"))</f>
        <v>#N/A</v>
      </c>
    </row>
    <row r="9" spans="1:25" x14ac:dyDescent="0.25">
      <c r="A9" s="13"/>
      <c r="B9" s="31" t="str">
        <f>IF(SDI[[#This Row],[N_ID]]="","",INDEX(Table1[ID],MATCH(SDI[[#This Row],[N_ID]],Table1[N_ID],0)))</f>
        <v/>
      </c>
      <c r="C9" s="31" t="str">
        <f>IF(SDI[[#This Row],[ID NOTA]]="","",HYPERLINK("[NOTA_.xlsx]NOTA!e"&amp;INDEX([2]!PAJAK[//],MATCH(SDI[[#This Row],[ID NOTA]],[2]!PAJAK[ID],0)),"&gt;") )</f>
        <v/>
      </c>
      <c r="D9" s="31" t="str">
        <f>IF(SDI[[#This Row],[ID NOTA]]="","",INDEX(Table1[QB],MATCH(SDI[[#This Row],[ID NOTA]],Table1[ID],0)))</f>
        <v/>
      </c>
      <c r="E9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9" s="31"/>
      <c r="G9" s="34" t="str">
        <f>IF(SDI[[#This Row],[ID NOTA]]="","",INDEX([2]!NOTA[TGL_H],MATCH(SDI[[#This Row],[ID NOTA]],[2]!NOTA[ID],0)))</f>
        <v/>
      </c>
      <c r="H9" s="34" t="str">
        <f>IF(SDI[[#This Row],[ID NOTA]]="","",INDEX([2]!NOTA[TGL.NOTA],MATCH(SDI[[#This Row],[ID NOTA]],[2]!NOTA[ID],0)))</f>
        <v/>
      </c>
      <c r="I9" s="25" t="str">
        <f>IF(SDI[[#This Row],[ID NOTA]]="","",INDEX([2]!NOTA[NO.NOTA],MATCH(SDI[[#This Row],[ID NOTA]],[2]!NOTA[ID],0)))</f>
        <v/>
      </c>
      <c r="J9" s="25" t="e">
        <f ca="1">IF(SDI[[#This Row],[//]]="","",INDEX([4]!db[NB PAJAK],SDI[[#This Row],[stt]]-1))</f>
        <v>#N/A</v>
      </c>
      <c r="K9" s="31" t="e">
        <f ca="1">IF(SDI[[#This Row],[//]]="","",INDEX([2]!NOTA[C],SDI[[#This Row],[//]]-2))</f>
        <v>#N/A</v>
      </c>
      <c r="L9" s="31" t="e">
        <f ca="1">IF(SDI[//]="","",INDEX([2]!NOTA[QTY],SDI[//]-2))</f>
        <v>#N/A</v>
      </c>
      <c r="M9" s="31" t="e">
        <f ca="1">IF(SDI[//]="","",INDEX([2]!NOTA[STN],SDI[//]-2))</f>
        <v>#N/A</v>
      </c>
      <c r="N9" s="35" t="e">
        <f ca="1">IF(SDI[[#This Row],[//]]="","",IF(INDEX([2]!NOTA[HARGA/ CTN],SDI[[#This Row],[//]]-2)="",INDEX([2]!NOTA[HARGA SATUAN],SDI[//]-2),INDEX([2]!NOTA[HARGA/ CTN],SDI[[#This Row],[//]]-2)))</f>
        <v>#N/A</v>
      </c>
      <c r="O9" s="36" t="e">
        <f ca="1">IF(SDI[[#This Row],[//]]="","",IF(INDEX([2]!NOTA[DISC 1],SDI[[#This Row],[//]]-2)="","",INDEX([2]!NOTA[DISC 1],SDI[[#This Row],[//]]-2)))</f>
        <v>#N/A</v>
      </c>
      <c r="P9" s="36" t="e">
        <f ca="1">IF(SDI[[#This Row],[//]]="","",IF(INDEX([2]!NOTA[DISC 2],SDI[[#This Row],[//]]-2)="","",INDEX([2]!NOTA[DISC 2],SDI[[#This Row],[//]]-2)))</f>
        <v>#N/A</v>
      </c>
      <c r="Q9" s="29" t="e">
        <f ca="1">IF(SDI[[#This Row],[//]]="","",INDEX([2]!NOTA[JUMLAH],SDI[[#This Row],[//]]-2)*(100%-IF(ISNUMBER(SDI[[#This Row],[DISC 1 (%)]]),SDI[[#This Row],[DISC 1 (%)]],0)))</f>
        <v>#N/A</v>
      </c>
      <c r="R9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9" s="35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9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5" t="e">
        <f ca="1">IF(SDI[[#This Row],[//]]="","",INDEX([2]!NOTA[NAMA BARANG],SDI[[#This Row],[//]]-2))</f>
        <v>#N/A</v>
      </c>
      <c r="V9" s="25" t="e">
        <f ca="1">LOWER(SUBSTITUTE(SUBSTITUTE(SUBSTITUTE(SUBSTITUTE(SUBSTITUTE(SUBSTITUTE(SUBSTITUTE(SUBSTITUTE(SDI[[#This Row],[N.B.nota]]," ",""),"-",""),"(",""),")",""),".",""),",",""),"/",""),"""",""))</f>
        <v>#N/A</v>
      </c>
      <c r="W9" s="25" t="e">
        <f ca="1">IF(SDI[[#This Row],[concat]]="","",MATCH(SDI[[#This Row],[concat]],[4]!db[NB NOTA_C],0)+1)</f>
        <v>#N/A</v>
      </c>
      <c r="X9" s="25" t="e">
        <f ca="1">IF(SDI[[#This Row],[N.B.nota]]="","",ADDRESS(ROW(SDI[QB]),COLUMN(SDI[QB]))&amp;":"&amp;ADDRESS(ROW(),COLUMN(SDI[QB])))</f>
        <v>#N/A</v>
      </c>
      <c r="Y9" s="25" t="e">
        <f ca="1">IF(SDI[[#This Row],[//]]="","",HYPERLINK("[..\\DB.xlsx]DB!e"&amp;MATCH(SDI[[#This Row],[concat]],[4]!db[NB NOTA_C],0)+1,"&gt;"))</f>
        <v>#N/A</v>
      </c>
    </row>
  </sheetData>
  <conditionalFormatting sqref="A3:A9">
    <cfRule type="duplicateValues" dxfId="83" priority="1"/>
    <cfRule type="duplicateValues" dxfId="82" priority="2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"/>
  <sheetViews>
    <sheetView zoomScale="85" zoomScaleNormal="85" workbookViewId="0">
      <selection activeCell="C5" sqref="C5"/>
    </sheetView>
  </sheetViews>
  <sheetFormatPr defaultRowHeight="15" x14ac:dyDescent="0.25"/>
  <cols>
    <col min="1" max="1" width="15.140625" bestFit="1" customWidth="1"/>
    <col min="2" max="2" width="3.140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77</v>
      </c>
      <c r="B3" s="31">
        <f ca="1">IF(MGN[[#This Row],[N_ID]]="","",INDEX(Table1[ID],MATCH(MGN[[#This Row],[N_ID]],Table1[N_ID],0)))</f>
        <v>42</v>
      </c>
      <c r="C3" s="31" t="str">
        <f ca="1">IF(MGN[[#This Row],[ID NOTA]]="","",HYPERLINK("[NOTA_.xlsx]NOTA!e"&amp;INDEX([2]!PAJAK[//],MATCH(MGN[[#This Row],[ID NOTA]],[2]!PAJAK[ID],0)),"&gt;") )</f>
        <v>&gt;</v>
      </c>
      <c r="D3" s="31">
        <f ca="1">IF(MGN[[#This Row],[ID NOTA]]="","",INDEX(Table1[QB],MATCH(MGN[[#This Row],[ID NOTA]],Table1[ID],0)))</f>
        <v>1</v>
      </c>
      <c r="E3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223</v>
      </c>
      <c r="F3" s="31">
        <v>1</v>
      </c>
      <c r="G3" s="34">
        <f ca="1">IF(MGN[[#This Row],[ID NOTA]]="","",INDEX([2]!NOTA[TGL_H],MATCH(MGN[[#This Row],[ID NOTA]],[2]!NOTA[ID],0)))</f>
        <v>44816</v>
      </c>
      <c r="H3" s="34">
        <f ca="1">IF(MGN[[#This Row],[ID NOTA]]="","",INDEX([2]!NOTA[TGL.NOTA],MATCH(MGN[[#This Row],[ID NOTA]],[2]!NOTA[ID],0)))</f>
        <v>44812</v>
      </c>
      <c r="I3" s="25" t="str">
        <f ca="1">IF(MGN[[#This Row],[ID NOTA]]="","",INDEX([2]!NOTA[NO.NOTA],MATCH(MGN[[#This Row],[ID NOTA]],[2]!NOTA[ID],0)))</f>
        <v>L109031</v>
      </c>
      <c r="J3" s="25" t="str">
        <f ca="1">IF(MGN[[#This Row],[//]]="","",INDEX([4]!db[NB PAJAK],MGN[[#This Row],[stt]]-1))</f>
        <v>ISI STAPLER GREATWALL GW-369 (BESAR)</v>
      </c>
      <c r="K3" s="31">
        <f ca="1">IF(MGN[[#This Row],[//]]="","",INDEX([2]!NOTA[C],MGN[[#This Row],[//]]-2))</f>
        <v>10</v>
      </c>
      <c r="L3" s="31">
        <f ca="1">IF(MGN[//]="","",INDEX([2]!NOTA[QTY],MGN[//]-2))</f>
        <v>500</v>
      </c>
      <c r="M3" s="31" t="str">
        <f ca="1">IF(MGN[//]="","",INDEX([2]!NOTA[STN],MGN[//]-2))</f>
        <v>PAK</v>
      </c>
      <c r="N3" s="35">
        <f ca="1">IF(MGN[[#This Row],[//]]="","",IF(INDEX([2]!NOTA[HARGA/ CTN],MGN[[#This Row],[//]]-2)="",INDEX([2]!NOTA[HARGA SATUAN],MGN[//]-2),INDEX([2]!NOTA[HARGA/ CTN],MGN[[#This Row],[//]]-2)))</f>
        <v>24000</v>
      </c>
      <c r="O3" s="36" t="str">
        <f ca="1">IF(MGN[[#This Row],[//]]="","",IF(INDEX([2]!NOTA[DISC 1],MGN[[#This Row],[//]]-2)="","",INDEX([2]!NOTA[DISC 1],MGN[[#This Row],[//]]-2)))</f>
        <v/>
      </c>
      <c r="P3" s="36" t="str">
        <f ca="1">IF(MGN[[#This Row],[//]]="","",IF(INDEX([2]!NOTA[DISC 2],MGN[[#This Row],[//]]-2)="","",INDEX([2]!NOTA[DISC 2],MGN[[#This Row],[//]]-2)))</f>
        <v/>
      </c>
      <c r="Q3" s="29">
        <f ca="1">IF(MGN[[#This Row],[//]]="","",INDEX([2]!NOTA[JUMLAH],MGN[[#This Row],[//]]-2)*(100%-IF(ISNUMBER(MGN[[#This Row],[DISC 1 (%)]]),MGN[[#This Row],[DISC 1 (%)]],0)))</f>
        <v>12000000</v>
      </c>
      <c r="R3" s="35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0</v>
      </c>
      <c r="S3" s="35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12000000</v>
      </c>
      <c r="T3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3" s="25" t="str">
        <f ca="1">IF(MGN[[#This Row],[//]]="","",INDEX([2]!NOTA[NAMA BARANG],MGN[[#This Row],[//]]-2))</f>
        <v>ISI GW NO.369</v>
      </c>
      <c r="V3" s="25" t="str">
        <f ca="1">LOWER(SUBSTITUTE(SUBSTITUTE(SUBSTITUTE(SUBSTITUTE(SUBSTITUTE(SUBSTITUTE(SUBSTITUTE(SUBSTITUTE(MGN[[#This Row],[N.B.nota]]," ",""),"-",""),"(",""),")",""),".",""),",",""),"/",""),"""",""))</f>
        <v>isigwno369</v>
      </c>
      <c r="W3" s="25">
        <f ca="1">IF(MGN[[#This Row],[concat]]="","",MATCH(MGN[[#This Row],[concat]],[4]!db[NB NOTA_C],0)+1)</f>
        <v>961</v>
      </c>
      <c r="X3" s="25" t="str">
        <f ca="1">IF(MGN[[#This Row],[N.B.nota]]="","",ADDRESS(ROW(MGN[QB]),COLUMN(MGN[QB]))&amp;":"&amp;ADDRESS(ROW(),COLUMN(MGN[QB])))</f>
        <v>$D$3:$D$3</v>
      </c>
      <c r="Y3" s="25" t="str">
        <f ca="1">IF(MGN[[#This Row],[//]]="","",HYPERLINK("[..\\DB.xlsx]DB!e"&amp;MATCH(MGN[[#This Row],[concat]],[4]!db[NB NOTA_C],0)+1,"&gt;"))</f>
        <v>&gt;</v>
      </c>
    </row>
    <row r="4" spans="1:25" x14ac:dyDescent="0.25">
      <c r="A4" s="37"/>
      <c r="B4" s="31" t="str">
        <f>IF(MGN[[#This Row],[N_ID]]="","",INDEX(Table1[ID],MATCH(MGN[[#This Row],[N_ID]],Table1[N_ID],0)))</f>
        <v/>
      </c>
      <c r="C4" s="31" t="str">
        <f>IF(MGN[[#This Row],[ID NOTA]]="","",HYPERLINK("[NOTA_.xlsx]NOTA!e"&amp;INDEX([2]!PAJAK[//],MATCH(MGN[[#This Row],[ID NOTA]],[2]!PAJAK[ID],0)),"&gt;") )</f>
        <v/>
      </c>
      <c r="D4" s="31" t="str">
        <f>IF(MGN[[#This Row],[ID NOTA]]="","",INDEX(Table1[QB],MATCH(MGN[[#This Row],[ID NOTA]],Table1[ID],0)))</f>
        <v/>
      </c>
      <c r="E4" s="31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4" s="31"/>
      <c r="G4" s="34" t="str">
        <f>IF(MGN[[#This Row],[ID NOTA]]="","",INDEX([2]!NOTA[TGL_H],MATCH(MGN[[#This Row],[ID NOTA]],[2]!NOTA[ID],0)))</f>
        <v/>
      </c>
      <c r="H4" s="34" t="str">
        <f>IF(MGN[[#This Row],[ID NOTA]]="","",INDEX([2]!NOTA[TGL.NOTA],MATCH(MGN[[#This Row],[ID NOTA]],[2]!NOTA[ID],0)))</f>
        <v/>
      </c>
      <c r="I4" s="25" t="str">
        <f>IF(MGN[[#This Row],[ID NOTA]]="","",INDEX([2]!NOTA[NO.NOTA],MATCH(MGN[[#This Row],[ID NOTA]],[2]!NOTA[ID],0)))</f>
        <v/>
      </c>
      <c r="J4" s="25" t="str">
        <f ca="1">IF(MGN[[#This Row],[//]]="","",INDEX([4]!db[NB PAJAK],MGN[[#This Row],[stt]]-1))</f>
        <v/>
      </c>
      <c r="K4" s="31" t="str">
        <f ca="1">IF(MGN[[#This Row],[//]]="","",INDEX([2]!NOTA[C],MGN[[#This Row],[//]]-2))</f>
        <v/>
      </c>
      <c r="L4" s="31" t="str">
        <f ca="1">IF(MGN[//]="","",INDEX([2]!NOTA[QTY],MGN[//]-2))</f>
        <v/>
      </c>
      <c r="M4" s="31" t="str">
        <f ca="1">IF(MGN[//]="","",INDEX([2]!NOTA[STN],MGN[//]-2))</f>
        <v/>
      </c>
      <c r="N4" s="35" t="str">
        <f ca="1">IF(MGN[[#This Row],[//]]="","",IF(INDEX([2]!NOTA[HARGA/ CTN],MGN[[#This Row],[//]]-2)="",INDEX([2]!NOTA[HARGA SATUAN],MGN[//]-2),INDEX([2]!NOTA[HARGA/ CTN],MGN[[#This Row],[//]]-2)))</f>
        <v/>
      </c>
      <c r="O4" s="36" t="str">
        <f ca="1">IF(MGN[[#This Row],[//]]="","",IF(INDEX([2]!NOTA[DISC 1],MGN[[#This Row],[//]]-2)="","",INDEX([2]!NOTA[DISC 1],MGN[[#This Row],[//]]-2)))</f>
        <v/>
      </c>
      <c r="P4" s="36" t="str">
        <f ca="1">IF(MGN[[#This Row],[//]]="","",IF(INDEX([2]!NOTA[DISC 2],MGN[[#This Row],[//]]-2)="","",INDEX([2]!NOTA[DISC 2],MGN[[#This Row],[//]]-2)))</f>
        <v/>
      </c>
      <c r="Q4" s="29" t="str">
        <f ca="1">IF(MGN[[#This Row],[//]]="","",INDEX([2]!NOTA[JUMLAH],MGN[[#This Row],[//]]-2)*(100%-IF(ISNUMBER(MGN[[#This Row],[DISC 1 (%)]]),MGN[[#This Row],[DISC 1 (%)]],0)))</f>
        <v/>
      </c>
      <c r="R4" s="35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4" s="35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4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4" s="25" t="str">
        <f ca="1">IF(MGN[[#This Row],[//]]="","",INDEX([2]!NOTA[NAMA BARANG],MGN[[#This Row],[//]]-2))</f>
        <v/>
      </c>
      <c r="V4" s="25" t="str">
        <f ca="1">LOWER(SUBSTITUTE(SUBSTITUTE(SUBSTITUTE(SUBSTITUTE(SUBSTITUTE(SUBSTITUTE(SUBSTITUTE(SUBSTITUTE(MGN[[#This Row],[N.B.nota]]," ",""),"-",""),"(",""),")",""),".",""),",",""),"/",""),"""",""))</f>
        <v/>
      </c>
      <c r="W4" s="25" t="str">
        <f ca="1">IF(MGN[[#This Row],[concat]]="","",MATCH(MGN[[#This Row],[concat]],[4]!db[NB NOTA_C],0)+1)</f>
        <v/>
      </c>
      <c r="X4" s="25" t="str">
        <f ca="1">IF(MGN[[#This Row],[N.B.nota]]="","",ADDRESS(ROW(MGN[QB]),COLUMN(MGN[QB]))&amp;":"&amp;ADDRESS(ROW(),COLUMN(MGN[QB])))</f>
        <v/>
      </c>
      <c r="Y4" s="25" t="str">
        <f ca="1">IF(MGN[[#This Row],[//]]="","",HYPERLINK("[..\\DB.xlsx]DB!e"&amp;MATCH(MGN[[#This Row],[concat]],[4]!db[NB NOTA_C],0)+1,"&gt;"))</f>
        <v/>
      </c>
    </row>
    <row r="5" spans="1:25" x14ac:dyDescent="0.25">
      <c r="A5" s="37" t="s">
        <v>127</v>
      </c>
      <c r="B5" s="31">
        <f ca="1">IF(MGN[[#This Row],[N_ID]]="","",INDEX(Table1[ID],MATCH(MGN[[#This Row],[N_ID]],Table1[N_ID],0)))</f>
        <v>149</v>
      </c>
      <c r="C5" s="31" t="str">
        <f ca="1">IF(MGN[[#This Row],[ID NOTA]]="","",HYPERLINK("[NOTA_.xlsx]NOTA!e"&amp;INDEX([2]!PAJAK[//],MATCH(MGN[[#This Row],[ID NOTA]],[2]!PAJAK[ID],0)),"&gt;") )</f>
        <v>&gt;</v>
      </c>
      <c r="D5" s="31">
        <f ca="1">IF(MGN[[#This Row],[ID NOTA]]="","",INDEX(Table1[QB],MATCH(MGN[[#This Row],[ID NOTA]],Table1[ID],0)))</f>
        <v>1</v>
      </c>
      <c r="E5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832</v>
      </c>
      <c r="F5" s="68">
        <v>2</v>
      </c>
      <c r="G5" s="34">
        <f ca="1">IF(MGN[[#This Row],[ID NOTA]]="","",INDEX([2]!NOTA[TGL_H],MATCH(MGN[[#This Row],[ID NOTA]],[2]!NOTA[ID],0)))</f>
        <v>44835</v>
      </c>
      <c r="H5" s="34">
        <f ca="1">IF(MGN[[#This Row],[ID NOTA]]="","",INDEX([2]!NOTA[TGL.NOTA],MATCH(MGN[[#This Row],[ID NOTA]],[2]!NOTA[ID],0)))</f>
        <v>44832</v>
      </c>
      <c r="I5" s="25" t="str">
        <f ca="1">IF(MGN[[#This Row],[ID NOTA]]="","",INDEX([2]!NOTA[NO.NOTA],MATCH(MGN[[#This Row],[ID NOTA]],[2]!NOTA[ID],0)))</f>
        <v>L309047</v>
      </c>
      <c r="J5" s="26" t="str">
        <f ca="1">IF(MGN[[#This Row],[//]]="","",INDEX([4]!db[NB PAJAK],MGN[[#This Row],[stt]]-1))</f>
        <v>ISI STAPLER GREATWALL GW-NO. 10 (KECIL)</v>
      </c>
      <c r="K5" s="31">
        <f ca="1">IF(MGN[[#This Row],[//]]="","",INDEX([2]!NOTA[C],MGN[[#This Row],[//]]-2))</f>
        <v>20</v>
      </c>
      <c r="L5" s="31">
        <f ca="1">IF(MGN[//]="","",INDEX([2]!NOTA[QTY],MGN[//]-2))</f>
        <v>2000</v>
      </c>
      <c r="M5" s="31" t="str">
        <f ca="1">IF(MGN[//]="","",INDEX([2]!NOTA[STN],MGN[//]-2))</f>
        <v>PAK</v>
      </c>
      <c r="N5" s="35">
        <f ca="1">IF(MGN[[#This Row],[//]]="","",IF(INDEX([2]!NOTA[HARGA/ CTN],MGN[[#This Row],[//]]-2)="",INDEX([2]!NOTA[HARGA SATUAN],MGN[//]-2),INDEX([2]!NOTA[HARGA/ CTN],MGN[[#This Row],[//]]-2)))</f>
        <v>14000</v>
      </c>
      <c r="O5" s="36">
        <f ca="1">IF(MGN[[#This Row],[//]]="","",IF(INDEX([2]!NOTA[DISC 1],MGN[[#This Row],[//]]-2)="","",INDEX([2]!NOTA[DISC 1],MGN[[#This Row],[//]]-2)))</f>
        <v>0.1</v>
      </c>
      <c r="P5" s="36" t="str">
        <f ca="1">IF(MGN[[#This Row],[//]]="","",IF(INDEX([2]!NOTA[DISC 2],MGN[[#This Row],[//]]-2)="","",INDEX([2]!NOTA[DISC 2],MGN[[#This Row],[//]]-2)))</f>
        <v/>
      </c>
      <c r="Q5" s="29">
        <f ca="1">IF(MGN[[#This Row],[//]]="","",INDEX([2]!NOTA[JUMLAH],MGN[[#This Row],[//]]-2)*(100%-IF(ISNUMBER(MGN[[#This Row],[DISC 1 (%)]]),MGN[[#This Row],[DISC 1 (%)]],0)))</f>
        <v>25200000</v>
      </c>
      <c r="R5" s="35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2800000</v>
      </c>
      <c r="S5" s="35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25200000</v>
      </c>
      <c r="T5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5" s="25" t="str">
        <f ca="1">IF(MGN[[#This Row],[//]]="","",INDEX([2]!NOTA[NAMA BARANG],MGN[[#This Row],[//]]-2))</f>
        <v>ISI GW NO.10</v>
      </c>
      <c r="V5" s="25" t="str">
        <f ca="1">LOWER(SUBSTITUTE(SUBSTITUTE(SUBSTITUTE(SUBSTITUTE(SUBSTITUTE(SUBSTITUTE(SUBSTITUTE(SUBSTITUTE(MGN[[#This Row],[N.B.nota]]," ",""),"-",""),"(",""),")",""),".",""),",",""),"/",""),"""",""))</f>
        <v>isigwno10</v>
      </c>
      <c r="W5" s="26">
        <f ca="1">IF(MGN[[#This Row],[concat]]="","",MATCH(MGN[[#This Row],[concat]],[4]!db[NB NOTA_C],0)+1)</f>
        <v>960</v>
      </c>
      <c r="X5" s="25" t="str">
        <f ca="1">IF(MGN[[#This Row],[N.B.nota]]="","",ADDRESS(ROW(MGN[QB]),COLUMN(MGN[QB]))&amp;":"&amp;ADDRESS(ROW(),COLUMN(MGN[QB])))</f>
        <v>$D$3:$D$5</v>
      </c>
      <c r="Y5" s="25" t="str">
        <f ca="1">IF(MGN[[#This Row],[//]]="","",HYPERLINK("[..\\DB.xlsx]DB!e"&amp;MATCH(MGN[[#This Row],[concat]],[4]!db[NB NOTA_C],0)+1,"&gt;"))</f>
        <v>&gt;</v>
      </c>
    </row>
  </sheetData>
  <conditionalFormatting sqref="A3:A5">
    <cfRule type="duplicateValues" dxfId="54" priority="5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G3" sqref="G3:N3"/>
    </sheetView>
  </sheetViews>
  <sheetFormatPr defaultRowHeight="15" x14ac:dyDescent="0.25"/>
  <cols>
    <col min="1" max="1" width="15.7109375" bestFit="1" customWidth="1"/>
    <col min="2" max="2" width="3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37.285156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3.140625" bestFit="1" customWidth="1"/>
    <col min="21" max="21" width="10.140625" customWidth="1"/>
    <col min="22" max="22" width="8.7109375" customWidth="1"/>
    <col min="23" max="23" width="5.140625" customWidth="1"/>
    <col min="24" max="24" width="10.42578125" customWidth="1"/>
    <col min="25" max="25" width="2.140625" customWidth="1"/>
  </cols>
  <sheetData>
    <row r="2" spans="1:25" s="24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4" customFormat="1" ht="15" customHeight="1" x14ac:dyDescent="0.25">
      <c r="A3" s="25" t="s">
        <v>90</v>
      </c>
      <c r="B3" s="8">
        <f ca="1">IF(LIE[[#This Row],[N_ID]]="","",INDEX(Table1[ID],MATCH(LIE[[#This Row],[N_ID]],Table1[N_ID],0)))</f>
        <v>77</v>
      </c>
      <c r="C3" s="8" t="str">
        <f ca="1">IF(LIE[[#This Row],[ID NOTA]]="","",HYPERLINK("[NOTA_.xlsx]NOTA!e"&amp;INDEX([2]!PAJAK[//],MATCH(LIE[[#This Row],[ID NOTA]],[2]!PAJAK[ID],0)),"&gt;") )</f>
        <v>&gt;</v>
      </c>
      <c r="D3" s="8">
        <f ca="1">IF(LIE[[#This Row],[ID NOTA]]="","",INDEX(Table1[QB],MATCH(LIE[[#This Row],[ID NOTA]],Table1[ID],0)))</f>
        <v>1</v>
      </c>
      <c r="E3" s="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443</v>
      </c>
      <c r="F3" s="8"/>
      <c r="G3" s="9">
        <f ca="1">IF(LIE[[#This Row],[ID NOTA]]="","",INDEX([2]!NOTA[TGL_H],MATCH(LIE[[#This Row],[ID NOTA]],[2]!NOTA[ID],0)))</f>
        <v>44823</v>
      </c>
      <c r="H3" s="9">
        <f ca="1">IF(LIE[[#This Row],[ID NOTA]]="","",INDEX([2]!NOTA[TGL.NOTA],MATCH(LIE[[#This Row],[ID NOTA]],[2]!NOTA[ID],0)))</f>
        <v>44820</v>
      </c>
      <c r="I3" s="16" t="str">
        <f ca="1">IF(LIE[[#This Row],[ID NOTA]]="","",INDEX([2]!NOTA[NO.NOTA],MATCH(LIE[[#This Row],[ID NOTA]],[2]!NOTA[ID],0)))</f>
        <v>005187</v>
      </c>
      <c r="J3" s="16" t="str">
        <f ca="1">IF(LIE[[#This Row],[//]]="","",INDEX([4]!db[NB PAJAK],LIE[[#This Row],[stt]]-1))</f>
        <v>BUKU KAS (FOLIO)</v>
      </c>
      <c r="K3" s="8">
        <f ca="1">IF(LIE[[#This Row],[//]]="","",INDEX([2]!NOTA[C],LIE[[#This Row],[//]]-2))</f>
        <v>3</v>
      </c>
      <c r="L3" s="8">
        <f ca="1">IF(LIE[[#This Row],[//]]="","",INDEX([2]!NOTA[QTY],LIE[[#This Row],[//]]-2))</f>
        <v>300</v>
      </c>
      <c r="M3" s="8" t="str">
        <f ca="1">IF(LIE[[#This Row],[//]]="","",INDEX([2]!NOTA[STN],LIE[[#This Row],[//]]-2))</f>
        <v>PCS</v>
      </c>
      <c r="N3" s="17">
        <f ca="1">IF(LIE[[#This Row],[//]]="","",INDEX([2]!NOTA[HARGA SATUAN],LIE[[#This Row],[//]]-2))</f>
        <v>14285.7</v>
      </c>
      <c r="O3" s="19" t="str">
        <f ca="1">IF(LIE[[#This Row],[//]]="","",IF(INDEX([2]!NOTA[DISC 1],LIE[[#This Row],[//]]-2)="","",INDEX([2]!NOTA[DISC 1],LIE[[#This Row],[//]]-2)))</f>
        <v/>
      </c>
      <c r="P3" s="19" t="str">
        <f ca="1">IF(LIE[[#This Row],[//]]="","",IF(INDEX([2]!NOTA[DISC 2],LIE[[#This Row],[//]]-2)="","",INDEX([2]!NOTA[DISC 2],LIE[[#This Row],[//]]-2)))</f>
        <v/>
      </c>
      <c r="Q3" s="10">
        <f ca="1">IF(LIE[[#This Row],[//]]="","",INDEX([2]!NOTA[JUMLAH],LIE[[#This Row],[//]]-2)*(100%-IF(ISNUMBER(LIE[[#This Row],[DISC 1 (%)]]),LIE[[#This Row],[DISC 1 (%)]],0)))</f>
        <v>4285710</v>
      </c>
      <c r="R3" s="10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0</v>
      </c>
      <c r="S3" s="17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4285710</v>
      </c>
      <c r="T3" s="10" t="str">
        <f ca="1">IF(LIE[[#This Row],[//]]="","",IF(INDEX(INDIRECT("NOTA_.xlsx!NOTA["&amp;LIE[#Headers]&amp;"]"),LIE[[#This Row],[//]]-2)="","",INDEX(INDIRECT("NOTA_.xlsx!NOTA["&amp;LIE[#Headers]&amp;"]"),LIE[[#This Row],[//]]-2)))</f>
        <v xml:space="preserve">TAMBAH PPN RP.424.710 </v>
      </c>
      <c r="U3" s="16" t="str">
        <f ca="1">IF(LIE[[#This Row],[//]]="","",INDEX([2]!NOTA[NAMA BARANG],LIE[[#This Row],[//]]-2))</f>
        <v>KAS FOLIO</v>
      </c>
      <c r="V3" s="16" t="str">
        <f ca="1">LOWER(SUBSTITUTE(SUBSTITUTE(SUBSTITUTE(SUBSTITUTE(SUBSTITUTE(SUBSTITUTE(SUBSTITUTE(LIE[[#This Row],[N.B.nota]]," ",""),"-",""),"(",""),")",""),".",""),",",""),"/",""))</f>
        <v>kasfolio</v>
      </c>
      <c r="W3">
        <f ca="1">IF(LIE[[#This Row],[concat]]="","",MATCH(LIE[[#This Row],[concat]],[4]!db[NB NOTA_C],0)+1)</f>
        <v>988</v>
      </c>
      <c r="X3" s="16" t="str">
        <f ca="1">IF(LIE[[#This Row],[N.B.nota]]="","",ADDRESS(ROW(LIE[QB]),COLUMN(LIE[QB]))&amp;":"&amp;ADDRESS(ROW(),COLUMN(LIE[QB])))</f>
        <v>$D$3:$D$3</v>
      </c>
      <c r="Y3" s="16" t="str">
        <f ca="1">IF(LIE[[#This Row],[//]]="","",HYPERLINK("[..\\DB.xlsx]DB!e"&amp;MATCH(LIE[[#This Row],[concat]],[4]!db[NB NOTA_C],0)+1,"&gt;"))</f>
        <v>&gt;</v>
      </c>
    </row>
    <row r="4" spans="1:25" x14ac:dyDescent="0.25">
      <c r="A4" s="25"/>
      <c r="B4" s="8" t="str">
        <f>IF(LIE[[#This Row],[N_ID]]="","",INDEX(Table1[ID],MATCH(LIE[[#This Row],[N_ID]],Table1[N_ID],0)))</f>
        <v/>
      </c>
      <c r="C4" s="8" t="str">
        <f>IF(LIE[[#This Row],[ID NOTA]]="","",HYPERLINK("[NOTA_.xlsx]NOTA!e"&amp;INDEX([2]!PAJAK[//],MATCH(LIE[[#This Row],[ID NOTA]],[2]!PAJAK[ID],0)),"&gt;") )</f>
        <v/>
      </c>
      <c r="D4" s="8" t="str">
        <f>IF(LIE[[#This Row],[ID NOTA]]="","",INDEX(Table1[QB],MATCH(LIE[[#This Row],[ID NOTA]],Table1[ID],0)))</f>
        <v/>
      </c>
      <c r="E4" s="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4" s="8"/>
      <c r="G4" s="9" t="str">
        <f>IF(LIE[[#This Row],[ID NOTA]]="","",INDEX([2]!NOTA[TGL_H],MATCH(LIE[[#This Row],[ID NOTA]],[2]!NOTA[ID],0)))</f>
        <v/>
      </c>
      <c r="H4" s="9" t="str">
        <f>IF(LIE[[#This Row],[ID NOTA]]="","",INDEX([2]!NOTA[TGL.NOTA],MATCH(LIE[[#This Row],[ID NOTA]],[2]!NOTA[ID],0)))</f>
        <v/>
      </c>
      <c r="I4" s="16" t="str">
        <f>IF(LIE[[#This Row],[ID NOTA]]="","",INDEX([2]!NOTA[NO.NOTA],MATCH(LIE[[#This Row],[ID NOTA]],[2]!NOTA[ID],0)))</f>
        <v/>
      </c>
      <c r="J4" s="16" t="str">
        <f ca="1">IF(LIE[[#This Row],[//]]="","",INDEX([4]!db[NB PAJAK],LIE[[#This Row],[stt]]-1))</f>
        <v/>
      </c>
      <c r="K4" s="8" t="str">
        <f ca="1">IF(LIE[[#This Row],[//]]="","",INDEX([2]!NOTA[C],LIE[[#This Row],[//]]-2))</f>
        <v/>
      </c>
      <c r="L4" s="8" t="str">
        <f ca="1">IF(LIE[[#This Row],[//]]="","",INDEX([2]!NOTA[QTY],LIE[[#This Row],[//]]-2))</f>
        <v/>
      </c>
      <c r="M4" s="8" t="str">
        <f ca="1">IF(LIE[[#This Row],[//]]="","",INDEX([2]!NOTA[STN],LIE[[#This Row],[//]]-2))</f>
        <v/>
      </c>
      <c r="N4" s="17" t="str">
        <f ca="1">IF(LIE[[#This Row],[//]]="","",INDEX([2]!NOTA[HARGA SATUAN],LIE[[#This Row],[//]]-2))</f>
        <v/>
      </c>
      <c r="O4" s="19" t="str">
        <f ca="1">IF(LIE[[#This Row],[//]]="","",IF(INDEX([2]!NOTA[DISC 1],LIE[[#This Row],[//]]-2)="","",INDEX([2]!NOTA[DISC 1],LIE[[#This Row],[//]]-2)))</f>
        <v/>
      </c>
      <c r="P4" s="19" t="str">
        <f ca="1">IF(LIE[[#This Row],[//]]="","",IF(INDEX([2]!NOTA[DISC 2],LIE[[#This Row],[//]]-2)="","",INDEX([2]!NOTA[DISC 2],LIE[[#This Row],[//]]-2)))</f>
        <v/>
      </c>
      <c r="Q4" s="10" t="str">
        <f ca="1">IF(LIE[[#This Row],[//]]="","",INDEX([2]!NOTA[JUMLAH],LIE[[#This Row],[//]]-2)*(100%-IF(ISNUMBER(LIE[[#This Row],[DISC 1 (%)]]),LIE[[#This Row],[DISC 1 (%)]],0)))</f>
        <v/>
      </c>
      <c r="R4" s="10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4" s="17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4" s="10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4" s="16" t="str">
        <f ca="1">IF(LIE[[#This Row],[//]]="","",INDEX([2]!NOTA[NAMA BARANG],LIE[[#This Row],[//]]-2))</f>
        <v/>
      </c>
      <c r="V4" s="16" t="str">
        <f ca="1">LOWER(SUBSTITUTE(SUBSTITUTE(SUBSTITUTE(SUBSTITUTE(SUBSTITUTE(SUBSTITUTE(SUBSTITUTE(LIE[[#This Row],[N.B.nota]]," ",""),"-",""),"(",""),")",""),".",""),",",""),"/",""))</f>
        <v/>
      </c>
      <c r="W4" t="str">
        <f ca="1">IF(LIE[[#This Row],[concat]]="","",MATCH(LIE[[#This Row],[concat]],[4]!db[NB NOTA_C],0)+1)</f>
        <v/>
      </c>
      <c r="X4" s="16" t="str">
        <f ca="1">IF(LIE[[#This Row],[N.B.nota]]="","",ADDRESS(ROW(LIE[QB]),COLUMN(LIE[QB]))&amp;":"&amp;ADDRESS(ROW(),COLUMN(LIE[QB])))</f>
        <v/>
      </c>
      <c r="Y4" s="16" t="str">
        <f ca="1">IF(LIE[[#This Row],[//]]="","",HYPERLINK("[..\\DB.xlsx]DB!e"&amp;MATCH(LIE[[#This Row],[concat]],[4]!db[NB NOTA_C],0)+1,"&gt;"))</f>
        <v/>
      </c>
    </row>
    <row r="5" spans="1:25" x14ac:dyDescent="0.25">
      <c r="A5" s="25"/>
      <c r="B5" s="8" t="str">
        <f>IF(LIE[[#This Row],[N_ID]]="","",INDEX(Table1[ID],MATCH(LIE[[#This Row],[N_ID]],Table1[N_ID],0)))</f>
        <v/>
      </c>
      <c r="C5" s="8" t="str">
        <f>IF(LIE[[#This Row],[ID NOTA]]="","",HYPERLINK("[NOTA_.xlsx]NOTA!e"&amp;INDEX([2]!PAJAK[//],MATCH(LIE[[#This Row],[ID NOTA]],[2]!PAJAK[ID],0)),"&gt;") )</f>
        <v/>
      </c>
      <c r="D5" s="8" t="str">
        <f>IF(LIE[[#This Row],[ID NOTA]]="","",INDEX(Table1[QB],MATCH(LIE[[#This Row],[ID NOTA]],Table1[ID],0)))</f>
        <v/>
      </c>
      <c r="E5" s="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5" s="8"/>
      <c r="G5" s="9" t="str">
        <f>IF(LIE[[#This Row],[ID NOTA]]="","",INDEX([2]!NOTA[TGL_H],MATCH(LIE[[#This Row],[ID NOTA]],[2]!NOTA[ID],0)))</f>
        <v/>
      </c>
      <c r="H5" s="9" t="str">
        <f>IF(LIE[[#This Row],[ID NOTA]]="","",INDEX([2]!NOTA[TGL.NOTA],MATCH(LIE[[#This Row],[ID NOTA]],[2]!NOTA[ID],0)))</f>
        <v/>
      </c>
      <c r="I5" s="16" t="str">
        <f>IF(LIE[[#This Row],[ID NOTA]]="","",INDEX([2]!NOTA[NO.NOTA],MATCH(LIE[[#This Row],[ID NOTA]],[2]!NOTA[ID],0)))</f>
        <v/>
      </c>
      <c r="J5" s="16" t="str">
        <f ca="1">IF(LIE[[#This Row],[//]]="","",INDEX([4]!db[NB PAJAK],LIE[[#This Row],[stt]]-1))</f>
        <v/>
      </c>
      <c r="K5" s="8" t="str">
        <f ca="1">IF(LIE[[#This Row],[//]]="","",INDEX([2]!NOTA[C],LIE[[#This Row],[//]]-2))</f>
        <v/>
      </c>
      <c r="L5" s="8" t="str">
        <f ca="1">IF(LIE[[#This Row],[//]]="","",INDEX([2]!NOTA[QTY],LIE[[#This Row],[//]]-2))</f>
        <v/>
      </c>
      <c r="M5" s="8" t="str">
        <f ca="1">IF(LIE[[#This Row],[//]]="","",INDEX([2]!NOTA[STN],LIE[[#This Row],[//]]-2))</f>
        <v/>
      </c>
      <c r="N5" s="17" t="str">
        <f ca="1">IF(LIE[[#This Row],[//]]="","",INDEX([2]!NOTA[HARGA SATUAN],LIE[[#This Row],[//]]-2))</f>
        <v/>
      </c>
      <c r="O5" s="19" t="str">
        <f ca="1">IF(LIE[[#This Row],[//]]="","",IF(INDEX([2]!NOTA[DISC 1],LIE[[#This Row],[//]]-2)="","",INDEX([2]!NOTA[DISC 1],LIE[[#This Row],[//]]-2)))</f>
        <v/>
      </c>
      <c r="P5" s="19" t="str">
        <f ca="1">IF(LIE[[#This Row],[//]]="","",IF(INDEX([2]!NOTA[DISC 2],LIE[[#This Row],[//]]-2)="","",INDEX([2]!NOTA[DISC 2],LIE[[#This Row],[//]]-2)))</f>
        <v/>
      </c>
      <c r="Q5" s="10" t="str">
        <f ca="1">IF(LIE[[#This Row],[//]]="","",INDEX([2]!NOTA[JUMLAH],LIE[[#This Row],[//]]-2)*(100%-IF(ISNUMBER(LIE[[#This Row],[DISC 1 (%)]]),LIE[[#This Row],[DISC 1 (%)]],0)))</f>
        <v/>
      </c>
      <c r="R5" s="10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5" s="17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5" s="10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5" s="16" t="str">
        <f ca="1">IF(LIE[[#This Row],[//]]="","",INDEX([2]!NOTA[NAMA BARANG],LIE[[#This Row],[//]]-2))</f>
        <v/>
      </c>
      <c r="V5" s="16" t="str">
        <f ca="1">LOWER(SUBSTITUTE(SUBSTITUTE(SUBSTITUTE(SUBSTITUTE(SUBSTITUTE(SUBSTITUTE(SUBSTITUTE(LIE[[#This Row],[N.B.nota]]," ",""),"-",""),"(",""),")",""),".",""),",",""),"/",""))</f>
        <v/>
      </c>
      <c r="W5" t="str">
        <f ca="1">IF(LIE[[#This Row],[concat]]="","",MATCH(LIE[[#This Row],[concat]],[4]!db[NB NOTA_C],0)+1)</f>
        <v/>
      </c>
      <c r="X5" s="16" t="str">
        <f ca="1">IF(LIE[[#This Row],[N.B.nota]]="","",ADDRESS(ROW(LIE[QB]),COLUMN(LIE[QB]))&amp;":"&amp;ADDRESS(ROW(),COLUMN(LIE[QB])))</f>
        <v/>
      </c>
      <c r="Y5" s="16" t="str">
        <f ca="1">IF(LIE[[#This Row],[//]]="","",HYPERLINK("[..\\DB.xlsx]DB!e"&amp;MATCH(LIE[[#This Row],[concat]],[4]!db[NB NOTA_C],0)+1,"&gt;"))</f>
        <v/>
      </c>
    </row>
    <row r="6" spans="1:25" x14ac:dyDescent="0.25">
      <c r="A6" s="25"/>
      <c r="B6" s="8" t="str">
        <f>IF(LIE[[#This Row],[N_ID]]="","",INDEX(Table1[ID],MATCH(LIE[[#This Row],[N_ID]],Table1[N_ID],0)))</f>
        <v/>
      </c>
      <c r="C6" s="8" t="str">
        <f>IF(LIE[[#This Row],[ID NOTA]]="","",HYPERLINK("[NOTA_.xlsx]NOTA!e"&amp;INDEX([2]!PAJAK[//],MATCH(LIE[[#This Row],[ID NOTA]],[2]!PAJAK[ID],0)),"&gt;") )</f>
        <v/>
      </c>
      <c r="D6" s="8" t="str">
        <f>IF(LIE[[#This Row],[ID NOTA]]="","",INDEX(Table1[QB],MATCH(LIE[[#This Row],[ID NOTA]],Table1[ID],0)))</f>
        <v/>
      </c>
      <c r="E6" s="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6" s="8"/>
      <c r="G6" s="9" t="str">
        <f>IF(LIE[[#This Row],[ID NOTA]]="","",INDEX([2]!NOTA[TGL_H],MATCH(LIE[[#This Row],[ID NOTA]],[2]!NOTA[ID],0)))</f>
        <v/>
      </c>
      <c r="H6" s="9" t="str">
        <f>IF(LIE[[#This Row],[ID NOTA]]="","",INDEX([2]!NOTA[TGL.NOTA],MATCH(LIE[[#This Row],[ID NOTA]],[2]!NOTA[ID],0)))</f>
        <v/>
      </c>
      <c r="I6" s="16" t="str">
        <f>IF(LIE[[#This Row],[ID NOTA]]="","",INDEX([2]!NOTA[NO.NOTA],MATCH(LIE[[#This Row],[ID NOTA]],[2]!NOTA[ID],0)))</f>
        <v/>
      </c>
      <c r="J6" s="16" t="str">
        <f ca="1">IF(LIE[[#This Row],[//]]="","",INDEX([4]!db[NB PAJAK],LIE[[#This Row],[stt]]-1))</f>
        <v/>
      </c>
      <c r="K6" s="8" t="str">
        <f ca="1">IF(LIE[[#This Row],[//]]="","",INDEX([2]!NOTA[C],LIE[[#This Row],[//]]-2))</f>
        <v/>
      </c>
      <c r="L6" s="8" t="str">
        <f ca="1">IF(LIE[[#This Row],[//]]="","",INDEX([2]!NOTA[QTY],LIE[[#This Row],[//]]-2))</f>
        <v/>
      </c>
      <c r="M6" s="8" t="str">
        <f ca="1">IF(LIE[[#This Row],[//]]="","",INDEX([2]!NOTA[STN],LIE[[#This Row],[//]]-2))</f>
        <v/>
      </c>
      <c r="N6" s="17" t="str">
        <f ca="1">IF(LIE[[#This Row],[//]]="","",INDEX([2]!NOTA[HARGA SATUAN],LIE[[#This Row],[//]]-2))</f>
        <v/>
      </c>
      <c r="O6" s="19" t="str">
        <f ca="1">IF(LIE[[#This Row],[//]]="","",IF(INDEX([2]!NOTA[DISC 1],LIE[[#This Row],[//]]-2)="","",INDEX([2]!NOTA[DISC 1],LIE[[#This Row],[//]]-2)))</f>
        <v/>
      </c>
      <c r="P6" s="19" t="str">
        <f ca="1">IF(LIE[[#This Row],[//]]="","",IF(INDEX([2]!NOTA[DISC 2],LIE[[#This Row],[//]]-2)="","",INDEX([2]!NOTA[DISC 2],LIE[[#This Row],[//]]-2)))</f>
        <v/>
      </c>
      <c r="Q6" s="10" t="str">
        <f ca="1">IF(LIE[[#This Row],[//]]="","",INDEX([2]!NOTA[JUMLAH],LIE[[#This Row],[//]]-2)*(100%-IF(ISNUMBER(LIE[[#This Row],[DISC 1 (%)]]),LIE[[#This Row],[DISC 1 (%)]],0)))</f>
        <v/>
      </c>
      <c r="R6" s="10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6" s="17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6" s="10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6" s="16" t="str">
        <f ca="1">IF(LIE[[#This Row],[//]]="","",INDEX([2]!NOTA[NAMA BARANG],LIE[[#This Row],[//]]-2))</f>
        <v/>
      </c>
      <c r="V6" s="16" t="str">
        <f ca="1">LOWER(SUBSTITUTE(SUBSTITUTE(SUBSTITUTE(SUBSTITUTE(SUBSTITUTE(SUBSTITUTE(SUBSTITUTE(LIE[[#This Row],[N.B.nota]]," ",""),"-",""),"(",""),")",""),".",""),",",""),"/",""))</f>
        <v/>
      </c>
      <c r="W6" t="str">
        <f ca="1">IF(LIE[[#This Row],[concat]]="","",MATCH(LIE[[#This Row],[concat]],[4]!db[NB NOTA_C],0)+1)</f>
        <v/>
      </c>
      <c r="X6" s="16" t="str">
        <f ca="1">IF(LIE[[#This Row],[N.B.nota]]="","",ADDRESS(ROW(LIE[QB]),COLUMN(LIE[QB]))&amp;":"&amp;ADDRESS(ROW(),COLUMN(LIE[QB])))</f>
        <v/>
      </c>
      <c r="Y6" s="16" t="str">
        <f ca="1">IF(LIE[[#This Row],[//]]="","",HYPERLINK("[..\\DB.xlsx]DB!e"&amp;MATCH(LIE[[#This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KENKO</vt:lpstr>
      <vt:lpstr>ATALI</vt:lpstr>
      <vt:lpstr>KALINDO</vt:lpstr>
      <vt:lpstr>99 JAYA UTAMA</vt:lpstr>
      <vt:lpstr>SAJ</vt:lpstr>
      <vt:lpstr>SDI</vt:lpstr>
      <vt:lpstr>MGN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2023-01-03T02:57:50Z</dcterms:modified>
</cp:coreProperties>
</file>